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4.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5.xml" ContentType="application/vnd.openxmlformats-officedocument.spreadsheetml.comments+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mc:AlternateContent xmlns:mc="http://schemas.openxmlformats.org/markup-compatibility/2006">
    <mc:Choice Requires="x15">
      <x15ac:absPath xmlns:x15ac="http://schemas.microsoft.com/office/spreadsheetml/2010/11/ac" url="/Users/jbander/Downloads/"/>
    </mc:Choice>
  </mc:AlternateContent>
  <xr:revisionPtr revIDLastSave="0" documentId="13_ncr:1_{E597B03A-8135-6B4C-8169-7EBB7BF22B88}" xr6:coauthVersionLast="47" xr6:coauthVersionMax="47" xr10:uidLastSave="{00000000-0000-0000-0000-000000000000}"/>
  <bookViews>
    <workbookView xWindow="7100" yWindow="-21600" windowWidth="31220" windowHeight="21600" tabRatio="739" xr2:uid="{00000000-000D-0000-FFFF-FFFF00000000}"/>
  </bookViews>
  <sheets>
    <sheet name="BOM" sheetId="105" r:id="rId1"/>
    <sheet name="Cust Facing BOM" sheetId="69" state="hidden" r:id="rId2"/>
    <sheet name="Ramp Env" sheetId="44" state="hidden" r:id="rId3"/>
    <sheet name="Ramp OCPU" sheetId="108" state="hidden" r:id="rId4"/>
    <sheet name="Discount Compare" sheetId="90" state="hidden" r:id="rId5"/>
    <sheet name="TCO" sheetId="101" r:id="rId6"/>
    <sheet name="Summary" sheetId="102" state="hidden" r:id="rId7"/>
    <sheet name="Usage Quantity" sheetId="91" state="hidden" r:id="rId8"/>
    <sheet name="Usage Cost" sheetId="87" state="hidden" r:id="rId9"/>
    <sheet name="Usage Chart" sheetId="88" state="hidden" r:id="rId10"/>
    <sheet name="TCO Labor" sheetId="97" state="hidden" r:id="rId11"/>
    <sheet name="TCO Software" sheetId="99" state="hidden" r:id="rId12"/>
    <sheet name="Industry Metrics" sheetId="109" state="hidden" r:id="rId13"/>
    <sheet name="License BOM" sheetId="65" state="hidden" r:id="rId14"/>
    <sheet name="Exadata BOM" sheetId="81" state="hidden" r:id="rId15"/>
    <sheet name="Rate Card" sheetId="106" state="hidden" r:id="rId16"/>
    <sheet name="Server Inventory" sheetId="92" state="hidden" r:id="rId17"/>
    <sheet name="TCO Metrics" sheetId="100" state="hidden" r:id="rId18"/>
    <sheet name="Shapes" sheetId="93" state="hidden" r:id="rId19"/>
    <sheet name="IaaS-PaaS Specs" sheetId="68" state="hidden" r:id="rId20"/>
    <sheet name="Exa Specs" sheetId="85" state="hidden" r:id="rId21"/>
    <sheet name="Discounts" sheetId="55" state="hidden" r:id="rId22"/>
    <sheet name="CAM" sheetId="46" state="hidden" r:id="rId23"/>
    <sheet name="CPL 200630" sheetId="95" state="hidden" r:id="rId24"/>
    <sheet name="Exchange" sheetId="107" state="hidden" r:id="rId25"/>
    <sheet name="Exadata Price List" sheetId="98" state="hidden" r:id="rId26"/>
    <sheet name="License Price List" sheetId="72" state="hidden" r:id="rId27"/>
    <sheet name="Cloud Price List" sheetId="52" state="hidden" r:id="rId28"/>
  </sheets>
  <externalReferences>
    <externalReference r:id="rId29"/>
    <externalReference r:id="rId30"/>
    <externalReference r:id="rId31"/>
    <externalReference r:id="rId32"/>
  </externalReferences>
  <definedNames>
    <definedName name="_ext2" localSheetId="23" hidden="1">{#N/A,#N/A,TRUE,"Sum-FvsT";#N/A,#N/A,TRUE,"Sum-PvsF";#N/A,#N/A,TRUE,"SumYrExp";#N/A,#N/A,TRUE,"DNIE - QtrDC";#N/A,#N/A,TRUE,"DNIE - QtrCI";#N/A,#N/A,TRUE,"DNIE - QtrCC";#N/A,#N/A,TRUE,"DNIE - QtrCDP";#N/A,#N/A,TRUE,"DNIE - QtrCD";#N/A,#N/A,TRUE,"SumDist"}</definedName>
    <definedName name="_ext2" localSheetId="1" hidden="1">{#N/A,#N/A,TRUE,"Sum-FvsT";#N/A,#N/A,TRUE,"Sum-PvsF";#N/A,#N/A,TRUE,"SumYrExp";#N/A,#N/A,TRUE,"DNIE - QtrDC";#N/A,#N/A,TRUE,"DNIE - QtrCI";#N/A,#N/A,TRUE,"DNIE - QtrCC";#N/A,#N/A,TRUE,"DNIE - QtrCDP";#N/A,#N/A,TRUE,"DNIE - QtrCD";#N/A,#N/A,TRUE,"SumDist"}</definedName>
    <definedName name="_ext2" localSheetId="14" hidden="1">{#N/A,#N/A,TRUE,"Sum-FvsT";#N/A,#N/A,TRUE,"Sum-PvsF";#N/A,#N/A,TRUE,"SumYrExp";#N/A,#N/A,TRUE,"DNIE - QtrDC";#N/A,#N/A,TRUE,"DNIE - QtrCI";#N/A,#N/A,TRUE,"DNIE - QtrCC";#N/A,#N/A,TRUE,"DNIE - QtrCDP";#N/A,#N/A,TRUE,"DNIE - QtrCD";#N/A,#N/A,TRUE,"SumDist"}</definedName>
    <definedName name="_ext2" localSheetId="12" hidden="1">{#N/A,#N/A,TRUE,"Sum-FvsT";#N/A,#N/A,TRUE,"Sum-PvsF";#N/A,#N/A,TRUE,"SumYrExp";#N/A,#N/A,TRUE,"DNIE - QtrDC";#N/A,#N/A,TRUE,"DNIE - QtrCI";#N/A,#N/A,TRUE,"DNIE - QtrCC";#N/A,#N/A,TRUE,"DNIE - QtrCDP";#N/A,#N/A,TRUE,"DNIE - QtrCD";#N/A,#N/A,TRUE,"SumDist"}</definedName>
    <definedName name="_ext2" localSheetId="6" hidden="1">{#N/A,#N/A,TRUE,"Sum-FvsT";#N/A,#N/A,TRUE,"Sum-PvsF";#N/A,#N/A,TRUE,"SumYrExp";#N/A,#N/A,TRUE,"DNIE - QtrDC";#N/A,#N/A,TRUE,"DNIE - QtrCI";#N/A,#N/A,TRUE,"DNIE - QtrCC";#N/A,#N/A,TRUE,"DNIE - QtrCDP";#N/A,#N/A,TRUE,"DNIE - QtrCD";#N/A,#N/A,TRUE,"SumDist"}</definedName>
    <definedName name="_ext2" localSheetId="5" hidden="1">{#N/A,#N/A,TRUE,"Sum-FvsT";#N/A,#N/A,TRUE,"Sum-PvsF";#N/A,#N/A,TRUE,"SumYrExp";#N/A,#N/A,TRUE,"DNIE - QtrDC";#N/A,#N/A,TRUE,"DNIE - QtrCI";#N/A,#N/A,TRUE,"DNIE - QtrCC";#N/A,#N/A,TRUE,"DNIE - QtrCDP";#N/A,#N/A,TRUE,"DNIE - QtrCD";#N/A,#N/A,TRUE,"SumDist"}</definedName>
    <definedName name="_ext2" localSheetId="11" hidden="1">{#N/A,#N/A,TRUE,"Sum-FvsT";#N/A,#N/A,TRUE,"Sum-PvsF";#N/A,#N/A,TRUE,"SumYrExp";#N/A,#N/A,TRUE,"DNIE - QtrDC";#N/A,#N/A,TRUE,"DNIE - QtrCI";#N/A,#N/A,TRUE,"DNIE - QtrCC";#N/A,#N/A,TRUE,"DNIE - QtrCDP";#N/A,#N/A,TRUE,"DNIE - QtrCD";#N/A,#N/A,TRUE,"SumDist"}</definedName>
    <definedName name="_ext2" hidden="1">{#N/A,#N/A,TRUE,"Sum-FvsT";#N/A,#N/A,TRUE,"Sum-PvsF";#N/A,#N/A,TRUE,"SumYrExp";#N/A,#N/A,TRUE,"DNIE - QtrDC";#N/A,#N/A,TRUE,"DNIE - QtrCI";#N/A,#N/A,TRUE,"DNIE - QtrCC";#N/A,#N/A,TRUE,"DNIE - QtrCDP";#N/A,#N/A,TRUE,"DNIE - QtrCD";#N/A,#N/A,TRUE,"SumDist"}</definedName>
    <definedName name="_ext2_1" localSheetId="23" hidden="1">{#N/A,#N/A,TRUE,"Sum-FvsT";#N/A,#N/A,TRUE,"Sum-PvsF";#N/A,#N/A,TRUE,"SumYrExp";#N/A,#N/A,TRUE,"DNIE - QtrDC";#N/A,#N/A,TRUE,"DNIE - QtrCI";#N/A,#N/A,TRUE,"DNIE - QtrCC";#N/A,#N/A,TRUE,"DNIE - QtrCDP";#N/A,#N/A,TRUE,"DNIE - QtrCD";#N/A,#N/A,TRUE,"SumDist"}</definedName>
    <definedName name="_ext2_1" localSheetId="12" hidden="1">{#N/A,#N/A,TRUE,"Sum-FvsT";#N/A,#N/A,TRUE,"Sum-PvsF";#N/A,#N/A,TRUE,"SumYrExp";#N/A,#N/A,TRUE,"DNIE - QtrDC";#N/A,#N/A,TRUE,"DNIE - QtrCI";#N/A,#N/A,TRUE,"DNIE - QtrCC";#N/A,#N/A,TRUE,"DNIE - QtrCDP";#N/A,#N/A,TRUE,"DNIE - QtrCD";#N/A,#N/A,TRUE,"SumDist"}</definedName>
    <definedName name="_ext2_1" localSheetId="6" hidden="1">{#N/A,#N/A,TRUE,"Sum-FvsT";#N/A,#N/A,TRUE,"Sum-PvsF";#N/A,#N/A,TRUE,"SumYrExp";#N/A,#N/A,TRUE,"DNIE - QtrDC";#N/A,#N/A,TRUE,"DNIE - QtrCI";#N/A,#N/A,TRUE,"DNIE - QtrCC";#N/A,#N/A,TRUE,"DNIE - QtrCDP";#N/A,#N/A,TRUE,"DNIE - QtrCD";#N/A,#N/A,TRUE,"SumDist"}</definedName>
    <definedName name="_ext2_1" localSheetId="11" hidden="1">{#N/A,#N/A,TRUE,"Sum-FvsT";#N/A,#N/A,TRUE,"Sum-PvsF";#N/A,#N/A,TRUE,"SumYrExp";#N/A,#N/A,TRUE,"DNIE - QtrDC";#N/A,#N/A,TRUE,"DNIE - QtrCI";#N/A,#N/A,TRUE,"DNIE - QtrCC";#N/A,#N/A,TRUE,"DNIE - QtrCDP";#N/A,#N/A,TRUE,"DNIE - QtrCD";#N/A,#N/A,TRUE,"SumDist"}</definedName>
    <definedName name="_ext2_1" hidden="1">{#N/A,#N/A,TRUE,"Sum-FvsT";#N/A,#N/A,TRUE,"Sum-PvsF";#N/A,#N/A,TRUE,"SumYrExp";#N/A,#N/A,TRUE,"DNIE - QtrDC";#N/A,#N/A,TRUE,"DNIE - QtrCI";#N/A,#N/A,TRUE,"DNIE - QtrCC";#N/A,#N/A,TRUE,"DNIE - QtrCDP";#N/A,#N/A,TRUE,"DNIE - QtrCD";#N/A,#N/A,TRUE,"SumDist"}</definedName>
    <definedName name="_ext21" localSheetId="23" hidden="1">{#N/A,#N/A,TRUE,"Sum-FvsT";#N/A,#N/A,TRUE,"Sum-PvsF";#N/A,#N/A,TRUE,"SumYrExp";#N/A,#N/A,TRUE,"DNIE - QtrDC";#N/A,#N/A,TRUE,"DNIE - QtrCI";#N/A,#N/A,TRUE,"DNIE - QtrCC";#N/A,#N/A,TRUE,"DNIE - QtrCDP";#N/A,#N/A,TRUE,"DNIE - QtrCD";#N/A,#N/A,TRUE,"SumDist"}</definedName>
    <definedName name="_ext21" localSheetId="1" hidden="1">{#N/A,#N/A,TRUE,"Sum-FvsT";#N/A,#N/A,TRUE,"Sum-PvsF";#N/A,#N/A,TRUE,"SumYrExp";#N/A,#N/A,TRUE,"DNIE - QtrDC";#N/A,#N/A,TRUE,"DNIE - QtrCI";#N/A,#N/A,TRUE,"DNIE - QtrCC";#N/A,#N/A,TRUE,"DNIE - QtrCDP";#N/A,#N/A,TRUE,"DNIE - QtrCD";#N/A,#N/A,TRUE,"SumDist"}</definedName>
    <definedName name="_ext21" localSheetId="14" hidden="1">{#N/A,#N/A,TRUE,"Sum-FvsT";#N/A,#N/A,TRUE,"Sum-PvsF";#N/A,#N/A,TRUE,"SumYrExp";#N/A,#N/A,TRUE,"DNIE - QtrDC";#N/A,#N/A,TRUE,"DNIE - QtrCI";#N/A,#N/A,TRUE,"DNIE - QtrCC";#N/A,#N/A,TRUE,"DNIE - QtrCDP";#N/A,#N/A,TRUE,"DNIE - QtrCD";#N/A,#N/A,TRUE,"SumDist"}</definedName>
    <definedName name="_ext21" localSheetId="12" hidden="1">{#N/A,#N/A,TRUE,"Sum-FvsT";#N/A,#N/A,TRUE,"Sum-PvsF";#N/A,#N/A,TRUE,"SumYrExp";#N/A,#N/A,TRUE,"DNIE - QtrDC";#N/A,#N/A,TRUE,"DNIE - QtrCI";#N/A,#N/A,TRUE,"DNIE - QtrCC";#N/A,#N/A,TRUE,"DNIE - QtrCDP";#N/A,#N/A,TRUE,"DNIE - QtrCD";#N/A,#N/A,TRUE,"SumDist"}</definedName>
    <definedName name="_ext21" localSheetId="6" hidden="1">{#N/A,#N/A,TRUE,"Sum-FvsT";#N/A,#N/A,TRUE,"Sum-PvsF";#N/A,#N/A,TRUE,"SumYrExp";#N/A,#N/A,TRUE,"DNIE - QtrDC";#N/A,#N/A,TRUE,"DNIE - QtrCI";#N/A,#N/A,TRUE,"DNIE - QtrCC";#N/A,#N/A,TRUE,"DNIE - QtrCDP";#N/A,#N/A,TRUE,"DNIE - QtrCD";#N/A,#N/A,TRUE,"SumDist"}</definedName>
    <definedName name="_ext21" localSheetId="5" hidden="1">{#N/A,#N/A,TRUE,"Sum-FvsT";#N/A,#N/A,TRUE,"Sum-PvsF";#N/A,#N/A,TRUE,"SumYrExp";#N/A,#N/A,TRUE,"DNIE - QtrDC";#N/A,#N/A,TRUE,"DNIE - QtrCI";#N/A,#N/A,TRUE,"DNIE - QtrCC";#N/A,#N/A,TRUE,"DNIE - QtrCDP";#N/A,#N/A,TRUE,"DNIE - QtrCD";#N/A,#N/A,TRUE,"SumDist"}</definedName>
    <definedName name="_ext21" localSheetId="11" hidden="1">{#N/A,#N/A,TRUE,"Sum-FvsT";#N/A,#N/A,TRUE,"Sum-PvsF";#N/A,#N/A,TRUE,"SumYrExp";#N/A,#N/A,TRUE,"DNIE - QtrDC";#N/A,#N/A,TRUE,"DNIE - QtrCI";#N/A,#N/A,TRUE,"DNIE - QtrCC";#N/A,#N/A,TRUE,"DNIE - QtrCDP";#N/A,#N/A,TRUE,"DNIE - QtrCD";#N/A,#N/A,TRUE,"SumDist"}</definedName>
    <definedName name="_ext21" hidden="1">{#N/A,#N/A,TRUE,"Sum-FvsT";#N/A,#N/A,TRUE,"Sum-PvsF";#N/A,#N/A,TRUE,"SumYrExp";#N/A,#N/A,TRUE,"DNIE - QtrDC";#N/A,#N/A,TRUE,"DNIE - QtrCI";#N/A,#N/A,TRUE,"DNIE - QtrCC";#N/A,#N/A,TRUE,"DNIE - QtrCDP";#N/A,#N/A,TRUE,"DNIE - QtrCD";#N/A,#N/A,TRUE,"SumDist"}</definedName>
    <definedName name="_ext21_1" localSheetId="23" hidden="1">{#N/A,#N/A,TRUE,"Sum-FvsT";#N/A,#N/A,TRUE,"Sum-PvsF";#N/A,#N/A,TRUE,"SumYrExp";#N/A,#N/A,TRUE,"DNIE - QtrDC";#N/A,#N/A,TRUE,"DNIE - QtrCI";#N/A,#N/A,TRUE,"DNIE - QtrCC";#N/A,#N/A,TRUE,"DNIE - QtrCDP";#N/A,#N/A,TRUE,"DNIE - QtrCD";#N/A,#N/A,TRUE,"SumDist"}</definedName>
    <definedName name="_ext21_1" localSheetId="12" hidden="1">{#N/A,#N/A,TRUE,"Sum-FvsT";#N/A,#N/A,TRUE,"Sum-PvsF";#N/A,#N/A,TRUE,"SumYrExp";#N/A,#N/A,TRUE,"DNIE - QtrDC";#N/A,#N/A,TRUE,"DNIE - QtrCI";#N/A,#N/A,TRUE,"DNIE - QtrCC";#N/A,#N/A,TRUE,"DNIE - QtrCDP";#N/A,#N/A,TRUE,"DNIE - QtrCD";#N/A,#N/A,TRUE,"SumDist"}</definedName>
    <definedName name="_ext21_1" localSheetId="6" hidden="1">{#N/A,#N/A,TRUE,"Sum-FvsT";#N/A,#N/A,TRUE,"Sum-PvsF";#N/A,#N/A,TRUE,"SumYrExp";#N/A,#N/A,TRUE,"DNIE - QtrDC";#N/A,#N/A,TRUE,"DNIE - QtrCI";#N/A,#N/A,TRUE,"DNIE - QtrCC";#N/A,#N/A,TRUE,"DNIE - QtrCDP";#N/A,#N/A,TRUE,"DNIE - QtrCD";#N/A,#N/A,TRUE,"SumDist"}</definedName>
    <definedName name="_ext21_1" localSheetId="11" hidden="1">{#N/A,#N/A,TRUE,"Sum-FvsT";#N/A,#N/A,TRUE,"Sum-PvsF";#N/A,#N/A,TRUE,"SumYrExp";#N/A,#N/A,TRUE,"DNIE - QtrDC";#N/A,#N/A,TRUE,"DNIE - QtrCI";#N/A,#N/A,TRUE,"DNIE - QtrCC";#N/A,#N/A,TRUE,"DNIE - QtrCDP";#N/A,#N/A,TRUE,"DNIE - QtrCD";#N/A,#N/A,TRUE,"SumDist"}</definedName>
    <definedName name="_ext21_1" hidden="1">{#N/A,#N/A,TRUE,"Sum-FvsT";#N/A,#N/A,TRUE,"Sum-PvsF";#N/A,#N/A,TRUE,"SumYrExp";#N/A,#N/A,TRUE,"DNIE - QtrDC";#N/A,#N/A,TRUE,"DNIE - QtrCI";#N/A,#N/A,TRUE,"DNIE - QtrCC";#N/A,#N/A,TRUE,"DNIE - QtrCDP";#N/A,#N/A,TRUE,"DNIE - QtrCD";#N/A,#N/A,TRUE,"SumDist"}</definedName>
    <definedName name="_ext333" localSheetId="23" hidden="1">{#N/A,#N/A,TRUE,"Sum-FvsT";#N/A,#N/A,TRUE,"Sum-PvsF";#N/A,#N/A,TRUE,"SumYrExp";#N/A,#N/A,TRUE,"DNIE - QtrDC";#N/A,#N/A,TRUE,"DNIE - QtrCI";#N/A,#N/A,TRUE,"DNIE - QtrCC";#N/A,#N/A,TRUE,"DNIE - QtrCDP";#N/A,#N/A,TRUE,"DNIE - QtrCD";#N/A,#N/A,TRUE,"SumDist"}</definedName>
    <definedName name="_ext333" localSheetId="1" hidden="1">{#N/A,#N/A,TRUE,"Sum-FvsT";#N/A,#N/A,TRUE,"Sum-PvsF";#N/A,#N/A,TRUE,"SumYrExp";#N/A,#N/A,TRUE,"DNIE - QtrDC";#N/A,#N/A,TRUE,"DNIE - QtrCI";#N/A,#N/A,TRUE,"DNIE - QtrCC";#N/A,#N/A,TRUE,"DNIE - QtrCDP";#N/A,#N/A,TRUE,"DNIE - QtrCD";#N/A,#N/A,TRUE,"SumDist"}</definedName>
    <definedName name="_ext333" localSheetId="14" hidden="1">{#N/A,#N/A,TRUE,"Sum-FvsT";#N/A,#N/A,TRUE,"Sum-PvsF";#N/A,#N/A,TRUE,"SumYrExp";#N/A,#N/A,TRUE,"DNIE - QtrDC";#N/A,#N/A,TRUE,"DNIE - QtrCI";#N/A,#N/A,TRUE,"DNIE - QtrCC";#N/A,#N/A,TRUE,"DNIE - QtrCDP";#N/A,#N/A,TRUE,"DNIE - QtrCD";#N/A,#N/A,TRUE,"SumDist"}</definedName>
    <definedName name="_ext333" localSheetId="12" hidden="1">{#N/A,#N/A,TRUE,"Sum-FvsT";#N/A,#N/A,TRUE,"Sum-PvsF";#N/A,#N/A,TRUE,"SumYrExp";#N/A,#N/A,TRUE,"DNIE - QtrDC";#N/A,#N/A,TRUE,"DNIE - QtrCI";#N/A,#N/A,TRUE,"DNIE - QtrCC";#N/A,#N/A,TRUE,"DNIE - QtrCDP";#N/A,#N/A,TRUE,"DNIE - QtrCD";#N/A,#N/A,TRUE,"SumDist"}</definedName>
    <definedName name="_ext333" localSheetId="6" hidden="1">{#N/A,#N/A,TRUE,"Sum-FvsT";#N/A,#N/A,TRUE,"Sum-PvsF";#N/A,#N/A,TRUE,"SumYrExp";#N/A,#N/A,TRUE,"DNIE - QtrDC";#N/A,#N/A,TRUE,"DNIE - QtrCI";#N/A,#N/A,TRUE,"DNIE - QtrCC";#N/A,#N/A,TRUE,"DNIE - QtrCDP";#N/A,#N/A,TRUE,"DNIE - QtrCD";#N/A,#N/A,TRUE,"SumDist"}</definedName>
    <definedName name="_ext333" localSheetId="5" hidden="1">{#N/A,#N/A,TRUE,"Sum-FvsT";#N/A,#N/A,TRUE,"Sum-PvsF";#N/A,#N/A,TRUE,"SumYrExp";#N/A,#N/A,TRUE,"DNIE - QtrDC";#N/A,#N/A,TRUE,"DNIE - QtrCI";#N/A,#N/A,TRUE,"DNIE - QtrCC";#N/A,#N/A,TRUE,"DNIE - QtrCDP";#N/A,#N/A,TRUE,"DNIE - QtrCD";#N/A,#N/A,TRUE,"SumDist"}</definedName>
    <definedName name="_ext333" localSheetId="11" hidden="1">{#N/A,#N/A,TRUE,"Sum-FvsT";#N/A,#N/A,TRUE,"Sum-PvsF";#N/A,#N/A,TRUE,"SumYrExp";#N/A,#N/A,TRUE,"DNIE - QtrDC";#N/A,#N/A,TRUE,"DNIE - QtrCI";#N/A,#N/A,TRUE,"DNIE - QtrCC";#N/A,#N/A,TRUE,"DNIE - QtrCDP";#N/A,#N/A,TRUE,"DNIE - QtrCD";#N/A,#N/A,TRUE,"SumDist"}</definedName>
    <definedName name="_ext333" hidden="1">{#N/A,#N/A,TRUE,"Sum-FvsT";#N/A,#N/A,TRUE,"Sum-PvsF";#N/A,#N/A,TRUE,"SumYrExp";#N/A,#N/A,TRUE,"DNIE - QtrDC";#N/A,#N/A,TRUE,"DNIE - QtrCI";#N/A,#N/A,TRUE,"DNIE - QtrCC";#N/A,#N/A,TRUE,"DNIE - QtrCDP";#N/A,#N/A,TRUE,"DNIE - QtrCD";#N/A,#N/A,TRUE,"SumDist"}</definedName>
    <definedName name="_ext333_1" localSheetId="23" hidden="1">{#N/A,#N/A,TRUE,"Sum-FvsT";#N/A,#N/A,TRUE,"Sum-PvsF";#N/A,#N/A,TRUE,"SumYrExp";#N/A,#N/A,TRUE,"DNIE - QtrDC";#N/A,#N/A,TRUE,"DNIE - QtrCI";#N/A,#N/A,TRUE,"DNIE - QtrCC";#N/A,#N/A,TRUE,"DNIE - QtrCDP";#N/A,#N/A,TRUE,"DNIE - QtrCD";#N/A,#N/A,TRUE,"SumDist"}</definedName>
    <definedName name="_ext333_1" localSheetId="12" hidden="1">{#N/A,#N/A,TRUE,"Sum-FvsT";#N/A,#N/A,TRUE,"Sum-PvsF";#N/A,#N/A,TRUE,"SumYrExp";#N/A,#N/A,TRUE,"DNIE - QtrDC";#N/A,#N/A,TRUE,"DNIE - QtrCI";#N/A,#N/A,TRUE,"DNIE - QtrCC";#N/A,#N/A,TRUE,"DNIE - QtrCDP";#N/A,#N/A,TRUE,"DNIE - QtrCD";#N/A,#N/A,TRUE,"SumDist"}</definedName>
    <definedName name="_ext333_1" localSheetId="6" hidden="1">{#N/A,#N/A,TRUE,"Sum-FvsT";#N/A,#N/A,TRUE,"Sum-PvsF";#N/A,#N/A,TRUE,"SumYrExp";#N/A,#N/A,TRUE,"DNIE - QtrDC";#N/A,#N/A,TRUE,"DNIE - QtrCI";#N/A,#N/A,TRUE,"DNIE - QtrCC";#N/A,#N/A,TRUE,"DNIE - QtrCDP";#N/A,#N/A,TRUE,"DNIE - QtrCD";#N/A,#N/A,TRUE,"SumDist"}</definedName>
    <definedName name="_ext333_1" localSheetId="11" hidden="1">{#N/A,#N/A,TRUE,"Sum-FvsT";#N/A,#N/A,TRUE,"Sum-PvsF";#N/A,#N/A,TRUE,"SumYrExp";#N/A,#N/A,TRUE,"DNIE - QtrDC";#N/A,#N/A,TRUE,"DNIE - QtrCI";#N/A,#N/A,TRUE,"DNIE - QtrCC";#N/A,#N/A,TRUE,"DNIE - QtrCDP";#N/A,#N/A,TRUE,"DNIE - QtrCD";#N/A,#N/A,TRUE,"SumDist"}</definedName>
    <definedName name="_ext333_1" hidden="1">{#N/A,#N/A,TRUE,"Sum-FvsT";#N/A,#N/A,TRUE,"Sum-PvsF";#N/A,#N/A,TRUE,"SumYrExp";#N/A,#N/A,TRUE,"DNIE - QtrDC";#N/A,#N/A,TRUE,"DNIE - QtrCI";#N/A,#N/A,TRUE,"DNIE - QtrCC";#N/A,#N/A,TRUE,"DNIE - QtrCDP";#N/A,#N/A,TRUE,"DNIE - QtrCD";#N/A,#N/A,TRUE,"SumDist"}</definedName>
    <definedName name="_Fill" localSheetId="0" hidden="1">#REF!</definedName>
    <definedName name="_Fill" localSheetId="1" hidden="1">#REF!</definedName>
    <definedName name="_Fill" localSheetId="4" hidden="1">#REF!</definedName>
    <definedName name="_Fill" localSheetId="14" hidden="1">#REF!</definedName>
    <definedName name="_Fill" localSheetId="25" hidden="1">#REF!</definedName>
    <definedName name="_Fill" localSheetId="12" hidden="1">#REF!</definedName>
    <definedName name="_Fill" localSheetId="13" hidden="1">#REF!</definedName>
    <definedName name="_Fill" localSheetId="6" hidden="1">#REF!</definedName>
    <definedName name="_Fill" localSheetId="5" hidden="1">#REF!</definedName>
    <definedName name="_Fill" localSheetId="7" hidden="1">#REF!</definedName>
    <definedName name="_Fill" hidden="1">#REF!</definedName>
    <definedName name="_xlnm._FilterDatabase" localSheetId="0" hidden="1">BOM!$AH$10:$AJ$64</definedName>
    <definedName name="_xlnm._FilterDatabase" localSheetId="27" hidden="1">'Cloud Price List'!$A$2:$N$1284</definedName>
    <definedName name="_xlnm._FilterDatabase" localSheetId="23" hidden="1">'CPL 200630'!$A$2:$N$1018</definedName>
    <definedName name="_xlnm._FilterDatabase" localSheetId="1" hidden="1">'Cust Facing BOM'!$AA$6:$AB$51</definedName>
    <definedName name="_xlnm._FilterDatabase" localSheetId="4" hidden="1">'Discount Compare'!$AK$7:$AK$53</definedName>
    <definedName name="_xlnm._FilterDatabase" localSheetId="14" hidden="1">'Exadata BOM'!$W$6:$Z$111</definedName>
    <definedName name="_xlnm._FilterDatabase" localSheetId="13" hidden="1">'License BOM'!$AD$7:$AG$33</definedName>
    <definedName name="_xlnm._FilterDatabase" localSheetId="18">Shapes!$C$2:$L$41</definedName>
    <definedName name="_xlnm._FilterDatabase" localSheetId="8" hidden="1">'Usage Cost'!$BD$2:$BL$43</definedName>
    <definedName name="_Key1" localSheetId="0" hidden="1">[1]Summary!#REF!</definedName>
    <definedName name="_Key1" localSheetId="1" hidden="1">[1]Summary!#REF!</definedName>
    <definedName name="_Key1" localSheetId="4" hidden="1">[1]Summary!#REF!</definedName>
    <definedName name="_Key1" localSheetId="14" hidden="1">[1]Summary!#REF!</definedName>
    <definedName name="_Key1" localSheetId="25" hidden="1">[1]Summary!#REF!</definedName>
    <definedName name="_Key1" localSheetId="12" hidden="1">[1]Summary!#REF!</definedName>
    <definedName name="_Key1" localSheetId="13" hidden="1">[1]Summary!#REF!</definedName>
    <definedName name="_Key1" localSheetId="6" hidden="1">[1]Summary!#REF!</definedName>
    <definedName name="_Key1" localSheetId="5" hidden="1">[1]Summary!#REF!</definedName>
    <definedName name="_Key1" localSheetId="7" hidden="1">[1]Summary!#REF!</definedName>
    <definedName name="_Key1" hidden="1">[1]Summary!#REF!</definedName>
    <definedName name="_Order1" hidden="1">255</definedName>
    <definedName name="_Sort" localSheetId="0" hidden="1">[1]Summary!#REF!</definedName>
    <definedName name="_Sort" localSheetId="1" hidden="1">[1]Summary!#REF!</definedName>
    <definedName name="_Sort" localSheetId="4" hidden="1">[1]Summary!#REF!</definedName>
    <definedName name="_Sort" localSheetId="14" hidden="1">[1]Summary!#REF!</definedName>
    <definedName name="_Sort" localSheetId="25" hidden="1">[1]Summary!#REF!</definedName>
    <definedName name="_Sort" localSheetId="12" hidden="1">[1]Summary!#REF!</definedName>
    <definedName name="_Sort" localSheetId="13" hidden="1">[1]Summary!#REF!</definedName>
    <definedName name="_Sort" localSheetId="6" hidden="1">[1]Summary!#REF!</definedName>
    <definedName name="_Sort" localSheetId="5" hidden="1">[1]Summary!#REF!</definedName>
    <definedName name="_Sort" localSheetId="7" hidden="1">[1]Summary!#REF!</definedName>
    <definedName name="_Sort" hidden="1">[1]Summary!#REF!</definedName>
    <definedName name="Benefit_SW_List_Price" localSheetId="25">#REF!</definedName>
    <definedName name="CurrTable">OFFSET('[2]Oracle PaaS and IaaS Price List'!$L$6042,0,0,COUNTA('[2]Oracle PaaS and IaaS Price List'!$L$6042:$L$6161),4)</definedName>
    <definedName name="d" localSheetId="23" hidden="1">{#N/A,#N/A,FALSE,"COBO";#N/A,#N/A,FALSE,"Atlantic";#N/A,#N/A,FALSE,"NCalif";#N/A,#N/A,FALSE,"SCalif";#N/A,#N/A,FALSE,"Eastern";#N/A,#N/A,FALSE,"Florida";#N/A,#N/A,FALSE,"GreatWest";#N/A,#N/A,FALSE,"Heartland";#N/A,#N/A,FALSE,"Michigan";#N/A,#N/A,FALSE,"Northwest";#N/A,#N/A,FALSE,"Southeast";#N/A,#N/A,FALSE,"Texoma"}</definedName>
    <definedName name="d" localSheetId="12" hidden="1">{#N/A,#N/A,FALSE,"COBO";#N/A,#N/A,FALSE,"Atlantic";#N/A,#N/A,FALSE,"NCalif";#N/A,#N/A,FALSE,"SCalif";#N/A,#N/A,FALSE,"Eastern";#N/A,#N/A,FALSE,"Florida";#N/A,#N/A,FALSE,"GreatWest";#N/A,#N/A,FALSE,"Heartland";#N/A,#N/A,FALSE,"Michigan";#N/A,#N/A,FALSE,"Northwest";#N/A,#N/A,FALSE,"Southeast";#N/A,#N/A,FALSE,"Texoma"}</definedName>
    <definedName name="d" localSheetId="6" hidden="1">{#N/A,#N/A,FALSE,"COBO";#N/A,#N/A,FALSE,"Atlantic";#N/A,#N/A,FALSE,"NCalif";#N/A,#N/A,FALSE,"SCalif";#N/A,#N/A,FALSE,"Eastern";#N/A,#N/A,FALSE,"Florida";#N/A,#N/A,FALSE,"GreatWest";#N/A,#N/A,FALSE,"Heartland";#N/A,#N/A,FALSE,"Michigan";#N/A,#N/A,FALSE,"Northwest";#N/A,#N/A,FALSE,"Southeast";#N/A,#N/A,FALSE,"Texoma"}</definedName>
    <definedName name="d" localSheetId="11" hidden="1">{#N/A,#N/A,FALSE,"COBO";#N/A,#N/A,FALSE,"Atlantic";#N/A,#N/A,FALSE,"NCalif";#N/A,#N/A,FALSE,"SCalif";#N/A,#N/A,FALSE,"Eastern";#N/A,#N/A,FALSE,"Florida";#N/A,#N/A,FALSE,"GreatWest";#N/A,#N/A,FALSE,"Heartland";#N/A,#N/A,FALSE,"Michigan";#N/A,#N/A,FALSE,"Northwest";#N/A,#N/A,FALSE,"Southeast";#N/A,#N/A,FALSE,"Texoma"}</definedName>
    <definedName name="d" hidden="1">{#N/A,#N/A,FALSE,"COBO";#N/A,#N/A,FALSE,"Atlantic";#N/A,#N/A,FALSE,"NCalif";#N/A,#N/A,FALSE,"SCalif";#N/A,#N/A,FALSE,"Eastern";#N/A,#N/A,FALSE,"Florida";#N/A,#N/A,FALSE,"GreatWest";#N/A,#N/A,FALSE,"Heartland";#N/A,#N/A,FALSE,"Michigan";#N/A,#N/A,FALSE,"Northwest";#N/A,#N/A,FALSE,"Southeast";#N/A,#N/A,FALSE,"Texoma"}</definedName>
    <definedName name="ddd" localSheetId="23" hidden="1">{#N/A,#N/A,TRUE,"Sum-FvsT";#N/A,#N/A,TRUE,"Sum-PvsF";#N/A,#N/A,TRUE,"SumYrExp";#N/A,#N/A,TRUE,"DNIE - QtrDC";#N/A,#N/A,TRUE,"DNIE - QtrCI";#N/A,#N/A,TRUE,"DNIE - QtrCC";#N/A,#N/A,TRUE,"DNIE - QtrCDP";#N/A,#N/A,TRUE,"DNIE - QtrCD";#N/A,#N/A,TRUE,"SumDist"}</definedName>
    <definedName name="ddd" localSheetId="1" hidden="1">{#N/A,#N/A,TRUE,"Sum-FvsT";#N/A,#N/A,TRUE,"Sum-PvsF";#N/A,#N/A,TRUE,"SumYrExp";#N/A,#N/A,TRUE,"DNIE - QtrDC";#N/A,#N/A,TRUE,"DNIE - QtrCI";#N/A,#N/A,TRUE,"DNIE - QtrCC";#N/A,#N/A,TRUE,"DNIE - QtrCDP";#N/A,#N/A,TRUE,"DNIE - QtrCD";#N/A,#N/A,TRUE,"SumDist"}</definedName>
    <definedName name="ddd" localSheetId="14" hidden="1">{#N/A,#N/A,TRUE,"Sum-FvsT";#N/A,#N/A,TRUE,"Sum-PvsF";#N/A,#N/A,TRUE,"SumYrExp";#N/A,#N/A,TRUE,"DNIE - QtrDC";#N/A,#N/A,TRUE,"DNIE - QtrCI";#N/A,#N/A,TRUE,"DNIE - QtrCC";#N/A,#N/A,TRUE,"DNIE - QtrCDP";#N/A,#N/A,TRUE,"DNIE - QtrCD";#N/A,#N/A,TRUE,"SumDist"}</definedName>
    <definedName name="ddd" localSheetId="12" hidden="1">{#N/A,#N/A,TRUE,"Sum-FvsT";#N/A,#N/A,TRUE,"Sum-PvsF";#N/A,#N/A,TRUE,"SumYrExp";#N/A,#N/A,TRUE,"DNIE - QtrDC";#N/A,#N/A,TRUE,"DNIE - QtrCI";#N/A,#N/A,TRUE,"DNIE - QtrCC";#N/A,#N/A,TRUE,"DNIE - QtrCDP";#N/A,#N/A,TRUE,"DNIE - QtrCD";#N/A,#N/A,TRUE,"SumDist"}</definedName>
    <definedName name="ddd" localSheetId="6" hidden="1">{#N/A,#N/A,TRUE,"Sum-FvsT";#N/A,#N/A,TRUE,"Sum-PvsF";#N/A,#N/A,TRUE,"SumYrExp";#N/A,#N/A,TRUE,"DNIE - QtrDC";#N/A,#N/A,TRUE,"DNIE - QtrCI";#N/A,#N/A,TRUE,"DNIE - QtrCC";#N/A,#N/A,TRUE,"DNIE - QtrCDP";#N/A,#N/A,TRUE,"DNIE - QtrCD";#N/A,#N/A,TRUE,"SumDist"}</definedName>
    <definedName name="ddd" localSheetId="5" hidden="1">{#N/A,#N/A,TRUE,"Sum-FvsT";#N/A,#N/A,TRUE,"Sum-PvsF";#N/A,#N/A,TRUE,"SumYrExp";#N/A,#N/A,TRUE,"DNIE - QtrDC";#N/A,#N/A,TRUE,"DNIE - QtrCI";#N/A,#N/A,TRUE,"DNIE - QtrCC";#N/A,#N/A,TRUE,"DNIE - QtrCDP";#N/A,#N/A,TRUE,"DNIE - QtrCD";#N/A,#N/A,TRUE,"SumDist"}</definedName>
    <definedName name="ddd" localSheetId="11" hidden="1">{#N/A,#N/A,TRUE,"Sum-FvsT";#N/A,#N/A,TRUE,"Sum-PvsF";#N/A,#N/A,TRUE,"SumYrExp";#N/A,#N/A,TRUE,"DNIE - QtrDC";#N/A,#N/A,TRUE,"DNIE - QtrCI";#N/A,#N/A,TRUE,"DNIE - QtrCC";#N/A,#N/A,TRUE,"DNIE - QtrCDP";#N/A,#N/A,TRUE,"DNIE - QtrCD";#N/A,#N/A,TRUE,"SumDist"}</definedName>
    <definedName name="ddd" hidden="1">{#N/A,#N/A,TRUE,"Sum-FvsT";#N/A,#N/A,TRUE,"Sum-PvsF";#N/A,#N/A,TRUE,"SumYrExp";#N/A,#N/A,TRUE,"DNIE - QtrDC";#N/A,#N/A,TRUE,"DNIE - QtrCI";#N/A,#N/A,TRUE,"DNIE - QtrCC";#N/A,#N/A,TRUE,"DNIE - QtrCDP";#N/A,#N/A,TRUE,"DNIE - QtrCD";#N/A,#N/A,TRUE,"SumDist"}</definedName>
    <definedName name="ddd_1" localSheetId="23" hidden="1">{#N/A,#N/A,TRUE,"Sum-FvsT";#N/A,#N/A,TRUE,"Sum-PvsF";#N/A,#N/A,TRUE,"SumYrExp";#N/A,#N/A,TRUE,"DNIE - QtrDC";#N/A,#N/A,TRUE,"DNIE - QtrCI";#N/A,#N/A,TRUE,"DNIE - QtrCC";#N/A,#N/A,TRUE,"DNIE - QtrCDP";#N/A,#N/A,TRUE,"DNIE - QtrCD";#N/A,#N/A,TRUE,"SumDist"}</definedName>
    <definedName name="ddd_1" localSheetId="12" hidden="1">{#N/A,#N/A,TRUE,"Sum-FvsT";#N/A,#N/A,TRUE,"Sum-PvsF";#N/A,#N/A,TRUE,"SumYrExp";#N/A,#N/A,TRUE,"DNIE - QtrDC";#N/A,#N/A,TRUE,"DNIE - QtrCI";#N/A,#N/A,TRUE,"DNIE - QtrCC";#N/A,#N/A,TRUE,"DNIE - QtrCDP";#N/A,#N/A,TRUE,"DNIE - QtrCD";#N/A,#N/A,TRUE,"SumDist"}</definedName>
    <definedName name="ddd_1" localSheetId="6" hidden="1">{#N/A,#N/A,TRUE,"Sum-FvsT";#N/A,#N/A,TRUE,"Sum-PvsF";#N/A,#N/A,TRUE,"SumYrExp";#N/A,#N/A,TRUE,"DNIE - QtrDC";#N/A,#N/A,TRUE,"DNIE - QtrCI";#N/A,#N/A,TRUE,"DNIE - QtrCC";#N/A,#N/A,TRUE,"DNIE - QtrCDP";#N/A,#N/A,TRUE,"DNIE - QtrCD";#N/A,#N/A,TRUE,"SumDist"}</definedName>
    <definedName name="ddd_1" localSheetId="11" hidden="1">{#N/A,#N/A,TRUE,"Sum-FvsT";#N/A,#N/A,TRUE,"Sum-PvsF";#N/A,#N/A,TRUE,"SumYrExp";#N/A,#N/A,TRUE,"DNIE - QtrDC";#N/A,#N/A,TRUE,"DNIE - QtrCI";#N/A,#N/A,TRUE,"DNIE - QtrCC";#N/A,#N/A,TRUE,"DNIE - QtrCDP";#N/A,#N/A,TRUE,"DNIE - QtrCD";#N/A,#N/A,TRUE,"SumDist"}</definedName>
    <definedName name="ddd_1" hidden="1">{#N/A,#N/A,TRUE,"Sum-FvsT";#N/A,#N/A,TRUE,"Sum-PvsF";#N/A,#N/A,TRUE,"SumYrExp";#N/A,#N/A,TRUE,"DNIE - QtrDC";#N/A,#N/A,TRUE,"DNIE - QtrCI";#N/A,#N/A,TRUE,"DNIE - QtrCC";#N/A,#N/A,TRUE,"DNIE - QtrCDP";#N/A,#N/A,TRUE,"DNIE - QtrCD";#N/A,#N/A,TRUE,"SumDist"}</definedName>
    <definedName name="ee" localSheetId="23" hidden="1">{#N/A,#N/A,TRUE,"Sum-FvsT";#N/A,#N/A,TRUE,"Sum-PvsF";#N/A,#N/A,TRUE,"SumYrExp";#N/A,#N/A,TRUE,"DNIE - QtrDC";#N/A,#N/A,TRUE,"DNIE - QtrCI";#N/A,#N/A,TRUE,"DNIE - QtrCC";#N/A,#N/A,TRUE,"DNIE - QtrCDP";#N/A,#N/A,TRUE,"DNIE - QtrCD";#N/A,#N/A,TRUE,"SumDist"}</definedName>
    <definedName name="ee" localSheetId="1" hidden="1">{#N/A,#N/A,TRUE,"Sum-FvsT";#N/A,#N/A,TRUE,"Sum-PvsF";#N/A,#N/A,TRUE,"SumYrExp";#N/A,#N/A,TRUE,"DNIE - QtrDC";#N/A,#N/A,TRUE,"DNIE - QtrCI";#N/A,#N/A,TRUE,"DNIE - QtrCC";#N/A,#N/A,TRUE,"DNIE - QtrCDP";#N/A,#N/A,TRUE,"DNIE - QtrCD";#N/A,#N/A,TRUE,"SumDist"}</definedName>
    <definedName name="ee" localSheetId="14" hidden="1">{#N/A,#N/A,TRUE,"Sum-FvsT";#N/A,#N/A,TRUE,"Sum-PvsF";#N/A,#N/A,TRUE,"SumYrExp";#N/A,#N/A,TRUE,"DNIE - QtrDC";#N/A,#N/A,TRUE,"DNIE - QtrCI";#N/A,#N/A,TRUE,"DNIE - QtrCC";#N/A,#N/A,TRUE,"DNIE - QtrCDP";#N/A,#N/A,TRUE,"DNIE - QtrCD";#N/A,#N/A,TRUE,"SumDist"}</definedName>
    <definedName name="ee" localSheetId="12" hidden="1">{#N/A,#N/A,TRUE,"Sum-FvsT";#N/A,#N/A,TRUE,"Sum-PvsF";#N/A,#N/A,TRUE,"SumYrExp";#N/A,#N/A,TRUE,"DNIE - QtrDC";#N/A,#N/A,TRUE,"DNIE - QtrCI";#N/A,#N/A,TRUE,"DNIE - QtrCC";#N/A,#N/A,TRUE,"DNIE - QtrCDP";#N/A,#N/A,TRUE,"DNIE - QtrCD";#N/A,#N/A,TRUE,"SumDist"}</definedName>
    <definedName name="ee" localSheetId="6" hidden="1">{#N/A,#N/A,TRUE,"Sum-FvsT";#N/A,#N/A,TRUE,"Sum-PvsF";#N/A,#N/A,TRUE,"SumYrExp";#N/A,#N/A,TRUE,"DNIE - QtrDC";#N/A,#N/A,TRUE,"DNIE - QtrCI";#N/A,#N/A,TRUE,"DNIE - QtrCC";#N/A,#N/A,TRUE,"DNIE - QtrCDP";#N/A,#N/A,TRUE,"DNIE - QtrCD";#N/A,#N/A,TRUE,"SumDist"}</definedName>
    <definedName name="ee" localSheetId="5" hidden="1">{#N/A,#N/A,TRUE,"Sum-FvsT";#N/A,#N/A,TRUE,"Sum-PvsF";#N/A,#N/A,TRUE,"SumYrExp";#N/A,#N/A,TRUE,"DNIE - QtrDC";#N/A,#N/A,TRUE,"DNIE - QtrCI";#N/A,#N/A,TRUE,"DNIE - QtrCC";#N/A,#N/A,TRUE,"DNIE - QtrCDP";#N/A,#N/A,TRUE,"DNIE - QtrCD";#N/A,#N/A,TRUE,"SumDist"}</definedName>
    <definedName name="ee" localSheetId="11" hidden="1">{#N/A,#N/A,TRUE,"Sum-FvsT";#N/A,#N/A,TRUE,"Sum-PvsF";#N/A,#N/A,TRUE,"SumYrExp";#N/A,#N/A,TRUE,"DNIE - QtrDC";#N/A,#N/A,TRUE,"DNIE - QtrCI";#N/A,#N/A,TRUE,"DNIE - QtrCC";#N/A,#N/A,TRUE,"DNIE - QtrCDP";#N/A,#N/A,TRUE,"DNIE - QtrCD";#N/A,#N/A,TRUE,"SumDist"}</definedName>
    <definedName name="ee" hidden="1">{#N/A,#N/A,TRUE,"Sum-FvsT";#N/A,#N/A,TRUE,"Sum-PvsF";#N/A,#N/A,TRUE,"SumYrExp";#N/A,#N/A,TRUE,"DNIE - QtrDC";#N/A,#N/A,TRUE,"DNIE - QtrCI";#N/A,#N/A,TRUE,"DNIE - QtrCC";#N/A,#N/A,TRUE,"DNIE - QtrCDP";#N/A,#N/A,TRUE,"DNIE - QtrCD";#N/A,#N/A,TRUE,"SumDist"}</definedName>
    <definedName name="ee_1" localSheetId="23" hidden="1">{#N/A,#N/A,TRUE,"Sum-FvsT";#N/A,#N/A,TRUE,"Sum-PvsF";#N/A,#N/A,TRUE,"SumYrExp";#N/A,#N/A,TRUE,"DNIE - QtrDC";#N/A,#N/A,TRUE,"DNIE - QtrCI";#N/A,#N/A,TRUE,"DNIE - QtrCC";#N/A,#N/A,TRUE,"DNIE - QtrCDP";#N/A,#N/A,TRUE,"DNIE - QtrCD";#N/A,#N/A,TRUE,"SumDist"}</definedName>
    <definedName name="ee_1" localSheetId="12" hidden="1">{#N/A,#N/A,TRUE,"Sum-FvsT";#N/A,#N/A,TRUE,"Sum-PvsF";#N/A,#N/A,TRUE,"SumYrExp";#N/A,#N/A,TRUE,"DNIE - QtrDC";#N/A,#N/A,TRUE,"DNIE - QtrCI";#N/A,#N/A,TRUE,"DNIE - QtrCC";#N/A,#N/A,TRUE,"DNIE - QtrCDP";#N/A,#N/A,TRUE,"DNIE - QtrCD";#N/A,#N/A,TRUE,"SumDist"}</definedName>
    <definedName name="ee_1" localSheetId="6" hidden="1">{#N/A,#N/A,TRUE,"Sum-FvsT";#N/A,#N/A,TRUE,"Sum-PvsF";#N/A,#N/A,TRUE,"SumYrExp";#N/A,#N/A,TRUE,"DNIE - QtrDC";#N/A,#N/A,TRUE,"DNIE - QtrCI";#N/A,#N/A,TRUE,"DNIE - QtrCC";#N/A,#N/A,TRUE,"DNIE - QtrCDP";#N/A,#N/A,TRUE,"DNIE - QtrCD";#N/A,#N/A,TRUE,"SumDist"}</definedName>
    <definedName name="ee_1" localSheetId="11" hidden="1">{#N/A,#N/A,TRUE,"Sum-FvsT";#N/A,#N/A,TRUE,"Sum-PvsF";#N/A,#N/A,TRUE,"SumYrExp";#N/A,#N/A,TRUE,"DNIE - QtrDC";#N/A,#N/A,TRUE,"DNIE - QtrCI";#N/A,#N/A,TRUE,"DNIE - QtrCC";#N/A,#N/A,TRUE,"DNIE - QtrCDP";#N/A,#N/A,TRUE,"DNIE - QtrCD";#N/A,#N/A,TRUE,"SumDist"}</definedName>
    <definedName name="ee_1" hidden="1">{#N/A,#N/A,TRUE,"Sum-FvsT";#N/A,#N/A,TRUE,"Sum-PvsF";#N/A,#N/A,TRUE,"SumYrExp";#N/A,#N/A,TRUE,"DNIE - QtrDC";#N/A,#N/A,TRUE,"DNIE - QtrCI";#N/A,#N/A,TRUE,"DNIE - QtrCC";#N/A,#N/A,TRUE,"DNIE - QtrCDP";#N/A,#N/A,TRUE,"DNIE - QtrCD";#N/A,#N/A,TRUE,"SumDist"}</definedName>
    <definedName name="ExaCM" localSheetId="0" hidden="1">#REF!</definedName>
    <definedName name="ExaCM" localSheetId="1" hidden="1">#REF!</definedName>
    <definedName name="ExaCM" localSheetId="4" hidden="1">#REF!</definedName>
    <definedName name="ExaCM" localSheetId="14" hidden="1">#REF!</definedName>
    <definedName name="ExaCM" localSheetId="25" hidden="1">#REF!</definedName>
    <definedName name="ExaCM" localSheetId="12" hidden="1">#REF!</definedName>
    <definedName name="ExaCM" localSheetId="13" hidden="1">#REF!</definedName>
    <definedName name="ExaCM" localSheetId="6" hidden="1">#REF!</definedName>
    <definedName name="ExaCM" localSheetId="5" hidden="1">#REF!</definedName>
    <definedName name="ExaCM" localSheetId="7" hidden="1">#REF!</definedName>
    <definedName name="ExaCM" hidden="1">#REF!</definedName>
    <definedName name="extransfers" localSheetId="23" hidden="1">{#N/A,#N/A,TRUE,"Sum-FvsT";#N/A,#N/A,TRUE,"Sum-PvsF";#N/A,#N/A,TRUE,"SumYrExp";#N/A,#N/A,TRUE,"DNIE - QtrDC";#N/A,#N/A,TRUE,"DNIE - QtrCI";#N/A,#N/A,TRUE,"DNIE - QtrCC";#N/A,#N/A,TRUE,"DNIE - QtrCDP";#N/A,#N/A,TRUE,"DNIE - QtrCD";#N/A,#N/A,TRUE,"SumDist"}</definedName>
    <definedName name="extransfers" localSheetId="1" hidden="1">{#N/A,#N/A,TRUE,"Sum-FvsT";#N/A,#N/A,TRUE,"Sum-PvsF";#N/A,#N/A,TRUE,"SumYrExp";#N/A,#N/A,TRUE,"DNIE - QtrDC";#N/A,#N/A,TRUE,"DNIE - QtrCI";#N/A,#N/A,TRUE,"DNIE - QtrCC";#N/A,#N/A,TRUE,"DNIE - QtrCDP";#N/A,#N/A,TRUE,"DNIE - QtrCD";#N/A,#N/A,TRUE,"SumDist"}</definedName>
    <definedName name="extransfers" localSheetId="14" hidden="1">{#N/A,#N/A,TRUE,"Sum-FvsT";#N/A,#N/A,TRUE,"Sum-PvsF";#N/A,#N/A,TRUE,"SumYrExp";#N/A,#N/A,TRUE,"DNIE - QtrDC";#N/A,#N/A,TRUE,"DNIE - QtrCI";#N/A,#N/A,TRUE,"DNIE - QtrCC";#N/A,#N/A,TRUE,"DNIE - QtrCDP";#N/A,#N/A,TRUE,"DNIE - QtrCD";#N/A,#N/A,TRUE,"SumDist"}</definedName>
    <definedName name="extransfers" localSheetId="12" hidden="1">{#N/A,#N/A,TRUE,"Sum-FvsT";#N/A,#N/A,TRUE,"Sum-PvsF";#N/A,#N/A,TRUE,"SumYrExp";#N/A,#N/A,TRUE,"DNIE - QtrDC";#N/A,#N/A,TRUE,"DNIE - QtrCI";#N/A,#N/A,TRUE,"DNIE - QtrCC";#N/A,#N/A,TRUE,"DNIE - QtrCDP";#N/A,#N/A,TRUE,"DNIE - QtrCD";#N/A,#N/A,TRUE,"SumDist"}</definedName>
    <definedName name="extransfers" localSheetId="6" hidden="1">{#N/A,#N/A,TRUE,"Sum-FvsT";#N/A,#N/A,TRUE,"Sum-PvsF";#N/A,#N/A,TRUE,"SumYrExp";#N/A,#N/A,TRUE,"DNIE - QtrDC";#N/A,#N/A,TRUE,"DNIE - QtrCI";#N/A,#N/A,TRUE,"DNIE - QtrCC";#N/A,#N/A,TRUE,"DNIE - QtrCDP";#N/A,#N/A,TRUE,"DNIE - QtrCD";#N/A,#N/A,TRUE,"SumDist"}</definedName>
    <definedName name="extransfers" localSheetId="5" hidden="1">{#N/A,#N/A,TRUE,"Sum-FvsT";#N/A,#N/A,TRUE,"Sum-PvsF";#N/A,#N/A,TRUE,"SumYrExp";#N/A,#N/A,TRUE,"DNIE - QtrDC";#N/A,#N/A,TRUE,"DNIE - QtrCI";#N/A,#N/A,TRUE,"DNIE - QtrCC";#N/A,#N/A,TRUE,"DNIE - QtrCDP";#N/A,#N/A,TRUE,"DNIE - QtrCD";#N/A,#N/A,TRUE,"SumDist"}</definedName>
    <definedName name="extransfers" localSheetId="11" hidden="1">{#N/A,#N/A,TRUE,"Sum-FvsT";#N/A,#N/A,TRUE,"Sum-PvsF";#N/A,#N/A,TRUE,"SumYrExp";#N/A,#N/A,TRUE,"DNIE - QtrDC";#N/A,#N/A,TRUE,"DNIE - QtrCI";#N/A,#N/A,TRUE,"DNIE - QtrCC";#N/A,#N/A,TRUE,"DNIE - QtrCDP";#N/A,#N/A,TRUE,"DNIE - QtrCD";#N/A,#N/A,TRUE,"SumDist"}</definedName>
    <definedName name="extransfers" hidden="1">{#N/A,#N/A,TRUE,"Sum-FvsT";#N/A,#N/A,TRUE,"Sum-PvsF";#N/A,#N/A,TRUE,"SumYrExp";#N/A,#N/A,TRUE,"DNIE - QtrDC";#N/A,#N/A,TRUE,"DNIE - QtrCI";#N/A,#N/A,TRUE,"DNIE - QtrCC";#N/A,#N/A,TRUE,"DNIE - QtrCDP";#N/A,#N/A,TRUE,"DNIE - QtrCD";#N/A,#N/A,TRUE,"SumDist"}</definedName>
    <definedName name="extransfers_1" localSheetId="23" hidden="1">{#N/A,#N/A,TRUE,"Sum-FvsT";#N/A,#N/A,TRUE,"Sum-PvsF";#N/A,#N/A,TRUE,"SumYrExp";#N/A,#N/A,TRUE,"DNIE - QtrDC";#N/A,#N/A,TRUE,"DNIE - QtrCI";#N/A,#N/A,TRUE,"DNIE - QtrCC";#N/A,#N/A,TRUE,"DNIE - QtrCDP";#N/A,#N/A,TRUE,"DNIE - QtrCD";#N/A,#N/A,TRUE,"SumDist"}</definedName>
    <definedName name="extransfers_1" localSheetId="12" hidden="1">{#N/A,#N/A,TRUE,"Sum-FvsT";#N/A,#N/A,TRUE,"Sum-PvsF";#N/A,#N/A,TRUE,"SumYrExp";#N/A,#N/A,TRUE,"DNIE - QtrDC";#N/A,#N/A,TRUE,"DNIE - QtrCI";#N/A,#N/A,TRUE,"DNIE - QtrCC";#N/A,#N/A,TRUE,"DNIE - QtrCDP";#N/A,#N/A,TRUE,"DNIE - QtrCD";#N/A,#N/A,TRUE,"SumDist"}</definedName>
    <definedName name="extransfers_1" localSheetId="6" hidden="1">{#N/A,#N/A,TRUE,"Sum-FvsT";#N/A,#N/A,TRUE,"Sum-PvsF";#N/A,#N/A,TRUE,"SumYrExp";#N/A,#N/A,TRUE,"DNIE - QtrDC";#N/A,#N/A,TRUE,"DNIE - QtrCI";#N/A,#N/A,TRUE,"DNIE - QtrCC";#N/A,#N/A,TRUE,"DNIE - QtrCDP";#N/A,#N/A,TRUE,"DNIE - QtrCD";#N/A,#N/A,TRUE,"SumDist"}</definedName>
    <definedName name="extransfers_1" localSheetId="11" hidden="1">{#N/A,#N/A,TRUE,"Sum-FvsT";#N/A,#N/A,TRUE,"Sum-PvsF";#N/A,#N/A,TRUE,"SumYrExp";#N/A,#N/A,TRUE,"DNIE - QtrDC";#N/A,#N/A,TRUE,"DNIE - QtrCI";#N/A,#N/A,TRUE,"DNIE - QtrCC";#N/A,#N/A,TRUE,"DNIE - QtrCDP";#N/A,#N/A,TRUE,"DNIE - QtrCD";#N/A,#N/A,TRUE,"SumDist"}</definedName>
    <definedName name="extransfers_1" hidden="1">{#N/A,#N/A,TRUE,"Sum-FvsT";#N/A,#N/A,TRUE,"Sum-PvsF";#N/A,#N/A,TRUE,"SumYrExp";#N/A,#N/A,TRUE,"DNIE - QtrDC";#N/A,#N/A,TRUE,"DNIE - QtrCI";#N/A,#N/A,TRUE,"DNIE - QtrCC";#N/A,#N/A,TRUE,"DNIE - QtrCDP";#N/A,#N/A,TRUE,"DNIE - QtrCD";#N/A,#N/A,TRUE,"SumDist"}</definedName>
    <definedName name="Full_Rack_DB_Server">'Exa Specs'!$B$55</definedName>
    <definedName name="Full_Rack_Storage_Server">'Exa Specs'!$G$55</definedName>
    <definedName name="Half_Rack_DB_Server">'Exa Specs'!$B$54</definedName>
    <definedName name="Half_Rack_Storage_Server">'Exa Specs'!$G$54</definedName>
    <definedName name="HTML_CodePage" hidden="1">1252</definedName>
    <definedName name="HTML_Control" localSheetId="23" hidden="1">{"'Price List '!$A$1:$R$156"}</definedName>
    <definedName name="HTML_Control" localSheetId="12" hidden="1">{"'Price List '!$A$1:$R$156"}</definedName>
    <definedName name="HTML_Control" localSheetId="6" hidden="1">{"'Price List '!$A$1:$R$156"}</definedName>
    <definedName name="HTML_Control" localSheetId="11" hidden="1">{"'Price List '!$A$1:$R$156"}</definedName>
    <definedName name="HTML_Control" hidden="1">{"'Price List '!$A$1:$R$156"}</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"C:\Temp\infoprice\051900\MyHTML.htm"</definedName>
    <definedName name="HTML_Title" hidden="1">"ePL5_19b"</definedName>
    <definedName name="i" localSheetId="23" hidden="1">{#N/A,#N/A,TRUE,"Sum-FvsT";#N/A,#N/A,TRUE,"Sum-PvsF";#N/A,#N/A,TRUE,"SumYrExp";#N/A,#N/A,TRUE,"DNIE - QtrDC";#N/A,#N/A,TRUE,"DNIE - QtrCI";#N/A,#N/A,TRUE,"DNIE - QtrCC";#N/A,#N/A,TRUE,"DNIE - QtrCDP";#N/A,#N/A,TRUE,"DNIE - QtrCD";#N/A,#N/A,TRUE,"SumDist"}</definedName>
    <definedName name="i" localSheetId="1" hidden="1">{#N/A,#N/A,TRUE,"Sum-FvsT";#N/A,#N/A,TRUE,"Sum-PvsF";#N/A,#N/A,TRUE,"SumYrExp";#N/A,#N/A,TRUE,"DNIE - QtrDC";#N/A,#N/A,TRUE,"DNIE - QtrCI";#N/A,#N/A,TRUE,"DNIE - QtrCC";#N/A,#N/A,TRUE,"DNIE - QtrCDP";#N/A,#N/A,TRUE,"DNIE - QtrCD";#N/A,#N/A,TRUE,"SumDist"}</definedName>
    <definedName name="i" localSheetId="14" hidden="1">{#N/A,#N/A,TRUE,"Sum-FvsT";#N/A,#N/A,TRUE,"Sum-PvsF";#N/A,#N/A,TRUE,"SumYrExp";#N/A,#N/A,TRUE,"DNIE - QtrDC";#N/A,#N/A,TRUE,"DNIE - QtrCI";#N/A,#N/A,TRUE,"DNIE - QtrCC";#N/A,#N/A,TRUE,"DNIE - QtrCDP";#N/A,#N/A,TRUE,"DNIE - QtrCD";#N/A,#N/A,TRUE,"SumDist"}</definedName>
    <definedName name="i" localSheetId="12" hidden="1">{#N/A,#N/A,TRUE,"Sum-FvsT";#N/A,#N/A,TRUE,"Sum-PvsF";#N/A,#N/A,TRUE,"SumYrExp";#N/A,#N/A,TRUE,"DNIE - QtrDC";#N/A,#N/A,TRUE,"DNIE - QtrCI";#N/A,#N/A,TRUE,"DNIE - QtrCC";#N/A,#N/A,TRUE,"DNIE - QtrCDP";#N/A,#N/A,TRUE,"DNIE - QtrCD";#N/A,#N/A,TRUE,"SumDist"}</definedName>
    <definedName name="i" localSheetId="6" hidden="1">{#N/A,#N/A,TRUE,"Sum-FvsT";#N/A,#N/A,TRUE,"Sum-PvsF";#N/A,#N/A,TRUE,"SumYrExp";#N/A,#N/A,TRUE,"DNIE - QtrDC";#N/A,#N/A,TRUE,"DNIE - QtrCI";#N/A,#N/A,TRUE,"DNIE - QtrCC";#N/A,#N/A,TRUE,"DNIE - QtrCDP";#N/A,#N/A,TRUE,"DNIE - QtrCD";#N/A,#N/A,TRUE,"SumDist"}</definedName>
    <definedName name="i" localSheetId="5" hidden="1">{#N/A,#N/A,TRUE,"Sum-FvsT";#N/A,#N/A,TRUE,"Sum-PvsF";#N/A,#N/A,TRUE,"SumYrExp";#N/A,#N/A,TRUE,"DNIE - QtrDC";#N/A,#N/A,TRUE,"DNIE - QtrCI";#N/A,#N/A,TRUE,"DNIE - QtrCC";#N/A,#N/A,TRUE,"DNIE - QtrCDP";#N/A,#N/A,TRUE,"DNIE - QtrCD";#N/A,#N/A,TRUE,"SumDist"}</definedName>
    <definedName name="i" localSheetId="11" hidden="1">{#N/A,#N/A,TRUE,"Sum-FvsT";#N/A,#N/A,TRUE,"Sum-PvsF";#N/A,#N/A,TRUE,"SumYrExp";#N/A,#N/A,TRUE,"DNIE - QtrDC";#N/A,#N/A,TRUE,"DNIE - QtrCI";#N/A,#N/A,TRUE,"DNIE - QtrCC";#N/A,#N/A,TRUE,"DNIE - QtrCDP";#N/A,#N/A,TRUE,"DNIE - QtrCD";#N/A,#N/A,TRUE,"SumDist"}</definedName>
    <definedName name="i" hidden="1">{#N/A,#N/A,TRUE,"Sum-FvsT";#N/A,#N/A,TRUE,"Sum-PvsF";#N/A,#N/A,TRUE,"SumYrExp";#N/A,#N/A,TRUE,"DNIE - QtrDC";#N/A,#N/A,TRUE,"DNIE - QtrCI";#N/A,#N/A,TRUE,"DNIE - QtrCC";#N/A,#N/A,TRUE,"DNIE - QtrCDP";#N/A,#N/A,TRUE,"DNIE - QtrCD";#N/A,#N/A,TRUE,"SumDist"}</definedName>
    <definedName name="i_1" localSheetId="23" hidden="1">{#N/A,#N/A,TRUE,"Sum-FvsT";#N/A,#N/A,TRUE,"Sum-PvsF";#N/A,#N/A,TRUE,"SumYrExp";#N/A,#N/A,TRUE,"DNIE - QtrDC";#N/A,#N/A,TRUE,"DNIE - QtrCI";#N/A,#N/A,TRUE,"DNIE - QtrCC";#N/A,#N/A,TRUE,"DNIE - QtrCDP";#N/A,#N/A,TRUE,"DNIE - QtrCD";#N/A,#N/A,TRUE,"SumDist"}</definedName>
    <definedName name="i_1" localSheetId="12" hidden="1">{#N/A,#N/A,TRUE,"Sum-FvsT";#N/A,#N/A,TRUE,"Sum-PvsF";#N/A,#N/A,TRUE,"SumYrExp";#N/A,#N/A,TRUE,"DNIE - QtrDC";#N/A,#N/A,TRUE,"DNIE - QtrCI";#N/A,#N/A,TRUE,"DNIE - QtrCC";#N/A,#N/A,TRUE,"DNIE - QtrCDP";#N/A,#N/A,TRUE,"DNIE - QtrCD";#N/A,#N/A,TRUE,"SumDist"}</definedName>
    <definedName name="i_1" localSheetId="6" hidden="1">{#N/A,#N/A,TRUE,"Sum-FvsT";#N/A,#N/A,TRUE,"Sum-PvsF";#N/A,#N/A,TRUE,"SumYrExp";#N/A,#N/A,TRUE,"DNIE - QtrDC";#N/A,#N/A,TRUE,"DNIE - QtrCI";#N/A,#N/A,TRUE,"DNIE - QtrCC";#N/A,#N/A,TRUE,"DNIE - QtrCDP";#N/A,#N/A,TRUE,"DNIE - QtrCD";#N/A,#N/A,TRUE,"SumDist"}</definedName>
    <definedName name="i_1" localSheetId="11" hidden="1">{#N/A,#N/A,TRUE,"Sum-FvsT";#N/A,#N/A,TRUE,"Sum-PvsF";#N/A,#N/A,TRUE,"SumYrExp";#N/A,#N/A,TRUE,"DNIE - QtrDC";#N/A,#N/A,TRUE,"DNIE - QtrCI";#N/A,#N/A,TRUE,"DNIE - QtrCC";#N/A,#N/A,TRUE,"DNIE - QtrCDP";#N/A,#N/A,TRUE,"DNIE - QtrCD";#N/A,#N/A,TRUE,"SumDist"}</definedName>
    <definedName name="i_1" hidden="1">{#N/A,#N/A,TRUE,"Sum-FvsT";#N/A,#N/A,TRUE,"Sum-PvsF";#N/A,#N/A,TRUE,"SumYrExp";#N/A,#N/A,TRUE,"DNIE - QtrDC";#N/A,#N/A,TRUE,"DNIE - QtrCI";#N/A,#N/A,TRUE,"DNIE - QtrCC";#N/A,#N/A,TRUE,"DNIE - QtrCDP";#N/A,#N/A,TRUE,"DNIE - QtrCD";#N/A,#N/A,TRUE,"SumDist"}</definedName>
    <definedName name="Named_User___Single_Server" localSheetId="13">'[3]Exchange Rate Link Sheet'!#REF!</definedName>
    <definedName name="NonProd" localSheetId="23" hidden="1">{#N/A,#N/A,TRUE,"Sum-FvsT";#N/A,#N/A,TRUE,"Sum-PvsF";#N/A,#N/A,TRUE,"SumYrExp";#N/A,#N/A,TRUE,"DNIE - QtrDC";#N/A,#N/A,TRUE,"DNIE - QtrCI";#N/A,#N/A,TRUE,"DNIE - QtrCC";#N/A,#N/A,TRUE,"DNIE - QtrCDP";#N/A,#N/A,TRUE,"DNIE - QtrCD";#N/A,#N/A,TRUE,"SumDist"}</definedName>
    <definedName name="NonProd" localSheetId="1" hidden="1">{#N/A,#N/A,TRUE,"Sum-FvsT";#N/A,#N/A,TRUE,"Sum-PvsF";#N/A,#N/A,TRUE,"SumYrExp";#N/A,#N/A,TRUE,"DNIE - QtrDC";#N/A,#N/A,TRUE,"DNIE - QtrCI";#N/A,#N/A,TRUE,"DNIE - QtrCC";#N/A,#N/A,TRUE,"DNIE - QtrCDP";#N/A,#N/A,TRUE,"DNIE - QtrCD";#N/A,#N/A,TRUE,"SumDist"}</definedName>
    <definedName name="NonProd" localSheetId="14" hidden="1">{#N/A,#N/A,TRUE,"Sum-FvsT";#N/A,#N/A,TRUE,"Sum-PvsF";#N/A,#N/A,TRUE,"SumYrExp";#N/A,#N/A,TRUE,"DNIE - QtrDC";#N/A,#N/A,TRUE,"DNIE - QtrCI";#N/A,#N/A,TRUE,"DNIE - QtrCC";#N/A,#N/A,TRUE,"DNIE - QtrCDP";#N/A,#N/A,TRUE,"DNIE - QtrCD";#N/A,#N/A,TRUE,"SumDist"}</definedName>
    <definedName name="NonProd" localSheetId="12" hidden="1">{#N/A,#N/A,TRUE,"Sum-FvsT";#N/A,#N/A,TRUE,"Sum-PvsF";#N/A,#N/A,TRUE,"SumYrExp";#N/A,#N/A,TRUE,"DNIE - QtrDC";#N/A,#N/A,TRUE,"DNIE - QtrCI";#N/A,#N/A,TRUE,"DNIE - QtrCC";#N/A,#N/A,TRUE,"DNIE - QtrCDP";#N/A,#N/A,TRUE,"DNIE - QtrCD";#N/A,#N/A,TRUE,"SumDist"}</definedName>
    <definedName name="NonProd" localSheetId="6" hidden="1">{#N/A,#N/A,TRUE,"Sum-FvsT";#N/A,#N/A,TRUE,"Sum-PvsF";#N/A,#N/A,TRUE,"SumYrExp";#N/A,#N/A,TRUE,"DNIE - QtrDC";#N/A,#N/A,TRUE,"DNIE - QtrCI";#N/A,#N/A,TRUE,"DNIE - QtrCC";#N/A,#N/A,TRUE,"DNIE - QtrCDP";#N/A,#N/A,TRUE,"DNIE - QtrCD";#N/A,#N/A,TRUE,"SumDist"}</definedName>
    <definedName name="NonProd" localSheetId="5" hidden="1">{#N/A,#N/A,TRUE,"Sum-FvsT";#N/A,#N/A,TRUE,"Sum-PvsF";#N/A,#N/A,TRUE,"SumYrExp";#N/A,#N/A,TRUE,"DNIE - QtrDC";#N/A,#N/A,TRUE,"DNIE - QtrCI";#N/A,#N/A,TRUE,"DNIE - QtrCC";#N/A,#N/A,TRUE,"DNIE - QtrCDP";#N/A,#N/A,TRUE,"DNIE - QtrCD";#N/A,#N/A,TRUE,"SumDist"}</definedName>
    <definedName name="NonProd" localSheetId="11" hidden="1">{#N/A,#N/A,TRUE,"Sum-FvsT";#N/A,#N/A,TRUE,"Sum-PvsF";#N/A,#N/A,TRUE,"SumYrExp";#N/A,#N/A,TRUE,"DNIE - QtrDC";#N/A,#N/A,TRUE,"DNIE - QtrCI";#N/A,#N/A,TRUE,"DNIE - QtrCC";#N/A,#N/A,TRUE,"DNIE - QtrCDP";#N/A,#N/A,TRUE,"DNIE - QtrCD";#N/A,#N/A,TRUE,"SumDist"}</definedName>
    <definedName name="NonProd" hidden="1">{#N/A,#N/A,TRUE,"Sum-FvsT";#N/A,#N/A,TRUE,"Sum-PvsF";#N/A,#N/A,TRUE,"SumYrExp";#N/A,#N/A,TRUE,"DNIE - QtrDC";#N/A,#N/A,TRUE,"DNIE - QtrCI";#N/A,#N/A,TRUE,"DNIE - QtrCC";#N/A,#N/A,TRUE,"DNIE - QtrCDP";#N/A,#N/A,TRUE,"DNIE - QtrCD";#N/A,#N/A,TRUE,"SumDist"}</definedName>
    <definedName name="NonProd_1" localSheetId="23" hidden="1">{#N/A,#N/A,TRUE,"Sum-FvsT";#N/A,#N/A,TRUE,"Sum-PvsF";#N/A,#N/A,TRUE,"SumYrExp";#N/A,#N/A,TRUE,"DNIE - QtrDC";#N/A,#N/A,TRUE,"DNIE - QtrCI";#N/A,#N/A,TRUE,"DNIE - QtrCC";#N/A,#N/A,TRUE,"DNIE - QtrCDP";#N/A,#N/A,TRUE,"DNIE - QtrCD";#N/A,#N/A,TRUE,"SumDist"}</definedName>
    <definedName name="NonProd_1" localSheetId="12" hidden="1">{#N/A,#N/A,TRUE,"Sum-FvsT";#N/A,#N/A,TRUE,"Sum-PvsF";#N/A,#N/A,TRUE,"SumYrExp";#N/A,#N/A,TRUE,"DNIE - QtrDC";#N/A,#N/A,TRUE,"DNIE - QtrCI";#N/A,#N/A,TRUE,"DNIE - QtrCC";#N/A,#N/A,TRUE,"DNIE - QtrCDP";#N/A,#N/A,TRUE,"DNIE - QtrCD";#N/A,#N/A,TRUE,"SumDist"}</definedName>
    <definedName name="NonProd_1" localSheetId="6" hidden="1">{#N/A,#N/A,TRUE,"Sum-FvsT";#N/A,#N/A,TRUE,"Sum-PvsF";#N/A,#N/A,TRUE,"SumYrExp";#N/A,#N/A,TRUE,"DNIE - QtrDC";#N/A,#N/A,TRUE,"DNIE - QtrCI";#N/A,#N/A,TRUE,"DNIE - QtrCC";#N/A,#N/A,TRUE,"DNIE - QtrCDP";#N/A,#N/A,TRUE,"DNIE - QtrCD";#N/A,#N/A,TRUE,"SumDist"}</definedName>
    <definedName name="NonProd_1" localSheetId="11" hidden="1">{#N/A,#N/A,TRUE,"Sum-FvsT";#N/A,#N/A,TRUE,"Sum-PvsF";#N/A,#N/A,TRUE,"SumYrExp";#N/A,#N/A,TRUE,"DNIE - QtrDC";#N/A,#N/A,TRUE,"DNIE - QtrCI";#N/A,#N/A,TRUE,"DNIE - QtrCC";#N/A,#N/A,TRUE,"DNIE - QtrCDP";#N/A,#N/A,TRUE,"DNIE - QtrCD";#N/A,#N/A,TRUE,"SumDist"}</definedName>
    <definedName name="NonProd_1" hidden="1">{#N/A,#N/A,TRUE,"Sum-FvsT";#N/A,#N/A,TRUE,"Sum-PvsF";#N/A,#N/A,TRUE,"SumYrExp";#N/A,#N/A,TRUE,"DNIE - QtrDC";#N/A,#N/A,TRUE,"DNIE - QtrCI";#N/A,#N/A,TRUE,"DNIE - QtrCC";#N/A,#N/A,TRUE,"DNIE - QtrCDP";#N/A,#N/A,TRUE,"DNIE - QtrCD";#N/A,#N/A,TRUE,"SumDist"}</definedName>
    <definedName name="old" localSheetId="23" hidden="1">{#N/A,#N/A,TRUE,"Sum-FvsT";#N/A,#N/A,TRUE,"Sum-PvsF";#N/A,#N/A,TRUE,"SumYrExp";#N/A,#N/A,TRUE,"DNIE - QtrDC";#N/A,#N/A,TRUE,"DNIE - QtrCI";#N/A,#N/A,TRUE,"DNIE - QtrCC";#N/A,#N/A,TRUE,"DNIE - QtrCDP";#N/A,#N/A,TRUE,"DNIE - QtrCD";#N/A,#N/A,TRUE,"SumDist"}</definedName>
    <definedName name="old" localSheetId="1" hidden="1">{#N/A,#N/A,TRUE,"Sum-FvsT";#N/A,#N/A,TRUE,"Sum-PvsF";#N/A,#N/A,TRUE,"SumYrExp";#N/A,#N/A,TRUE,"DNIE - QtrDC";#N/A,#N/A,TRUE,"DNIE - QtrCI";#N/A,#N/A,TRUE,"DNIE - QtrCC";#N/A,#N/A,TRUE,"DNIE - QtrCDP";#N/A,#N/A,TRUE,"DNIE - QtrCD";#N/A,#N/A,TRUE,"SumDist"}</definedName>
    <definedName name="old" localSheetId="14" hidden="1">{#N/A,#N/A,TRUE,"Sum-FvsT";#N/A,#N/A,TRUE,"Sum-PvsF";#N/A,#N/A,TRUE,"SumYrExp";#N/A,#N/A,TRUE,"DNIE - QtrDC";#N/A,#N/A,TRUE,"DNIE - QtrCI";#N/A,#N/A,TRUE,"DNIE - QtrCC";#N/A,#N/A,TRUE,"DNIE - QtrCDP";#N/A,#N/A,TRUE,"DNIE - QtrCD";#N/A,#N/A,TRUE,"SumDist"}</definedName>
    <definedName name="old" localSheetId="12" hidden="1">{#N/A,#N/A,TRUE,"Sum-FvsT";#N/A,#N/A,TRUE,"Sum-PvsF";#N/A,#N/A,TRUE,"SumYrExp";#N/A,#N/A,TRUE,"DNIE - QtrDC";#N/A,#N/A,TRUE,"DNIE - QtrCI";#N/A,#N/A,TRUE,"DNIE - QtrCC";#N/A,#N/A,TRUE,"DNIE - QtrCDP";#N/A,#N/A,TRUE,"DNIE - QtrCD";#N/A,#N/A,TRUE,"SumDist"}</definedName>
    <definedName name="old" localSheetId="6" hidden="1">{#N/A,#N/A,TRUE,"Sum-FvsT";#N/A,#N/A,TRUE,"Sum-PvsF";#N/A,#N/A,TRUE,"SumYrExp";#N/A,#N/A,TRUE,"DNIE - QtrDC";#N/A,#N/A,TRUE,"DNIE - QtrCI";#N/A,#N/A,TRUE,"DNIE - QtrCC";#N/A,#N/A,TRUE,"DNIE - QtrCDP";#N/A,#N/A,TRUE,"DNIE - QtrCD";#N/A,#N/A,TRUE,"SumDist"}</definedName>
    <definedName name="old" localSheetId="5" hidden="1">{#N/A,#N/A,TRUE,"Sum-FvsT";#N/A,#N/A,TRUE,"Sum-PvsF";#N/A,#N/A,TRUE,"SumYrExp";#N/A,#N/A,TRUE,"DNIE - QtrDC";#N/A,#N/A,TRUE,"DNIE - QtrCI";#N/A,#N/A,TRUE,"DNIE - QtrCC";#N/A,#N/A,TRUE,"DNIE - QtrCDP";#N/A,#N/A,TRUE,"DNIE - QtrCD";#N/A,#N/A,TRUE,"SumDist"}</definedName>
    <definedName name="old" localSheetId="11" hidden="1">{#N/A,#N/A,TRUE,"Sum-FvsT";#N/A,#N/A,TRUE,"Sum-PvsF";#N/A,#N/A,TRUE,"SumYrExp";#N/A,#N/A,TRUE,"DNIE - QtrDC";#N/A,#N/A,TRUE,"DNIE - QtrCI";#N/A,#N/A,TRUE,"DNIE - QtrCC";#N/A,#N/A,TRUE,"DNIE - QtrCDP";#N/A,#N/A,TRUE,"DNIE - QtrCD";#N/A,#N/A,TRUE,"SumDist"}</definedName>
    <definedName name="old" hidden="1">{#N/A,#N/A,TRUE,"Sum-FvsT";#N/A,#N/A,TRUE,"Sum-PvsF";#N/A,#N/A,TRUE,"SumYrExp";#N/A,#N/A,TRUE,"DNIE - QtrDC";#N/A,#N/A,TRUE,"DNIE - QtrCI";#N/A,#N/A,TRUE,"DNIE - QtrCC";#N/A,#N/A,TRUE,"DNIE - QtrCDP";#N/A,#N/A,TRUE,"DNIE - QtrCD";#N/A,#N/A,TRUE,"SumDist"}</definedName>
    <definedName name="old_1" localSheetId="23" hidden="1">{#N/A,#N/A,TRUE,"Sum-FvsT";#N/A,#N/A,TRUE,"Sum-PvsF";#N/A,#N/A,TRUE,"SumYrExp";#N/A,#N/A,TRUE,"DNIE - QtrDC";#N/A,#N/A,TRUE,"DNIE - QtrCI";#N/A,#N/A,TRUE,"DNIE - QtrCC";#N/A,#N/A,TRUE,"DNIE - QtrCDP";#N/A,#N/A,TRUE,"DNIE - QtrCD";#N/A,#N/A,TRUE,"SumDist"}</definedName>
    <definedName name="old_1" localSheetId="12" hidden="1">{#N/A,#N/A,TRUE,"Sum-FvsT";#N/A,#N/A,TRUE,"Sum-PvsF";#N/A,#N/A,TRUE,"SumYrExp";#N/A,#N/A,TRUE,"DNIE - QtrDC";#N/A,#N/A,TRUE,"DNIE - QtrCI";#N/A,#N/A,TRUE,"DNIE - QtrCC";#N/A,#N/A,TRUE,"DNIE - QtrCDP";#N/A,#N/A,TRUE,"DNIE - QtrCD";#N/A,#N/A,TRUE,"SumDist"}</definedName>
    <definedName name="old_1" localSheetId="6" hidden="1">{#N/A,#N/A,TRUE,"Sum-FvsT";#N/A,#N/A,TRUE,"Sum-PvsF";#N/A,#N/A,TRUE,"SumYrExp";#N/A,#N/A,TRUE,"DNIE - QtrDC";#N/A,#N/A,TRUE,"DNIE - QtrCI";#N/A,#N/A,TRUE,"DNIE - QtrCC";#N/A,#N/A,TRUE,"DNIE - QtrCDP";#N/A,#N/A,TRUE,"DNIE - QtrCD";#N/A,#N/A,TRUE,"SumDist"}</definedName>
    <definedName name="old_1" localSheetId="11" hidden="1">{#N/A,#N/A,TRUE,"Sum-FvsT";#N/A,#N/A,TRUE,"Sum-PvsF";#N/A,#N/A,TRUE,"SumYrExp";#N/A,#N/A,TRUE,"DNIE - QtrDC";#N/A,#N/A,TRUE,"DNIE - QtrCI";#N/A,#N/A,TRUE,"DNIE - QtrCC";#N/A,#N/A,TRUE,"DNIE - QtrCDP";#N/A,#N/A,TRUE,"DNIE - QtrCD";#N/A,#N/A,TRUE,"SumDist"}</definedName>
    <definedName name="old_1" hidden="1">{#N/A,#N/A,TRUE,"Sum-FvsT";#N/A,#N/A,TRUE,"Sum-PvsF";#N/A,#N/A,TRUE,"SumYrExp";#N/A,#N/A,TRUE,"DNIE - QtrDC";#N/A,#N/A,TRUE,"DNIE - QtrCI";#N/A,#N/A,TRUE,"DNIE - QtrCC";#N/A,#N/A,TRUE,"DNIE - QtrCDP";#N/A,#N/A,TRUE,"DNIE - QtrCD";#N/A,#N/A,TRUE,"SumDist"}</definedName>
    <definedName name="OO" localSheetId="23" hidden="1">{#N/A,#N/A,TRUE,"Sum-FvsT";#N/A,#N/A,TRUE,"Sum-PvsF";#N/A,#N/A,TRUE,"SumYrExp";#N/A,#N/A,TRUE,"DNIE - QtrDC";#N/A,#N/A,TRUE,"DNIE - QtrCI";#N/A,#N/A,TRUE,"DNIE - QtrCC";#N/A,#N/A,TRUE,"DNIE - QtrCDP";#N/A,#N/A,TRUE,"DNIE - QtrCD";#N/A,#N/A,TRUE,"SumDist"}</definedName>
    <definedName name="OO" localSheetId="1" hidden="1">{#N/A,#N/A,TRUE,"Sum-FvsT";#N/A,#N/A,TRUE,"Sum-PvsF";#N/A,#N/A,TRUE,"SumYrExp";#N/A,#N/A,TRUE,"DNIE - QtrDC";#N/A,#N/A,TRUE,"DNIE - QtrCI";#N/A,#N/A,TRUE,"DNIE - QtrCC";#N/A,#N/A,TRUE,"DNIE - QtrCDP";#N/A,#N/A,TRUE,"DNIE - QtrCD";#N/A,#N/A,TRUE,"SumDist"}</definedName>
    <definedName name="OO" localSheetId="14" hidden="1">{#N/A,#N/A,TRUE,"Sum-FvsT";#N/A,#N/A,TRUE,"Sum-PvsF";#N/A,#N/A,TRUE,"SumYrExp";#N/A,#N/A,TRUE,"DNIE - QtrDC";#N/A,#N/A,TRUE,"DNIE - QtrCI";#N/A,#N/A,TRUE,"DNIE - QtrCC";#N/A,#N/A,TRUE,"DNIE - QtrCDP";#N/A,#N/A,TRUE,"DNIE - QtrCD";#N/A,#N/A,TRUE,"SumDist"}</definedName>
    <definedName name="OO" localSheetId="12" hidden="1">{#N/A,#N/A,TRUE,"Sum-FvsT";#N/A,#N/A,TRUE,"Sum-PvsF";#N/A,#N/A,TRUE,"SumYrExp";#N/A,#N/A,TRUE,"DNIE - QtrDC";#N/A,#N/A,TRUE,"DNIE - QtrCI";#N/A,#N/A,TRUE,"DNIE - QtrCC";#N/A,#N/A,TRUE,"DNIE - QtrCDP";#N/A,#N/A,TRUE,"DNIE - QtrCD";#N/A,#N/A,TRUE,"SumDist"}</definedName>
    <definedName name="OO" localSheetId="6" hidden="1">{#N/A,#N/A,TRUE,"Sum-FvsT";#N/A,#N/A,TRUE,"Sum-PvsF";#N/A,#N/A,TRUE,"SumYrExp";#N/A,#N/A,TRUE,"DNIE - QtrDC";#N/A,#N/A,TRUE,"DNIE - QtrCI";#N/A,#N/A,TRUE,"DNIE - QtrCC";#N/A,#N/A,TRUE,"DNIE - QtrCDP";#N/A,#N/A,TRUE,"DNIE - QtrCD";#N/A,#N/A,TRUE,"SumDist"}</definedName>
    <definedName name="OO" localSheetId="5" hidden="1">{#N/A,#N/A,TRUE,"Sum-FvsT";#N/A,#N/A,TRUE,"Sum-PvsF";#N/A,#N/A,TRUE,"SumYrExp";#N/A,#N/A,TRUE,"DNIE - QtrDC";#N/A,#N/A,TRUE,"DNIE - QtrCI";#N/A,#N/A,TRUE,"DNIE - QtrCC";#N/A,#N/A,TRUE,"DNIE - QtrCDP";#N/A,#N/A,TRUE,"DNIE - QtrCD";#N/A,#N/A,TRUE,"SumDist"}</definedName>
    <definedName name="OO" localSheetId="11" hidden="1">{#N/A,#N/A,TRUE,"Sum-FvsT";#N/A,#N/A,TRUE,"Sum-PvsF";#N/A,#N/A,TRUE,"SumYrExp";#N/A,#N/A,TRUE,"DNIE - QtrDC";#N/A,#N/A,TRUE,"DNIE - QtrCI";#N/A,#N/A,TRUE,"DNIE - QtrCC";#N/A,#N/A,TRUE,"DNIE - QtrCDP";#N/A,#N/A,TRUE,"DNIE - QtrCD";#N/A,#N/A,TRUE,"SumDist"}</definedName>
    <definedName name="OO" hidden="1">{#N/A,#N/A,TRUE,"Sum-FvsT";#N/A,#N/A,TRUE,"Sum-PvsF";#N/A,#N/A,TRUE,"SumYrExp";#N/A,#N/A,TRUE,"DNIE - QtrDC";#N/A,#N/A,TRUE,"DNIE - QtrCI";#N/A,#N/A,TRUE,"DNIE - QtrCC";#N/A,#N/A,TRUE,"DNIE - QtrCDP";#N/A,#N/A,TRUE,"DNIE - QtrCD";#N/A,#N/A,TRUE,"SumDist"}</definedName>
    <definedName name="OO_1" localSheetId="23" hidden="1">{#N/A,#N/A,TRUE,"Sum-FvsT";#N/A,#N/A,TRUE,"Sum-PvsF";#N/A,#N/A,TRUE,"SumYrExp";#N/A,#N/A,TRUE,"DNIE - QtrDC";#N/A,#N/A,TRUE,"DNIE - QtrCI";#N/A,#N/A,TRUE,"DNIE - QtrCC";#N/A,#N/A,TRUE,"DNIE - QtrCDP";#N/A,#N/A,TRUE,"DNIE - QtrCD";#N/A,#N/A,TRUE,"SumDist"}</definedName>
    <definedName name="OO_1" localSheetId="12" hidden="1">{#N/A,#N/A,TRUE,"Sum-FvsT";#N/A,#N/A,TRUE,"Sum-PvsF";#N/A,#N/A,TRUE,"SumYrExp";#N/A,#N/A,TRUE,"DNIE - QtrDC";#N/A,#N/A,TRUE,"DNIE - QtrCI";#N/A,#N/A,TRUE,"DNIE - QtrCC";#N/A,#N/A,TRUE,"DNIE - QtrCDP";#N/A,#N/A,TRUE,"DNIE - QtrCD";#N/A,#N/A,TRUE,"SumDist"}</definedName>
    <definedName name="OO_1" localSheetId="6" hidden="1">{#N/A,#N/A,TRUE,"Sum-FvsT";#N/A,#N/A,TRUE,"Sum-PvsF";#N/A,#N/A,TRUE,"SumYrExp";#N/A,#N/A,TRUE,"DNIE - QtrDC";#N/A,#N/A,TRUE,"DNIE - QtrCI";#N/A,#N/A,TRUE,"DNIE - QtrCC";#N/A,#N/A,TRUE,"DNIE - QtrCDP";#N/A,#N/A,TRUE,"DNIE - QtrCD";#N/A,#N/A,TRUE,"SumDist"}</definedName>
    <definedName name="OO_1" localSheetId="11" hidden="1">{#N/A,#N/A,TRUE,"Sum-FvsT";#N/A,#N/A,TRUE,"Sum-PvsF";#N/A,#N/A,TRUE,"SumYrExp";#N/A,#N/A,TRUE,"DNIE - QtrDC";#N/A,#N/A,TRUE,"DNIE - QtrCI";#N/A,#N/A,TRUE,"DNIE - QtrCC";#N/A,#N/A,TRUE,"DNIE - QtrCDP";#N/A,#N/A,TRUE,"DNIE - QtrCD";#N/A,#N/A,TRUE,"SumDist"}</definedName>
    <definedName name="OO_1" hidden="1">{#N/A,#N/A,TRUE,"Sum-FvsT";#N/A,#N/A,TRUE,"Sum-PvsF";#N/A,#N/A,TRUE,"SumYrExp";#N/A,#N/A,TRUE,"DNIE - QtrDC";#N/A,#N/A,TRUE,"DNIE - QtrCI";#N/A,#N/A,TRUE,"DNIE - QtrCC";#N/A,#N/A,TRUE,"DNIE - QtrCDP";#N/A,#N/A,TRUE,"DNIE - QtrCD";#N/A,#N/A,TRUE,"SumDist"}</definedName>
    <definedName name="ppppp" localSheetId="23" hidden="1">{#N/A,#N/A,TRUE,"Sum-FvsT";#N/A,#N/A,TRUE,"Sum-PvsF";#N/A,#N/A,TRUE,"SumYrExp";#N/A,#N/A,TRUE,"DNIE - QtrDC";#N/A,#N/A,TRUE,"DNIE - QtrCI";#N/A,#N/A,TRUE,"DNIE - QtrCC";#N/A,#N/A,TRUE,"DNIE - QtrCDP";#N/A,#N/A,TRUE,"DNIE - QtrCD";#N/A,#N/A,TRUE,"SumDist"}</definedName>
    <definedName name="ppppp" localSheetId="1" hidden="1">{#N/A,#N/A,TRUE,"Sum-FvsT";#N/A,#N/A,TRUE,"Sum-PvsF";#N/A,#N/A,TRUE,"SumYrExp";#N/A,#N/A,TRUE,"DNIE - QtrDC";#N/A,#N/A,TRUE,"DNIE - QtrCI";#N/A,#N/A,TRUE,"DNIE - QtrCC";#N/A,#N/A,TRUE,"DNIE - QtrCDP";#N/A,#N/A,TRUE,"DNIE - QtrCD";#N/A,#N/A,TRUE,"SumDist"}</definedName>
    <definedName name="ppppp" localSheetId="14" hidden="1">{#N/A,#N/A,TRUE,"Sum-FvsT";#N/A,#N/A,TRUE,"Sum-PvsF";#N/A,#N/A,TRUE,"SumYrExp";#N/A,#N/A,TRUE,"DNIE - QtrDC";#N/A,#N/A,TRUE,"DNIE - QtrCI";#N/A,#N/A,TRUE,"DNIE - QtrCC";#N/A,#N/A,TRUE,"DNIE - QtrCDP";#N/A,#N/A,TRUE,"DNIE - QtrCD";#N/A,#N/A,TRUE,"SumDist"}</definedName>
    <definedName name="ppppp" localSheetId="12" hidden="1">{#N/A,#N/A,TRUE,"Sum-FvsT";#N/A,#N/A,TRUE,"Sum-PvsF";#N/A,#N/A,TRUE,"SumYrExp";#N/A,#N/A,TRUE,"DNIE - QtrDC";#N/A,#N/A,TRUE,"DNIE - QtrCI";#N/A,#N/A,TRUE,"DNIE - QtrCC";#N/A,#N/A,TRUE,"DNIE - QtrCDP";#N/A,#N/A,TRUE,"DNIE - QtrCD";#N/A,#N/A,TRUE,"SumDist"}</definedName>
    <definedName name="ppppp" localSheetId="6" hidden="1">{#N/A,#N/A,TRUE,"Sum-FvsT";#N/A,#N/A,TRUE,"Sum-PvsF";#N/A,#N/A,TRUE,"SumYrExp";#N/A,#N/A,TRUE,"DNIE - QtrDC";#N/A,#N/A,TRUE,"DNIE - QtrCI";#N/A,#N/A,TRUE,"DNIE - QtrCC";#N/A,#N/A,TRUE,"DNIE - QtrCDP";#N/A,#N/A,TRUE,"DNIE - QtrCD";#N/A,#N/A,TRUE,"SumDist"}</definedName>
    <definedName name="ppppp" localSheetId="5" hidden="1">{#N/A,#N/A,TRUE,"Sum-FvsT";#N/A,#N/A,TRUE,"Sum-PvsF";#N/A,#N/A,TRUE,"SumYrExp";#N/A,#N/A,TRUE,"DNIE - QtrDC";#N/A,#N/A,TRUE,"DNIE - QtrCI";#N/A,#N/A,TRUE,"DNIE - QtrCC";#N/A,#N/A,TRUE,"DNIE - QtrCDP";#N/A,#N/A,TRUE,"DNIE - QtrCD";#N/A,#N/A,TRUE,"SumDist"}</definedName>
    <definedName name="ppppp" localSheetId="11" hidden="1">{#N/A,#N/A,TRUE,"Sum-FvsT";#N/A,#N/A,TRUE,"Sum-PvsF";#N/A,#N/A,TRUE,"SumYrExp";#N/A,#N/A,TRUE,"DNIE - QtrDC";#N/A,#N/A,TRUE,"DNIE - QtrCI";#N/A,#N/A,TRUE,"DNIE - QtrCC";#N/A,#N/A,TRUE,"DNIE - QtrCDP";#N/A,#N/A,TRUE,"DNIE - QtrCD";#N/A,#N/A,TRUE,"SumDist"}</definedName>
    <definedName name="ppppp" hidden="1">{#N/A,#N/A,TRUE,"Sum-FvsT";#N/A,#N/A,TRUE,"Sum-PvsF";#N/A,#N/A,TRUE,"SumYrExp";#N/A,#N/A,TRUE,"DNIE - QtrDC";#N/A,#N/A,TRUE,"DNIE - QtrCI";#N/A,#N/A,TRUE,"DNIE - QtrCC";#N/A,#N/A,TRUE,"DNIE - QtrCDP";#N/A,#N/A,TRUE,"DNIE - QtrCD";#N/A,#N/A,TRUE,"SumDist"}</definedName>
    <definedName name="ppppp_1" localSheetId="23" hidden="1">{#N/A,#N/A,TRUE,"Sum-FvsT";#N/A,#N/A,TRUE,"Sum-PvsF";#N/A,#N/A,TRUE,"SumYrExp";#N/A,#N/A,TRUE,"DNIE - QtrDC";#N/A,#N/A,TRUE,"DNIE - QtrCI";#N/A,#N/A,TRUE,"DNIE - QtrCC";#N/A,#N/A,TRUE,"DNIE - QtrCDP";#N/A,#N/A,TRUE,"DNIE - QtrCD";#N/A,#N/A,TRUE,"SumDist"}</definedName>
    <definedName name="ppppp_1" localSheetId="12" hidden="1">{#N/A,#N/A,TRUE,"Sum-FvsT";#N/A,#N/A,TRUE,"Sum-PvsF";#N/A,#N/A,TRUE,"SumYrExp";#N/A,#N/A,TRUE,"DNIE - QtrDC";#N/A,#N/A,TRUE,"DNIE - QtrCI";#N/A,#N/A,TRUE,"DNIE - QtrCC";#N/A,#N/A,TRUE,"DNIE - QtrCDP";#N/A,#N/A,TRUE,"DNIE - QtrCD";#N/A,#N/A,TRUE,"SumDist"}</definedName>
    <definedName name="ppppp_1" localSheetId="6" hidden="1">{#N/A,#N/A,TRUE,"Sum-FvsT";#N/A,#N/A,TRUE,"Sum-PvsF";#N/A,#N/A,TRUE,"SumYrExp";#N/A,#N/A,TRUE,"DNIE - QtrDC";#N/A,#N/A,TRUE,"DNIE - QtrCI";#N/A,#N/A,TRUE,"DNIE - QtrCC";#N/A,#N/A,TRUE,"DNIE - QtrCDP";#N/A,#N/A,TRUE,"DNIE - QtrCD";#N/A,#N/A,TRUE,"SumDist"}</definedName>
    <definedName name="ppppp_1" localSheetId="11" hidden="1">{#N/A,#N/A,TRUE,"Sum-FvsT";#N/A,#N/A,TRUE,"Sum-PvsF";#N/A,#N/A,TRUE,"SumYrExp";#N/A,#N/A,TRUE,"DNIE - QtrDC";#N/A,#N/A,TRUE,"DNIE - QtrCI";#N/A,#N/A,TRUE,"DNIE - QtrCC";#N/A,#N/A,TRUE,"DNIE - QtrCDP";#N/A,#N/A,TRUE,"DNIE - QtrCD";#N/A,#N/A,TRUE,"SumDist"}</definedName>
    <definedName name="ppppp_1" hidden="1">{#N/A,#N/A,TRUE,"Sum-FvsT";#N/A,#N/A,TRUE,"Sum-PvsF";#N/A,#N/A,TRUE,"SumYrExp";#N/A,#N/A,TRUE,"DNIE - QtrDC";#N/A,#N/A,TRUE,"DNIE - QtrCI";#N/A,#N/A,TRUE,"DNIE - QtrCC";#N/A,#N/A,TRUE,"DNIE - QtrCDP";#N/A,#N/A,TRUE,"DNIE - QtrCD";#N/A,#N/A,TRUE,"SumDist"}</definedName>
    <definedName name="pppppp" localSheetId="23" hidden="1">{#N/A,#N/A,TRUE,"Sum-FvsT";#N/A,#N/A,TRUE,"Sum-PvsF";#N/A,#N/A,TRUE,"SumYrExp";#N/A,#N/A,TRUE,"DNIE - QtrDC";#N/A,#N/A,TRUE,"DNIE - QtrCI";#N/A,#N/A,TRUE,"DNIE - QtrCC";#N/A,#N/A,TRUE,"DNIE - QtrCDP";#N/A,#N/A,TRUE,"DNIE - QtrCD";#N/A,#N/A,TRUE,"SumDist"}</definedName>
    <definedName name="pppppp" localSheetId="1" hidden="1">{#N/A,#N/A,TRUE,"Sum-FvsT";#N/A,#N/A,TRUE,"Sum-PvsF";#N/A,#N/A,TRUE,"SumYrExp";#N/A,#N/A,TRUE,"DNIE - QtrDC";#N/A,#N/A,TRUE,"DNIE - QtrCI";#N/A,#N/A,TRUE,"DNIE - QtrCC";#N/A,#N/A,TRUE,"DNIE - QtrCDP";#N/A,#N/A,TRUE,"DNIE - QtrCD";#N/A,#N/A,TRUE,"SumDist"}</definedName>
    <definedName name="pppppp" localSheetId="14" hidden="1">{#N/A,#N/A,TRUE,"Sum-FvsT";#N/A,#N/A,TRUE,"Sum-PvsF";#N/A,#N/A,TRUE,"SumYrExp";#N/A,#N/A,TRUE,"DNIE - QtrDC";#N/A,#N/A,TRUE,"DNIE - QtrCI";#N/A,#N/A,TRUE,"DNIE - QtrCC";#N/A,#N/A,TRUE,"DNIE - QtrCDP";#N/A,#N/A,TRUE,"DNIE - QtrCD";#N/A,#N/A,TRUE,"SumDist"}</definedName>
    <definedName name="pppppp" localSheetId="12" hidden="1">{#N/A,#N/A,TRUE,"Sum-FvsT";#N/A,#N/A,TRUE,"Sum-PvsF";#N/A,#N/A,TRUE,"SumYrExp";#N/A,#N/A,TRUE,"DNIE - QtrDC";#N/A,#N/A,TRUE,"DNIE - QtrCI";#N/A,#N/A,TRUE,"DNIE - QtrCC";#N/A,#N/A,TRUE,"DNIE - QtrCDP";#N/A,#N/A,TRUE,"DNIE - QtrCD";#N/A,#N/A,TRUE,"SumDist"}</definedName>
    <definedName name="pppppp" localSheetId="6" hidden="1">{#N/A,#N/A,TRUE,"Sum-FvsT";#N/A,#N/A,TRUE,"Sum-PvsF";#N/A,#N/A,TRUE,"SumYrExp";#N/A,#N/A,TRUE,"DNIE - QtrDC";#N/A,#N/A,TRUE,"DNIE - QtrCI";#N/A,#N/A,TRUE,"DNIE - QtrCC";#N/A,#N/A,TRUE,"DNIE - QtrCDP";#N/A,#N/A,TRUE,"DNIE - QtrCD";#N/A,#N/A,TRUE,"SumDist"}</definedName>
    <definedName name="pppppp" localSheetId="5" hidden="1">{#N/A,#N/A,TRUE,"Sum-FvsT";#N/A,#N/A,TRUE,"Sum-PvsF";#N/A,#N/A,TRUE,"SumYrExp";#N/A,#N/A,TRUE,"DNIE - QtrDC";#N/A,#N/A,TRUE,"DNIE - QtrCI";#N/A,#N/A,TRUE,"DNIE - QtrCC";#N/A,#N/A,TRUE,"DNIE - QtrCDP";#N/A,#N/A,TRUE,"DNIE - QtrCD";#N/A,#N/A,TRUE,"SumDist"}</definedName>
    <definedName name="pppppp" localSheetId="11" hidden="1">{#N/A,#N/A,TRUE,"Sum-FvsT";#N/A,#N/A,TRUE,"Sum-PvsF";#N/A,#N/A,TRUE,"SumYrExp";#N/A,#N/A,TRUE,"DNIE - QtrDC";#N/A,#N/A,TRUE,"DNIE - QtrCI";#N/A,#N/A,TRUE,"DNIE - QtrCC";#N/A,#N/A,TRUE,"DNIE - QtrCDP";#N/A,#N/A,TRUE,"DNIE - QtrCD";#N/A,#N/A,TRUE,"SumDist"}</definedName>
    <definedName name="pppppp" hidden="1">{#N/A,#N/A,TRUE,"Sum-FvsT";#N/A,#N/A,TRUE,"Sum-PvsF";#N/A,#N/A,TRUE,"SumYrExp";#N/A,#N/A,TRUE,"DNIE - QtrDC";#N/A,#N/A,TRUE,"DNIE - QtrCI";#N/A,#N/A,TRUE,"DNIE - QtrCC";#N/A,#N/A,TRUE,"DNIE - QtrCDP";#N/A,#N/A,TRUE,"DNIE - QtrCD";#N/A,#N/A,TRUE,"SumDist"}</definedName>
    <definedName name="pppppp_1" localSheetId="23" hidden="1">{#N/A,#N/A,TRUE,"Sum-FvsT";#N/A,#N/A,TRUE,"Sum-PvsF";#N/A,#N/A,TRUE,"SumYrExp";#N/A,#N/A,TRUE,"DNIE - QtrDC";#N/A,#N/A,TRUE,"DNIE - QtrCI";#N/A,#N/A,TRUE,"DNIE - QtrCC";#N/A,#N/A,TRUE,"DNIE - QtrCDP";#N/A,#N/A,TRUE,"DNIE - QtrCD";#N/A,#N/A,TRUE,"SumDist"}</definedName>
    <definedName name="pppppp_1" localSheetId="12" hidden="1">{#N/A,#N/A,TRUE,"Sum-FvsT";#N/A,#N/A,TRUE,"Sum-PvsF";#N/A,#N/A,TRUE,"SumYrExp";#N/A,#N/A,TRUE,"DNIE - QtrDC";#N/A,#N/A,TRUE,"DNIE - QtrCI";#N/A,#N/A,TRUE,"DNIE - QtrCC";#N/A,#N/A,TRUE,"DNIE - QtrCDP";#N/A,#N/A,TRUE,"DNIE - QtrCD";#N/A,#N/A,TRUE,"SumDist"}</definedName>
    <definedName name="pppppp_1" localSheetId="6" hidden="1">{#N/A,#N/A,TRUE,"Sum-FvsT";#N/A,#N/A,TRUE,"Sum-PvsF";#N/A,#N/A,TRUE,"SumYrExp";#N/A,#N/A,TRUE,"DNIE - QtrDC";#N/A,#N/A,TRUE,"DNIE - QtrCI";#N/A,#N/A,TRUE,"DNIE - QtrCC";#N/A,#N/A,TRUE,"DNIE - QtrCDP";#N/A,#N/A,TRUE,"DNIE - QtrCD";#N/A,#N/A,TRUE,"SumDist"}</definedName>
    <definedName name="pppppp_1" localSheetId="11" hidden="1">{#N/A,#N/A,TRUE,"Sum-FvsT";#N/A,#N/A,TRUE,"Sum-PvsF";#N/A,#N/A,TRUE,"SumYrExp";#N/A,#N/A,TRUE,"DNIE - QtrDC";#N/A,#N/A,TRUE,"DNIE - QtrCI";#N/A,#N/A,TRUE,"DNIE - QtrCC";#N/A,#N/A,TRUE,"DNIE - QtrCDP";#N/A,#N/A,TRUE,"DNIE - QtrCD";#N/A,#N/A,TRUE,"SumDist"}</definedName>
    <definedName name="pppppp_1" hidden="1">{#N/A,#N/A,TRUE,"Sum-FvsT";#N/A,#N/A,TRUE,"Sum-PvsF";#N/A,#N/A,TRUE,"SumYrExp";#N/A,#N/A,TRUE,"DNIE - QtrDC";#N/A,#N/A,TRUE,"DNIE - QtrCI";#N/A,#N/A,TRUE,"DNIE - QtrCC";#N/A,#N/A,TRUE,"DNIE - QtrCDP";#N/A,#N/A,TRUE,"DNIE - QtrCD";#N/A,#N/A,TRUE,"SumDist"}</definedName>
    <definedName name="ppppppp" localSheetId="23" hidden="1">{#N/A,#N/A,TRUE,"Sum-FvsT";#N/A,#N/A,TRUE,"Sum-PvsF";#N/A,#N/A,TRUE,"SumYrExp";#N/A,#N/A,TRUE,"DNIE - QtrDC";#N/A,#N/A,TRUE,"DNIE - QtrCI";#N/A,#N/A,TRUE,"DNIE - QtrCC";#N/A,#N/A,TRUE,"DNIE - QtrCDP";#N/A,#N/A,TRUE,"DNIE - QtrCD";#N/A,#N/A,TRUE,"SumDist"}</definedName>
    <definedName name="ppppppp" localSheetId="1" hidden="1">{#N/A,#N/A,TRUE,"Sum-FvsT";#N/A,#N/A,TRUE,"Sum-PvsF";#N/A,#N/A,TRUE,"SumYrExp";#N/A,#N/A,TRUE,"DNIE - QtrDC";#N/A,#N/A,TRUE,"DNIE - QtrCI";#N/A,#N/A,TRUE,"DNIE - QtrCC";#N/A,#N/A,TRUE,"DNIE - QtrCDP";#N/A,#N/A,TRUE,"DNIE - QtrCD";#N/A,#N/A,TRUE,"SumDist"}</definedName>
    <definedName name="ppppppp" localSheetId="14" hidden="1">{#N/A,#N/A,TRUE,"Sum-FvsT";#N/A,#N/A,TRUE,"Sum-PvsF";#N/A,#N/A,TRUE,"SumYrExp";#N/A,#N/A,TRUE,"DNIE - QtrDC";#N/A,#N/A,TRUE,"DNIE - QtrCI";#N/A,#N/A,TRUE,"DNIE - QtrCC";#N/A,#N/A,TRUE,"DNIE - QtrCDP";#N/A,#N/A,TRUE,"DNIE - QtrCD";#N/A,#N/A,TRUE,"SumDist"}</definedName>
    <definedName name="ppppppp" localSheetId="12" hidden="1">{#N/A,#N/A,TRUE,"Sum-FvsT";#N/A,#N/A,TRUE,"Sum-PvsF";#N/A,#N/A,TRUE,"SumYrExp";#N/A,#N/A,TRUE,"DNIE - QtrDC";#N/A,#N/A,TRUE,"DNIE - QtrCI";#N/A,#N/A,TRUE,"DNIE - QtrCC";#N/A,#N/A,TRUE,"DNIE - QtrCDP";#N/A,#N/A,TRUE,"DNIE - QtrCD";#N/A,#N/A,TRUE,"SumDist"}</definedName>
    <definedName name="ppppppp" localSheetId="6" hidden="1">{#N/A,#N/A,TRUE,"Sum-FvsT";#N/A,#N/A,TRUE,"Sum-PvsF";#N/A,#N/A,TRUE,"SumYrExp";#N/A,#N/A,TRUE,"DNIE - QtrDC";#N/A,#N/A,TRUE,"DNIE - QtrCI";#N/A,#N/A,TRUE,"DNIE - QtrCC";#N/A,#N/A,TRUE,"DNIE - QtrCDP";#N/A,#N/A,TRUE,"DNIE - QtrCD";#N/A,#N/A,TRUE,"SumDist"}</definedName>
    <definedName name="ppppppp" localSheetId="5" hidden="1">{#N/A,#N/A,TRUE,"Sum-FvsT";#N/A,#N/A,TRUE,"Sum-PvsF";#N/A,#N/A,TRUE,"SumYrExp";#N/A,#N/A,TRUE,"DNIE - QtrDC";#N/A,#N/A,TRUE,"DNIE - QtrCI";#N/A,#N/A,TRUE,"DNIE - QtrCC";#N/A,#N/A,TRUE,"DNIE - QtrCDP";#N/A,#N/A,TRUE,"DNIE - QtrCD";#N/A,#N/A,TRUE,"SumDist"}</definedName>
    <definedName name="ppppppp" localSheetId="11" hidden="1">{#N/A,#N/A,TRUE,"Sum-FvsT";#N/A,#N/A,TRUE,"Sum-PvsF";#N/A,#N/A,TRUE,"SumYrExp";#N/A,#N/A,TRUE,"DNIE - QtrDC";#N/A,#N/A,TRUE,"DNIE - QtrCI";#N/A,#N/A,TRUE,"DNIE - QtrCC";#N/A,#N/A,TRUE,"DNIE - QtrCDP";#N/A,#N/A,TRUE,"DNIE - QtrCD";#N/A,#N/A,TRUE,"SumDist"}</definedName>
    <definedName name="ppppppp" hidden="1">{#N/A,#N/A,TRUE,"Sum-FvsT";#N/A,#N/A,TRUE,"Sum-PvsF";#N/A,#N/A,TRUE,"SumYrExp";#N/A,#N/A,TRUE,"DNIE - QtrDC";#N/A,#N/A,TRUE,"DNIE - QtrCI";#N/A,#N/A,TRUE,"DNIE - QtrCC";#N/A,#N/A,TRUE,"DNIE - QtrCDP";#N/A,#N/A,TRUE,"DNIE - QtrCD";#N/A,#N/A,TRUE,"SumDist"}</definedName>
    <definedName name="ppppppp_1" localSheetId="23" hidden="1">{#N/A,#N/A,TRUE,"Sum-FvsT";#N/A,#N/A,TRUE,"Sum-PvsF";#N/A,#N/A,TRUE,"SumYrExp";#N/A,#N/A,TRUE,"DNIE - QtrDC";#N/A,#N/A,TRUE,"DNIE - QtrCI";#N/A,#N/A,TRUE,"DNIE - QtrCC";#N/A,#N/A,TRUE,"DNIE - QtrCDP";#N/A,#N/A,TRUE,"DNIE - QtrCD";#N/A,#N/A,TRUE,"SumDist"}</definedName>
    <definedName name="ppppppp_1" localSheetId="12" hidden="1">{#N/A,#N/A,TRUE,"Sum-FvsT";#N/A,#N/A,TRUE,"Sum-PvsF";#N/A,#N/A,TRUE,"SumYrExp";#N/A,#N/A,TRUE,"DNIE - QtrDC";#N/A,#N/A,TRUE,"DNIE - QtrCI";#N/A,#N/A,TRUE,"DNIE - QtrCC";#N/A,#N/A,TRUE,"DNIE - QtrCDP";#N/A,#N/A,TRUE,"DNIE - QtrCD";#N/A,#N/A,TRUE,"SumDist"}</definedName>
    <definedName name="ppppppp_1" localSheetId="6" hidden="1">{#N/A,#N/A,TRUE,"Sum-FvsT";#N/A,#N/A,TRUE,"Sum-PvsF";#N/A,#N/A,TRUE,"SumYrExp";#N/A,#N/A,TRUE,"DNIE - QtrDC";#N/A,#N/A,TRUE,"DNIE - QtrCI";#N/A,#N/A,TRUE,"DNIE - QtrCC";#N/A,#N/A,TRUE,"DNIE - QtrCDP";#N/A,#N/A,TRUE,"DNIE - QtrCD";#N/A,#N/A,TRUE,"SumDist"}</definedName>
    <definedName name="ppppppp_1" localSheetId="11" hidden="1">{#N/A,#N/A,TRUE,"Sum-FvsT";#N/A,#N/A,TRUE,"Sum-PvsF";#N/A,#N/A,TRUE,"SumYrExp";#N/A,#N/A,TRUE,"DNIE - QtrDC";#N/A,#N/A,TRUE,"DNIE - QtrCI";#N/A,#N/A,TRUE,"DNIE - QtrCC";#N/A,#N/A,TRUE,"DNIE - QtrCDP";#N/A,#N/A,TRUE,"DNIE - QtrCD";#N/A,#N/A,TRUE,"SumDist"}</definedName>
    <definedName name="ppppppp_1" hidden="1">{#N/A,#N/A,TRUE,"Sum-FvsT";#N/A,#N/A,TRUE,"Sum-PvsF";#N/A,#N/A,TRUE,"SumYrExp";#N/A,#N/A,TRUE,"DNIE - QtrDC";#N/A,#N/A,TRUE,"DNIE - QtrCI";#N/A,#N/A,TRUE,"DNIE - QtrCC";#N/A,#N/A,TRUE,"DNIE - QtrCDP";#N/A,#N/A,TRUE,"DNIE - QtrCD";#N/A,#N/A,TRUE,"SumDist"}</definedName>
    <definedName name="pppppppp" localSheetId="23" hidden="1">{#N/A,#N/A,TRUE,"Sum-FvsT";#N/A,#N/A,TRUE,"Sum-PvsF";#N/A,#N/A,TRUE,"SumYrExp";#N/A,#N/A,TRUE,"DNIE - QtrDC";#N/A,#N/A,TRUE,"DNIE - QtrCI";#N/A,#N/A,TRUE,"DNIE - QtrCC";#N/A,#N/A,TRUE,"DNIE - QtrCDP";#N/A,#N/A,TRUE,"DNIE - QtrCD";#N/A,#N/A,TRUE,"SumDist"}</definedName>
    <definedName name="pppppppp" localSheetId="1" hidden="1">{#N/A,#N/A,TRUE,"Sum-FvsT";#N/A,#N/A,TRUE,"Sum-PvsF";#N/A,#N/A,TRUE,"SumYrExp";#N/A,#N/A,TRUE,"DNIE - QtrDC";#N/A,#N/A,TRUE,"DNIE - QtrCI";#N/A,#N/A,TRUE,"DNIE - QtrCC";#N/A,#N/A,TRUE,"DNIE - QtrCDP";#N/A,#N/A,TRUE,"DNIE - QtrCD";#N/A,#N/A,TRUE,"SumDist"}</definedName>
    <definedName name="pppppppp" localSheetId="14" hidden="1">{#N/A,#N/A,TRUE,"Sum-FvsT";#N/A,#N/A,TRUE,"Sum-PvsF";#N/A,#N/A,TRUE,"SumYrExp";#N/A,#N/A,TRUE,"DNIE - QtrDC";#N/A,#N/A,TRUE,"DNIE - QtrCI";#N/A,#N/A,TRUE,"DNIE - QtrCC";#N/A,#N/A,TRUE,"DNIE - QtrCDP";#N/A,#N/A,TRUE,"DNIE - QtrCD";#N/A,#N/A,TRUE,"SumDist"}</definedName>
    <definedName name="pppppppp" localSheetId="12" hidden="1">{#N/A,#N/A,TRUE,"Sum-FvsT";#N/A,#N/A,TRUE,"Sum-PvsF";#N/A,#N/A,TRUE,"SumYrExp";#N/A,#N/A,TRUE,"DNIE - QtrDC";#N/A,#N/A,TRUE,"DNIE - QtrCI";#N/A,#N/A,TRUE,"DNIE - QtrCC";#N/A,#N/A,TRUE,"DNIE - QtrCDP";#N/A,#N/A,TRUE,"DNIE - QtrCD";#N/A,#N/A,TRUE,"SumDist"}</definedName>
    <definedName name="pppppppp" localSheetId="6" hidden="1">{#N/A,#N/A,TRUE,"Sum-FvsT";#N/A,#N/A,TRUE,"Sum-PvsF";#N/A,#N/A,TRUE,"SumYrExp";#N/A,#N/A,TRUE,"DNIE - QtrDC";#N/A,#N/A,TRUE,"DNIE - QtrCI";#N/A,#N/A,TRUE,"DNIE - QtrCC";#N/A,#N/A,TRUE,"DNIE - QtrCDP";#N/A,#N/A,TRUE,"DNIE - QtrCD";#N/A,#N/A,TRUE,"SumDist"}</definedName>
    <definedName name="pppppppp" localSheetId="5" hidden="1">{#N/A,#N/A,TRUE,"Sum-FvsT";#N/A,#N/A,TRUE,"Sum-PvsF";#N/A,#N/A,TRUE,"SumYrExp";#N/A,#N/A,TRUE,"DNIE - QtrDC";#N/A,#N/A,TRUE,"DNIE - QtrCI";#N/A,#N/A,TRUE,"DNIE - QtrCC";#N/A,#N/A,TRUE,"DNIE - QtrCDP";#N/A,#N/A,TRUE,"DNIE - QtrCD";#N/A,#N/A,TRUE,"SumDist"}</definedName>
    <definedName name="pppppppp" localSheetId="11" hidden="1">{#N/A,#N/A,TRUE,"Sum-FvsT";#N/A,#N/A,TRUE,"Sum-PvsF";#N/A,#N/A,TRUE,"SumYrExp";#N/A,#N/A,TRUE,"DNIE - QtrDC";#N/A,#N/A,TRUE,"DNIE - QtrCI";#N/A,#N/A,TRUE,"DNIE - QtrCC";#N/A,#N/A,TRUE,"DNIE - QtrCDP";#N/A,#N/A,TRUE,"DNIE - QtrCD";#N/A,#N/A,TRUE,"SumDist"}</definedName>
    <definedName name="pppppppp" hidden="1">{#N/A,#N/A,TRUE,"Sum-FvsT";#N/A,#N/A,TRUE,"Sum-PvsF";#N/A,#N/A,TRUE,"SumYrExp";#N/A,#N/A,TRUE,"DNIE - QtrDC";#N/A,#N/A,TRUE,"DNIE - QtrCI";#N/A,#N/A,TRUE,"DNIE - QtrCC";#N/A,#N/A,TRUE,"DNIE - QtrCDP";#N/A,#N/A,TRUE,"DNIE - QtrCD";#N/A,#N/A,TRUE,"SumDist"}</definedName>
    <definedName name="pppppppp_1" localSheetId="23" hidden="1">{#N/A,#N/A,TRUE,"Sum-FvsT";#N/A,#N/A,TRUE,"Sum-PvsF";#N/A,#N/A,TRUE,"SumYrExp";#N/A,#N/A,TRUE,"DNIE - QtrDC";#N/A,#N/A,TRUE,"DNIE - QtrCI";#N/A,#N/A,TRUE,"DNIE - QtrCC";#N/A,#N/A,TRUE,"DNIE - QtrCDP";#N/A,#N/A,TRUE,"DNIE - QtrCD";#N/A,#N/A,TRUE,"SumDist"}</definedName>
    <definedName name="pppppppp_1" localSheetId="12" hidden="1">{#N/A,#N/A,TRUE,"Sum-FvsT";#N/A,#N/A,TRUE,"Sum-PvsF";#N/A,#N/A,TRUE,"SumYrExp";#N/A,#N/A,TRUE,"DNIE - QtrDC";#N/A,#N/A,TRUE,"DNIE - QtrCI";#N/A,#N/A,TRUE,"DNIE - QtrCC";#N/A,#N/A,TRUE,"DNIE - QtrCDP";#N/A,#N/A,TRUE,"DNIE - QtrCD";#N/A,#N/A,TRUE,"SumDist"}</definedName>
    <definedName name="pppppppp_1" localSheetId="6" hidden="1">{#N/A,#N/A,TRUE,"Sum-FvsT";#N/A,#N/A,TRUE,"Sum-PvsF";#N/A,#N/A,TRUE,"SumYrExp";#N/A,#N/A,TRUE,"DNIE - QtrDC";#N/A,#N/A,TRUE,"DNIE - QtrCI";#N/A,#N/A,TRUE,"DNIE - QtrCC";#N/A,#N/A,TRUE,"DNIE - QtrCDP";#N/A,#N/A,TRUE,"DNIE - QtrCD";#N/A,#N/A,TRUE,"SumDist"}</definedName>
    <definedName name="pppppppp_1" localSheetId="11" hidden="1">{#N/A,#N/A,TRUE,"Sum-FvsT";#N/A,#N/A,TRUE,"Sum-PvsF";#N/A,#N/A,TRUE,"SumYrExp";#N/A,#N/A,TRUE,"DNIE - QtrDC";#N/A,#N/A,TRUE,"DNIE - QtrCI";#N/A,#N/A,TRUE,"DNIE - QtrCC";#N/A,#N/A,TRUE,"DNIE - QtrCDP";#N/A,#N/A,TRUE,"DNIE - QtrCD";#N/A,#N/A,TRUE,"SumDist"}</definedName>
    <definedName name="pppppppp_1" hidden="1">{#N/A,#N/A,TRUE,"Sum-FvsT";#N/A,#N/A,TRUE,"Sum-PvsF";#N/A,#N/A,TRUE,"SumYrExp";#N/A,#N/A,TRUE,"DNIE - QtrDC";#N/A,#N/A,TRUE,"DNIE - QtrCI";#N/A,#N/A,TRUE,"DNIE - QtrCC";#N/A,#N/A,TRUE,"DNIE - QtrCDP";#N/A,#N/A,TRUE,"DNIE - QtrCD";#N/A,#N/A,TRUE,"SumDist"}</definedName>
    <definedName name="SID" hidden="1">"Cpavan"</definedName>
    <definedName name="Slicer_Category">#N/A</definedName>
    <definedName name="Slicer_Product_Name">#N/A</definedName>
    <definedName name="Slicer_Sku">#N/A</definedName>
    <definedName name="SPWD" hidden="1">"pepsico"</definedName>
    <definedName name="stiff" localSheetId="23" hidden="1">{#N/A,#N/A,TRUE,"Sum-FvsT";#N/A,#N/A,TRUE,"Sum-PvsF";#N/A,#N/A,TRUE,"SumYrExp";#N/A,#N/A,TRUE,"DNIE - QtrDC";#N/A,#N/A,TRUE,"DNIE - QtrCI";#N/A,#N/A,TRUE,"DNIE - QtrCC";#N/A,#N/A,TRUE,"DNIE - QtrCDP";#N/A,#N/A,TRUE,"DNIE - QtrCD";#N/A,#N/A,TRUE,"SumDist"}</definedName>
    <definedName name="stiff" localSheetId="1" hidden="1">{#N/A,#N/A,TRUE,"Sum-FvsT";#N/A,#N/A,TRUE,"Sum-PvsF";#N/A,#N/A,TRUE,"SumYrExp";#N/A,#N/A,TRUE,"DNIE - QtrDC";#N/A,#N/A,TRUE,"DNIE - QtrCI";#N/A,#N/A,TRUE,"DNIE - QtrCC";#N/A,#N/A,TRUE,"DNIE - QtrCDP";#N/A,#N/A,TRUE,"DNIE - QtrCD";#N/A,#N/A,TRUE,"SumDist"}</definedName>
    <definedName name="stiff" localSheetId="14" hidden="1">{#N/A,#N/A,TRUE,"Sum-FvsT";#N/A,#N/A,TRUE,"Sum-PvsF";#N/A,#N/A,TRUE,"SumYrExp";#N/A,#N/A,TRUE,"DNIE - QtrDC";#N/A,#N/A,TRUE,"DNIE - QtrCI";#N/A,#N/A,TRUE,"DNIE - QtrCC";#N/A,#N/A,TRUE,"DNIE - QtrCDP";#N/A,#N/A,TRUE,"DNIE - QtrCD";#N/A,#N/A,TRUE,"SumDist"}</definedName>
    <definedName name="stiff" localSheetId="12" hidden="1">{#N/A,#N/A,TRUE,"Sum-FvsT";#N/A,#N/A,TRUE,"Sum-PvsF";#N/A,#N/A,TRUE,"SumYrExp";#N/A,#N/A,TRUE,"DNIE - QtrDC";#N/A,#N/A,TRUE,"DNIE - QtrCI";#N/A,#N/A,TRUE,"DNIE - QtrCC";#N/A,#N/A,TRUE,"DNIE - QtrCDP";#N/A,#N/A,TRUE,"DNIE - QtrCD";#N/A,#N/A,TRUE,"SumDist"}</definedName>
    <definedName name="stiff" localSheetId="6" hidden="1">{#N/A,#N/A,TRUE,"Sum-FvsT";#N/A,#N/A,TRUE,"Sum-PvsF";#N/A,#N/A,TRUE,"SumYrExp";#N/A,#N/A,TRUE,"DNIE - QtrDC";#N/A,#N/A,TRUE,"DNIE - QtrCI";#N/A,#N/A,TRUE,"DNIE - QtrCC";#N/A,#N/A,TRUE,"DNIE - QtrCDP";#N/A,#N/A,TRUE,"DNIE - QtrCD";#N/A,#N/A,TRUE,"SumDist"}</definedName>
    <definedName name="stiff" localSheetId="5" hidden="1">{#N/A,#N/A,TRUE,"Sum-FvsT";#N/A,#N/A,TRUE,"Sum-PvsF";#N/A,#N/A,TRUE,"SumYrExp";#N/A,#N/A,TRUE,"DNIE - QtrDC";#N/A,#N/A,TRUE,"DNIE - QtrCI";#N/A,#N/A,TRUE,"DNIE - QtrCC";#N/A,#N/A,TRUE,"DNIE - QtrCDP";#N/A,#N/A,TRUE,"DNIE - QtrCD";#N/A,#N/A,TRUE,"SumDist"}</definedName>
    <definedName name="stiff" localSheetId="11" hidden="1">{#N/A,#N/A,TRUE,"Sum-FvsT";#N/A,#N/A,TRUE,"Sum-PvsF";#N/A,#N/A,TRUE,"SumYrExp";#N/A,#N/A,TRUE,"DNIE - QtrDC";#N/A,#N/A,TRUE,"DNIE - QtrCI";#N/A,#N/A,TRUE,"DNIE - QtrCC";#N/A,#N/A,TRUE,"DNIE - QtrCDP";#N/A,#N/A,TRUE,"DNIE - QtrCD";#N/A,#N/A,TRUE,"SumDist"}</definedName>
    <definedName name="stiff" hidden="1">{#N/A,#N/A,TRUE,"Sum-FvsT";#N/A,#N/A,TRUE,"Sum-PvsF";#N/A,#N/A,TRUE,"SumYrExp";#N/A,#N/A,TRUE,"DNIE - QtrDC";#N/A,#N/A,TRUE,"DNIE - QtrCI";#N/A,#N/A,TRUE,"DNIE - QtrCC";#N/A,#N/A,TRUE,"DNIE - QtrCDP";#N/A,#N/A,TRUE,"DNIE - QtrCD";#N/A,#N/A,TRUE,"SumDist"}</definedName>
    <definedName name="stiff_1" localSheetId="23" hidden="1">{#N/A,#N/A,TRUE,"Sum-FvsT";#N/A,#N/A,TRUE,"Sum-PvsF";#N/A,#N/A,TRUE,"SumYrExp";#N/A,#N/A,TRUE,"DNIE - QtrDC";#N/A,#N/A,TRUE,"DNIE - QtrCI";#N/A,#N/A,TRUE,"DNIE - QtrCC";#N/A,#N/A,TRUE,"DNIE - QtrCDP";#N/A,#N/A,TRUE,"DNIE - QtrCD";#N/A,#N/A,TRUE,"SumDist"}</definedName>
    <definedName name="stiff_1" localSheetId="12" hidden="1">{#N/A,#N/A,TRUE,"Sum-FvsT";#N/A,#N/A,TRUE,"Sum-PvsF";#N/A,#N/A,TRUE,"SumYrExp";#N/A,#N/A,TRUE,"DNIE - QtrDC";#N/A,#N/A,TRUE,"DNIE - QtrCI";#N/A,#N/A,TRUE,"DNIE - QtrCC";#N/A,#N/A,TRUE,"DNIE - QtrCDP";#N/A,#N/A,TRUE,"DNIE - QtrCD";#N/A,#N/A,TRUE,"SumDist"}</definedName>
    <definedName name="stiff_1" localSheetId="6" hidden="1">{#N/A,#N/A,TRUE,"Sum-FvsT";#N/A,#N/A,TRUE,"Sum-PvsF";#N/A,#N/A,TRUE,"SumYrExp";#N/A,#N/A,TRUE,"DNIE - QtrDC";#N/A,#N/A,TRUE,"DNIE - QtrCI";#N/A,#N/A,TRUE,"DNIE - QtrCC";#N/A,#N/A,TRUE,"DNIE - QtrCDP";#N/A,#N/A,TRUE,"DNIE - QtrCD";#N/A,#N/A,TRUE,"SumDist"}</definedName>
    <definedName name="stiff_1" localSheetId="11" hidden="1">{#N/A,#N/A,TRUE,"Sum-FvsT";#N/A,#N/A,TRUE,"Sum-PvsF";#N/A,#N/A,TRUE,"SumYrExp";#N/A,#N/A,TRUE,"DNIE - QtrDC";#N/A,#N/A,TRUE,"DNIE - QtrCI";#N/A,#N/A,TRUE,"DNIE - QtrCC";#N/A,#N/A,TRUE,"DNIE - QtrCDP";#N/A,#N/A,TRUE,"DNIE - QtrCD";#N/A,#N/A,TRUE,"SumDist"}</definedName>
    <definedName name="stiff_1" hidden="1">{#N/A,#N/A,TRUE,"Sum-FvsT";#N/A,#N/A,TRUE,"Sum-PvsF";#N/A,#N/A,TRUE,"SumYrExp";#N/A,#N/A,TRUE,"DNIE - QtrDC";#N/A,#N/A,TRUE,"DNIE - QtrCI";#N/A,#N/A,TRUE,"DNIE - QtrCC";#N/A,#N/A,TRUE,"DNIE - QtrCDP";#N/A,#N/A,TRUE,"DNIE - QtrCD";#N/A,#N/A,TRUE,"SumDist"}</definedName>
    <definedName name="uu" localSheetId="23" hidden="1">{#N/A,#N/A,TRUE,"Sum-FvsT";#N/A,#N/A,TRUE,"Sum-PvsF";#N/A,#N/A,TRUE,"SumYrExp";#N/A,#N/A,TRUE,"DNIE - QtrDC";#N/A,#N/A,TRUE,"DNIE - QtrCI";#N/A,#N/A,TRUE,"DNIE - QtrCC";#N/A,#N/A,TRUE,"DNIE - QtrCDP";#N/A,#N/A,TRUE,"DNIE - QtrCD";#N/A,#N/A,TRUE,"SumDist"}</definedName>
    <definedName name="uu" localSheetId="1" hidden="1">{#N/A,#N/A,TRUE,"Sum-FvsT";#N/A,#N/A,TRUE,"Sum-PvsF";#N/A,#N/A,TRUE,"SumYrExp";#N/A,#N/A,TRUE,"DNIE - QtrDC";#N/A,#N/A,TRUE,"DNIE - QtrCI";#N/A,#N/A,TRUE,"DNIE - QtrCC";#N/A,#N/A,TRUE,"DNIE - QtrCDP";#N/A,#N/A,TRUE,"DNIE - QtrCD";#N/A,#N/A,TRUE,"SumDist"}</definedName>
    <definedName name="uu" localSheetId="14" hidden="1">{#N/A,#N/A,TRUE,"Sum-FvsT";#N/A,#N/A,TRUE,"Sum-PvsF";#N/A,#N/A,TRUE,"SumYrExp";#N/A,#N/A,TRUE,"DNIE - QtrDC";#N/A,#N/A,TRUE,"DNIE - QtrCI";#N/A,#N/A,TRUE,"DNIE - QtrCC";#N/A,#N/A,TRUE,"DNIE - QtrCDP";#N/A,#N/A,TRUE,"DNIE - QtrCD";#N/A,#N/A,TRUE,"SumDist"}</definedName>
    <definedName name="uu" localSheetId="12" hidden="1">{#N/A,#N/A,TRUE,"Sum-FvsT";#N/A,#N/A,TRUE,"Sum-PvsF";#N/A,#N/A,TRUE,"SumYrExp";#N/A,#N/A,TRUE,"DNIE - QtrDC";#N/A,#N/A,TRUE,"DNIE - QtrCI";#N/A,#N/A,TRUE,"DNIE - QtrCC";#N/A,#N/A,TRUE,"DNIE - QtrCDP";#N/A,#N/A,TRUE,"DNIE - QtrCD";#N/A,#N/A,TRUE,"SumDist"}</definedName>
    <definedName name="uu" localSheetId="6" hidden="1">{#N/A,#N/A,TRUE,"Sum-FvsT";#N/A,#N/A,TRUE,"Sum-PvsF";#N/A,#N/A,TRUE,"SumYrExp";#N/A,#N/A,TRUE,"DNIE - QtrDC";#N/A,#N/A,TRUE,"DNIE - QtrCI";#N/A,#N/A,TRUE,"DNIE - QtrCC";#N/A,#N/A,TRUE,"DNIE - QtrCDP";#N/A,#N/A,TRUE,"DNIE - QtrCD";#N/A,#N/A,TRUE,"SumDist"}</definedName>
    <definedName name="uu" localSheetId="5" hidden="1">{#N/A,#N/A,TRUE,"Sum-FvsT";#N/A,#N/A,TRUE,"Sum-PvsF";#N/A,#N/A,TRUE,"SumYrExp";#N/A,#N/A,TRUE,"DNIE - QtrDC";#N/A,#N/A,TRUE,"DNIE - QtrCI";#N/A,#N/A,TRUE,"DNIE - QtrCC";#N/A,#N/A,TRUE,"DNIE - QtrCDP";#N/A,#N/A,TRUE,"DNIE - QtrCD";#N/A,#N/A,TRUE,"SumDist"}</definedName>
    <definedName name="uu" localSheetId="11" hidden="1">{#N/A,#N/A,TRUE,"Sum-FvsT";#N/A,#N/A,TRUE,"Sum-PvsF";#N/A,#N/A,TRUE,"SumYrExp";#N/A,#N/A,TRUE,"DNIE - QtrDC";#N/A,#N/A,TRUE,"DNIE - QtrCI";#N/A,#N/A,TRUE,"DNIE - QtrCC";#N/A,#N/A,TRUE,"DNIE - QtrCDP";#N/A,#N/A,TRUE,"DNIE - QtrCD";#N/A,#N/A,TRUE,"SumDist"}</definedName>
    <definedName name="uu" hidden="1">{#N/A,#N/A,TRUE,"Sum-FvsT";#N/A,#N/A,TRUE,"Sum-PvsF";#N/A,#N/A,TRUE,"SumYrExp";#N/A,#N/A,TRUE,"DNIE - QtrDC";#N/A,#N/A,TRUE,"DNIE - QtrCI";#N/A,#N/A,TRUE,"DNIE - QtrCC";#N/A,#N/A,TRUE,"DNIE - QtrCDP";#N/A,#N/A,TRUE,"DNIE - QtrCD";#N/A,#N/A,TRUE,"SumDist"}</definedName>
    <definedName name="uu_1" localSheetId="23" hidden="1">{#N/A,#N/A,TRUE,"Sum-FvsT";#N/A,#N/A,TRUE,"Sum-PvsF";#N/A,#N/A,TRUE,"SumYrExp";#N/A,#N/A,TRUE,"DNIE - QtrDC";#N/A,#N/A,TRUE,"DNIE - QtrCI";#N/A,#N/A,TRUE,"DNIE - QtrCC";#N/A,#N/A,TRUE,"DNIE - QtrCDP";#N/A,#N/A,TRUE,"DNIE - QtrCD";#N/A,#N/A,TRUE,"SumDist"}</definedName>
    <definedName name="uu_1" localSheetId="12" hidden="1">{#N/A,#N/A,TRUE,"Sum-FvsT";#N/A,#N/A,TRUE,"Sum-PvsF";#N/A,#N/A,TRUE,"SumYrExp";#N/A,#N/A,TRUE,"DNIE - QtrDC";#N/A,#N/A,TRUE,"DNIE - QtrCI";#N/A,#N/A,TRUE,"DNIE - QtrCC";#N/A,#N/A,TRUE,"DNIE - QtrCDP";#N/A,#N/A,TRUE,"DNIE - QtrCD";#N/A,#N/A,TRUE,"SumDist"}</definedName>
    <definedName name="uu_1" localSheetId="6" hidden="1">{#N/A,#N/A,TRUE,"Sum-FvsT";#N/A,#N/A,TRUE,"Sum-PvsF";#N/A,#N/A,TRUE,"SumYrExp";#N/A,#N/A,TRUE,"DNIE - QtrDC";#N/A,#N/A,TRUE,"DNIE - QtrCI";#N/A,#N/A,TRUE,"DNIE - QtrCC";#N/A,#N/A,TRUE,"DNIE - QtrCDP";#N/A,#N/A,TRUE,"DNIE - QtrCD";#N/A,#N/A,TRUE,"SumDist"}</definedName>
    <definedName name="uu_1" localSheetId="11" hidden="1">{#N/A,#N/A,TRUE,"Sum-FvsT";#N/A,#N/A,TRUE,"Sum-PvsF";#N/A,#N/A,TRUE,"SumYrExp";#N/A,#N/A,TRUE,"DNIE - QtrDC";#N/A,#N/A,TRUE,"DNIE - QtrCI";#N/A,#N/A,TRUE,"DNIE - QtrCC";#N/A,#N/A,TRUE,"DNIE - QtrCDP";#N/A,#N/A,TRUE,"DNIE - QtrCD";#N/A,#N/A,TRUE,"SumDist"}</definedName>
    <definedName name="uu_1" hidden="1">{#N/A,#N/A,TRUE,"Sum-FvsT";#N/A,#N/A,TRUE,"Sum-PvsF";#N/A,#N/A,TRUE,"SumYrExp";#N/A,#N/A,TRUE,"DNIE - QtrDC";#N/A,#N/A,TRUE,"DNIE - QtrCI";#N/A,#N/A,TRUE,"DNIE - QtrCC";#N/A,#N/A,TRUE,"DNIE - QtrCDP";#N/A,#N/A,TRUE,"DNIE - QtrCD";#N/A,#N/A,TRUE,"SumDist"}</definedName>
    <definedName name="uuu" localSheetId="23" hidden="1">{#N/A,#N/A,TRUE,"Sum-FvsT";#N/A,#N/A,TRUE,"Sum-PvsF";#N/A,#N/A,TRUE,"SumYrExp";#N/A,#N/A,TRUE,"DNIE - QtrDC";#N/A,#N/A,TRUE,"DNIE - QtrCI";#N/A,#N/A,TRUE,"DNIE - QtrCC";#N/A,#N/A,TRUE,"DNIE - QtrCDP";#N/A,#N/A,TRUE,"DNIE - QtrCD";#N/A,#N/A,TRUE,"SumDist"}</definedName>
    <definedName name="uuu" localSheetId="1" hidden="1">{#N/A,#N/A,TRUE,"Sum-FvsT";#N/A,#N/A,TRUE,"Sum-PvsF";#N/A,#N/A,TRUE,"SumYrExp";#N/A,#N/A,TRUE,"DNIE - QtrDC";#N/A,#N/A,TRUE,"DNIE - QtrCI";#N/A,#N/A,TRUE,"DNIE - QtrCC";#N/A,#N/A,TRUE,"DNIE - QtrCDP";#N/A,#N/A,TRUE,"DNIE - QtrCD";#N/A,#N/A,TRUE,"SumDist"}</definedName>
    <definedName name="uuu" localSheetId="14" hidden="1">{#N/A,#N/A,TRUE,"Sum-FvsT";#N/A,#N/A,TRUE,"Sum-PvsF";#N/A,#N/A,TRUE,"SumYrExp";#N/A,#N/A,TRUE,"DNIE - QtrDC";#N/A,#N/A,TRUE,"DNIE - QtrCI";#N/A,#N/A,TRUE,"DNIE - QtrCC";#N/A,#N/A,TRUE,"DNIE - QtrCDP";#N/A,#N/A,TRUE,"DNIE - QtrCD";#N/A,#N/A,TRUE,"SumDist"}</definedName>
    <definedName name="uuu" localSheetId="12" hidden="1">{#N/A,#N/A,TRUE,"Sum-FvsT";#N/A,#N/A,TRUE,"Sum-PvsF";#N/A,#N/A,TRUE,"SumYrExp";#N/A,#N/A,TRUE,"DNIE - QtrDC";#N/A,#N/A,TRUE,"DNIE - QtrCI";#N/A,#N/A,TRUE,"DNIE - QtrCC";#N/A,#N/A,TRUE,"DNIE - QtrCDP";#N/A,#N/A,TRUE,"DNIE - QtrCD";#N/A,#N/A,TRUE,"SumDist"}</definedName>
    <definedName name="uuu" localSheetId="6" hidden="1">{#N/A,#N/A,TRUE,"Sum-FvsT";#N/A,#N/A,TRUE,"Sum-PvsF";#N/A,#N/A,TRUE,"SumYrExp";#N/A,#N/A,TRUE,"DNIE - QtrDC";#N/A,#N/A,TRUE,"DNIE - QtrCI";#N/A,#N/A,TRUE,"DNIE - QtrCC";#N/A,#N/A,TRUE,"DNIE - QtrCDP";#N/A,#N/A,TRUE,"DNIE - QtrCD";#N/A,#N/A,TRUE,"SumDist"}</definedName>
    <definedName name="uuu" localSheetId="5" hidden="1">{#N/A,#N/A,TRUE,"Sum-FvsT";#N/A,#N/A,TRUE,"Sum-PvsF";#N/A,#N/A,TRUE,"SumYrExp";#N/A,#N/A,TRUE,"DNIE - QtrDC";#N/A,#N/A,TRUE,"DNIE - QtrCI";#N/A,#N/A,TRUE,"DNIE - QtrCC";#N/A,#N/A,TRUE,"DNIE - QtrCDP";#N/A,#N/A,TRUE,"DNIE - QtrCD";#N/A,#N/A,TRUE,"SumDist"}</definedName>
    <definedName name="uuu" localSheetId="11" hidden="1">{#N/A,#N/A,TRUE,"Sum-FvsT";#N/A,#N/A,TRUE,"Sum-PvsF";#N/A,#N/A,TRUE,"SumYrExp";#N/A,#N/A,TRUE,"DNIE - QtrDC";#N/A,#N/A,TRUE,"DNIE - QtrCI";#N/A,#N/A,TRUE,"DNIE - QtrCC";#N/A,#N/A,TRUE,"DNIE - QtrCDP";#N/A,#N/A,TRUE,"DNIE - QtrCD";#N/A,#N/A,TRUE,"SumDist"}</definedName>
    <definedName name="uuu" hidden="1">{#N/A,#N/A,TRUE,"Sum-FvsT";#N/A,#N/A,TRUE,"Sum-PvsF";#N/A,#N/A,TRUE,"SumYrExp";#N/A,#N/A,TRUE,"DNIE - QtrDC";#N/A,#N/A,TRUE,"DNIE - QtrCI";#N/A,#N/A,TRUE,"DNIE - QtrCC";#N/A,#N/A,TRUE,"DNIE - QtrCDP";#N/A,#N/A,TRUE,"DNIE - QtrCD";#N/A,#N/A,TRUE,"SumDist"}</definedName>
    <definedName name="uuu_1" localSheetId="23" hidden="1">{#N/A,#N/A,TRUE,"Sum-FvsT";#N/A,#N/A,TRUE,"Sum-PvsF";#N/A,#N/A,TRUE,"SumYrExp";#N/A,#N/A,TRUE,"DNIE - QtrDC";#N/A,#N/A,TRUE,"DNIE - QtrCI";#N/A,#N/A,TRUE,"DNIE - QtrCC";#N/A,#N/A,TRUE,"DNIE - QtrCDP";#N/A,#N/A,TRUE,"DNIE - QtrCD";#N/A,#N/A,TRUE,"SumDist"}</definedName>
    <definedName name="uuu_1" localSheetId="12" hidden="1">{#N/A,#N/A,TRUE,"Sum-FvsT";#N/A,#N/A,TRUE,"Sum-PvsF";#N/A,#N/A,TRUE,"SumYrExp";#N/A,#N/A,TRUE,"DNIE - QtrDC";#N/A,#N/A,TRUE,"DNIE - QtrCI";#N/A,#N/A,TRUE,"DNIE - QtrCC";#N/A,#N/A,TRUE,"DNIE - QtrCDP";#N/A,#N/A,TRUE,"DNIE - QtrCD";#N/A,#N/A,TRUE,"SumDist"}</definedName>
    <definedName name="uuu_1" localSheetId="6" hidden="1">{#N/A,#N/A,TRUE,"Sum-FvsT";#N/A,#N/A,TRUE,"Sum-PvsF";#N/A,#N/A,TRUE,"SumYrExp";#N/A,#N/A,TRUE,"DNIE - QtrDC";#N/A,#N/A,TRUE,"DNIE - QtrCI";#N/A,#N/A,TRUE,"DNIE - QtrCC";#N/A,#N/A,TRUE,"DNIE - QtrCDP";#N/A,#N/A,TRUE,"DNIE - QtrCD";#N/A,#N/A,TRUE,"SumDist"}</definedName>
    <definedName name="uuu_1" localSheetId="11" hidden="1">{#N/A,#N/A,TRUE,"Sum-FvsT";#N/A,#N/A,TRUE,"Sum-PvsF";#N/A,#N/A,TRUE,"SumYrExp";#N/A,#N/A,TRUE,"DNIE - QtrDC";#N/A,#N/A,TRUE,"DNIE - QtrCI";#N/A,#N/A,TRUE,"DNIE - QtrCC";#N/A,#N/A,TRUE,"DNIE - QtrCDP";#N/A,#N/A,TRUE,"DNIE - QtrCD";#N/A,#N/A,TRUE,"SumDist"}</definedName>
    <definedName name="uuu_1" hidden="1">{#N/A,#N/A,TRUE,"Sum-FvsT";#N/A,#N/A,TRUE,"Sum-PvsF";#N/A,#N/A,TRUE,"SumYrExp";#N/A,#N/A,TRUE,"DNIE - QtrDC";#N/A,#N/A,TRUE,"DNIE - QtrCI";#N/A,#N/A,TRUE,"DNIE - QtrCC";#N/A,#N/A,TRUE,"DNIE - QtrCDP";#N/A,#N/A,TRUE,"DNIE - QtrCD";#N/A,#N/A,TRUE,"SumDist"}</definedName>
    <definedName name="wrn.PLAN98." localSheetId="23" hidden="1">{#N/A,#N/A,TRUE,"Sum-FvsT";#N/A,#N/A,TRUE,"Sum-PvsF";#N/A,#N/A,TRUE,"SumYrExp";#N/A,#N/A,TRUE,"DNIE - QtrDC";#N/A,#N/A,TRUE,"DNIE - QtrCI";#N/A,#N/A,TRUE,"DNIE - QtrCC";#N/A,#N/A,TRUE,"DNIE - QtrCDP";#N/A,#N/A,TRUE,"DNIE - QtrCD";#N/A,#N/A,TRUE,"SumDist"}</definedName>
    <definedName name="wrn.PLAN98." localSheetId="1" hidden="1">{#N/A,#N/A,TRUE,"Sum-FvsT";#N/A,#N/A,TRUE,"Sum-PvsF";#N/A,#N/A,TRUE,"SumYrExp";#N/A,#N/A,TRUE,"DNIE - QtrDC";#N/A,#N/A,TRUE,"DNIE - QtrCI";#N/A,#N/A,TRUE,"DNIE - QtrCC";#N/A,#N/A,TRUE,"DNIE - QtrCDP";#N/A,#N/A,TRUE,"DNIE - QtrCD";#N/A,#N/A,TRUE,"SumDist"}</definedName>
    <definedName name="wrn.PLAN98." localSheetId="14" hidden="1">{#N/A,#N/A,TRUE,"Sum-FvsT";#N/A,#N/A,TRUE,"Sum-PvsF";#N/A,#N/A,TRUE,"SumYrExp";#N/A,#N/A,TRUE,"DNIE - QtrDC";#N/A,#N/A,TRUE,"DNIE - QtrCI";#N/A,#N/A,TRUE,"DNIE - QtrCC";#N/A,#N/A,TRUE,"DNIE - QtrCDP";#N/A,#N/A,TRUE,"DNIE - QtrCD";#N/A,#N/A,TRUE,"SumDist"}</definedName>
    <definedName name="wrn.PLAN98." localSheetId="12" hidden="1">{#N/A,#N/A,TRUE,"Sum-FvsT";#N/A,#N/A,TRUE,"Sum-PvsF";#N/A,#N/A,TRUE,"SumYrExp";#N/A,#N/A,TRUE,"DNIE - QtrDC";#N/A,#N/A,TRUE,"DNIE - QtrCI";#N/A,#N/A,TRUE,"DNIE - QtrCC";#N/A,#N/A,TRUE,"DNIE - QtrCDP";#N/A,#N/A,TRUE,"DNIE - QtrCD";#N/A,#N/A,TRUE,"SumDist"}</definedName>
    <definedName name="wrn.PLAN98." localSheetId="6" hidden="1">{#N/A,#N/A,TRUE,"Sum-FvsT";#N/A,#N/A,TRUE,"Sum-PvsF";#N/A,#N/A,TRUE,"SumYrExp";#N/A,#N/A,TRUE,"DNIE - QtrDC";#N/A,#N/A,TRUE,"DNIE - QtrCI";#N/A,#N/A,TRUE,"DNIE - QtrCC";#N/A,#N/A,TRUE,"DNIE - QtrCDP";#N/A,#N/A,TRUE,"DNIE - QtrCD";#N/A,#N/A,TRUE,"SumDist"}</definedName>
    <definedName name="wrn.PLAN98." localSheetId="5" hidden="1">{#N/A,#N/A,TRUE,"Sum-FvsT";#N/A,#N/A,TRUE,"Sum-PvsF";#N/A,#N/A,TRUE,"SumYrExp";#N/A,#N/A,TRUE,"DNIE - QtrDC";#N/A,#N/A,TRUE,"DNIE - QtrCI";#N/A,#N/A,TRUE,"DNIE - QtrCC";#N/A,#N/A,TRUE,"DNIE - QtrCDP";#N/A,#N/A,TRUE,"DNIE - QtrCD";#N/A,#N/A,TRUE,"SumDist"}</definedName>
    <definedName name="wrn.PLAN98." localSheetId="11" hidden="1">{#N/A,#N/A,TRUE,"Sum-FvsT";#N/A,#N/A,TRUE,"Sum-PvsF";#N/A,#N/A,TRUE,"SumYrExp";#N/A,#N/A,TRUE,"DNIE - QtrDC";#N/A,#N/A,TRUE,"DNIE - QtrCI";#N/A,#N/A,TRUE,"DNIE - QtrCC";#N/A,#N/A,TRUE,"DNIE - QtrCDP";#N/A,#N/A,TRUE,"DNIE - QtrCD";#N/A,#N/A,TRUE,"SumDist"}</definedName>
    <definedName name="wrn.PLAN98." hidden="1">{#N/A,#N/A,TRUE,"Sum-FvsT";#N/A,#N/A,TRUE,"Sum-PvsF";#N/A,#N/A,TRUE,"SumYrExp";#N/A,#N/A,TRUE,"DNIE - QtrDC";#N/A,#N/A,TRUE,"DNIE - QtrCI";#N/A,#N/A,TRUE,"DNIE - QtrCC";#N/A,#N/A,TRUE,"DNIE - QtrCDP";#N/A,#N/A,TRUE,"DNIE - QtrCD";#N/A,#N/A,TRUE,"SumDist"}</definedName>
    <definedName name="wrn.PLAN98._1" localSheetId="23" hidden="1">{#N/A,#N/A,TRUE,"Sum-FvsT";#N/A,#N/A,TRUE,"Sum-PvsF";#N/A,#N/A,TRUE,"SumYrExp";#N/A,#N/A,TRUE,"DNIE - QtrDC";#N/A,#N/A,TRUE,"DNIE - QtrCI";#N/A,#N/A,TRUE,"DNIE - QtrCC";#N/A,#N/A,TRUE,"DNIE - QtrCDP";#N/A,#N/A,TRUE,"DNIE - QtrCD";#N/A,#N/A,TRUE,"SumDist"}</definedName>
    <definedName name="wrn.PLAN98._1" localSheetId="12" hidden="1">{#N/A,#N/A,TRUE,"Sum-FvsT";#N/A,#N/A,TRUE,"Sum-PvsF";#N/A,#N/A,TRUE,"SumYrExp";#N/A,#N/A,TRUE,"DNIE - QtrDC";#N/A,#N/A,TRUE,"DNIE - QtrCI";#N/A,#N/A,TRUE,"DNIE - QtrCC";#N/A,#N/A,TRUE,"DNIE - QtrCDP";#N/A,#N/A,TRUE,"DNIE - QtrCD";#N/A,#N/A,TRUE,"SumDist"}</definedName>
    <definedName name="wrn.PLAN98._1" localSheetId="6" hidden="1">{#N/A,#N/A,TRUE,"Sum-FvsT";#N/A,#N/A,TRUE,"Sum-PvsF";#N/A,#N/A,TRUE,"SumYrExp";#N/A,#N/A,TRUE,"DNIE - QtrDC";#N/A,#N/A,TRUE,"DNIE - QtrCI";#N/A,#N/A,TRUE,"DNIE - QtrCC";#N/A,#N/A,TRUE,"DNIE - QtrCDP";#N/A,#N/A,TRUE,"DNIE - QtrCD";#N/A,#N/A,TRUE,"SumDist"}</definedName>
    <definedName name="wrn.PLAN98._1" localSheetId="11" hidden="1">{#N/A,#N/A,TRUE,"Sum-FvsT";#N/A,#N/A,TRUE,"Sum-PvsF";#N/A,#N/A,TRUE,"SumYrExp";#N/A,#N/A,TRUE,"DNIE - QtrDC";#N/A,#N/A,TRUE,"DNIE - QtrCI";#N/A,#N/A,TRUE,"DNIE - QtrCC";#N/A,#N/A,TRUE,"DNIE - QtrCDP";#N/A,#N/A,TRUE,"DNIE - QtrCD";#N/A,#N/A,TRUE,"SumDist"}</definedName>
    <definedName name="wrn.PLAN98._1" hidden="1">{#N/A,#N/A,TRUE,"Sum-FvsT";#N/A,#N/A,TRUE,"Sum-PvsF";#N/A,#N/A,TRUE,"SumYrExp";#N/A,#N/A,TRUE,"DNIE - QtrDC";#N/A,#N/A,TRUE,"DNIE - QtrCI";#N/A,#N/A,TRUE,"DNIE - QtrCC";#N/A,#N/A,TRUE,"DNIE - QtrCDP";#N/A,#N/A,TRUE,"DNIE - QtrCD";#N/A,#N/A,TRUE,"SumDist"}</definedName>
    <definedName name="wrn.plan99" localSheetId="23" hidden="1">{#N/A,#N/A,TRUE,"Sum-FvsT";#N/A,#N/A,TRUE,"Sum-PvsF";#N/A,#N/A,TRUE,"SumYrExp";#N/A,#N/A,TRUE,"DNIE - QtrDC";#N/A,#N/A,TRUE,"DNIE - QtrCI";#N/A,#N/A,TRUE,"DNIE - QtrCC";#N/A,#N/A,TRUE,"DNIE - QtrCDP";#N/A,#N/A,TRUE,"DNIE - QtrCD";#N/A,#N/A,TRUE,"SumDist"}</definedName>
    <definedName name="wrn.plan99" localSheetId="1" hidden="1">{#N/A,#N/A,TRUE,"Sum-FvsT";#N/A,#N/A,TRUE,"Sum-PvsF";#N/A,#N/A,TRUE,"SumYrExp";#N/A,#N/A,TRUE,"DNIE - QtrDC";#N/A,#N/A,TRUE,"DNIE - QtrCI";#N/A,#N/A,TRUE,"DNIE - QtrCC";#N/A,#N/A,TRUE,"DNIE - QtrCDP";#N/A,#N/A,TRUE,"DNIE - QtrCD";#N/A,#N/A,TRUE,"SumDist"}</definedName>
    <definedName name="wrn.plan99" localSheetId="14" hidden="1">{#N/A,#N/A,TRUE,"Sum-FvsT";#N/A,#N/A,TRUE,"Sum-PvsF";#N/A,#N/A,TRUE,"SumYrExp";#N/A,#N/A,TRUE,"DNIE - QtrDC";#N/A,#N/A,TRUE,"DNIE - QtrCI";#N/A,#N/A,TRUE,"DNIE - QtrCC";#N/A,#N/A,TRUE,"DNIE - QtrCDP";#N/A,#N/A,TRUE,"DNIE - QtrCD";#N/A,#N/A,TRUE,"SumDist"}</definedName>
    <definedName name="wrn.plan99" localSheetId="12" hidden="1">{#N/A,#N/A,TRUE,"Sum-FvsT";#N/A,#N/A,TRUE,"Sum-PvsF";#N/A,#N/A,TRUE,"SumYrExp";#N/A,#N/A,TRUE,"DNIE - QtrDC";#N/A,#N/A,TRUE,"DNIE - QtrCI";#N/A,#N/A,TRUE,"DNIE - QtrCC";#N/A,#N/A,TRUE,"DNIE - QtrCDP";#N/A,#N/A,TRUE,"DNIE - QtrCD";#N/A,#N/A,TRUE,"SumDist"}</definedName>
    <definedName name="wrn.plan99" localSheetId="6" hidden="1">{#N/A,#N/A,TRUE,"Sum-FvsT";#N/A,#N/A,TRUE,"Sum-PvsF";#N/A,#N/A,TRUE,"SumYrExp";#N/A,#N/A,TRUE,"DNIE - QtrDC";#N/A,#N/A,TRUE,"DNIE - QtrCI";#N/A,#N/A,TRUE,"DNIE - QtrCC";#N/A,#N/A,TRUE,"DNIE - QtrCDP";#N/A,#N/A,TRUE,"DNIE - QtrCD";#N/A,#N/A,TRUE,"SumDist"}</definedName>
    <definedName name="wrn.plan99" localSheetId="5" hidden="1">{#N/A,#N/A,TRUE,"Sum-FvsT";#N/A,#N/A,TRUE,"Sum-PvsF";#N/A,#N/A,TRUE,"SumYrExp";#N/A,#N/A,TRUE,"DNIE - QtrDC";#N/A,#N/A,TRUE,"DNIE - QtrCI";#N/A,#N/A,TRUE,"DNIE - QtrCC";#N/A,#N/A,TRUE,"DNIE - QtrCDP";#N/A,#N/A,TRUE,"DNIE - QtrCD";#N/A,#N/A,TRUE,"SumDist"}</definedName>
    <definedName name="wrn.plan99" localSheetId="11" hidden="1">{#N/A,#N/A,TRUE,"Sum-FvsT";#N/A,#N/A,TRUE,"Sum-PvsF";#N/A,#N/A,TRUE,"SumYrExp";#N/A,#N/A,TRUE,"DNIE - QtrDC";#N/A,#N/A,TRUE,"DNIE - QtrCI";#N/A,#N/A,TRUE,"DNIE - QtrCC";#N/A,#N/A,TRUE,"DNIE - QtrCDP";#N/A,#N/A,TRUE,"DNIE - QtrCD";#N/A,#N/A,TRUE,"SumDist"}</definedName>
    <definedName name="wrn.plan99" hidden="1">{#N/A,#N/A,TRUE,"Sum-FvsT";#N/A,#N/A,TRUE,"Sum-PvsF";#N/A,#N/A,TRUE,"SumYrExp";#N/A,#N/A,TRUE,"DNIE - QtrDC";#N/A,#N/A,TRUE,"DNIE - QtrCI";#N/A,#N/A,TRUE,"DNIE - QtrCC";#N/A,#N/A,TRUE,"DNIE - QtrCDP";#N/A,#N/A,TRUE,"DNIE - QtrCD";#N/A,#N/A,TRUE,"SumDist"}</definedName>
    <definedName name="wrn.plan99_1" localSheetId="23" hidden="1">{#N/A,#N/A,TRUE,"Sum-FvsT";#N/A,#N/A,TRUE,"Sum-PvsF";#N/A,#N/A,TRUE,"SumYrExp";#N/A,#N/A,TRUE,"DNIE - QtrDC";#N/A,#N/A,TRUE,"DNIE - QtrCI";#N/A,#N/A,TRUE,"DNIE - QtrCC";#N/A,#N/A,TRUE,"DNIE - QtrCDP";#N/A,#N/A,TRUE,"DNIE - QtrCD";#N/A,#N/A,TRUE,"SumDist"}</definedName>
    <definedName name="wrn.plan99_1" localSheetId="12" hidden="1">{#N/A,#N/A,TRUE,"Sum-FvsT";#N/A,#N/A,TRUE,"Sum-PvsF";#N/A,#N/A,TRUE,"SumYrExp";#N/A,#N/A,TRUE,"DNIE - QtrDC";#N/A,#N/A,TRUE,"DNIE - QtrCI";#N/A,#N/A,TRUE,"DNIE - QtrCC";#N/A,#N/A,TRUE,"DNIE - QtrCDP";#N/A,#N/A,TRUE,"DNIE - QtrCD";#N/A,#N/A,TRUE,"SumDist"}</definedName>
    <definedName name="wrn.plan99_1" localSheetId="6" hidden="1">{#N/A,#N/A,TRUE,"Sum-FvsT";#N/A,#N/A,TRUE,"Sum-PvsF";#N/A,#N/A,TRUE,"SumYrExp";#N/A,#N/A,TRUE,"DNIE - QtrDC";#N/A,#N/A,TRUE,"DNIE - QtrCI";#N/A,#N/A,TRUE,"DNIE - QtrCC";#N/A,#N/A,TRUE,"DNIE - QtrCDP";#N/A,#N/A,TRUE,"DNIE - QtrCD";#N/A,#N/A,TRUE,"SumDist"}</definedName>
    <definedName name="wrn.plan99_1" localSheetId="11" hidden="1">{#N/A,#N/A,TRUE,"Sum-FvsT";#N/A,#N/A,TRUE,"Sum-PvsF";#N/A,#N/A,TRUE,"SumYrExp";#N/A,#N/A,TRUE,"DNIE - QtrDC";#N/A,#N/A,TRUE,"DNIE - QtrCI";#N/A,#N/A,TRUE,"DNIE - QtrCC";#N/A,#N/A,TRUE,"DNIE - QtrCDP";#N/A,#N/A,TRUE,"DNIE - QtrCD";#N/A,#N/A,TRUE,"SumDist"}</definedName>
    <definedName name="wrn.plan99_1" hidden="1">{#N/A,#N/A,TRUE,"Sum-FvsT";#N/A,#N/A,TRUE,"Sum-PvsF";#N/A,#N/A,TRUE,"SumYrExp";#N/A,#N/A,TRUE,"DNIE - QtrDC";#N/A,#N/A,TRUE,"DNIE - QtrCI";#N/A,#N/A,TRUE,"DNIE - QtrCC";#N/A,#N/A,TRUE,"DNIE - QtrCDP";#N/A,#N/A,TRUE,"DNIE - QtrCD";#N/A,#N/A,TRUE,"SumDist"}</definedName>
    <definedName name="wrn.Print._.Package." localSheetId="23" hidden="1">{#N/A,#N/A,FALSE,"COBO";#N/A,#N/A,FALSE,"Atlantic";#N/A,#N/A,FALSE,"NCalif";#N/A,#N/A,FALSE,"SCalif";#N/A,#N/A,FALSE,"Eastern";#N/A,#N/A,FALSE,"Florida";#N/A,#N/A,FALSE,"GreatWest";#N/A,#N/A,FALSE,"Heartland";#N/A,#N/A,FALSE,"Michigan";#N/A,#N/A,FALSE,"Northwest";#N/A,#N/A,FALSE,"Southeast";#N/A,#N/A,FALSE,"Texoma"}</definedName>
    <definedName name="wrn.Print._.Package." localSheetId="1" hidden="1">{#N/A,#N/A,FALSE,"COBO";#N/A,#N/A,FALSE,"Atlantic";#N/A,#N/A,FALSE,"NCalif";#N/A,#N/A,FALSE,"SCalif";#N/A,#N/A,FALSE,"Eastern";#N/A,#N/A,FALSE,"Florida";#N/A,#N/A,FALSE,"GreatWest";#N/A,#N/A,FALSE,"Heartland";#N/A,#N/A,FALSE,"Michigan";#N/A,#N/A,FALSE,"Northwest";#N/A,#N/A,FALSE,"Southeast";#N/A,#N/A,FALSE,"Texoma"}</definedName>
    <definedName name="wrn.Print._.Package." localSheetId="14" hidden="1">{#N/A,#N/A,FALSE,"COBO";#N/A,#N/A,FALSE,"Atlantic";#N/A,#N/A,FALSE,"NCalif";#N/A,#N/A,FALSE,"SCalif";#N/A,#N/A,FALSE,"Eastern";#N/A,#N/A,FALSE,"Florida";#N/A,#N/A,FALSE,"GreatWest";#N/A,#N/A,FALSE,"Heartland";#N/A,#N/A,FALSE,"Michigan";#N/A,#N/A,FALSE,"Northwest";#N/A,#N/A,FALSE,"Southeast";#N/A,#N/A,FALSE,"Texoma"}</definedName>
    <definedName name="wrn.Print._.Package." localSheetId="12" hidden="1">{#N/A,#N/A,FALSE,"COBO";#N/A,#N/A,FALSE,"Atlantic";#N/A,#N/A,FALSE,"NCalif";#N/A,#N/A,FALSE,"SCalif";#N/A,#N/A,FALSE,"Eastern";#N/A,#N/A,FALSE,"Florida";#N/A,#N/A,FALSE,"GreatWest";#N/A,#N/A,FALSE,"Heartland";#N/A,#N/A,FALSE,"Michigan";#N/A,#N/A,FALSE,"Northwest";#N/A,#N/A,FALSE,"Southeast";#N/A,#N/A,FALSE,"Texoma"}</definedName>
    <definedName name="wrn.Print._.Package." localSheetId="6" hidden="1">{#N/A,#N/A,FALSE,"COBO";#N/A,#N/A,FALSE,"Atlantic";#N/A,#N/A,FALSE,"NCalif";#N/A,#N/A,FALSE,"SCalif";#N/A,#N/A,FALSE,"Eastern";#N/A,#N/A,FALSE,"Florida";#N/A,#N/A,FALSE,"GreatWest";#N/A,#N/A,FALSE,"Heartland";#N/A,#N/A,FALSE,"Michigan";#N/A,#N/A,FALSE,"Northwest";#N/A,#N/A,FALSE,"Southeast";#N/A,#N/A,FALSE,"Texoma"}</definedName>
    <definedName name="wrn.Print._.Package." localSheetId="5" hidden="1">{#N/A,#N/A,FALSE,"COBO";#N/A,#N/A,FALSE,"Atlantic";#N/A,#N/A,FALSE,"NCalif";#N/A,#N/A,FALSE,"SCalif";#N/A,#N/A,FALSE,"Eastern";#N/A,#N/A,FALSE,"Florida";#N/A,#N/A,FALSE,"GreatWest";#N/A,#N/A,FALSE,"Heartland";#N/A,#N/A,FALSE,"Michigan";#N/A,#N/A,FALSE,"Northwest";#N/A,#N/A,FALSE,"Southeast";#N/A,#N/A,FALSE,"Texoma"}</definedName>
    <definedName name="wrn.Print._.Package." localSheetId="11"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wrn.Print._.Package._1" localSheetId="23" hidden="1">{#N/A,#N/A,FALSE,"COBO";#N/A,#N/A,FALSE,"Atlantic";#N/A,#N/A,FALSE,"NCalif";#N/A,#N/A,FALSE,"SCalif";#N/A,#N/A,FALSE,"Eastern";#N/A,#N/A,FALSE,"Florida";#N/A,#N/A,FALSE,"GreatWest";#N/A,#N/A,FALSE,"Heartland";#N/A,#N/A,FALSE,"Michigan";#N/A,#N/A,FALSE,"Northwest";#N/A,#N/A,FALSE,"Southeast";#N/A,#N/A,FALSE,"Texoma"}</definedName>
    <definedName name="wrn.Print._.Package._1" localSheetId="12" hidden="1">{#N/A,#N/A,FALSE,"COBO";#N/A,#N/A,FALSE,"Atlantic";#N/A,#N/A,FALSE,"NCalif";#N/A,#N/A,FALSE,"SCalif";#N/A,#N/A,FALSE,"Eastern";#N/A,#N/A,FALSE,"Florida";#N/A,#N/A,FALSE,"GreatWest";#N/A,#N/A,FALSE,"Heartland";#N/A,#N/A,FALSE,"Michigan";#N/A,#N/A,FALSE,"Northwest";#N/A,#N/A,FALSE,"Southeast";#N/A,#N/A,FALSE,"Texoma"}</definedName>
    <definedName name="wrn.Print._.Package._1" localSheetId="6" hidden="1">{#N/A,#N/A,FALSE,"COBO";#N/A,#N/A,FALSE,"Atlantic";#N/A,#N/A,FALSE,"NCalif";#N/A,#N/A,FALSE,"SCalif";#N/A,#N/A,FALSE,"Eastern";#N/A,#N/A,FALSE,"Florida";#N/A,#N/A,FALSE,"GreatWest";#N/A,#N/A,FALSE,"Heartland";#N/A,#N/A,FALSE,"Michigan";#N/A,#N/A,FALSE,"Northwest";#N/A,#N/A,FALSE,"Southeast";#N/A,#N/A,FALSE,"Texoma"}</definedName>
    <definedName name="wrn.Print._.Package._1" localSheetId="11" hidden="1">{#N/A,#N/A,FALSE,"COBO";#N/A,#N/A,FALSE,"Atlantic";#N/A,#N/A,FALSE,"NCalif";#N/A,#N/A,FALSE,"SCalif";#N/A,#N/A,FALSE,"Eastern";#N/A,#N/A,FALSE,"Florida";#N/A,#N/A,FALSE,"GreatWest";#N/A,#N/A,FALSE,"Heartland";#N/A,#N/A,FALSE,"Michigan";#N/A,#N/A,FALSE,"Northwest";#N/A,#N/A,FALSE,"Southeast";#N/A,#N/A,FALSE,"Texoma"}</definedName>
    <definedName name="wrn.Print._.Package._1" hidden="1">{#N/A,#N/A,FALSE,"COBO";#N/A,#N/A,FALSE,"Atlantic";#N/A,#N/A,FALSE,"NCalif";#N/A,#N/A,FALSE,"SCalif";#N/A,#N/A,FALSE,"Eastern";#N/A,#N/A,FALSE,"Florida";#N/A,#N/A,FALSE,"GreatWest";#N/A,#N/A,FALSE,"Heartland";#N/A,#N/A,FALSE,"Michigan";#N/A,#N/A,FALSE,"Northwest";#N/A,#N/A,FALSE,"Southeast";#N/A,#N/A,FALSE,"Texoma"}</definedName>
    <definedName name="xrate" localSheetId="13">[4]Link!#REF!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3"/>
        <x14:slicerCache r:id="rId34"/>
        <x14:slicerCache r:id="rId3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6" i="105" l="1"/>
  <c r="I56" i="105"/>
  <c r="AO56" i="105"/>
  <c r="AH56" i="105"/>
  <c r="E56" i="105"/>
  <c r="F56" i="105" s="1"/>
  <c r="D56" i="105"/>
  <c r="C56" i="105"/>
  <c r="B56" i="105"/>
  <c r="I49" i="105"/>
  <c r="Z56" i="105" l="1"/>
  <c r="P56" i="105"/>
  <c r="K56" i="105"/>
  <c r="U56" i="105"/>
  <c r="AE56" i="105"/>
  <c r="AI56" i="105" l="1"/>
  <c r="B51" i="105" l="1"/>
  <c r="C51" i="105"/>
  <c r="D51" i="105"/>
  <c r="E51" i="105"/>
  <c r="F51" i="105" s="1"/>
  <c r="AH51" i="105"/>
  <c r="AO51" i="105"/>
  <c r="B52" i="105"/>
  <c r="C52" i="105"/>
  <c r="D52" i="105"/>
  <c r="E52" i="105"/>
  <c r="F52" i="105" s="1"/>
  <c r="AH52" i="105"/>
  <c r="AO52" i="105"/>
  <c r="B53" i="105"/>
  <c r="C53" i="105"/>
  <c r="D53" i="105"/>
  <c r="E53" i="105"/>
  <c r="F53" i="105" s="1"/>
  <c r="AH53" i="105"/>
  <c r="AO53" i="105"/>
  <c r="AC20" i="105"/>
  <c r="AC17" i="105"/>
  <c r="N30" i="105"/>
  <c r="N20" i="105"/>
  <c r="N17" i="105"/>
  <c r="I30" i="105"/>
  <c r="B29" i="105"/>
  <c r="C29" i="105"/>
  <c r="D29" i="105"/>
  <c r="E29" i="105"/>
  <c r="F29" i="105" s="1"/>
  <c r="AH29" i="105"/>
  <c r="AO29" i="105"/>
  <c r="I20" i="105"/>
  <c r="I17" i="105"/>
  <c r="K1092" i="52"/>
  <c r="K1091" i="52"/>
  <c r="K1090" i="52"/>
  <c r="K1089" i="52"/>
  <c r="K1088" i="52"/>
  <c r="K1087" i="52"/>
  <c r="K1086" i="52"/>
  <c r="K1085" i="52"/>
  <c r="K1084" i="52"/>
  <c r="K1083" i="52"/>
  <c r="K1082" i="52"/>
  <c r="K1081" i="52"/>
  <c r="K1080" i="52"/>
  <c r="K1079" i="52"/>
  <c r="K1078" i="52"/>
  <c r="K1077" i="52"/>
  <c r="K1076" i="52"/>
  <c r="K1075" i="52"/>
  <c r="K1074" i="52"/>
  <c r="K1073" i="52"/>
  <c r="K1072" i="52"/>
  <c r="K1071" i="52"/>
  <c r="K1070" i="52"/>
  <c r="K1069" i="52"/>
  <c r="K1068" i="52"/>
  <c r="K1067" i="52"/>
  <c r="K1066" i="52"/>
  <c r="K1065" i="52"/>
  <c r="K1064" i="52"/>
  <c r="K1063" i="52"/>
  <c r="K1062" i="52"/>
  <c r="K1061" i="52"/>
  <c r="K1060" i="52"/>
  <c r="K1059" i="52"/>
  <c r="K1058" i="52"/>
  <c r="K1057" i="52"/>
  <c r="K1056" i="52"/>
  <c r="K1055" i="52"/>
  <c r="K1054" i="52"/>
  <c r="K1053" i="52"/>
  <c r="K1052" i="52"/>
  <c r="K1051" i="52"/>
  <c r="K1050" i="52"/>
  <c r="K1049" i="52"/>
  <c r="K1048" i="52"/>
  <c r="K1047" i="52"/>
  <c r="K1046" i="52"/>
  <c r="K1045" i="52"/>
  <c r="K1044" i="52"/>
  <c r="K1043" i="52"/>
  <c r="K1042" i="52"/>
  <c r="K1041" i="52"/>
  <c r="K1040" i="52"/>
  <c r="K1039" i="52"/>
  <c r="K1038" i="52"/>
  <c r="K1037" i="52"/>
  <c r="K1036" i="52"/>
  <c r="K1035" i="52"/>
  <c r="K1034" i="52"/>
  <c r="K1033" i="52"/>
  <c r="K1032" i="52"/>
  <c r="K1031" i="52"/>
  <c r="K1030" i="52"/>
  <c r="K1029" i="52"/>
  <c r="K1028" i="52"/>
  <c r="K1027" i="52"/>
  <c r="K1026" i="52"/>
  <c r="K1025" i="52"/>
  <c r="K1024" i="52"/>
  <c r="K1023" i="52"/>
  <c r="K1022" i="52"/>
  <c r="K1021" i="52"/>
  <c r="K1020" i="52"/>
  <c r="K1019" i="52"/>
  <c r="K1018" i="52"/>
  <c r="K1017" i="52"/>
  <c r="K1016" i="52"/>
  <c r="K1015" i="52"/>
  <c r="K1014" i="52"/>
  <c r="K1013" i="52"/>
  <c r="K1012" i="52"/>
  <c r="K1011" i="52"/>
  <c r="K1010" i="52"/>
  <c r="K1009" i="52"/>
  <c r="K1008" i="52"/>
  <c r="K1007" i="52"/>
  <c r="K1006" i="52"/>
  <c r="K1005" i="52"/>
  <c r="K1004" i="52"/>
  <c r="K1003" i="52"/>
  <c r="K1002" i="52"/>
  <c r="K1001" i="52"/>
  <c r="K1000" i="52"/>
  <c r="K999" i="52"/>
  <c r="K998" i="52"/>
  <c r="K997" i="52"/>
  <c r="K996" i="52"/>
  <c r="K995" i="52"/>
  <c r="K994" i="52"/>
  <c r="K993" i="52"/>
  <c r="K992" i="52"/>
  <c r="K991" i="52"/>
  <c r="K990" i="52"/>
  <c r="K989" i="52"/>
  <c r="K988" i="52"/>
  <c r="K987" i="52"/>
  <c r="K986" i="52"/>
  <c r="K985" i="52"/>
  <c r="K984" i="52"/>
  <c r="K983" i="52"/>
  <c r="K982" i="52"/>
  <c r="K981" i="52"/>
  <c r="K980" i="52"/>
  <c r="K979" i="52"/>
  <c r="K978" i="52"/>
  <c r="K977" i="52"/>
  <c r="K976" i="52"/>
  <c r="K975" i="52"/>
  <c r="K974" i="52"/>
  <c r="K973" i="52"/>
  <c r="K972" i="52"/>
  <c r="K971" i="52"/>
  <c r="K970" i="52"/>
  <c r="K969" i="52"/>
  <c r="K968" i="52"/>
  <c r="K967" i="52"/>
  <c r="K966" i="52"/>
  <c r="K965" i="52"/>
  <c r="K964" i="52"/>
  <c r="K963" i="52"/>
  <c r="K962" i="52"/>
  <c r="K961" i="52"/>
  <c r="K960" i="52"/>
  <c r="K959" i="52"/>
  <c r="K958" i="52"/>
  <c r="K957" i="52"/>
  <c r="K956" i="52"/>
  <c r="K955" i="52"/>
  <c r="K954" i="52"/>
  <c r="K953" i="52"/>
  <c r="K952" i="52"/>
  <c r="K951" i="52"/>
  <c r="K950" i="52"/>
  <c r="K949" i="52"/>
  <c r="K948" i="52"/>
  <c r="K947" i="52"/>
  <c r="K946" i="52"/>
  <c r="K945" i="52"/>
  <c r="K944" i="52"/>
  <c r="K943" i="52"/>
  <c r="K942" i="52"/>
  <c r="K941" i="52"/>
  <c r="K940" i="52"/>
  <c r="K939" i="52"/>
  <c r="K938" i="52"/>
  <c r="K937" i="52"/>
  <c r="K936" i="52"/>
  <c r="K935" i="52"/>
  <c r="K934" i="52"/>
  <c r="K933" i="52"/>
  <c r="K932" i="52"/>
  <c r="K931" i="52"/>
  <c r="K930" i="52"/>
  <c r="K929" i="52"/>
  <c r="K928" i="52"/>
  <c r="K927" i="52"/>
  <c r="K926" i="52"/>
  <c r="K925" i="52"/>
  <c r="K924" i="52"/>
  <c r="K923" i="52"/>
  <c r="K922" i="52"/>
  <c r="K921" i="52"/>
  <c r="K920" i="52"/>
  <c r="K919" i="52"/>
  <c r="K918" i="52"/>
  <c r="K917" i="52"/>
  <c r="K916" i="52"/>
  <c r="K915" i="52"/>
  <c r="K914" i="52"/>
  <c r="K913" i="52"/>
  <c r="K912" i="52"/>
  <c r="K911" i="52"/>
  <c r="K910" i="52"/>
  <c r="K909" i="52"/>
  <c r="K908" i="52"/>
  <c r="K907" i="52"/>
  <c r="K906" i="52"/>
  <c r="K905" i="52"/>
  <c r="K904" i="52"/>
  <c r="K903" i="52"/>
  <c r="K902" i="52"/>
  <c r="K901" i="52"/>
  <c r="K900" i="52"/>
  <c r="K899" i="52"/>
  <c r="K898" i="52"/>
  <c r="K897" i="52"/>
  <c r="K896" i="52"/>
  <c r="K895" i="52"/>
  <c r="K894" i="52"/>
  <c r="K893" i="52"/>
  <c r="K892" i="52"/>
  <c r="K891" i="52"/>
  <c r="K890" i="52"/>
  <c r="K889" i="52"/>
  <c r="K888" i="52"/>
  <c r="K887" i="52"/>
  <c r="K886" i="52"/>
  <c r="K885" i="52"/>
  <c r="K884" i="52"/>
  <c r="K883" i="52"/>
  <c r="K882" i="52"/>
  <c r="K881" i="52"/>
  <c r="K880" i="52"/>
  <c r="K879" i="52"/>
  <c r="K878" i="52"/>
  <c r="K877" i="52"/>
  <c r="K876" i="52"/>
  <c r="K875" i="52"/>
  <c r="K874" i="52"/>
  <c r="K873" i="52"/>
  <c r="K872" i="52"/>
  <c r="K871" i="52"/>
  <c r="K870" i="52"/>
  <c r="K869" i="52"/>
  <c r="K868" i="52"/>
  <c r="K867" i="52"/>
  <c r="K866" i="52"/>
  <c r="K865" i="52"/>
  <c r="K864" i="52"/>
  <c r="K863" i="52"/>
  <c r="K862" i="52"/>
  <c r="K861" i="52"/>
  <c r="K860" i="52"/>
  <c r="K859" i="52"/>
  <c r="K858" i="52"/>
  <c r="K857" i="52"/>
  <c r="K856" i="52"/>
  <c r="K855" i="52"/>
  <c r="K854" i="52"/>
  <c r="K853" i="52"/>
  <c r="K852" i="52"/>
  <c r="K851" i="52"/>
  <c r="K850" i="52"/>
  <c r="K849" i="52"/>
  <c r="K848" i="52"/>
  <c r="K847" i="52"/>
  <c r="K846" i="52"/>
  <c r="K845" i="52"/>
  <c r="K844" i="52"/>
  <c r="K843" i="52"/>
  <c r="K842" i="52"/>
  <c r="K841" i="52"/>
  <c r="K840" i="52"/>
  <c r="K839" i="52"/>
  <c r="K838" i="52"/>
  <c r="K837" i="52"/>
  <c r="K836" i="52"/>
  <c r="K835" i="52"/>
  <c r="K834" i="52"/>
  <c r="K833" i="52"/>
  <c r="K832" i="52"/>
  <c r="K831" i="52"/>
  <c r="K830" i="52"/>
  <c r="K829" i="52"/>
  <c r="K828" i="52"/>
  <c r="K827" i="52"/>
  <c r="K826" i="52"/>
  <c r="K825" i="52"/>
  <c r="K824" i="52"/>
  <c r="K823" i="52"/>
  <c r="K822" i="52"/>
  <c r="K821" i="52"/>
  <c r="K819" i="52"/>
  <c r="K818" i="52"/>
  <c r="K817" i="52"/>
  <c r="K816" i="52"/>
  <c r="K815" i="52"/>
  <c r="K814" i="52"/>
  <c r="K813" i="52"/>
  <c r="K812" i="52"/>
  <c r="K811" i="52"/>
  <c r="K810" i="52"/>
  <c r="K809" i="52"/>
  <c r="K808" i="52"/>
  <c r="K807" i="52"/>
  <c r="K806" i="52"/>
  <c r="K805" i="52"/>
  <c r="K804" i="52"/>
  <c r="K803" i="52"/>
  <c r="K802" i="52"/>
  <c r="K801" i="52"/>
  <c r="K800" i="52"/>
  <c r="K799" i="52"/>
  <c r="K798" i="52"/>
  <c r="K797" i="52"/>
  <c r="K796" i="52"/>
  <c r="K795" i="52"/>
  <c r="K794" i="52"/>
  <c r="K793" i="52"/>
  <c r="K792" i="52"/>
  <c r="K791" i="52"/>
  <c r="K790" i="52"/>
  <c r="K789" i="52"/>
  <c r="K788" i="52"/>
  <c r="K787" i="52"/>
  <c r="K786" i="52"/>
  <c r="K785" i="52"/>
  <c r="K784" i="52"/>
  <c r="K783" i="52"/>
  <c r="K782" i="52"/>
  <c r="K781" i="52"/>
  <c r="K780" i="52"/>
  <c r="K779" i="52"/>
  <c r="K778" i="52"/>
  <c r="K777" i="52"/>
  <c r="K776" i="52"/>
  <c r="K775" i="52"/>
  <c r="K774" i="52"/>
  <c r="K773" i="52"/>
  <c r="K772" i="52"/>
  <c r="K771" i="52"/>
  <c r="K770" i="52"/>
  <c r="K769" i="52"/>
  <c r="K768" i="52"/>
  <c r="K767" i="52"/>
  <c r="K766" i="52"/>
  <c r="K765" i="52"/>
  <c r="K764" i="52"/>
  <c r="K763" i="52"/>
  <c r="K762" i="52"/>
  <c r="K761" i="52"/>
  <c r="K760" i="52"/>
  <c r="K759" i="52"/>
  <c r="K758" i="52"/>
  <c r="K757" i="52"/>
  <c r="K756" i="52"/>
  <c r="K755" i="52"/>
  <c r="K754" i="52"/>
  <c r="K753" i="52"/>
  <c r="K752" i="52"/>
  <c r="K751" i="52"/>
  <c r="K750" i="52"/>
  <c r="K749" i="52"/>
  <c r="K748" i="52"/>
  <c r="K747" i="52"/>
  <c r="K746" i="52"/>
  <c r="K745" i="52"/>
  <c r="K744" i="52"/>
  <c r="K743" i="52"/>
  <c r="K742" i="52"/>
  <c r="K741" i="52"/>
  <c r="K740" i="52"/>
  <c r="K739" i="52"/>
  <c r="K738" i="52"/>
  <c r="K737" i="52"/>
  <c r="K736" i="52"/>
  <c r="K735" i="52"/>
  <c r="K734" i="52"/>
  <c r="K733" i="52"/>
  <c r="K732" i="52"/>
  <c r="K731" i="52"/>
  <c r="K730" i="52"/>
  <c r="K729" i="52"/>
  <c r="K728" i="52"/>
  <c r="K727" i="52"/>
  <c r="K726" i="52"/>
  <c r="K725" i="52"/>
  <c r="K724" i="52"/>
  <c r="K723" i="52"/>
  <c r="K722" i="52"/>
  <c r="K721" i="52"/>
  <c r="K720" i="52"/>
  <c r="K719" i="52"/>
  <c r="K718" i="52"/>
  <c r="K717" i="52"/>
  <c r="K716" i="52"/>
  <c r="K715" i="52"/>
  <c r="K714" i="52"/>
  <c r="K713" i="52"/>
  <c r="K712" i="52"/>
  <c r="K711" i="52"/>
  <c r="K710" i="52"/>
  <c r="K709" i="52"/>
  <c r="K708" i="52"/>
  <c r="K707" i="52"/>
  <c r="K706" i="52"/>
  <c r="K705" i="52"/>
  <c r="K704" i="52"/>
  <c r="K703" i="52"/>
  <c r="K702" i="52"/>
  <c r="K701" i="52"/>
  <c r="K700" i="52"/>
  <c r="K699" i="52"/>
  <c r="K698" i="52"/>
  <c r="K697" i="52"/>
  <c r="K696" i="52"/>
  <c r="K695" i="52"/>
  <c r="K694" i="52"/>
  <c r="K693" i="52"/>
  <c r="K692" i="52"/>
  <c r="K691" i="52"/>
  <c r="K690" i="52"/>
  <c r="K689" i="52"/>
  <c r="K688" i="52"/>
  <c r="K687" i="52"/>
  <c r="K686" i="52"/>
  <c r="K685" i="52"/>
  <c r="K684" i="52"/>
  <c r="K683" i="52"/>
  <c r="K682" i="52"/>
  <c r="K681" i="52"/>
  <c r="K680" i="52"/>
  <c r="K679" i="52"/>
  <c r="K678" i="52"/>
  <c r="K677" i="52"/>
  <c r="K676" i="52"/>
  <c r="K675" i="52"/>
  <c r="K674" i="52"/>
  <c r="K673" i="52"/>
  <c r="K672" i="52"/>
  <c r="K671" i="52"/>
  <c r="K670" i="52"/>
  <c r="K669" i="52"/>
  <c r="K668" i="52"/>
  <c r="K667" i="52"/>
  <c r="K666" i="52"/>
  <c r="K665" i="52"/>
  <c r="K664" i="52"/>
  <c r="K663" i="52"/>
  <c r="K662" i="52"/>
  <c r="K661" i="52"/>
  <c r="K660" i="52"/>
  <c r="K659" i="52"/>
  <c r="K658" i="52"/>
  <c r="K657" i="52"/>
  <c r="K656" i="52"/>
  <c r="K655" i="52"/>
  <c r="K654" i="52"/>
  <c r="K653" i="52"/>
  <c r="K652" i="52"/>
  <c r="K651" i="52"/>
  <c r="K650" i="52"/>
  <c r="K649" i="52"/>
  <c r="K648" i="52"/>
  <c r="K647" i="52"/>
  <c r="K646" i="52"/>
  <c r="K645" i="52"/>
  <c r="K644" i="52"/>
  <c r="K643" i="52"/>
  <c r="K642" i="52"/>
  <c r="K641" i="52"/>
  <c r="K640" i="52"/>
  <c r="K639" i="52"/>
  <c r="K638" i="52"/>
  <c r="K637" i="52"/>
  <c r="K636" i="52"/>
  <c r="K635" i="52"/>
  <c r="K634" i="52"/>
  <c r="K633" i="52"/>
  <c r="K632" i="52"/>
  <c r="K631" i="52"/>
  <c r="K630" i="52"/>
  <c r="K629" i="52"/>
  <c r="K628" i="52"/>
  <c r="K627" i="52"/>
  <c r="K626" i="52"/>
  <c r="K625" i="52"/>
  <c r="K624" i="52"/>
  <c r="K623" i="52"/>
  <c r="K622" i="52"/>
  <c r="K621" i="52"/>
  <c r="K620" i="52"/>
  <c r="K619" i="52"/>
  <c r="K618" i="52"/>
  <c r="K617" i="52"/>
  <c r="K616" i="52"/>
  <c r="K615" i="52"/>
  <c r="K614" i="52"/>
  <c r="K613" i="52"/>
  <c r="K612" i="52"/>
  <c r="K611" i="52"/>
  <c r="K610" i="52"/>
  <c r="K609" i="52"/>
  <c r="K608" i="52"/>
  <c r="K607" i="52"/>
  <c r="K606" i="52"/>
  <c r="K605" i="52"/>
  <c r="K604" i="52"/>
  <c r="K603" i="52"/>
  <c r="K602" i="52"/>
  <c r="K601" i="52"/>
  <c r="K600" i="52"/>
  <c r="K599" i="52"/>
  <c r="K598" i="52"/>
  <c r="K597" i="52"/>
  <c r="K596" i="52"/>
  <c r="K595" i="52"/>
  <c r="K594" i="52"/>
  <c r="K593" i="52"/>
  <c r="K592" i="52"/>
  <c r="K591" i="52"/>
  <c r="K590" i="52"/>
  <c r="K589" i="52"/>
  <c r="K588" i="52"/>
  <c r="K587" i="52"/>
  <c r="K586" i="52"/>
  <c r="K585" i="52"/>
  <c r="K584" i="52"/>
  <c r="K583" i="52"/>
  <c r="K582" i="52"/>
  <c r="K581" i="52"/>
  <c r="K580" i="52"/>
  <c r="K579" i="52"/>
  <c r="K578" i="52"/>
  <c r="K577" i="52"/>
  <c r="K576" i="52"/>
  <c r="K575" i="52"/>
  <c r="K574" i="52"/>
  <c r="K573" i="52"/>
  <c r="K572" i="52"/>
  <c r="K571" i="52"/>
  <c r="K570" i="52"/>
  <c r="K569" i="52"/>
  <c r="K568" i="52"/>
  <c r="K567" i="52"/>
  <c r="K566" i="52"/>
  <c r="K565" i="52"/>
  <c r="K564" i="52"/>
  <c r="K563" i="52"/>
  <c r="K562" i="52"/>
  <c r="K561" i="52"/>
  <c r="K560" i="52"/>
  <c r="K559" i="52"/>
  <c r="K558" i="52"/>
  <c r="K557" i="52"/>
  <c r="K556" i="52"/>
  <c r="K555" i="52"/>
  <c r="K554" i="52"/>
  <c r="K553" i="52"/>
  <c r="K552" i="52"/>
  <c r="K551" i="52"/>
  <c r="K550" i="52"/>
  <c r="K549" i="52"/>
  <c r="K548" i="52"/>
  <c r="K547" i="52"/>
  <c r="K546" i="52"/>
  <c r="K545" i="52"/>
  <c r="K544" i="52"/>
  <c r="K543" i="52"/>
  <c r="K542" i="52"/>
  <c r="K541" i="52"/>
  <c r="K540" i="52"/>
  <c r="K539" i="52"/>
  <c r="K538" i="52"/>
  <c r="K537" i="52"/>
  <c r="K536" i="52"/>
  <c r="K535" i="52"/>
  <c r="K534" i="52"/>
  <c r="K533" i="52"/>
  <c r="K532" i="52"/>
  <c r="K531" i="52"/>
  <c r="K530" i="52"/>
  <c r="K529" i="52"/>
  <c r="K528" i="52"/>
  <c r="K527" i="52"/>
  <c r="K526" i="52"/>
  <c r="K525" i="52"/>
  <c r="K524" i="52"/>
  <c r="K523" i="52"/>
  <c r="K522" i="52"/>
  <c r="K521" i="52"/>
  <c r="K520" i="52"/>
  <c r="K519" i="52"/>
  <c r="K518" i="52"/>
  <c r="K517" i="52"/>
  <c r="K516" i="52"/>
  <c r="K515" i="52"/>
  <c r="K514" i="52"/>
  <c r="K513" i="52"/>
  <c r="K512" i="52"/>
  <c r="K511" i="52"/>
  <c r="K510" i="52"/>
  <c r="K509" i="52"/>
  <c r="K508" i="52"/>
  <c r="K507" i="52"/>
  <c r="K506" i="52"/>
  <c r="K505" i="52"/>
  <c r="K504" i="52"/>
  <c r="K503" i="52"/>
  <c r="K502" i="52"/>
  <c r="K501" i="52"/>
  <c r="K500" i="52"/>
  <c r="K499" i="52"/>
  <c r="K498" i="52"/>
  <c r="K497" i="52"/>
  <c r="K496" i="52"/>
  <c r="K495" i="52"/>
  <c r="K494" i="52"/>
  <c r="K493" i="52"/>
  <c r="K492" i="52"/>
  <c r="K491" i="52"/>
  <c r="K490" i="52"/>
  <c r="K489" i="52"/>
  <c r="K488" i="52"/>
  <c r="K487" i="52"/>
  <c r="K486" i="52"/>
  <c r="K485" i="52"/>
  <c r="K484" i="52"/>
  <c r="K483" i="52"/>
  <c r="K482" i="52"/>
  <c r="K481" i="52"/>
  <c r="K480" i="52"/>
  <c r="K479" i="52"/>
  <c r="K478" i="52"/>
  <c r="K477" i="52"/>
  <c r="K476" i="52"/>
  <c r="K475" i="52"/>
  <c r="K474" i="52"/>
  <c r="K473" i="52"/>
  <c r="K472" i="52"/>
  <c r="K471" i="52"/>
  <c r="K470" i="52"/>
  <c r="K469" i="52"/>
  <c r="K468" i="52"/>
  <c r="K467" i="52"/>
  <c r="K466" i="52"/>
  <c r="K465" i="52"/>
  <c r="K464" i="52"/>
  <c r="K463" i="52"/>
  <c r="K462" i="52"/>
  <c r="K461" i="52"/>
  <c r="K460" i="52"/>
  <c r="K459" i="52"/>
  <c r="K458" i="52"/>
  <c r="K457" i="52"/>
  <c r="K456" i="52"/>
  <c r="K455" i="52"/>
  <c r="K454" i="52"/>
  <c r="K453" i="52"/>
  <c r="K452" i="52"/>
  <c r="K451" i="52"/>
  <c r="K450" i="52"/>
  <c r="K449" i="52"/>
  <c r="K448" i="52"/>
  <c r="K447" i="52"/>
  <c r="K446" i="52"/>
  <c r="K445" i="52"/>
  <c r="K444" i="52"/>
  <c r="K443" i="52"/>
  <c r="K442" i="52"/>
  <c r="K441" i="52"/>
  <c r="K440" i="52"/>
  <c r="K439" i="52"/>
  <c r="K438" i="52"/>
  <c r="K437" i="52"/>
  <c r="K436" i="52"/>
  <c r="K435" i="52"/>
  <c r="K434" i="52"/>
  <c r="K433" i="52"/>
  <c r="K432" i="52"/>
  <c r="K431" i="52"/>
  <c r="K430" i="52"/>
  <c r="K429" i="52"/>
  <c r="K428" i="52"/>
  <c r="K427" i="52"/>
  <c r="K426" i="52"/>
  <c r="K425" i="52"/>
  <c r="K424" i="52"/>
  <c r="K423" i="52"/>
  <c r="K422" i="52"/>
  <c r="K421" i="52"/>
  <c r="K420" i="52"/>
  <c r="K419" i="52"/>
  <c r="K418" i="52"/>
  <c r="K417" i="52"/>
  <c r="K416" i="52"/>
  <c r="K415" i="52"/>
  <c r="K414" i="52"/>
  <c r="K413" i="52"/>
  <c r="K412" i="52"/>
  <c r="K411" i="52"/>
  <c r="K410" i="52"/>
  <c r="K409" i="52"/>
  <c r="K408" i="52"/>
  <c r="K407" i="52"/>
  <c r="K406" i="52"/>
  <c r="K405" i="52"/>
  <c r="K404" i="52"/>
  <c r="K403" i="52"/>
  <c r="K402" i="52"/>
  <c r="K401" i="52"/>
  <c r="K400" i="52"/>
  <c r="K399" i="52"/>
  <c r="K398" i="52"/>
  <c r="K397" i="52"/>
  <c r="K396" i="52"/>
  <c r="K395" i="52"/>
  <c r="K394" i="52"/>
  <c r="K393" i="52"/>
  <c r="K392" i="52"/>
  <c r="K391" i="52"/>
  <c r="K390" i="52"/>
  <c r="K389" i="52"/>
  <c r="K388" i="52"/>
  <c r="K387" i="52"/>
  <c r="K386" i="52"/>
  <c r="K385" i="52"/>
  <c r="K384" i="52"/>
  <c r="K383" i="52"/>
  <c r="K382" i="52"/>
  <c r="K381" i="52"/>
  <c r="K380" i="52"/>
  <c r="K379" i="52"/>
  <c r="K378" i="52"/>
  <c r="K377" i="52"/>
  <c r="K376" i="52"/>
  <c r="K375" i="52"/>
  <c r="K374" i="52"/>
  <c r="K373" i="52"/>
  <c r="K372" i="52"/>
  <c r="K371" i="52"/>
  <c r="K370" i="52"/>
  <c r="K369" i="52"/>
  <c r="K368" i="52"/>
  <c r="K367" i="52"/>
  <c r="K366" i="52"/>
  <c r="K365" i="52"/>
  <c r="K364" i="52"/>
  <c r="K363" i="52"/>
  <c r="K362" i="52"/>
  <c r="K361" i="52"/>
  <c r="K360" i="52"/>
  <c r="K359" i="52"/>
  <c r="K358" i="52"/>
  <c r="K357" i="52"/>
  <c r="K356" i="52"/>
  <c r="K355" i="52"/>
  <c r="K354" i="52"/>
  <c r="K353" i="52"/>
  <c r="K352" i="52"/>
  <c r="K351" i="52"/>
  <c r="K350" i="52"/>
  <c r="K349" i="52"/>
  <c r="K348" i="52"/>
  <c r="K347" i="52"/>
  <c r="K346" i="52"/>
  <c r="K345" i="52"/>
  <c r="K344" i="52"/>
  <c r="K343" i="52"/>
  <c r="K342" i="52"/>
  <c r="K341" i="52"/>
  <c r="K340" i="52"/>
  <c r="K339" i="52"/>
  <c r="K338" i="52"/>
  <c r="K337" i="52"/>
  <c r="K336" i="52"/>
  <c r="K335" i="52"/>
  <c r="K334" i="52"/>
  <c r="K333" i="52"/>
  <c r="K332" i="52"/>
  <c r="K331" i="52"/>
  <c r="K330" i="52"/>
  <c r="K329" i="52"/>
  <c r="K328" i="52"/>
  <c r="K327" i="52"/>
  <c r="K326" i="52"/>
  <c r="K325" i="52"/>
  <c r="K324" i="52"/>
  <c r="K323" i="52"/>
  <c r="K322" i="52"/>
  <c r="K321" i="52"/>
  <c r="K320" i="52"/>
  <c r="K319" i="52"/>
  <c r="K318" i="52"/>
  <c r="K317" i="52"/>
  <c r="K316" i="52"/>
  <c r="K315" i="52"/>
  <c r="K314" i="52"/>
  <c r="K313" i="52"/>
  <c r="K312" i="52"/>
  <c r="K311" i="52"/>
  <c r="K310" i="52"/>
  <c r="K309" i="52"/>
  <c r="K308" i="52"/>
  <c r="K307" i="52"/>
  <c r="K306" i="52"/>
  <c r="K305" i="52"/>
  <c r="K304" i="52"/>
  <c r="K303" i="52"/>
  <c r="K302" i="52"/>
  <c r="K301" i="52"/>
  <c r="K300" i="52"/>
  <c r="K299" i="52"/>
  <c r="K298" i="52"/>
  <c r="K297" i="52"/>
  <c r="K296" i="52"/>
  <c r="K295" i="52"/>
  <c r="K294" i="52"/>
  <c r="K293" i="52"/>
  <c r="K292" i="52"/>
  <c r="K291" i="52"/>
  <c r="K290" i="52"/>
  <c r="K289" i="52"/>
  <c r="K288" i="52"/>
  <c r="K287" i="52"/>
  <c r="K286" i="52"/>
  <c r="K285" i="52"/>
  <c r="K284" i="52"/>
  <c r="K283" i="52"/>
  <c r="K282" i="52"/>
  <c r="K281" i="52"/>
  <c r="K280" i="52"/>
  <c r="K279" i="52"/>
  <c r="K278" i="52"/>
  <c r="K277" i="52"/>
  <c r="K276" i="52"/>
  <c r="K275" i="52"/>
  <c r="K274" i="52"/>
  <c r="K273" i="52"/>
  <c r="K272" i="52"/>
  <c r="K271" i="52"/>
  <c r="K270" i="52"/>
  <c r="K269" i="52"/>
  <c r="K268" i="52"/>
  <c r="K267" i="52"/>
  <c r="K266" i="52"/>
  <c r="K265" i="52"/>
  <c r="K264" i="52"/>
  <c r="K263" i="52"/>
  <c r="K262" i="52"/>
  <c r="K261" i="52"/>
  <c r="K260" i="52"/>
  <c r="K259" i="52"/>
  <c r="K258" i="52"/>
  <c r="K257" i="52"/>
  <c r="K256" i="52"/>
  <c r="K255" i="52"/>
  <c r="K254" i="52"/>
  <c r="K253" i="52"/>
  <c r="K252" i="52"/>
  <c r="K251" i="52"/>
  <c r="K250" i="52"/>
  <c r="K249" i="52"/>
  <c r="K248" i="52"/>
  <c r="K247" i="52"/>
  <c r="K246" i="52"/>
  <c r="K245" i="52"/>
  <c r="K244" i="52"/>
  <c r="K243" i="52"/>
  <c r="K242" i="52"/>
  <c r="K241" i="52"/>
  <c r="K240" i="52"/>
  <c r="K239" i="52"/>
  <c r="K238" i="52"/>
  <c r="K237" i="52"/>
  <c r="K236" i="52"/>
  <c r="K235" i="52"/>
  <c r="K234" i="52"/>
  <c r="K233" i="52"/>
  <c r="K232" i="52"/>
  <c r="K231" i="52"/>
  <c r="K230" i="52"/>
  <c r="K229" i="52"/>
  <c r="K228" i="52"/>
  <c r="K227" i="52"/>
  <c r="K226" i="52"/>
  <c r="K225" i="52"/>
  <c r="K224" i="52"/>
  <c r="K223" i="52"/>
  <c r="K222" i="52"/>
  <c r="K221" i="52"/>
  <c r="K220" i="52"/>
  <c r="K219" i="52"/>
  <c r="K218" i="52"/>
  <c r="K217" i="52"/>
  <c r="K216" i="52"/>
  <c r="K215" i="52"/>
  <c r="K214" i="52"/>
  <c r="K213" i="52"/>
  <c r="K212" i="52"/>
  <c r="K211" i="52"/>
  <c r="K210" i="52"/>
  <c r="K209" i="52"/>
  <c r="K208" i="52"/>
  <c r="K207" i="52"/>
  <c r="K206" i="52"/>
  <c r="K205" i="52"/>
  <c r="K204" i="52"/>
  <c r="K203" i="52"/>
  <c r="K202" i="52"/>
  <c r="K201" i="52"/>
  <c r="K200" i="52"/>
  <c r="K199" i="52"/>
  <c r="K198" i="52"/>
  <c r="K197" i="52"/>
  <c r="K196" i="52"/>
  <c r="K195" i="52"/>
  <c r="K194" i="52"/>
  <c r="K193" i="52"/>
  <c r="K192" i="52"/>
  <c r="K191" i="52"/>
  <c r="K190" i="52"/>
  <c r="K189" i="52"/>
  <c r="K188" i="52"/>
  <c r="K187" i="52"/>
  <c r="K186" i="52"/>
  <c r="K185" i="52"/>
  <c r="K184" i="52"/>
  <c r="K183" i="52"/>
  <c r="K182" i="52"/>
  <c r="K181" i="52"/>
  <c r="K180" i="52"/>
  <c r="K179" i="52"/>
  <c r="K178" i="52"/>
  <c r="K177" i="52"/>
  <c r="K176" i="52"/>
  <c r="K175" i="52"/>
  <c r="K174" i="52"/>
  <c r="K173" i="52"/>
  <c r="K172" i="52"/>
  <c r="K171" i="52"/>
  <c r="K170" i="52"/>
  <c r="K169" i="52"/>
  <c r="K168" i="52"/>
  <c r="K167" i="52"/>
  <c r="K166" i="52"/>
  <c r="K165" i="52"/>
  <c r="K164" i="52"/>
  <c r="K163" i="52"/>
  <c r="K162" i="52"/>
  <c r="K161" i="52"/>
  <c r="K160" i="52"/>
  <c r="K159" i="52"/>
  <c r="K158" i="52"/>
  <c r="K157" i="52"/>
  <c r="K156" i="52"/>
  <c r="K155" i="52"/>
  <c r="K154" i="52"/>
  <c r="K153" i="52"/>
  <c r="K152" i="52"/>
  <c r="K151" i="52"/>
  <c r="K150" i="52"/>
  <c r="K149" i="52"/>
  <c r="K148" i="52"/>
  <c r="K147" i="52"/>
  <c r="K146" i="52"/>
  <c r="K145" i="52"/>
  <c r="K144" i="52"/>
  <c r="K143" i="52"/>
  <c r="K142" i="52"/>
  <c r="K141" i="52"/>
  <c r="K140" i="52"/>
  <c r="K139" i="52"/>
  <c r="K138" i="52"/>
  <c r="K137" i="52"/>
  <c r="K136" i="52"/>
  <c r="K135" i="52"/>
  <c r="K134" i="52"/>
  <c r="K133" i="52"/>
  <c r="K132" i="52"/>
  <c r="K131" i="52"/>
  <c r="K130" i="52"/>
  <c r="K129" i="52"/>
  <c r="K128" i="52"/>
  <c r="K127" i="52"/>
  <c r="K126" i="52"/>
  <c r="K125" i="52"/>
  <c r="K124" i="52"/>
  <c r="K123" i="52"/>
  <c r="K122" i="52"/>
  <c r="K121" i="52"/>
  <c r="K120" i="52"/>
  <c r="K119" i="52"/>
  <c r="K118" i="52"/>
  <c r="K117" i="52"/>
  <c r="K116" i="52"/>
  <c r="K115" i="52"/>
  <c r="K114" i="52"/>
  <c r="K113" i="52"/>
  <c r="K112" i="52"/>
  <c r="K111" i="52"/>
  <c r="K110" i="52"/>
  <c r="K109" i="52"/>
  <c r="K108" i="52"/>
  <c r="K107" i="52"/>
  <c r="K106" i="52"/>
  <c r="K105" i="52"/>
  <c r="K104" i="52"/>
  <c r="K103" i="52"/>
  <c r="K102" i="52"/>
  <c r="K101" i="52"/>
  <c r="K100" i="52"/>
  <c r="K99" i="52"/>
  <c r="K98" i="52"/>
  <c r="K97" i="52"/>
  <c r="K96" i="52"/>
  <c r="K95" i="52"/>
  <c r="K94" i="52"/>
  <c r="K93" i="52"/>
  <c r="K92" i="52"/>
  <c r="K91" i="52"/>
  <c r="K90" i="52"/>
  <c r="K89" i="52"/>
  <c r="K88" i="52"/>
  <c r="K87" i="52"/>
  <c r="K86" i="52"/>
  <c r="K85" i="52"/>
  <c r="K84" i="52"/>
  <c r="K83" i="52"/>
  <c r="K82" i="52"/>
  <c r="K81" i="52"/>
  <c r="K80" i="52"/>
  <c r="K79" i="52"/>
  <c r="K78" i="52"/>
  <c r="K77" i="52"/>
  <c r="K76" i="52"/>
  <c r="K75" i="52"/>
  <c r="K74" i="52"/>
  <c r="K73" i="52"/>
  <c r="K72" i="52"/>
  <c r="K71" i="52"/>
  <c r="K70" i="52"/>
  <c r="K69" i="52"/>
  <c r="K68" i="52"/>
  <c r="K67" i="52"/>
  <c r="K66" i="52"/>
  <c r="K65" i="52"/>
  <c r="K64" i="52"/>
  <c r="K63" i="52"/>
  <c r="K62" i="52"/>
  <c r="K61" i="52"/>
  <c r="K60" i="52"/>
  <c r="K59" i="52"/>
  <c r="K58" i="52"/>
  <c r="K57" i="52"/>
  <c r="K56" i="52"/>
  <c r="K55" i="52"/>
  <c r="K54" i="52"/>
  <c r="K53" i="52"/>
  <c r="K52" i="52"/>
  <c r="K51" i="52"/>
  <c r="K50" i="52"/>
  <c r="K49" i="52"/>
  <c r="K48" i="52"/>
  <c r="K47" i="52"/>
  <c r="K46" i="52"/>
  <c r="K45" i="52"/>
  <c r="K44" i="52"/>
  <c r="K43" i="52"/>
  <c r="K42" i="52"/>
  <c r="K41" i="52"/>
  <c r="K40" i="52"/>
  <c r="K39" i="52"/>
  <c r="K38" i="52"/>
  <c r="K37" i="52"/>
  <c r="K36" i="52"/>
  <c r="K35" i="52"/>
  <c r="K34" i="52"/>
  <c r="K33" i="52"/>
  <c r="K32" i="52"/>
  <c r="K31" i="52"/>
  <c r="K30" i="52"/>
  <c r="K29" i="52"/>
  <c r="K28" i="52"/>
  <c r="K27" i="52"/>
  <c r="K26" i="52"/>
  <c r="K25" i="52"/>
  <c r="K24" i="52"/>
  <c r="K23" i="52"/>
  <c r="K22" i="52"/>
  <c r="K21" i="52"/>
  <c r="K20" i="52"/>
  <c r="K19" i="52"/>
  <c r="K18" i="52"/>
  <c r="K17" i="52"/>
  <c r="K16" i="52"/>
  <c r="K15" i="52"/>
  <c r="K14" i="52"/>
  <c r="K13" i="52"/>
  <c r="K12" i="52"/>
  <c r="K11" i="52"/>
  <c r="K9" i="52"/>
  <c r="K8" i="52"/>
  <c r="K7" i="52"/>
  <c r="K6" i="52"/>
  <c r="K5" i="52"/>
  <c r="K4" i="52"/>
  <c r="K820" i="52"/>
  <c r="AO13" i="105"/>
  <c r="AH13" i="105"/>
  <c r="E13" i="105"/>
  <c r="F13" i="105" s="1"/>
  <c r="D13" i="105"/>
  <c r="C13" i="105"/>
  <c r="B13" i="105"/>
  <c r="K52" i="105" l="1"/>
  <c r="P52" i="105"/>
  <c r="Z52" i="105"/>
  <c r="AE51" i="105"/>
  <c r="U51" i="105"/>
  <c r="P51" i="105"/>
  <c r="K51" i="105"/>
  <c r="Z51" i="105"/>
  <c r="K53" i="105"/>
  <c r="U53" i="105"/>
  <c r="AE53" i="105"/>
  <c r="P53" i="105"/>
  <c r="Z53" i="105"/>
  <c r="AE52" i="105"/>
  <c r="U52" i="105"/>
  <c r="P29" i="105"/>
  <c r="Z29" i="105"/>
  <c r="K29" i="105"/>
  <c r="U29" i="105"/>
  <c r="AE29" i="105"/>
  <c r="L4" i="52"/>
  <c r="L5" i="52"/>
  <c r="L6" i="52"/>
  <c r="L7" i="52"/>
  <c r="L8" i="52"/>
  <c r="L9" i="52"/>
  <c r="L11" i="52"/>
  <c r="L12" i="52"/>
  <c r="L13" i="52"/>
  <c r="L14" i="52"/>
  <c r="L15" i="52"/>
  <c r="L16" i="52"/>
  <c r="L17" i="52"/>
  <c r="L18" i="52"/>
  <c r="L19" i="52"/>
  <c r="L20" i="52"/>
  <c r="L21" i="52"/>
  <c r="L22" i="52"/>
  <c r="L23" i="52"/>
  <c r="L24" i="52"/>
  <c r="L25" i="52"/>
  <c r="L26" i="52"/>
  <c r="L27" i="52"/>
  <c r="L28" i="52"/>
  <c r="L29" i="52"/>
  <c r="L30" i="52"/>
  <c r="L31" i="52"/>
  <c r="L32" i="52"/>
  <c r="L33" i="52"/>
  <c r="L34" i="52"/>
  <c r="L35" i="52"/>
  <c r="L36" i="52"/>
  <c r="L37" i="52"/>
  <c r="L38" i="52"/>
  <c r="L39" i="52"/>
  <c r="L40" i="52"/>
  <c r="L41" i="52"/>
  <c r="L42" i="52"/>
  <c r="L43" i="52"/>
  <c r="L44" i="52"/>
  <c r="L45" i="52"/>
  <c r="L46" i="52"/>
  <c r="L47" i="52"/>
  <c r="L48" i="52"/>
  <c r="L49" i="52"/>
  <c r="L50" i="52"/>
  <c r="L51" i="52"/>
  <c r="L52" i="52"/>
  <c r="L53" i="52"/>
  <c r="L54" i="52"/>
  <c r="L55" i="52"/>
  <c r="L56" i="52"/>
  <c r="L57" i="52"/>
  <c r="L58" i="52"/>
  <c r="L59" i="52"/>
  <c r="L60" i="52"/>
  <c r="L61" i="52"/>
  <c r="L62" i="52"/>
  <c r="L63" i="52"/>
  <c r="L64" i="52"/>
  <c r="L65" i="52"/>
  <c r="L66" i="52"/>
  <c r="L67" i="52"/>
  <c r="L68" i="52"/>
  <c r="L69" i="52"/>
  <c r="L70" i="52"/>
  <c r="L71" i="52"/>
  <c r="L72" i="52"/>
  <c r="L73" i="52"/>
  <c r="L74" i="52"/>
  <c r="L75" i="52"/>
  <c r="L76" i="52"/>
  <c r="L77" i="52"/>
  <c r="L78" i="52"/>
  <c r="L79" i="52"/>
  <c r="L80" i="52"/>
  <c r="L81" i="52"/>
  <c r="L82" i="52"/>
  <c r="L83" i="52"/>
  <c r="L84" i="52"/>
  <c r="L85" i="52"/>
  <c r="L86" i="52"/>
  <c r="L87" i="52"/>
  <c r="L88" i="52"/>
  <c r="L89" i="52"/>
  <c r="L90" i="52"/>
  <c r="L91" i="52"/>
  <c r="L92" i="52"/>
  <c r="L93" i="52"/>
  <c r="L94" i="52"/>
  <c r="L95" i="52"/>
  <c r="L96" i="52"/>
  <c r="L97" i="52"/>
  <c r="L98" i="52"/>
  <c r="L99" i="52"/>
  <c r="L100" i="52"/>
  <c r="L101" i="52"/>
  <c r="L102" i="52"/>
  <c r="L103" i="52"/>
  <c r="L104" i="52"/>
  <c r="L105" i="52"/>
  <c r="L106" i="52"/>
  <c r="L107" i="52"/>
  <c r="L108" i="52"/>
  <c r="L109" i="52"/>
  <c r="L110" i="52"/>
  <c r="L111" i="52"/>
  <c r="L112" i="52"/>
  <c r="L113" i="52"/>
  <c r="L114" i="52"/>
  <c r="L115" i="52"/>
  <c r="L116" i="52"/>
  <c r="L117" i="52"/>
  <c r="L118" i="52"/>
  <c r="L119" i="52"/>
  <c r="L120" i="52"/>
  <c r="L121" i="52"/>
  <c r="L122" i="52"/>
  <c r="L123" i="52"/>
  <c r="L124" i="52"/>
  <c r="L125" i="52"/>
  <c r="L126" i="52"/>
  <c r="L127" i="52"/>
  <c r="L128" i="52"/>
  <c r="L129" i="52"/>
  <c r="L130" i="52"/>
  <c r="L131" i="52"/>
  <c r="L132" i="52"/>
  <c r="L133" i="52"/>
  <c r="L134" i="52"/>
  <c r="L135" i="52"/>
  <c r="L136" i="52"/>
  <c r="L137" i="52"/>
  <c r="L138" i="52"/>
  <c r="L139" i="52"/>
  <c r="L140" i="52"/>
  <c r="L141" i="52"/>
  <c r="L142" i="52"/>
  <c r="L143" i="52"/>
  <c r="L144" i="52"/>
  <c r="L145" i="52"/>
  <c r="L146" i="52"/>
  <c r="L147" i="52"/>
  <c r="L148" i="52"/>
  <c r="L149" i="52"/>
  <c r="L150" i="52"/>
  <c r="L151" i="52"/>
  <c r="L152" i="52"/>
  <c r="L153" i="52"/>
  <c r="L154" i="52"/>
  <c r="L155" i="52"/>
  <c r="L156" i="52"/>
  <c r="L157" i="52"/>
  <c r="L158" i="52"/>
  <c r="L159" i="52"/>
  <c r="L160" i="52"/>
  <c r="L161" i="52"/>
  <c r="L162" i="52"/>
  <c r="L163" i="52"/>
  <c r="L164" i="52"/>
  <c r="L165" i="52"/>
  <c r="L166" i="52"/>
  <c r="L167" i="52"/>
  <c r="L168" i="52"/>
  <c r="L169" i="52"/>
  <c r="L170" i="52"/>
  <c r="L171" i="52"/>
  <c r="L172" i="52"/>
  <c r="L173" i="52"/>
  <c r="L174" i="52"/>
  <c r="L175" i="52"/>
  <c r="L176" i="52"/>
  <c r="L177" i="52"/>
  <c r="L178" i="52"/>
  <c r="L179" i="52"/>
  <c r="L180" i="52"/>
  <c r="L181" i="52"/>
  <c r="L182" i="52"/>
  <c r="L183" i="52"/>
  <c r="L184" i="52"/>
  <c r="L185" i="52"/>
  <c r="L186" i="52"/>
  <c r="L187" i="52"/>
  <c r="L188" i="52"/>
  <c r="L189" i="52"/>
  <c r="L190" i="52"/>
  <c r="L191" i="52"/>
  <c r="L192" i="52"/>
  <c r="L193" i="52"/>
  <c r="L194" i="52"/>
  <c r="L195" i="52"/>
  <c r="L196" i="52"/>
  <c r="L197" i="52"/>
  <c r="L198" i="52"/>
  <c r="L199" i="52"/>
  <c r="L200" i="52"/>
  <c r="L201" i="52"/>
  <c r="L202" i="52"/>
  <c r="L203" i="52"/>
  <c r="L204" i="52"/>
  <c r="L205" i="52"/>
  <c r="L206" i="52"/>
  <c r="L207" i="52"/>
  <c r="L208" i="52"/>
  <c r="L209" i="52"/>
  <c r="L210" i="52"/>
  <c r="L211" i="52"/>
  <c r="L212" i="52"/>
  <c r="L213" i="52"/>
  <c r="L214" i="52"/>
  <c r="L215" i="52"/>
  <c r="L216" i="52"/>
  <c r="L217" i="52"/>
  <c r="L218" i="52"/>
  <c r="L219" i="52"/>
  <c r="L220" i="52"/>
  <c r="L221" i="52"/>
  <c r="L222" i="52"/>
  <c r="L223" i="52"/>
  <c r="L224" i="52"/>
  <c r="L225" i="52"/>
  <c r="L226" i="52"/>
  <c r="L227" i="52"/>
  <c r="L228" i="52"/>
  <c r="L229" i="52"/>
  <c r="L230" i="52"/>
  <c r="L231" i="52"/>
  <c r="L232" i="52"/>
  <c r="L233" i="52"/>
  <c r="L234" i="52"/>
  <c r="L235" i="52"/>
  <c r="L236" i="52"/>
  <c r="L237" i="52"/>
  <c r="L238" i="52"/>
  <c r="L239" i="52"/>
  <c r="L240" i="52"/>
  <c r="L241" i="52"/>
  <c r="L242" i="52"/>
  <c r="L243" i="52"/>
  <c r="L244" i="52"/>
  <c r="L245" i="52"/>
  <c r="L246" i="52"/>
  <c r="L247" i="52"/>
  <c r="L248" i="52"/>
  <c r="L249" i="52"/>
  <c r="L250" i="52"/>
  <c r="L251" i="52"/>
  <c r="L252" i="52"/>
  <c r="L253" i="52"/>
  <c r="L254" i="52"/>
  <c r="L255" i="52"/>
  <c r="L256" i="52"/>
  <c r="L257" i="52"/>
  <c r="L258" i="52"/>
  <c r="L259" i="52"/>
  <c r="L260" i="52"/>
  <c r="L261" i="52"/>
  <c r="L262" i="52"/>
  <c r="L263" i="52"/>
  <c r="L264" i="52"/>
  <c r="L265" i="52"/>
  <c r="L266" i="52"/>
  <c r="L267" i="52"/>
  <c r="L268" i="52"/>
  <c r="L269" i="52"/>
  <c r="L270" i="52"/>
  <c r="L271" i="52"/>
  <c r="L272" i="52"/>
  <c r="L273" i="52"/>
  <c r="L274" i="52"/>
  <c r="L275" i="52"/>
  <c r="L276" i="52"/>
  <c r="L277" i="52"/>
  <c r="L278" i="52"/>
  <c r="L279" i="52"/>
  <c r="L280" i="52"/>
  <c r="L281" i="52"/>
  <c r="L282" i="52"/>
  <c r="L283" i="52"/>
  <c r="L284" i="52"/>
  <c r="L285" i="52"/>
  <c r="L286" i="52"/>
  <c r="L287" i="52"/>
  <c r="L288" i="52"/>
  <c r="L289" i="52"/>
  <c r="L290" i="52"/>
  <c r="L291" i="52"/>
  <c r="L292" i="52"/>
  <c r="L293" i="52"/>
  <c r="L294" i="52"/>
  <c r="L295" i="52"/>
  <c r="L296" i="52"/>
  <c r="L297" i="52"/>
  <c r="L298" i="52"/>
  <c r="L299" i="52"/>
  <c r="L300" i="52"/>
  <c r="L301" i="52"/>
  <c r="L302" i="52"/>
  <c r="L303" i="52"/>
  <c r="L304" i="52"/>
  <c r="L305" i="52"/>
  <c r="L306" i="52"/>
  <c r="L307" i="52"/>
  <c r="L308" i="52"/>
  <c r="L309" i="52"/>
  <c r="L310" i="52"/>
  <c r="L311" i="52"/>
  <c r="L312" i="52"/>
  <c r="L313" i="52"/>
  <c r="L314" i="52"/>
  <c r="L315" i="52"/>
  <c r="L316" i="52"/>
  <c r="L317" i="52"/>
  <c r="L318" i="52"/>
  <c r="L319" i="52"/>
  <c r="L320" i="52"/>
  <c r="L321" i="52"/>
  <c r="L322" i="52"/>
  <c r="L323" i="52"/>
  <c r="L324" i="52"/>
  <c r="L325" i="52"/>
  <c r="L326" i="52"/>
  <c r="L327" i="52"/>
  <c r="L328" i="52"/>
  <c r="L329" i="52"/>
  <c r="L330" i="52"/>
  <c r="L331" i="52"/>
  <c r="L332" i="52"/>
  <c r="L333" i="52"/>
  <c r="L334" i="52"/>
  <c r="L335" i="52"/>
  <c r="L336" i="52"/>
  <c r="L337" i="52"/>
  <c r="L338" i="52"/>
  <c r="L339" i="52"/>
  <c r="L340" i="52"/>
  <c r="L341" i="52"/>
  <c r="L342" i="52"/>
  <c r="L343" i="52"/>
  <c r="L344" i="52"/>
  <c r="L345" i="52"/>
  <c r="L346" i="52"/>
  <c r="L347" i="52"/>
  <c r="L348" i="52"/>
  <c r="L349" i="52"/>
  <c r="L350" i="52"/>
  <c r="L351" i="52"/>
  <c r="L352" i="52"/>
  <c r="L353" i="52"/>
  <c r="L354" i="52"/>
  <c r="L355" i="52"/>
  <c r="L356" i="52"/>
  <c r="L357" i="52"/>
  <c r="L358" i="52"/>
  <c r="L359" i="52"/>
  <c r="L360" i="52"/>
  <c r="L361" i="52"/>
  <c r="L362" i="52"/>
  <c r="L363" i="52"/>
  <c r="L364" i="52"/>
  <c r="L365" i="52"/>
  <c r="L366" i="52"/>
  <c r="L367" i="52"/>
  <c r="L368" i="52"/>
  <c r="L369" i="52"/>
  <c r="L370" i="52"/>
  <c r="L371" i="52"/>
  <c r="L372" i="52"/>
  <c r="L373" i="52"/>
  <c r="L374" i="52"/>
  <c r="L375" i="52"/>
  <c r="L376" i="52"/>
  <c r="L377" i="52"/>
  <c r="L378" i="52"/>
  <c r="L379" i="52"/>
  <c r="L380" i="52"/>
  <c r="L381" i="52"/>
  <c r="L382" i="52"/>
  <c r="L383" i="52"/>
  <c r="L384" i="52"/>
  <c r="L385" i="52"/>
  <c r="L386" i="52"/>
  <c r="L387" i="52"/>
  <c r="L388" i="52"/>
  <c r="L389" i="52"/>
  <c r="L390" i="52"/>
  <c r="L391" i="52"/>
  <c r="L392" i="52"/>
  <c r="L393" i="52"/>
  <c r="L394" i="52"/>
  <c r="L395" i="52"/>
  <c r="L396" i="52"/>
  <c r="L397" i="52"/>
  <c r="L398" i="52"/>
  <c r="L399" i="52"/>
  <c r="L400" i="52"/>
  <c r="L401" i="52"/>
  <c r="L402" i="52"/>
  <c r="L403" i="52"/>
  <c r="L404" i="52"/>
  <c r="L405" i="52"/>
  <c r="L406" i="52"/>
  <c r="L407" i="52"/>
  <c r="L408" i="52"/>
  <c r="L409" i="52"/>
  <c r="L410" i="52"/>
  <c r="L411" i="52"/>
  <c r="L412" i="52"/>
  <c r="L413" i="52"/>
  <c r="L414" i="52"/>
  <c r="L415" i="52"/>
  <c r="L416" i="52"/>
  <c r="L417" i="52"/>
  <c r="L418" i="52"/>
  <c r="L419" i="52"/>
  <c r="L420" i="52"/>
  <c r="L421" i="52"/>
  <c r="L422" i="52"/>
  <c r="L423" i="52"/>
  <c r="L424" i="52"/>
  <c r="L425" i="52"/>
  <c r="L426" i="52"/>
  <c r="L427" i="52"/>
  <c r="L428" i="52"/>
  <c r="L429" i="52"/>
  <c r="L430" i="52"/>
  <c r="L431" i="52"/>
  <c r="L432" i="52"/>
  <c r="L433" i="52"/>
  <c r="L434" i="52"/>
  <c r="L435" i="52"/>
  <c r="L436" i="52"/>
  <c r="L437" i="52"/>
  <c r="L438" i="52"/>
  <c r="L439" i="52"/>
  <c r="L440" i="52"/>
  <c r="L441" i="52"/>
  <c r="L442" i="52"/>
  <c r="L443" i="52"/>
  <c r="L444" i="52"/>
  <c r="L445" i="52"/>
  <c r="L446" i="52"/>
  <c r="L447" i="52"/>
  <c r="L448" i="52"/>
  <c r="L449" i="52"/>
  <c r="L450" i="52"/>
  <c r="L451" i="52"/>
  <c r="L452" i="52"/>
  <c r="L453" i="52"/>
  <c r="L454" i="52"/>
  <c r="L455" i="52"/>
  <c r="L456" i="52"/>
  <c r="L457" i="52"/>
  <c r="L458" i="52"/>
  <c r="L459" i="52"/>
  <c r="L460" i="52"/>
  <c r="L461" i="52"/>
  <c r="L462" i="52"/>
  <c r="L463" i="52"/>
  <c r="L464" i="52"/>
  <c r="L465" i="52"/>
  <c r="L466" i="52"/>
  <c r="L467" i="52"/>
  <c r="L468" i="52"/>
  <c r="L469" i="52"/>
  <c r="L470" i="52"/>
  <c r="L471" i="52"/>
  <c r="L472" i="52"/>
  <c r="L473" i="52"/>
  <c r="L474" i="52"/>
  <c r="L475" i="52"/>
  <c r="L476" i="52"/>
  <c r="L477" i="52"/>
  <c r="L478" i="52"/>
  <c r="L479" i="52"/>
  <c r="L480" i="52"/>
  <c r="L481" i="52"/>
  <c r="L482" i="52"/>
  <c r="L483" i="52"/>
  <c r="L484" i="52"/>
  <c r="L485" i="52"/>
  <c r="L486" i="52"/>
  <c r="L487" i="52"/>
  <c r="L488" i="52"/>
  <c r="L489" i="52"/>
  <c r="L490" i="52"/>
  <c r="L491" i="52"/>
  <c r="L492" i="52"/>
  <c r="L493" i="52"/>
  <c r="L494" i="52"/>
  <c r="L495" i="52"/>
  <c r="L496" i="52"/>
  <c r="L497" i="52"/>
  <c r="L498" i="52"/>
  <c r="L499" i="52"/>
  <c r="L500" i="52"/>
  <c r="L501" i="52"/>
  <c r="L502" i="52"/>
  <c r="L503" i="52"/>
  <c r="L504" i="52"/>
  <c r="L505" i="52"/>
  <c r="L506" i="52"/>
  <c r="L507" i="52"/>
  <c r="L508" i="52"/>
  <c r="L509" i="52"/>
  <c r="L510" i="52"/>
  <c r="L511" i="52"/>
  <c r="L512" i="52"/>
  <c r="L513" i="52"/>
  <c r="L514" i="52"/>
  <c r="L515" i="52"/>
  <c r="L516" i="52"/>
  <c r="L517" i="52"/>
  <c r="L518" i="52"/>
  <c r="L519" i="52"/>
  <c r="L520" i="52"/>
  <c r="L521" i="52"/>
  <c r="L522" i="52"/>
  <c r="L523" i="52"/>
  <c r="L524" i="52"/>
  <c r="L525" i="52"/>
  <c r="L526" i="52"/>
  <c r="L527" i="52"/>
  <c r="L528" i="52"/>
  <c r="L529" i="52"/>
  <c r="L530" i="52"/>
  <c r="L531" i="52"/>
  <c r="L532" i="52"/>
  <c r="L533" i="52"/>
  <c r="L534" i="52"/>
  <c r="L535" i="52"/>
  <c r="L536" i="52"/>
  <c r="L537" i="52"/>
  <c r="L538" i="52"/>
  <c r="L539" i="52"/>
  <c r="L540" i="52"/>
  <c r="L541" i="52"/>
  <c r="L542" i="52"/>
  <c r="L543" i="52"/>
  <c r="L544" i="52"/>
  <c r="L545" i="52"/>
  <c r="L546" i="52"/>
  <c r="L547" i="52"/>
  <c r="L548" i="52"/>
  <c r="L549" i="52"/>
  <c r="L550" i="52"/>
  <c r="L551" i="52"/>
  <c r="L552" i="52"/>
  <c r="L553" i="52"/>
  <c r="L554" i="52"/>
  <c r="L555" i="52"/>
  <c r="L556" i="52"/>
  <c r="L557" i="52"/>
  <c r="L558" i="52"/>
  <c r="L559" i="52"/>
  <c r="L560" i="52"/>
  <c r="L561" i="52"/>
  <c r="L562" i="52"/>
  <c r="L563" i="52"/>
  <c r="L564" i="52"/>
  <c r="L565" i="52"/>
  <c r="L566" i="52"/>
  <c r="L567" i="52"/>
  <c r="L568" i="52"/>
  <c r="L569" i="52"/>
  <c r="L570" i="52"/>
  <c r="L571" i="52"/>
  <c r="L572" i="52"/>
  <c r="L573" i="52"/>
  <c r="L574" i="52"/>
  <c r="L575" i="52"/>
  <c r="L576" i="52"/>
  <c r="L577" i="52"/>
  <c r="L578" i="52"/>
  <c r="L579" i="52"/>
  <c r="L580" i="52"/>
  <c r="L581" i="52"/>
  <c r="L582" i="52"/>
  <c r="L583" i="52"/>
  <c r="L584" i="52"/>
  <c r="L585" i="52"/>
  <c r="L586" i="52"/>
  <c r="L587" i="52"/>
  <c r="L588" i="52"/>
  <c r="L589" i="52"/>
  <c r="L590" i="52"/>
  <c r="L591" i="52"/>
  <c r="L592" i="52"/>
  <c r="L593" i="52"/>
  <c r="L594" i="52"/>
  <c r="L595" i="52"/>
  <c r="L596" i="52"/>
  <c r="L597" i="52"/>
  <c r="L598" i="52"/>
  <c r="L599" i="52"/>
  <c r="L600" i="52"/>
  <c r="L601" i="52"/>
  <c r="L602" i="52"/>
  <c r="L603" i="52"/>
  <c r="L604" i="52"/>
  <c r="L605" i="52"/>
  <c r="L606" i="52"/>
  <c r="L607" i="52"/>
  <c r="L608" i="52"/>
  <c r="L609" i="52"/>
  <c r="L610" i="52"/>
  <c r="L611" i="52"/>
  <c r="L612" i="52"/>
  <c r="L613" i="52"/>
  <c r="L614" i="52"/>
  <c r="L615" i="52"/>
  <c r="L616" i="52"/>
  <c r="L617" i="52"/>
  <c r="L618" i="52"/>
  <c r="L619" i="52"/>
  <c r="L620" i="52"/>
  <c r="L621" i="52"/>
  <c r="L622" i="52"/>
  <c r="L623" i="52"/>
  <c r="L624" i="52"/>
  <c r="L625" i="52"/>
  <c r="L626" i="52"/>
  <c r="L627" i="52"/>
  <c r="L628" i="52"/>
  <c r="L629" i="52"/>
  <c r="L630" i="52"/>
  <c r="L631" i="52"/>
  <c r="L632" i="52"/>
  <c r="L633" i="52"/>
  <c r="L634" i="52"/>
  <c r="L635" i="52"/>
  <c r="L636" i="52"/>
  <c r="L637" i="52"/>
  <c r="L638" i="52"/>
  <c r="L639" i="52"/>
  <c r="L640" i="52"/>
  <c r="L641" i="52"/>
  <c r="L642" i="52"/>
  <c r="L643" i="52"/>
  <c r="L644" i="52"/>
  <c r="L645" i="52"/>
  <c r="L646" i="52"/>
  <c r="L647" i="52"/>
  <c r="L648" i="52"/>
  <c r="L649" i="52"/>
  <c r="L650" i="52"/>
  <c r="L651" i="52"/>
  <c r="L652" i="52"/>
  <c r="L653" i="52"/>
  <c r="L654" i="52"/>
  <c r="L655" i="52"/>
  <c r="L656" i="52"/>
  <c r="L657" i="52"/>
  <c r="L658" i="52"/>
  <c r="L659" i="52"/>
  <c r="L660" i="52"/>
  <c r="L661" i="52"/>
  <c r="L662" i="52"/>
  <c r="L663" i="52"/>
  <c r="L664" i="52"/>
  <c r="L665" i="52"/>
  <c r="L666" i="52"/>
  <c r="L667" i="52"/>
  <c r="L668" i="52"/>
  <c r="L669" i="52"/>
  <c r="L670" i="52"/>
  <c r="L671" i="52"/>
  <c r="L672" i="52"/>
  <c r="L673" i="52"/>
  <c r="L674" i="52"/>
  <c r="L675" i="52"/>
  <c r="L676" i="52"/>
  <c r="L677" i="52"/>
  <c r="L678" i="52"/>
  <c r="L679" i="52"/>
  <c r="L680" i="52"/>
  <c r="L681" i="52"/>
  <c r="L682" i="52"/>
  <c r="L683" i="52"/>
  <c r="L684" i="52"/>
  <c r="L685" i="52"/>
  <c r="L686" i="52"/>
  <c r="L687" i="52"/>
  <c r="L688" i="52"/>
  <c r="L689" i="52"/>
  <c r="L690" i="52"/>
  <c r="L691" i="52"/>
  <c r="L692" i="52"/>
  <c r="L693" i="52"/>
  <c r="L694" i="52"/>
  <c r="L695" i="52"/>
  <c r="L696" i="52"/>
  <c r="L697" i="52"/>
  <c r="L698" i="52"/>
  <c r="L699" i="52"/>
  <c r="L700" i="52"/>
  <c r="L701" i="52"/>
  <c r="L702" i="52"/>
  <c r="L703" i="52"/>
  <c r="L704" i="52"/>
  <c r="L705" i="52"/>
  <c r="L706" i="52"/>
  <c r="L707" i="52"/>
  <c r="L708" i="52"/>
  <c r="L709" i="52"/>
  <c r="L710" i="52"/>
  <c r="L711" i="52"/>
  <c r="L712" i="52"/>
  <c r="L713" i="52"/>
  <c r="L714" i="52"/>
  <c r="L715" i="52"/>
  <c r="L716" i="52"/>
  <c r="L717" i="52"/>
  <c r="L718" i="52"/>
  <c r="L719" i="52"/>
  <c r="L720" i="52"/>
  <c r="L721" i="52"/>
  <c r="L722" i="52"/>
  <c r="L723" i="52"/>
  <c r="L724" i="52"/>
  <c r="L725" i="52"/>
  <c r="L726" i="52"/>
  <c r="L727" i="52"/>
  <c r="L728" i="52"/>
  <c r="L729" i="52"/>
  <c r="L730" i="52"/>
  <c r="L731" i="52"/>
  <c r="L732" i="52"/>
  <c r="L733" i="52"/>
  <c r="L734" i="52"/>
  <c r="L735" i="52"/>
  <c r="L736" i="52"/>
  <c r="L737" i="52"/>
  <c r="L738" i="52"/>
  <c r="L739" i="52"/>
  <c r="L740" i="52"/>
  <c r="L741" i="52"/>
  <c r="L742" i="52"/>
  <c r="L743" i="52"/>
  <c r="L744" i="52"/>
  <c r="L745" i="52"/>
  <c r="L746" i="52"/>
  <c r="L747" i="52"/>
  <c r="L748" i="52"/>
  <c r="L749" i="52"/>
  <c r="L750" i="52"/>
  <c r="L751" i="52"/>
  <c r="L752" i="52"/>
  <c r="L753" i="52"/>
  <c r="L754" i="52"/>
  <c r="L755" i="52"/>
  <c r="L756" i="52"/>
  <c r="L757" i="52"/>
  <c r="L758" i="52"/>
  <c r="L759" i="52"/>
  <c r="L760" i="52"/>
  <c r="L761" i="52"/>
  <c r="L762" i="52"/>
  <c r="L763" i="52"/>
  <c r="L764" i="52"/>
  <c r="L765" i="52"/>
  <c r="L766" i="52"/>
  <c r="L767" i="52"/>
  <c r="L768" i="52"/>
  <c r="L769" i="52"/>
  <c r="L770" i="52"/>
  <c r="L771" i="52"/>
  <c r="L772" i="52"/>
  <c r="L773" i="52"/>
  <c r="L774" i="52"/>
  <c r="L775" i="52"/>
  <c r="L776" i="52"/>
  <c r="L777" i="52"/>
  <c r="L778" i="52"/>
  <c r="L779" i="52"/>
  <c r="L780" i="52"/>
  <c r="L781" i="52"/>
  <c r="L782" i="52"/>
  <c r="L783" i="52"/>
  <c r="L784" i="52"/>
  <c r="L785" i="52"/>
  <c r="L786" i="52"/>
  <c r="L787" i="52"/>
  <c r="L788" i="52"/>
  <c r="L789" i="52"/>
  <c r="L790" i="52"/>
  <c r="L791" i="52"/>
  <c r="L792" i="52"/>
  <c r="L793" i="52"/>
  <c r="L794" i="52"/>
  <c r="L795" i="52"/>
  <c r="L796" i="52"/>
  <c r="L797" i="52"/>
  <c r="L798" i="52"/>
  <c r="L799" i="52"/>
  <c r="L800" i="52"/>
  <c r="L801" i="52"/>
  <c r="L802" i="52"/>
  <c r="L803" i="52"/>
  <c r="L804" i="52"/>
  <c r="L805" i="52"/>
  <c r="L806" i="52"/>
  <c r="L807" i="52"/>
  <c r="L808" i="52"/>
  <c r="L809" i="52"/>
  <c r="L810" i="52"/>
  <c r="L811" i="52"/>
  <c r="L812" i="52"/>
  <c r="L813" i="52"/>
  <c r="L814" i="52"/>
  <c r="L815" i="52"/>
  <c r="L816" i="52"/>
  <c r="L817" i="52"/>
  <c r="L818" i="52"/>
  <c r="L819" i="52"/>
  <c r="L820" i="52"/>
  <c r="L821" i="52"/>
  <c r="L822" i="52"/>
  <c r="L823" i="52"/>
  <c r="L824" i="52"/>
  <c r="L825" i="52"/>
  <c r="L826" i="52"/>
  <c r="L827" i="52"/>
  <c r="L828" i="52"/>
  <c r="L829" i="52"/>
  <c r="L830" i="52"/>
  <c r="L831" i="52"/>
  <c r="L832" i="52"/>
  <c r="L833" i="52"/>
  <c r="L834" i="52"/>
  <c r="L835" i="52"/>
  <c r="L836" i="52"/>
  <c r="L837" i="52"/>
  <c r="L838" i="52"/>
  <c r="L839" i="52"/>
  <c r="L840" i="52"/>
  <c r="L841" i="52"/>
  <c r="L842" i="52"/>
  <c r="L843" i="52"/>
  <c r="L844" i="52"/>
  <c r="L845" i="52"/>
  <c r="L846" i="52"/>
  <c r="L847" i="52"/>
  <c r="L848" i="52"/>
  <c r="L849" i="52"/>
  <c r="L850" i="52"/>
  <c r="L851" i="52"/>
  <c r="L852" i="52"/>
  <c r="L853" i="52"/>
  <c r="L854" i="52"/>
  <c r="L855" i="52"/>
  <c r="L856" i="52"/>
  <c r="L857" i="52"/>
  <c r="L858" i="52"/>
  <c r="L859" i="52"/>
  <c r="L860" i="52"/>
  <c r="L861" i="52"/>
  <c r="L862" i="52"/>
  <c r="L863" i="52"/>
  <c r="L864" i="52"/>
  <c r="L865" i="52"/>
  <c r="L866" i="52"/>
  <c r="L867" i="52"/>
  <c r="L868" i="52"/>
  <c r="L869" i="52"/>
  <c r="L870" i="52"/>
  <c r="L871" i="52"/>
  <c r="L872" i="52"/>
  <c r="L873" i="52"/>
  <c r="L874" i="52"/>
  <c r="L875" i="52"/>
  <c r="L876" i="52"/>
  <c r="L877" i="52"/>
  <c r="L878" i="52"/>
  <c r="L879" i="52"/>
  <c r="L880" i="52"/>
  <c r="L881" i="52"/>
  <c r="L882" i="52"/>
  <c r="L883" i="52"/>
  <c r="L884" i="52"/>
  <c r="L885" i="52"/>
  <c r="L886" i="52"/>
  <c r="L887" i="52"/>
  <c r="L888" i="52"/>
  <c r="L889" i="52"/>
  <c r="L890" i="52"/>
  <c r="L891" i="52"/>
  <c r="X50" i="69"/>
  <c r="W50" i="69"/>
  <c r="T50" i="69"/>
  <c r="S50" i="69"/>
  <c r="P50" i="69"/>
  <c r="O50" i="69"/>
  <c r="L50" i="69"/>
  <c r="K50" i="69"/>
  <c r="H50" i="69"/>
  <c r="G50" i="69"/>
  <c r="E50" i="69"/>
  <c r="D50" i="69"/>
  <c r="C50" i="69"/>
  <c r="B50" i="69"/>
  <c r="A50" i="69"/>
  <c r="X49" i="69"/>
  <c r="T49" i="69"/>
  <c r="P49" i="69"/>
  <c r="O49" i="69"/>
  <c r="L49" i="69"/>
  <c r="K49" i="69"/>
  <c r="H49" i="69"/>
  <c r="G49" i="69"/>
  <c r="A49" i="69"/>
  <c r="X48" i="69"/>
  <c r="W48" i="69"/>
  <c r="T48" i="69"/>
  <c r="S48" i="69"/>
  <c r="P48" i="69"/>
  <c r="O48" i="69"/>
  <c r="L48" i="69"/>
  <c r="K48" i="69"/>
  <c r="H48" i="69"/>
  <c r="G48" i="69"/>
  <c r="E48" i="69"/>
  <c r="D48" i="69"/>
  <c r="C48" i="69"/>
  <c r="B48" i="69"/>
  <c r="A48" i="69"/>
  <c r="X47" i="69"/>
  <c r="W47" i="69"/>
  <c r="T47" i="69"/>
  <c r="S47" i="69"/>
  <c r="P47" i="69"/>
  <c r="O47" i="69"/>
  <c r="L47" i="69"/>
  <c r="K47" i="69"/>
  <c r="H47" i="69"/>
  <c r="G47" i="69"/>
  <c r="A47" i="69"/>
  <c r="X46" i="69"/>
  <c r="W46" i="69"/>
  <c r="T46" i="69"/>
  <c r="S46" i="69"/>
  <c r="P46" i="69"/>
  <c r="O46" i="69"/>
  <c r="L46" i="69"/>
  <c r="K46" i="69"/>
  <c r="H46" i="69"/>
  <c r="G46" i="69"/>
  <c r="A46" i="69"/>
  <c r="X45" i="69"/>
  <c r="W45" i="69"/>
  <c r="T45" i="69"/>
  <c r="S45" i="69"/>
  <c r="P45" i="69"/>
  <c r="O45" i="69"/>
  <c r="L45" i="69"/>
  <c r="K45" i="69"/>
  <c r="H45" i="69"/>
  <c r="G45" i="69"/>
  <c r="A45" i="69"/>
  <c r="X44" i="69"/>
  <c r="W44" i="69"/>
  <c r="T44" i="69"/>
  <c r="S44" i="69"/>
  <c r="P44" i="69"/>
  <c r="O44" i="69"/>
  <c r="L44" i="69"/>
  <c r="K44" i="69"/>
  <c r="H44" i="69"/>
  <c r="G44" i="69"/>
  <c r="A44" i="69"/>
  <c r="X43" i="69"/>
  <c r="W43" i="69"/>
  <c r="T43" i="69"/>
  <c r="S43" i="69"/>
  <c r="P43" i="69"/>
  <c r="O43" i="69"/>
  <c r="L43" i="69"/>
  <c r="K43" i="69"/>
  <c r="H43" i="69"/>
  <c r="G43" i="69"/>
  <c r="A43" i="69"/>
  <c r="X42" i="69"/>
  <c r="W42" i="69"/>
  <c r="T42" i="69"/>
  <c r="S42" i="69"/>
  <c r="P42" i="69"/>
  <c r="O42" i="69"/>
  <c r="L42" i="69"/>
  <c r="K42" i="69"/>
  <c r="H42" i="69"/>
  <c r="G42" i="69"/>
  <c r="E42" i="69"/>
  <c r="D42" i="69"/>
  <c r="C42" i="69"/>
  <c r="B42" i="69"/>
  <c r="A42" i="69"/>
  <c r="X41" i="69"/>
  <c r="W41" i="69"/>
  <c r="T41" i="69"/>
  <c r="S41" i="69"/>
  <c r="P41" i="69"/>
  <c r="O41" i="69"/>
  <c r="L41" i="69"/>
  <c r="K41" i="69"/>
  <c r="H41" i="69"/>
  <c r="G41" i="69"/>
  <c r="A41" i="69"/>
  <c r="X40" i="69"/>
  <c r="W40" i="69"/>
  <c r="T40" i="69"/>
  <c r="S40" i="69"/>
  <c r="P40" i="69"/>
  <c r="O40" i="69"/>
  <c r="L40" i="69"/>
  <c r="K40" i="69"/>
  <c r="H40" i="69"/>
  <c r="G40" i="69"/>
  <c r="A40" i="69"/>
  <c r="X39" i="69"/>
  <c r="W39" i="69"/>
  <c r="T39" i="69"/>
  <c r="S39" i="69"/>
  <c r="P39" i="69"/>
  <c r="O39" i="69"/>
  <c r="L39" i="69"/>
  <c r="K39" i="69"/>
  <c r="H39" i="69"/>
  <c r="G39" i="69"/>
  <c r="A39" i="69"/>
  <c r="X38" i="69"/>
  <c r="W38" i="69"/>
  <c r="T38" i="69"/>
  <c r="S38" i="69"/>
  <c r="P38" i="69"/>
  <c r="O38" i="69"/>
  <c r="L38" i="69"/>
  <c r="K38" i="69"/>
  <c r="H38" i="69"/>
  <c r="G38" i="69"/>
  <c r="A38" i="69"/>
  <c r="X37" i="69"/>
  <c r="W37" i="69"/>
  <c r="T37" i="69"/>
  <c r="S37" i="69"/>
  <c r="P37" i="69"/>
  <c r="O37" i="69"/>
  <c r="L37" i="69"/>
  <c r="K37" i="69"/>
  <c r="H37" i="69"/>
  <c r="G37" i="69"/>
  <c r="A37" i="69"/>
  <c r="X36" i="69"/>
  <c r="W36" i="69"/>
  <c r="T36" i="69"/>
  <c r="S36" i="69"/>
  <c r="P36" i="69"/>
  <c r="O36" i="69"/>
  <c r="L36" i="69"/>
  <c r="K36" i="69"/>
  <c r="H36" i="69"/>
  <c r="G36" i="69"/>
  <c r="A36" i="69"/>
  <c r="X35" i="69"/>
  <c r="W35" i="69"/>
  <c r="T35" i="69"/>
  <c r="S35" i="69"/>
  <c r="P35" i="69"/>
  <c r="O35" i="69"/>
  <c r="L35" i="69"/>
  <c r="K35" i="69"/>
  <c r="H35" i="69"/>
  <c r="G35" i="69"/>
  <c r="A35" i="69"/>
  <c r="X34" i="69"/>
  <c r="W34" i="69"/>
  <c r="T34" i="69"/>
  <c r="S34" i="69"/>
  <c r="P34" i="69"/>
  <c r="O34" i="69"/>
  <c r="L34" i="69"/>
  <c r="K34" i="69"/>
  <c r="H34" i="69"/>
  <c r="G34" i="69"/>
  <c r="A34" i="69"/>
  <c r="X33" i="69"/>
  <c r="W33" i="69"/>
  <c r="T33" i="69"/>
  <c r="S33" i="69"/>
  <c r="P33" i="69"/>
  <c r="O33" i="69"/>
  <c r="L33" i="69"/>
  <c r="K33" i="69"/>
  <c r="H33" i="69"/>
  <c r="G33" i="69"/>
  <c r="A33" i="69"/>
  <c r="X32" i="69"/>
  <c r="W32" i="69"/>
  <c r="T32" i="69"/>
  <c r="S32" i="69"/>
  <c r="P32" i="69"/>
  <c r="O32" i="69"/>
  <c r="L32" i="69"/>
  <c r="K32" i="69"/>
  <c r="H32" i="69"/>
  <c r="G32" i="69"/>
  <c r="A32" i="69"/>
  <c r="X31" i="69"/>
  <c r="W31" i="69"/>
  <c r="T31" i="69"/>
  <c r="S31" i="69"/>
  <c r="P31" i="69"/>
  <c r="O31" i="69"/>
  <c r="L31" i="69"/>
  <c r="K31" i="69"/>
  <c r="H31" i="69"/>
  <c r="G31" i="69"/>
  <c r="A31" i="69"/>
  <c r="X30" i="69"/>
  <c r="W30" i="69"/>
  <c r="T30" i="69"/>
  <c r="S30" i="69"/>
  <c r="P30" i="69"/>
  <c r="O30" i="69"/>
  <c r="L30" i="69"/>
  <c r="K30" i="69"/>
  <c r="H30" i="69"/>
  <c r="G30" i="69"/>
  <c r="A30" i="69"/>
  <c r="X29" i="69"/>
  <c r="W29" i="69"/>
  <c r="T29" i="69"/>
  <c r="S29" i="69"/>
  <c r="P29" i="69"/>
  <c r="O29" i="69"/>
  <c r="L29" i="69"/>
  <c r="K29" i="69"/>
  <c r="H29" i="69"/>
  <c r="G29" i="69"/>
  <c r="A29" i="69"/>
  <c r="X28" i="69"/>
  <c r="W28" i="69"/>
  <c r="T28" i="69"/>
  <c r="S28" i="69"/>
  <c r="P28" i="69"/>
  <c r="O28" i="69"/>
  <c r="L28" i="69"/>
  <c r="K28" i="69"/>
  <c r="H28" i="69"/>
  <c r="G28" i="69"/>
  <c r="A28" i="69"/>
  <c r="X27" i="69"/>
  <c r="W27" i="69"/>
  <c r="T27" i="69"/>
  <c r="S27" i="69"/>
  <c r="P27" i="69"/>
  <c r="O27" i="69"/>
  <c r="L27" i="69"/>
  <c r="K27" i="69"/>
  <c r="H27" i="69"/>
  <c r="G27" i="69"/>
  <c r="A27" i="69"/>
  <c r="X26" i="69"/>
  <c r="W26" i="69"/>
  <c r="T26" i="69"/>
  <c r="S26" i="69"/>
  <c r="P26" i="69"/>
  <c r="O26" i="69"/>
  <c r="L26" i="69"/>
  <c r="K26" i="69"/>
  <c r="H26" i="69"/>
  <c r="G26" i="69"/>
  <c r="A26" i="69"/>
  <c r="X25" i="69"/>
  <c r="W25" i="69"/>
  <c r="T25" i="69"/>
  <c r="S25" i="69"/>
  <c r="P25" i="69"/>
  <c r="O25" i="69"/>
  <c r="L25" i="69"/>
  <c r="K25" i="69"/>
  <c r="H25" i="69"/>
  <c r="G25" i="69"/>
  <c r="A25" i="69"/>
  <c r="X24" i="69"/>
  <c r="W24" i="69"/>
  <c r="T24" i="69"/>
  <c r="S24" i="69"/>
  <c r="P24" i="69"/>
  <c r="O24" i="69"/>
  <c r="L24" i="69"/>
  <c r="K24" i="69"/>
  <c r="H24" i="69"/>
  <c r="G24" i="69"/>
  <c r="A24" i="69"/>
  <c r="X23" i="69"/>
  <c r="W23" i="69"/>
  <c r="T23" i="69"/>
  <c r="S23" i="69"/>
  <c r="P23" i="69"/>
  <c r="O23" i="69"/>
  <c r="L23" i="69"/>
  <c r="K23" i="69"/>
  <c r="H23" i="69"/>
  <c r="G23" i="69"/>
  <c r="A23" i="69"/>
  <c r="X22" i="69"/>
  <c r="W22" i="69"/>
  <c r="T22" i="69"/>
  <c r="S22" i="69"/>
  <c r="P22" i="69"/>
  <c r="O22" i="69"/>
  <c r="L22" i="69"/>
  <c r="K22" i="69"/>
  <c r="H22" i="69"/>
  <c r="G22" i="69"/>
  <c r="A22" i="69"/>
  <c r="X21" i="69"/>
  <c r="W21" i="69"/>
  <c r="T21" i="69"/>
  <c r="S21" i="69"/>
  <c r="P21" i="69"/>
  <c r="O21" i="69"/>
  <c r="L21" i="69"/>
  <c r="K21" i="69"/>
  <c r="H21" i="69"/>
  <c r="G21" i="69"/>
  <c r="A21" i="69"/>
  <c r="X20" i="69"/>
  <c r="W20" i="69"/>
  <c r="T20" i="69"/>
  <c r="S20" i="69"/>
  <c r="P20" i="69"/>
  <c r="O20" i="69"/>
  <c r="L20" i="69"/>
  <c r="K20" i="69"/>
  <c r="H20" i="69"/>
  <c r="G20" i="69"/>
  <c r="A20" i="69"/>
  <c r="X19" i="69"/>
  <c r="W19" i="69"/>
  <c r="T19" i="69"/>
  <c r="S19" i="69"/>
  <c r="P19" i="69"/>
  <c r="O19" i="69"/>
  <c r="L19" i="69"/>
  <c r="K19" i="69"/>
  <c r="H19" i="69"/>
  <c r="G19" i="69"/>
  <c r="A19" i="69"/>
  <c r="X18" i="69"/>
  <c r="W18" i="69"/>
  <c r="T18" i="69"/>
  <c r="S18" i="69"/>
  <c r="P18" i="69"/>
  <c r="O18" i="69"/>
  <c r="L18" i="69"/>
  <c r="K18" i="69"/>
  <c r="H18" i="69"/>
  <c r="G18" i="69"/>
  <c r="A18" i="69"/>
  <c r="X17" i="69"/>
  <c r="W17" i="69"/>
  <c r="T17" i="69"/>
  <c r="S17" i="69"/>
  <c r="P17" i="69"/>
  <c r="O17" i="69"/>
  <c r="L17" i="69"/>
  <c r="K17" i="69"/>
  <c r="H17" i="69"/>
  <c r="G17" i="69"/>
  <c r="A17" i="69"/>
  <c r="X16" i="69"/>
  <c r="W16" i="69"/>
  <c r="T16" i="69"/>
  <c r="S16" i="69"/>
  <c r="P16" i="69"/>
  <c r="O16" i="69"/>
  <c r="L16" i="69"/>
  <c r="K16" i="69"/>
  <c r="H16" i="69"/>
  <c r="G16" i="69"/>
  <c r="A16" i="69"/>
  <c r="C12" i="102"/>
  <c r="C11" i="102"/>
  <c r="C10" i="102"/>
  <c r="C9" i="102"/>
  <c r="C8" i="102"/>
  <c r="C7" i="102"/>
  <c r="C6" i="102"/>
  <c r="C5" i="102"/>
  <c r="A23" i="108"/>
  <c r="A43" i="108" s="1"/>
  <c r="A22" i="108"/>
  <c r="A42" i="108" s="1"/>
  <c r="A21" i="108"/>
  <c r="A41" i="108" s="1"/>
  <c r="A20" i="108"/>
  <c r="A40" i="108" s="1"/>
  <c r="A19" i="108"/>
  <c r="A39" i="108" s="1"/>
  <c r="A18" i="108"/>
  <c r="A38" i="108" s="1"/>
  <c r="A17" i="108"/>
  <c r="A37" i="108" s="1"/>
  <c r="A16" i="108"/>
  <c r="A36" i="108" s="1"/>
  <c r="A15" i="108"/>
  <c r="A35" i="108" s="1"/>
  <c r="A14" i="108"/>
  <c r="A34" i="108" s="1"/>
  <c r="A13" i="108"/>
  <c r="A33" i="108" s="1"/>
  <c r="J7" i="101"/>
  <c r="J20" i="101"/>
  <c r="AH37" i="105"/>
  <c r="AI52" i="105" l="1"/>
  <c r="AI51" i="105"/>
  <c r="AI53" i="105"/>
  <c r="AI29" i="105"/>
  <c r="AA16" i="69"/>
  <c r="AA20" i="69"/>
  <c r="AA24" i="69"/>
  <c r="AA28" i="69"/>
  <c r="AA32" i="69"/>
  <c r="AA36" i="69"/>
  <c r="AA40" i="69"/>
  <c r="AA44" i="69"/>
  <c r="AA48" i="69"/>
  <c r="AA25" i="69"/>
  <c r="AA33" i="69"/>
  <c r="AA41" i="69"/>
  <c r="AA45" i="69"/>
  <c r="AA47" i="69"/>
  <c r="AA43" i="69"/>
  <c r="AA42" i="69"/>
  <c r="AA46" i="69"/>
  <c r="AA50" i="69"/>
  <c r="A68" i="108"/>
  <c r="AA19" i="69"/>
  <c r="AA18" i="69"/>
  <c r="AA27" i="69"/>
  <c r="AA29" i="69"/>
  <c r="AA31" i="69"/>
  <c r="AA35" i="69"/>
  <c r="AA37" i="69"/>
  <c r="AA39" i="69"/>
  <c r="AA22" i="69"/>
  <c r="AA23" i="69"/>
  <c r="AA17" i="69"/>
  <c r="AA21" i="69"/>
  <c r="AA26" i="69"/>
  <c r="AA30" i="69"/>
  <c r="AA34" i="69"/>
  <c r="AA38" i="69"/>
  <c r="A65" i="108"/>
  <c r="A61" i="108"/>
  <c r="A60" i="108"/>
  <c r="A64" i="108"/>
  <c r="A59" i="108"/>
  <c r="A63" i="108"/>
  <c r="A67" i="108"/>
  <c r="A58" i="108"/>
  <c r="A62" i="108"/>
  <c r="A66" i="108"/>
  <c r="X15" i="69"/>
  <c r="W15" i="69"/>
  <c r="T15" i="69"/>
  <c r="S15" i="69"/>
  <c r="P15" i="69"/>
  <c r="O15" i="69"/>
  <c r="L15" i="69"/>
  <c r="K15" i="69"/>
  <c r="H15" i="69"/>
  <c r="G15" i="69"/>
  <c r="X14" i="69"/>
  <c r="W14" i="69"/>
  <c r="T14" i="69"/>
  <c r="S14" i="69"/>
  <c r="P14" i="69"/>
  <c r="O14" i="69"/>
  <c r="L14" i="69"/>
  <c r="K14" i="69"/>
  <c r="H14" i="69"/>
  <c r="G14" i="69"/>
  <c r="X13" i="69"/>
  <c r="W13" i="69"/>
  <c r="T13" i="69"/>
  <c r="S13" i="69"/>
  <c r="P13" i="69"/>
  <c r="O13" i="69"/>
  <c r="L13" i="69"/>
  <c r="K13" i="69"/>
  <c r="H13" i="69"/>
  <c r="G13" i="69"/>
  <c r="X12" i="69"/>
  <c r="W12" i="69"/>
  <c r="T12" i="69"/>
  <c r="S12" i="69"/>
  <c r="P12" i="69"/>
  <c r="O12" i="69"/>
  <c r="L12" i="69"/>
  <c r="K12" i="69"/>
  <c r="H12" i="69"/>
  <c r="G12" i="69"/>
  <c r="X11" i="69"/>
  <c r="W11" i="69"/>
  <c r="T11" i="69"/>
  <c r="S11" i="69"/>
  <c r="P11" i="69"/>
  <c r="O11" i="69"/>
  <c r="L11" i="69"/>
  <c r="K11" i="69"/>
  <c r="H11" i="69"/>
  <c r="G11" i="69"/>
  <c r="X10" i="69"/>
  <c r="W10" i="69"/>
  <c r="T10" i="69"/>
  <c r="S10" i="69"/>
  <c r="P10" i="69"/>
  <c r="O10" i="69"/>
  <c r="L10" i="69"/>
  <c r="K10" i="69"/>
  <c r="H10" i="69"/>
  <c r="G10" i="69"/>
  <c r="X9" i="69"/>
  <c r="W9" i="69"/>
  <c r="T9" i="69"/>
  <c r="S9" i="69"/>
  <c r="P9" i="69"/>
  <c r="O9" i="69"/>
  <c r="L9" i="69"/>
  <c r="K9" i="69"/>
  <c r="H9" i="69"/>
  <c r="G9" i="69"/>
  <c r="X8" i="69"/>
  <c r="W8" i="69"/>
  <c r="T8" i="69"/>
  <c r="S8" i="69"/>
  <c r="P8" i="69"/>
  <c r="O8" i="69"/>
  <c r="L8" i="69"/>
  <c r="K8" i="69"/>
  <c r="H8" i="69"/>
  <c r="G8" i="69"/>
  <c r="B22" i="108" l="1"/>
  <c r="B20" i="108"/>
  <c r="B18" i="108"/>
  <c r="B15" i="108"/>
  <c r="B11" i="108"/>
  <c r="B9" i="108"/>
  <c r="B54" i="108" s="1"/>
  <c r="D37" i="105"/>
  <c r="D29" i="69" s="1"/>
  <c r="C37" i="105"/>
  <c r="C29" i="69" s="1"/>
  <c r="B19" i="108"/>
  <c r="B13" i="108"/>
  <c r="B23" i="108"/>
  <c r="B37" i="105"/>
  <c r="B29" i="69" s="1"/>
  <c r="B21" i="108"/>
  <c r="B16" i="108"/>
  <c r="B12" i="108"/>
  <c r="B10" i="108"/>
  <c r="B14" i="108"/>
  <c r="B17" i="108"/>
  <c r="AO37" i="105"/>
  <c r="AA8" i="69"/>
  <c r="AA13" i="69"/>
  <c r="AA11" i="69"/>
  <c r="AA12" i="69"/>
  <c r="AA14" i="69"/>
  <c r="AA10" i="69"/>
  <c r="AA15" i="69"/>
  <c r="AA9" i="69"/>
  <c r="AO22" i="105"/>
  <c r="AH22" i="105"/>
  <c r="E17" i="108" s="1"/>
  <c r="D22" i="105"/>
  <c r="D16" i="69" s="1"/>
  <c r="C22" i="105"/>
  <c r="B22" i="105"/>
  <c r="B16" i="69" s="1"/>
  <c r="B30" i="108" l="1"/>
  <c r="B55" i="108"/>
  <c r="B33" i="108"/>
  <c r="B58" i="108"/>
  <c r="B40" i="108"/>
  <c r="B65" i="108"/>
  <c r="B37" i="108"/>
  <c r="B62" i="108"/>
  <c r="B32" i="108"/>
  <c r="B57" i="108"/>
  <c r="B41" i="108"/>
  <c r="B66" i="108"/>
  <c r="B39" i="108"/>
  <c r="B64" i="108"/>
  <c r="B31" i="108"/>
  <c r="B56" i="108"/>
  <c r="B42" i="108"/>
  <c r="B67" i="108"/>
  <c r="B36" i="108"/>
  <c r="B61" i="108"/>
  <c r="B35" i="108"/>
  <c r="B60" i="108"/>
  <c r="B34" i="108"/>
  <c r="B59" i="108"/>
  <c r="B43" i="108"/>
  <c r="B68" i="108"/>
  <c r="B38" i="108"/>
  <c r="B63" i="108"/>
  <c r="D17" i="108"/>
  <c r="C16" i="69"/>
  <c r="BN17" i="108"/>
  <c r="G17" i="108"/>
  <c r="W17" i="108"/>
  <c r="AM17" i="108"/>
  <c r="BC17" i="108"/>
  <c r="H17" i="108"/>
  <c r="X17" i="108"/>
  <c r="AN17" i="108"/>
  <c r="BD17" i="108"/>
  <c r="I17" i="108"/>
  <c r="Y17" i="108"/>
  <c r="AO17" i="108"/>
  <c r="BE17" i="108"/>
  <c r="J17" i="108"/>
  <c r="Z17" i="108"/>
  <c r="AP17" i="108"/>
  <c r="BF17" i="108"/>
  <c r="K17" i="108"/>
  <c r="AA17" i="108"/>
  <c r="AQ17" i="108"/>
  <c r="BG17" i="108"/>
  <c r="L17" i="108"/>
  <c r="AB17" i="108"/>
  <c r="AR17" i="108"/>
  <c r="BH17" i="108"/>
  <c r="M17" i="108"/>
  <c r="AC17" i="108"/>
  <c r="AS17" i="108"/>
  <c r="BI17" i="108"/>
  <c r="N17" i="108"/>
  <c r="AD17" i="108"/>
  <c r="AT17" i="108"/>
  <c r="BJ17" i="108"/>
  <c r="O17" i="108"/>
  <c r="AE17" i="108"/>
  <c r="AU17" i="108"/>
  <c r="BK17" i="108"/>
  <c r="P17" i="108"/>
  <c r="AF17" i="108"/>
  <c r="AV17" i="108"/>
  <c r="BL17" i="108"/>
  <c r="Q17" i="108"/>
  <c r="AG17" i="108"/>
  <c r="AW17" i="108"/>
  <c r="BM17" i="108"/>
  <c r="R17" i="108"/>
  <c r="AH17" i="108"/>
  <c r="AX17" i="108"/>
  <c r="S17" i="108"/>
  <c r="AI17" i="108"/>
  <c r="AY17" i="108"/>
  <c r="T17" i="108"/>
  <c r="AJ17" i="108"/>
  <c r="AZ17" i="108"/>
  <c r="U17" i="108"/>
  <c r="AK17" i="108"/>
  <c r="BA17" i="108"/>
  <c r="V17" i="108"/>
  <c r="AL17" i="108"/>
  <c r="BB17" i="108"/>
  <c r="G7" i="69" l="1"/>
  <c r="H7" i="69" l="1"/>
  <c r="A12" i="108" l="1"/>
  <c r="A11" i="108"/>
  <c r="A10" i="108"/>
  <c r="A9" i="108"/>
  <c r="A54" i="108" s="1"/>
  <c r="A31" i="108" l="1"/>
  <c r="A56" i="108"/>
  <c r="A30" i="108"/>
  <c r="A55" i="108"/>
  <c r="A32" i="108"/>
  <c r="A57" i="108"/>
  <c r="A15" i="69"/>
  <c r="A14" i="69"/>
  <c r="A13" i="69"/>
  <c r="A12" i="69"/>
  <c r="A11" i="69"/>
  <c r="A10" i="69"/>
  <c r="A9" i="69"/>
  <c r="A8" i="69"/>
  <c r="X7" i="69"/>
  <c r="W7" i="69"/>
  <c r="T7" i="69"/>
  <c r="S7" i="69"/>
  <c r="P7" i="69"/>
  <c r="O7" i="69"/>
  <c r="L7" i="69"/>
  <c r="K7" i="69"/>
  <c r="A7" i="69"/>
  <c r="C7" i="69" l="1"/>
  <c r="B7" i="69"/>
  <c r="AA7" i="69"/>
  <c r="AO15" i="105" l="1"/>
  <c r="D15" i="105"/>
  <c r="D9" i="69" s="1"/>
  <c r="C15" i="105"/>
  <c r="B15" i="105"/>
  <c r="B9" i="69" s="1"/>
  <c r="AO14" i="105"/>
  <c r="AH14" i="105"/>
  <c r="E9" i="108" s="1"/>
  <c r="D14" i="105"/>
  <c r="D8" i="69" s="1"/>
  <c r="C14" i="105"/>
  <c r="B14" i="105"/>
  <c r="B8" i="69" s="1"/>
  <c r="C9" i="69" l="1"/>
  <c r="C8" i="69"/>
  <c r="AH15" i="105"/>
  <c r="E10" i="108" s="1"/>
  <c r="C22" i="101"/>
  <c r="AC10" i="108" l="1"/>
  <c r="Y10" i="108"/>
  <c r="U10" i="108"/>
  <c r="Q10" i="108"/>
  <c r="M10" i="108"/>
  <c r="I10" i="108"/>
  <c r="AA10" i="108"/>
  <c r="W10" i="108"/>
  <c r="S10" i="108"/>
  <c r="O10" i="108"/>
  <c r="G10" i="108"/>
  <c r="V10" i="108"/>
  <c r="N10" i="108"/>
  <c r="AB10" i="108"/>
  <c r="X10" i="108"/>
  <c r="T10" i="108"/>
  <c r="P10" i="108"/>
  <c r="L10" i="108"/>
  <c r="H10" i="108"/>
  <c r="K10" i="108"/>
  <c r="Z10" i="108"/>
  <c r="J10" i="108"/>
  <c r="R10" i="108"/>
  <c r="AO64" i="105"/>
  <c r="AO62" i="105"/>
  <c r="AO61" i="105"/>
  <c r="AO60" i="105"/>
  <c r="AO59" i="105"/>
  <c r="AO58" i="105"/>
  <c r="AO43" i="105"/>
  <c r="AO42" i="105"/>
  <c r="AO41" i="105"/>
  <c r="AO40" i="105"/>
  <c r="AO39" i="105"/>
  <c r="AO38" i="105"/>
  <c r="AO54" i="105"/>
  <c r="AO49" i="105"/>
  <c r="AO36" i="105"/>
  <c r="AO35" i="105"/>
  <c r="AO34" i="105"/>
  <c r="AO33" i="105"/>
  <c r="AO32" i="105"/>
  <c r="AO31" i="105"/>
  <c r="AO30" i="105"/>
  <c r="AO28" i="105"/>
  <c r="AO27" i="105"/>
  <c r="AO26" i="105"/>
  <c r="AO25" i="105"/>
  <c r="AO46" i="105"/>
  <c r="AO45" i="105"/>
  <c r="AO48" i="105"/>
  <c r="AO47" i="105"/>
  <c r="AO23" i="105"/>
  <c r="AO21" i="105"/>
  <c r="AO20" i="105"/>
  <c r="AO19" i="105"/>
  <c r="AO18" i="105"/>
  <c r="AO17" i="105"/>
  <c r="AO16" i="105"/>
  <c r="AO12" i="105"/>
  <c r="F32" i="102" l="1"/>
  <c r="F31" i="102"/>
  <c r="F30" i="102"/>
  <c r="F29" i="102"/>
  <c r="F28" i="102"/>
  <c r="A3" i="69"/>
  <c r="A2" i="69"/>
  <c r="Q42" i="69" l="1"/>
  <c r="Q48" i="69"/>
  <c r="U50" i="69"/>
  <c r="M48" i="69"/>
  <c r="M42" i="69"/>
  <c r="I42" i="69"/>
  <c r="M50" i="69"/>
  <c r="I48" i="69"/>
  <c r="Q50" i="69"/>
  <c r="I50" i="69"/>
  <c r="Y48" i="69"/>
  <c r="Y42" i="69"/>
  <c r="Y50" i="69"/>
  <c r="U48" i="69"/>
  <c r="U42" i="69"/>
  <c r="G10" i="109"/>
  <c r="F10" i="109"/>
  <c r="E10" i="109"/>
  <c r="D10" i="109"/>
  <c r="O16" i="109"/>
  <c r="M16" i="109"/>
  <c r="N16" i="109" s="1"/>
  <c r="P16" i="109" s="1"/>
  <c r="M12" i="109"/>
  <c r="H11" i="109"/>
  <c r="M11" i="109" s="1"/>
  <c r="H4" i="109"/>
  <c r="I4" i="109" s="1"/>
  <c r="J4" i="109" s="1"/>
  <c r="M4" i="109" s="1"/>
  <c r="H3" i="109"/>
  <c r="I3" i="109" s="1"/>
  <c r="J3" i="109" s="1"/>
  <c r="AB48" i="69" l="1"/>
  <c r="AB42" i="69"/>
  <c r="AB50" i="69"/>
  <c r="O4" i="109"/>
  <c r="N4" i="109"/>
  <c r="N11" i="109"/>
  <c r="O11" i="109"/>
  <c r="J5" i="109"/>
  <c r="C19" i="109"/>
  <c r="P19" i="109" s="1"/>
  <c r="P32" i="109" s="1"/>
  <c r="J20" i="109"/>
  <c r="P20" i="109" s="1"/>
  <c r="M3" i="109"/>
  <c r="C15" i="109"/>
  <c r="M15" i="109" s="1"/>
  <c r="O15" i="109" l="1"/>
  <c r="N15" i="109"/>
  <c r="P15" i="109" s="1"/>
  <c r="P31" i="109" s="1"/>
  <c r="O3" i="109"/>
  <c r="N3" i="109"/>
  <c r="J8" i="109"/>
  <c r="M8" i="109" s="1"/>
  <c r="P5" i="109"/>
  <c r="P11" i="109"/>
  <c r="P4" i="109"/>
  <c r="O8" i="109" l="1"/>
  <c r="N8" i="109"/>
  <c r="P8" i="109" s="1"/>
  <c r="P3" i="109"/>
  <c r="P30" i="109" l="1"/>
  <c r="P33" i="109" s="1"/>
  <c r="P26" i="109"/>
  <c r="BN45" i="108" l="1"/>
  <c r="BM45" i="108"/>
  <c r="BL45" i="108"/>
  <c r="BK45" i="108"/>
  <c r="BJ45" i="108"/>
  <c r="BI45" i="108"/>
  <c r="BH45" i="108"/>
  <c r="BG45" i="108"/>
  <c r="BF45" i="108"/>
  <c r="BE45" i="108"/>
  <c r="BD45" i="108"/>
  <c r="BC45" i="108"/>
  <c r="BB45" i="108"/>
  <c r="BA45" i="108"/>
  <c r="AZ45" i="108"/>
  <c r="AY45" i="108"/>
  <c r="AX45" i="108"/>
  <c r="AW45" i="108"/>
  <c r="AV45" i="108"/>
  <c r="AU45" i="108"/>
  <c r="AT45" i="108"/>
  <c r="AS45" i="108"/>
  <c r="AR45" i="108"/>
  <c r="AQ45" i="108"/>
  <c r="AP45" i="108"/>
  <c r="AO45" i="108"/>
  <c r="AN45" i="108"/>
  <c r="AM45" i="108"/>
  <c r="AL45" i="108"/>
  <c r="AK45" i="108"/>
  <c r="AJ45" i="108"/>
  <c r="AI45" i="108"/>
  <c r="AH45" i="108"/>
  <c r="AG45" i="108"/>
  <c r="AF45" i="108"/>
  <c r="AE45" i="108"/>
  <c r="AD45" i="108"/>
  <c r="AC45" i="108"/>
  <c r="AB45" i="108"/>
  <c r="AA45" i="108"/>
  <c r="Z45" i="108"/>
  <c r="Y45" i="108"/>
  <c r="X45" i="108"/>
  <c r="W45" i="108"/>
  <c r="V45" i="108"/>
  <c r="U45" i="108"/>
  <c r="T45" i="108"/>
  <c r="S45" i="108"/>
  <c r="R45" i="108"/>
  <c r="Q45" i="108"/>
  <c r="P45" i="108"/>
  <c r="O45" i="108"/>
  <c r="N45" i="108"/>
  <c r="M45" i="108"/>
  <c r="L45" i="108"/>
  <c r="K45" i="108"/>
  <c r="J45" i="108"/>
  <c r="I45" i="108"/>
  <c r="H45" i="108"/>
  <c r="G45" i="108"/>
  <c r="G52" i="108"/>
  <c r="H52" i="108" s="1"/>
  <c r="I52" i="108" s="1"/>
  <c r="J52" i="108" s="1"/>
  <c r="K52" i="108" s="1"/>
  <c r="B29" i="108"/>
  <c r="A83" i="108"/>
  <c r="A29" i="108"/>
  <c r="B8" i="108"/>
  <c r="B28" i="108" s="1"/>
  <c r="A8" i="108"/>
  <c r="A28" i="108" s="1"/>
  <c r="G75" i="108"/>
  <c r="H74" i="108"/>
  <c r="I74" i="108" s="1"/>
  <c r="J74" i="108" s="1"/>
  <c r="K74" i="108" s="1"/>
  <c r="L74" i="108" s="1"/>
  <c r="H51" i="108"/>
  <c r="H6" i="108"/>
  <c r="I6" i="108" s="1"/>
  <c r="H5" i="108"/>
  <c r="H4" i="108" s="1"/>
  <c r="G4" i="108"/>
  <c r="G3" i="108"/>
  <c r="G2" i="108"/>
  <c r="A81" i="108" l="1"/>
  <c r="A80" i="108"/>
  <c r="B80" i="108"/>
  <c r="B77" i="108"/>
  <c r="B81" i="108"/>
  <c r="A78" i="108"/>
  <c r="A82" i="108"/>
  <c r="A77" i="108"/>
  <c r="B78" i="108"/>
  <c r="B82" i="108"/>
  <c r="A79" i="108"/>
  <c r="B79" i="108"/>
  <c r="B83" i="108"/>
  <c r="A53" i="108"/>
  <c r="B76" i="108"/>
  <c r="B53" i="108"/>
  <c r="I5" i="108"/>
  <c r="I4" i="108" s="1"/>
  <c r="H3" i="108"/>
  <c r="H2" i="108"/>
  <c r="J6" i="108"/>
  <c r="I2" i="108"/>
  <c r="A76" i="108"/>
  <c r="I51" i="108"/>
  <c r="H75" i="108"/>
  <c r="H18" i="85"/>
  <c r="F18" i="85"/>
  <c r="H17" i="85"/>
  <c r="F17" i="85"/>
  <c r="H16" i="85"/>
  <c r="F16" i="85"/>
  <c r="H15" i="85"/>
  <c r="F15" i="85"/>
  <c r="E15" i="85"/>
  <c r="F52" i="85"/>
  <c r="E52" i="85"/>
  <c r="I51" i="85"/>
  <c r="J51" i="85" s="1"/>
  <c r="K51" i="85" s="1"/>
  <c r="L51" i="85" s="1"/>
  <c r="H51" i="85"/>
  <c r="F50" i="85"/>
  <c r="E50" i="85"/>
  <c r="H49" i="85"/>
  <c r="F49" i="85"/>
  <c r="E49" i="85"/>
  <c r="AK53" i="90"/>
  <c r="AK52" i="90"/>
  <c r="AK51" i="90"/>
  <c r="AK50" i="90"/>
  <c r="AK49" i="90"/>
  <c r="AK48" i="90"/>
  <c r="AK47" i="90"/>
  <c r="AK46" i="90"/>
  <c r="AK45" i="90"/>
  <c r="AK44" i="90"/>
  <c r="AK43" i="90"/>
  <c r="AK42" i="90"/>
  <c r="AK41" i="90"/>
  <c r="AK40" i="90"/>
  <c r="AK39" i="90"/>
  <c r="AK38" i="90"/>
  <c r="AK37" i="90"/>
  <c r="AK36" i="90"/>
  <c r="AK35" i="90"/>
  <c r="AK34" i="90"/>
  <c r="AK33" i="90"/>
  <c r="AK32" i="90"/>
  <c r="AK31" i="90"/>
  <c r="AK30" i="90"/>
  <c r="AK29" i="90"/>
  <c r="AK28" i="90"/>
  <c r="AK27" i="90"/>
  <c r="AK26" i="90"/>
  <c r="AK25" i="90"/>
  <c r="AK24" i="90"/>
  <c r="AK23" i="90"/>
  <c r="AK22" i="90"/>
  <c r="AK21" i="90"/>
  <c r="AK20" i="90"/>
  <c r="AK19" i="90"/>
  <c r="AK18" i="90"/>
  <c r="AK17" i="90"/>
  <c r="AK16" i="90"/>
  <c r="AK15" i="90"/>
  <c r="AK14" i="90"/>
  <c r="AK13" i="90"/>
  <c r="AK10" i="90"/>
  <c r="AK9" i="90"/>
  <c r="AK8" i="90"/>
  <c r="AF53" i="90"/>
  <c r="AF52" i="90"/>
  <c r="AF51" i="90"/>
  <c r="AF50" i="90"/>
  <c r="AF49" i="90"/>
  <c r="AF48" i="90"/>
  <c r="AF47" i="90"/>
  <c r="AF46" i="90"/>
  <c r="AF45" i="90"/>
  <c r="AF44" i="90"/>
  <c r="AF43" i="90"/>
  <c r="AF42" i="90"/>
  <c r="AF41" i="90"/>
  <c r="AF40" i="90"/>
  <c r="AF39" i="90"/>
  <c r="AF38" i="90"/>
  <c r="AF37" i="90"/>
  <c r="AF36" i="90"/>
  <c r="AF35" i="90"/>
  <c r="AF34" i="90"/>
  <c r="AF33" i="90"/>
  <c r="AF32" i="90"/>
  <c r="AF31" i="90"/>
  <c r="AF30" i="90"/>
  <c r="AF29" i="90"/>
  <c r="AF28" i="90"/>
  <c r="AF27" i="90"/>
  <c r="AF26" i="90"/>
  <c r="AF25" i="90"/>
  <c r="AF24" i="90"/>
  <c r="AF23" i="90"/>
  <c r="AF22" i="90"/>
  <c r="AF21" i="90"/>
  <c r="AF20" i="90"/>
  <c r="AF19" i="90"/>
  <c r="AF18" i="90"/>
  <c r="AF17" i="90"/>
  <c r="AF16" i="90"/>
  <c r="AF15" i="90"/>
  <c r="AF14" i="90"/>
  <c r="AF13" i="90"/>
  <c r="AF10" i="90"/>
  <c r="AF9" i="90"/>
  <c r="AF8" i="90"/>
  <c r="Z53" i="90"/>
  <c r="Z52" i="90"/>
  <c r="Z51" i="90"/>
  <c r="Z50" i="90"/>
  <c r="Z49" i="90"/>
  <c r="Z48" i="90"/>
  <c r="Z47" i="90"/>
  <c r="Z46" i="90"/>
  <c r="Z45" i="90"/>
  <c r="Z44" i="90"/>
  <c r="Z43" i="90"/>
  <c r="Z42" i="90"/>
  <c r="Z41" i="90"/>
  <c r="Z40" i="90"/>
  <c r="Z39" i="90"/>
  <c r="Z38" i="90"/>
  <c r="Z37" i="90"/>
  <c r="Z36" i="90"/>
  <c r="Z35" i="90"/>
  <c r="Z34" i="90"/>
  <c r="Z33" i="90"/>
  <c r="Z32" i="90"/>
  <c r="Z31" i="90"/>
  <c r="Z30" i="90"/>
  <c r="Z29" i="90"/>
  <c r="Z28" i="90"/>
  <c r="Z27" i="90"/>
  <c r="Z26" i="90"/>
  <c r="Z25" i="90"/>
  <c r="Z24" i="90"/>
  <c r="Z23" i="90"/>
  <c r="Z22" i="90"/>
  <c r="Z21" i="90"/>
  <c r="Z20" i="90"/>
  <c r="Z19" i="90"/>
  <c r="Z18" i="90"/>
  <c r="Z17" i="90"/>
  <c r="Z16" i="90"/>
  <c r="Z15" i="90"/>
  <c r="Z14" i="90"/>
  <c r="Z13" i="90"/>
  <c r="Z10" i="90"/>
  <c r="Z9" i="90"/>
  <c r="Z8" i="90"/>
  <c r="T53" i="90"/>
  <c r="T52" i="90"/>
  <c r="T51" i="90"/>
  <c r="T50" i="90"/>
  <c r="T49" i="90"/>
  <c r="T48" i="90"/>
  <c r="T47" i="90"/>
  <c r="T46" i="90"/>
  <c r="T45" i="90"/>
  <c r="T44" i="90"/>
  <c r="T43" i="90"/>
  <c r="T42" i="90"/>
  <c r="T41" i="90"/>
  <c r="T40" i="90"/>
  <c r="T39" i="90"/>
  <c r="T38" i="90"/>
  <c r="T37" i="90"/>
  <c r="T36" i="90"/>
  <c r="T35" i="90"/>
  <c r="T34" i="90"/>
  <c r="T33" i="90"/>
  <c r="T32" i="90"/>
  <c r="T31" i="90"/>
  <c r="T30" i="90"/>
  <c r="T29" i="90"/>
  <c r="T28" i="90"/>
  <c r="T27" i="90"/>
  <c r="T26" i="90"/>
  <c r="T25" i="90"/>
  <c r="T24" i="90"/>
  <c r="T23" i="90"/>
  <c r="T22" i="90"/>
  <c r="T21" i="90"/>
  <c r="T20" i="90"/>
  <c r="T19" i="90"/>
  <c r="T18" i="90"/>
  <c r="T17" i="90"/>
  <c r="T16" i="90"/>
  <c r="T15" i="90"/>
  <c r="T14" i="90"/>
  <c r="T13" i="90"/>
  <c r="T10" i="90"/>
  <c r="T9" i="90"/>
  <c r="T8" i="90"/>
  <c r="N53" i="90"/>
  <c r="N52" i="90"/>
  <c r="N51" i="90"/>
  <c r="N50" i="90"/>
  <c r="N49" i="90"/>
  <c r="N48" i="90"/>
  <c r="N47" i="90"/>
  <c r="N46" i="90"/>
  <c r="N45" i="90"/>
  <c r="N44" i="90"/>
  <c r="N43" i="90"/>
  <c r="N42" i="90"/>
  <c r="N41" i="90"/>
  <c r="N40" i="90"/>
  <c r="N39" i="90"/>
  <c r="N38" i="90"/>
  <c r="N37" i="90"/>
  <c r="N36" i="90"/>
  <c r="N35" i="90"/>
  <c r="N34" i="90"/>
  <c r="N33" i="90"/>
  <c r="N32" i="90"/>
  <c r="N31" i="90"/>
  <c r="N30" i="90"/>
  <c r="N29" i="90"/>
  <c r="N28" i="90"/>
  <c r="N27" i="90"/>
  <c r="N26" i="90"/>
  <c r="N25" i="90"/>
  <c r="N24" i="90"/>
  <c r="N23" i="90"/>
  <c r="N22" i="90"/>
  <c r="N21" i="90"/>
  <c r="N20" i="90"/>
  <c r="N19" i="90"/>
  <c r="N18" i="90"/>
  <c r="N17" i="90"/>
  <c r="N16" i="90"/>
  <c r="N15" i="90"/>
  <c r="N14" i="90"/>
  <c r="N13" i="90"/>
  <c r="N12" i="90"/>
  <c r="T12" i="90" s="1"/>
  <c r="N11" i="90"/>
  <c r="T11" i="90" s="1"/>
  <c r="N10" i="90"/>
  <c r="N9" i="90"/>
  <c r="N8" i="90"/>
  <c r="B60" i="90"/>
  <c r="B59" i="90"/>
  <c r="A12" i="44"/>
  <c r="A11" i="44"/>
  <c r="A10" i="44"/>
  <c r="A9" i="44"/>
  <c r="A8" i="44"/>
  <c r="I3" i="108" l="1"/>
  <c r="J5" i="108"/>
  <c r="J3" i="108" s="1"/>
  <c r="J51" i="108"/>
  <c r="I75" i="108"/>
  <c r="J2" i="108"/>
  <c r="K6" i="108"/>
  <c r="AK11" i="90"/>
  <c r="Z11" i="90"/>
  <c r="AF11" i="90" s="1"/>
  <c r="AK12" i="90"/>
  <c r="Z12" i="90"/>
  <c r="AF12" i="90" s="1"/>
  <c r="E1" i="52"/>
  <c r="E37" i="105" s="1"/>
  <c r="F37" i="105" s="1"/>
  <c r="K5" i="108" l="1"/>
  <c r="K3" i="108" s="1"/>
  <c r="E22" i="105"/>
  <c r="F22" i="105" s="1"/>
  <c r="E15" i="105"/>
  <c r="F15" i="105" s="1"/>
  <c r="E14" i="105"/>
  <c r="F14" i="105" s="1"/>
  <c r="J4" i="108"/>
  <c r="J75" i="108"/>
  <c r="K51" i="108"/>
  <c r="L6" i="108"/>
  <c r="K2" i="108"/>
  <c r="L1092" i="52"/>
  <c r="L1091" i="52"/>
  <c r="L1090" i="52"/>
  <c r="L1089" i="52"/>
  <c r="L1088" i="52"/>
  <c r="L1087" i="52"/>
  <c r="L1086" i="52"/>
  <c r="L1085" i="52"/>
  <c r="L1084" i="52"/>
  <c r="L1083" i="52"/>
  <c r="L1082" i="52"/>
  <c r="L1081" i="52"/>
  <c r="L1080" i="52"/>
  <c r="L1079" i="52"/>
  <c r="L1078" i="52"/>
  <c r="L1077" i="52"/>
  <c r="L1076" i="52"/>
  <c r="L1075" i="52"/>
  <c r="L1074" i="52"/>
  <c r="L1073" i="52"/>
  <c r="L1072" i="52"/>
  <c r="L1071" i="52"/>
  <c r="L1070" i="52"/>
  <c r="L1069" i="52"/>
  <c r="L1068" i="52"/>
  <c r="L1067" i="52"/>
  <c r="L1066" i="52"/>
  <c r="L1065" i="52"/>
  <c r="L1064" i="52"/>
  <c r="L1063" i="52"/>
  <c r="L1062" i="52"/>
  <c r="L1061" i="52"/>
  <c r="L1060" i="52"/>
  <c r="L1059" i="52"/>
  <c r="L1058" i="52"/>
  <c r="L1057" i="52"/>
  <c r="L1056" i="52"/>
  <c r="L1055" i="52"/>
  <c r="L1054" i="52"/>
  <c r="L1053" i="52"/>
  <c r="L1052" i="52"/>
  <c r="L1051" i="52"/>
  <c r="L1050" i="52"/>
  <c r="L1049" i="52"/>
  <c r="L1048" i="52"/>
  <c r="L1047" i="52"/>
  <c r="L1046" i="52"/>
  <c r="L1045" i="52"/>
  <c r="L1044" i="52"/>
  <c r="L1043" i="52"/>
  <c r="L1042" i="52"/>
  <c r="L1041" i="52"/>
  <c r="L1040" i="52"/>
  <c r="L1039" i="52"/>
  <c r="L1038" i="52"/>
  <c r="L1037" i="52"/>
  <c r="L1036" i="52"/>
  <c r="L1035" i="52"/>
  <c r="L1034" i="52"/>
  <c r="L1033" i="52"/>
  <c r="L1032" i="52"/>
  <c r="L1031" i="52"/>
  <c r="L1030" i="52"/>
  <c r="L1029" i="52"/>
  <c r="L1028" i="52"/>
  <c r="L1027" i="52"/>
  <c r="L1026" i="52"/>
  <c r="L1025" i="52"/>
  <c r="L1024" i="52"/>
  <c r="L1023" i="52"/>
  <c r="L1022" i="52"/>
  <c r="M1022" i="52"/>
  <c r="L1021" i="52"/>
  <c r="L1020" i="52"/>
  <c r="L1019" i="52"/>
  <c r="L1018" i="52"/>
  <c r="L1017" i="52"/>
  <c r="L1016" i="52"/>
  <c r="L1015" i="52"/>
  <c r="L1014" i="52"/>
  <c r="M1014" i="52"/>
  <c r="L1013" i="52"/>
  <c r="L1012" i="52"/>
  <c r="M1012" i="52"/>
  <c r="L1011" i="52"/>
  <c r="L1010" i="52"/>
  <c r="L1009" i="52"/>
  <c r="L1008" i="52"/>
  <c r="L1007" i="52"/>
  <c r="L1006" i="52"/>
  <c r="M1006" i="52"/>
  <c r="L1005" i="52"/>
  <c r="L1004" i="52"/>
  <c r="L1003" i="52"/>
  <c r="L1002" i="52"/>
  <c r="L1001" i="52"/>
  <c r="L1000" i="52"/>
  <c r="L999" i="52"/>
  <c r="L998" i="52"/>
  <c r="M998" i="52"/>
  <c r="L997" i="52"/>
  <c r="L996" i="52"/>
  <c r="M996" i="52"/>
  <c r="L995" i="52"/>
  <c r="L994" i="52"/>
  <c r="L993" i="52"/>
  <c r="L992" i="52"/>
  <c r="L991" i="52"/>
  <c r="L990" i="52"/>
  <c r="M990" i="52"/>
  <c r="L989" i="52"/>
  <c r="L988" i="52"/>
  <c r="L987" i="52"/>
  <c r="L986" i="52"/>
  <c r="L985" i="52"/>
  <c r="L984" i="52"/>
  <c r="L983" i="52"/>
  <c r="L982" i="52"/>
  <c r="M982" i="52"/>
  <c r="L981" i="52"/>
  <c r="L980" i="52"/>
  <c r="M980" i="52"/>
  <c r="L979" i="52"/>
  <c r="L978" i="52"/>
  <c r="M978" i="52"/>
  <c r="L977" i="52"/>
  <c r="L976" i="52"/>
  <c r="M976" i="52"/>
  <c r="L975" i="52"/>
  <c r="L974" i="52"/>
  <c r="M974" i="52"/>
  <c r="L973" i="52"/>
  <c r="L972" i="52"/>
  <c r="L971" i="52"/>
  <c r="L970" i="52"/>
  <c r="L969" i="52"/>
  <c r="L968" i="52"/>
  <c r="L967" i="52"/>
  <c r="L966" i="52"/>
  <c r="M966" i="52"/>
  <c r="L965" i="52"/>
  <c r="L964" i="52"/>
  <c r="M964" i="52"/>
  <c r="L963" i="52"/>
  <c r="L962" i="52"/>
  <c r="M962" i="52"/>
  <c r="L961" i="52"/>
  <c r="L960" i="52"/>
  <c r="M960" i="52"/>
  <c r="L959" i="52"/>
  <c r="L958" i="52"/>
  <c r="M958" i="52"/>
  <c r="L957" i="52"/>
  <c r="L956" i="52"/>
  <c r="L955" i="52"/>
  <c r="L954" i="52"/>
  <c r="M954" i="52"/>
  <c r="L953" i="52"/>
  <c r="L952" i="52"/>
  <c r="M952" i="52"/>
  <c r="L951" i="52"/>
  <c r="L950" i="52"/>
  <c r="L949" i="52"/>
  <c r="L948" i="52"/>
  <c r="L947" i="52"/>
  <c r="M947" i="52"/>
  <c r="L946" i="52"/>
  <c r="L945" i="52"/>
  <c r="M945" i="52"/>
  <c r="L944" i="52"/>
  <c r="M944" i="52"/>
  <c r="L943" i="52"/>
  <c r="M943" i="52"/>
  <c r="L942" i="52"/>
  <c r="M942" i="52"/>
  <c r="L941" i="52"/>
  <c r="M941" i="52"/>
  <c r="L940" i="52"/>
  <c r="M940" i="52"/>
  <c r="L939" i="52"/>
  <c r="M939" i="52"/>
  <c r="L938" i="52"/>
  <c r="M938" i="52"/>
  <c r="L937" i="52"/>
  <c r="M937" i="52"/>
  <c r="L936" i="52"/>
  <c r="L935" i="52"/>
  <c r="M935" i="52"/>
  <c r="L934" i="52"/>
  <c r="M934" i="52"/>
  <c r="L933" i="52"/>
  <c r="M933" i="52"/>
  <c r="L932" i="52"/>
  <c r="L931" i="52"/>
  <c r="M931" i="52"/>
  <c r="L930" i="52"/>
  <c r="M930" i="52"/>
  <c r="L929" i="52"/>
  <c r="M929" i="52"/>
  <c r="L928" i="52"/>
  <c r="L927" i="52"/>
  <c r="M927" i="52"/>
  <c r="L926" i="52"/>
  <c r="M926" i="52"/>
  <c r="L925" i="52"/>
  <c r="M925" i="52"/>
  <c r="L924" i="52"/>
  <c r="M924" i="52"/>
  <c r="L923" i="52"/>
  <c r="M923" i="52"/>
  <c r="L922" i="52"/>
  <c r="M922" i="52"/>
  <c r="L921" i="52"/>
  <c r="L920" i="52"/>
  <c r="M920" i="52"/>
  <c r="L919" i="52"/>
  <c r="M919" i="52"/>
  <c r="L918" i="52"/>
  <c r="M918" i="52"/>
  <c r="L917" i="52"/>
  <c r="M917" i="52"/>
  <c r="L916" i="52"/>
  <c r="M916" i="52"/>
  <c r="L915" i="52"/>
  <c r="M915" i="52"/>
  <c r="L914" i="52"/>
  <c r="M914" i="52"/>
  <c r="L913" i="52"/>
  <c r="M913" i="52"/>
  <c r="L912" i="52"/>
  <c r="M912" i="52"/>
  <c r="L911" i="52"/>
  <c r="M911" i="52"/>
  <c r="L910" i="52"/>
  <c r="M910" i="52"/>
  <c r="L909" i="52"/>
  <c r="M909" i="52"/>
  <c r="L908" i="52"/>
  <c r="M908" i="52"/>
  <c r="L907" i="52"/>
  <c r="M907" i="52"/>
  <c r="L906" i="52"/>
  <c r="M906" i="52"/>
  <c r="L905" i="52"/>
  <c r="M905" i="52"/>
  <c r="L904" i="52"/>
  <c r="M904" i="52"/>
  <c r="L903" i="52"/>
  <c r="M903" i="52"/>
  <c r="L902" i="52"/>
  <c r="M902" i="52"/>
  <c r="L901" i="52"/>
  <c r="M901" i="52"/>
  <c r="L900" i="52"/>
  <c r="M900" i="52"/>
  <c r="L899" i="52"/>
  <c r="M899" i="52"/>
  <c r="L898" i="52"/>
  <c r="M898" i="52"/>
  <c r="L897" i="52"/>
  <c r="M897" i="52"/>
  <c r="L896" i="52"/>
  <c r="M896" i="52"/>
  <c r="L895" i="52"/>
  <c r="M895" i="52"/>
  <c r="L894" i="52"/>
  <c r="L893" i="52"/>
  <c r="L892" i="52"/>
  <c r="L5" i="108" l="1"/>
  <c r="L4" i="108" s="1"/>
  <c r="K4" i="108"/>
  <c r="AE22" i="105"/>
  <c r="Z22" i="105"/>
  <c r="U22" i="105"/>
  <c r="K22" i="105"/>
  <c r="P22" i="105"/>
  <c r="N926" i="52"/>
  <c r="N930" i="52"/>
  <c r="N937" i="52"/>
  <c r="N923" i="52"/>
  <c r="L2" i="108"/>
  <c r="M6" i="108"/>
  <c r="K75" i="108"/>
  <c r="L75" i="108" s="1"/>
  <c r="N938" i="52"/>
  <c r="M921" i="52"/>
  <c r="N921" i="52" s="1"/>
  <c r="N943" i="52"/>
  <c r="N907" i="52"/>
  <c r="N911" i="52"/>
  <c r="N915" i="52"/>
  <c r="N919" i="52"/>
  <c r="N922" i="52"/>
  <c r="N942" i="52"/>
  <c r="N908" i="52"/>
  <c r="N912" i="52"/>
  <c r="N916" i="52"/>
  <c r="N920" i="52"/>
  <c r="N939" i="52"/>
  <c r="N940" i="52"/>
  <c r="M946" i="52"/>
  <c r="N946" i="52" s="1"/>
  <c r="N897" i="52"/>
  <c r="N909" i="52"/>
  <c r="N913" i="52"/>
  <c r="N917" i="52"/>
  <c r="N924" i="52"/>
  <c r="N927" i="52"/>
  <c r="N933" i="52"/>
  <c r="N944" i="52"/>
  <c r="N954" i="52"/>
  <c r="N910" i="52"/>
  <c r="N914" i="52"/>
  <c r="N918" i="52"/>
  <c r="N934" i="52"/>
  <c r="M928" i="52"/>
  <c r="N928" i="52" s="1"/>
  <c r="N952" i="52"/>
  <c r="N901" i="52"/>
  <c r="N905" i="52"/>
  <c r="N898" i="52"/>
  <c r="N902" i="52"/>
  <c r="N906" i="52"/>
  <c r="N895" i="52"/>
  <c r="N899" i="52"/>
  <c r="N903" i="52"/>
  <c r="N896" i="52"/>
  <c r="N900" i="52"/>
  <c r="N904" i="52"/>
  <c r="M1003" i="52"/>
  <c r="N1003" i="52" s="1"/>
  <c r="M1019" i="52"/>
  <c r="N1019" i="52" s="1"/>
  <c r="M1033" i="52"/>
  <c r="N1033" i="52" s="1"/>
  <c r="M1041" i="52"/>
  <c r="N1041" i="52" s="1"/>
  <c r="M1049" i="52"/>
  <c r="N1049" i="52" s="1"/>
  <c r="M1057" i="52"/>
  <c r="N1057" i="52" s="1"/>
  <c r="M1065" i="52"/>
  <c r="N1065" i="52" s="1"/>
  <c r="M1073" i="52"/>
  <c r="N1073" i="52" s="1"/>
  <c r="M1085" i="52"/>
  <c r="N1085" i="52" s="1"/>
  <c r="M955" i="52"/>
  <c r="N955" i="52" s="1"/>
  <c r="M971" i="52"/>
  <c r="N971" i="52" s="1"/>
  <c r="M987" i="52"/>
  <c r="N987" i="52" s="1"/>
  <c r="M1029" i="52"/>
  <c r="N1029" i="52" s="1"/>
  <c r="M1037" i="52"/>
  <c r="N1037" i="52" s="1"/>
  <c r="M1045" i="52"/>
  <c r="N1045" i="52" s="1"/>
  <c r="M1053" i="52"/>
  <c r="N1053" i="52" s="1"/>
  <c r="M1061" i="52"/>
  <c r="N1061" i="52" s="1"/>
  <c r="M1069" i="52"/>
  <c r="N1069" i="52" s="1"/>
  <c r="M1077" i="52"/>
  <c r="N1077" i="52" s="1"/>
  <c r="M1081" i="52"/>
  <c r="N1081" i="52" s="1"/>
  <c r="M1089" i="52"/>
  <c r="N1089" i="52" s="1"/>
  <c r="M864" i="52"/>
  <c r="N864" i="52" s="1"/>
  <c r="M866" i="52"/>
  <c r="N866" i="52" s="1"/>
  <c r="M868" i="52"/>
  <c r="N868" i="52" s="1"/>
  <c r="M870" i="52"/>
  <c r="N870" i="52" s="1"/>
  <c r="M872" i="52"/>
  <c r="N872" i="52" s="1"/>
  <c r="M874" i="52"/>
  <c r="N874" i="52" s="1"/>
  <c r="M876" i="52"/>
  <c r="N876" i="52" s="1"/>
  <c r="M878" i="52"/>
  <c r="N878" i="52" s="1"/>
  <c r="M880" i="52"/>
  <c r="N880" i="52" s="1"/>
  <c r="M882" i="52"/>
  <c r="N882" i="52" s="1"/>
  <c r="M884" i="52"/>
  <c r="N884" i="52" s="1"/>
  <c r="M886" i="52"/>
  <c r="N886" i="52" s="1"/>
  <c r="M888" i="52"/>
  <c r="N888" i="52" s="1"/>
  <c r="M890" i="52"/>
  <c r="N890" i="52" s="1"/>
  <c r="M892" i="52"/>
  <c r="N892" i="52" s="1"/>
  <c r="M894" i="52"/>
  <c r="N894" i="52" s="1"/>
  <c r="N931" i="52"/>
  <c r="N947" i="52"/>
  <c r="N962" i="52"/>
  <c r="M965" i="52"/>
  <c r="N965" i="52" s="1"/>
  <c r="N978" i="52"/>
  <c r="M981" i="52"/>
  <c r="N981" i="52" s="1"/>
  <c r="M997" i="52"/>
  <c r="N997" i="52" s="1"/>
  <c r="M1013" i="52"/>
  <c r="N1013" i="52" s="1"/>
  <c r="N929" i="52"/>
  <c r="M936" i="52"/>
  <c r="N936" i="52" s="1"/>
  <c r="N945" i="52"/>
  <c r="M950" i="52"/>
  <c r="N950" i="52" s="1"/>
  <c r="M953" i="52"/>
  <c r="N953" i="52" s="1"/>
  <c r="M959" i="52"/>
  <c r="N959" i="52" s="1"/>
  <c r="M968" i="52"/>
  <c r="N968" i="52" s="1"/>
  <c r="M975" i="52"/>
  <c r="N975" i="52" s="1"/>
  <c r="M984" i="52"/>
  <c r="N984" i="52" s="1"/>
  <c r="M991" i="52"/>
  <c r="N991" i="52" s="1"/>
  <c r="M1000" i="52"/>
  <c r="N1000" i="52" s="1"/>
  <c r="M1007" i="52"/>
  <c r="N1007" i="52" s="1"/>
  <c r="M1016" i="52"/>
  <c r="N1016" i="52" s="1"/>
  <c r="M1023" i="52"/>
  <c r="N1023" i="52" s="1"/>
  <c r="M1030" i="52"/>
  <c r="N1030" i="52" s="1"/>
  <c r="M1034" i="52"/>
  <c r="N1034" i="52" s="1"/>
  <c r="M1038" i="52"/>
  <c r="N1038" i="52" s="1"/>
  <c r="M1042" i="52"/>
  <c r="N1042" i="52" s="1"/>
  <c r="M1046" i="52"/>
  <c r="N1046" i="52" s="1"/>
  <c r="M1050" i="52"/>
  <c r="N1050" i="52" s="1"/>
  <c r="M1054" i="52"/>
  <c r="N1054" i="52" s="1"/>
  <c r="M1058" i="52"/>
  <c r="N1058" i="52" s="1"/>
  <c r="M1062" i="52"/>
  <c r="N1062" i="52" s="1"/>
  <c r="M1066" i="52"/>
  <c r="N1066" i="52" s="1"/>
  <c r="M1070" i="52"/>
  <c r="N1070" i="52" s="1"/>
  <c r="M1074" i="52"/>
  <c r="N1074" i="52" s="1"/>
  <c r="M1078" i="52"/>
  <c r="N1078" i="52" s="1"/>
  <c r="M1082" i="52"/>
  <c r="N1082" i="52" s="1"/>
  <c r="M1086" i="52"/>
  <c r="N1086" i="52" s="1"/>
  <c r="M1090" i="52"/>
  <c r="N1090" i="52" s="1"/>
  <c r="N966" i="52"/>
  <c r="M969" i="52"/>
  <c r="N969" i="52" s="1"/>
  <c r="N982" i="52"/>
  <c r="M985" i="52"/>
  <c r="N985" i="52" s="1"/>
  <c r="M994" i="52"/>
  <c r="N994" i="52" s="1"/>
  <c r="N998" i="52"/>
  <c r="M1001" i="52"/>
  <c r="N1001" i="52" s="1"/>
  <c r="M1010" i="52"/>
  <c r="N1010" i="52" s="1"/>
  <c r="N1014" i="52"/>
  <c r="M1017" i="52"/>
  <c r="N1017" i="52" s="1"/>
  <c r="M1026" i="52"/>
  <c r="N1026" i="52" s="1"/>
  <c r="M932" i="52"/>
  <c r="N932" i="52" s="1"/>
  <c r="M951" i="52"/>
  <c r="N951" i="52" s="1"/>
  <c r="N960" i="52"/>
  <c r="M972" i="52"/>
  <c r="N972" i="52" s="1"/>
  <c r="M979" i="52"/>
  <c r="N979" i="52" s="1"/>
  <c r="M988" i="52"/>
  <c r="N988" i="52" s="1"/>
  <c r="M995" i="52"/>
  <c r="N995" i="52" s="1"/>
  <c r="M1004" i="52"/>
  <c r="N1004" i="52" s="1"/>
  <c r="M1011" i="52"/>
  <c r="N1011" i="52" s="1"/>
  <c r="M1020" i="52"/>
  <c r="N1020" i="52" s="1"/>
  <c r="M1027" i="52"/>
  <c r="N1027" i="52" s="1"/>
  <c r="M1031" i="52"/>
  <c r="N1031" i="52" s="1"/>
  <c r="M1035" i="52"/>
  <c r="N1035" i="52" s="1"/>
  <c r="M1039" i="52"/>
  <c r="N1039" i="52" s="1"/>
  <c r="M1043" i="52"/>
  <c r="N1043" i="52" s="1"/>
  <c r="M1047" i="52"/>
  <c r="N1047" i="52" s="1"/>
  <c r="M1051" i="52"/>
  <c r="N1051" i="52" s="1"/>
  <c r="M1055" i="52"/>
  <c r="N1055" i="52" s="1"/>
  <c r="M1059" i="52"/>
  <c r="N1059" i="52" s="1"/>
  <c r="M1063" i="52"/>
  <c r="N1063" i="52" s="1"/>
  <c r="M1067" i="52"/>
  <c r="N1067" i="52" s="1"/>
  <c r="M1071" i="52"/>
  <c r="N1071" i="52" s="1"/>
  <c r="M1075" i="52"/>
  <c r="N1075" i="52" s="1"/>
  <c r="M1079" i="52"/>
  <c r="N1079" i="52" s="1"/>
  <c r="M1083" i="52"/>
  <c r="N1083" i="52" s="1"/>
  <c r="M1087" i="52"/>
  <c r="N1087" i="52" s="1"/>
  <c r="M1091" i="52"/>
  <c r="N1091" i="52" s="1"/>
  <c r="N925" i="52"/>
  <c r="N941" i="52"/>
  <c r="M948" i="52"/>
  <c r="N948" i="52" s="1"/>
  <c r="M956" i="52"/>
  <c r="N956" i="52" s="1"/>
  <c r="M963" i="52"/>
  <c r="N963" i="52" s="1"/>
  <c r="N976" i="52"/>
  <c r="M863" i="52"/>
  <c r="N863" i="52" s="1"/>
  <c r="M865" i="52"/>
  <c r="N865" i="52" s="1"/>
  <c r="M867" i="52"/>
  <c r="N867" i="52" s="1"/>
  <c r="M869" i="52"/>
  <c r="N869" i="52" s="1"/>
  <c r="M871" i="52"/>
  <c r="N871" i="52" s="1"/>
  <c r="M873" i="52"/>
  <c r="N873" i="52" s="1"/>
  <c r="M875" i="52"/>
  <c r="N875" i="52" s="1"/>
  <c r="M877" i="52"/>
  <c r="N877" i="52" s="1"/>
  <c r="M879" i="52"/>
  <c r="N879" i="52" s="1"/>
  <c r="M881" i="52"/>
  <c r="N881" i="52" s="1"/>
  <c r="M883" i="52"/>
  <c r="N883" i="52" s="1"/>
  <c r="M885" i="52"/>
  <c r="N885" i="52" s="1"/>
  <c r="M887" i="52"/>
  <c r="N887" i="52" s="1"/>
  <c r="M889" i="52"/>
  <c r="N889" i="52" s="1"/>
  <c r="M891" i="52"/>
  <c r="N891" i="52" s="1"/>
  <c r="M893" i="52"/>
  <c r="N893" i="52" s="1"/>
  <c r="M957" i="52"/>
  <c r="N957" i="52" s="1"/>
  <c r="M973" i="52"/>
  <c r="N973" i="52" s="1"/>
  <c r="M989" i="52"/>
  <c r="N989" i="52" s="1"/>
  <c r="M1005" i="52"/>
  <c r="N1005" i="52" s="1"/>
  <c r="M1021" i="52"/>
  <c r="N1021" i="52" s="1"/>
  <c r="M949" i="52"/>
  <c r="N949" i="52" s="1"/>
  <c r="N964" i="52"/>
  <c r="M967" i="52"/>
  <c r="N967" i="52" s="1"/>
  <c r="N980" i="52"/>
  <c r="M983" i="52"/>
  <c r="N983" i="52" s="1"/>
  <c r="M992" i="52"/>
  <c r="N992" i="52" s="1"/>
  <c r="N996" i="52"/>
  <c r="M999" i="52"/>
  <c r="N999" i="52" s="1"/>
  <c r="M1008" i="52"/>
  <c r="N1008" i="52" s="1"/>
  <c r="N1012" i="52"/>
  <c r="M1015" i="52"/>
  <c r="N1015" i="52" s="1"/>
  <c r="M1024" i="52"/>
  <c r="N1024" i="52" s="1"/>
  <c r="M1028" i="52"/>
  <c r="N1028" i="52" s="1"/>
  <c r="M1032" i="52"/>
  <c r="N1032" i="52" s="1"/>
  <c r="M1036" i="52"/>
  <c r="N1036" i="52" s="1"/>
  <c r="M1040" i="52"/>
  <c r="N1040" i="52" s="1"/>
  <c r="M1044" i="52"/>
  <c r="N1044" i="52" s="1"/>
  <c r="M1048" i="52"/>
  <c r="N1048" i="52" s="1"/>
  <c r="M1052" i="52"/>
  <c r="N1052" i="52" s="1"/>
  <c r="M1056" i="52"/>
  <c r="N1056" i="52" s="1"/>
  <c r="M1060" i="52"/>
  <c r="N1060" i="52" s="1"/>
  <c r="M1064" i="52"/>
  <c r="N1064" i="52" s="1"/>
  <c r="M1068" i="52"/>
  <c r="N1068" i="52" s="1"/>
  <c r="M1072" i="52"/>
  <c r="N1072" i="52" s="1"/>
  <c r="M1076" i="52"/>
  <c r="N1076" i="52" s="1"/>
  <c r="M1080" i="52"/>
  <c r="N1080" i="52" s="1"/>
  <c r="M1084" i="52"/>
  <c r="N1084" i="52" s="1"/>
  <c r="M1088" i="52"/>
  <c r="N1088" i="52" s="1"/>
  <c r="N935" i="52"/>
  <c r="N958" i="52"/>
  <c r="M961" i="52"/>
  <c r="N961" i="52" s="1"/>
  <c r="M970" i="52"/>
  <c r="N970" i="52" s="1"/>
  <c r="N974" i="52"/>
  <c r="M977" i="52"/>
  <c r="N977" i="52" s="1"/>
  <c r="M986" i="52"/>
  <c r="N986" i="52" s="1"/>
  <c r="N990" i="52"/>
  <c r="M993" i="52"/>
  <c r="N993" i="52" s="1"/>
  <c r="M1002" i="52"/>
  <c r="N1002" i="52" s="1"/>
  <c r="N1006" i="52"/>
  <c r="M1009" i="52"/>
  <c r="N1009" i="52" s="1"/>
  <c r="M1018" i="52"/>
  <c r="N1018" i="52" s="1"/>
  <c r="N1022" i="52"/>
  <c r="M1025" i="52"/>
  <c r="N1025" i="52" s="1"/>
  <c r="M1092" i="52"/>
  <c r="N1092" i="52" s="1"/>
  <c r="E12" i="105"/>
  <c r="L3" i="108" l="1"/>
  <c r="M5" i="108"/>
  <c r="M4" i="108" s="1"/>
  <c r="AI22" i="105"/>
  <c r="M2" i="108"/>
  <c r="N6" i="108"/>
  <c r="E16" i="105"/>
  <c r="E38" i="105"/>
  <c r="E14" i="90"/>
  <c r="E22" i="90"/>
  <c r="E24" i="90"/>
  <c r="E30" i="90"/>
  <c r="E32" i="90"/>
  <c r="E38" i="90"/>
  <c r="E40" i="90"/>
  <c r="E46" i="90"/>
  <c r="E16" i="90"/>
  <c r="E48" i="90"/>
  <c r="E15" i="90"/>
  <c r="E23" i="90"/>
  <c r="E31" i="90"/>
  <c r="E39" i="90"/>
  <c r="E47" i="90"/>
  <c r="E9" i="90"/>
  <c r="E17" i="90"/>
  <c r="E25" i="90"/>
  <c r="E33" i="90"/>
  <c r="E41" i="90"/>
  <c r="E49" i="90"/>
  <c r="E10" i="90"/>
  <c r="E18" i="90"/>
  <c r="E26" i="90"/>
  <c r="E34" i="90"/>
  <c r="E42" i="90"/>
  <c r="E50" i="90"/>
  <c r="E11" i="90"/>
  <c r="E19" i="90"/>
  <c r="E27" i="90"/>
  <c r="E35" i="90"/>
  <c r="E43" i="90"/>
  <c r="E51" i="90"/>
  <c r="E12" i="90"/>
  <c r="E20" i="90"/>
  <c r="E28" i="90"/>
  <c r="E36" i="90"/>
  <c r="E44" i="90"/>
  <c r="E52" i="90"/>
  <c r="E13" i="90"/>
  <c r="E21" i="90"/>
  <c r="E29" i="90"/>
  <c r="E37" i="90"/>
  <c r="E45" i="90"/>
  <c r="E53" i="90"/>
  <c r="E8" i="90"/>
  <c r="E64" i="105"/>
  <c r="E47" i="105"/>
  <c r="E58" i="105"/>
  <c r="E48" i="105"/>
  <c r="E59" i="105"/>
  <c r="E30" i="105"/>
  <c r="E60" i="105"/>
  <c r="E31" i="105"/>
  <c r="E61" i="105"/>
  <c r="E54" i="105"/>
  <c r="E62" i="105"/>
  <c r="E21" i="105"/>
  <c r="E27" i="105"/>
  <c r="E36" i="105"/>
  <c r="E43" i="105"/>
  <c r="E23" i="105"/>
  <c r="E28" i="105"/>
  <c r="E49" i="105"/>
  <c r="E17" i="105"/>
  <c r="E45" i="105"/>
  <c r="E32" i="105"/>
  <c r="E39" i="105"/>
  <c r="E18" i="105"/>
  <c r="E46" i="105"/>
  <c r="E33" i="105"/>
  <c r="E40" i="105"/>
  <c r="E19" i="105"/>
  <c r="E25" i="105"/>
  <c r="E34" i="105"/>
  <c r="E41" i="105"/>
  <c r="E20" i="105"/>
  <c r="E26" i="105"/>
  <c r="E35" i="105"/>
  <c r="E42" i="105"/>
  <c r="M3" i="108" l="1"/>
  <c r="N5" i="108"/>
  <c r="O5" i="108" s="1"/>
  <c r="N2" i="108"/>
  <c r="O6" i="108"/>
  <c r="E14" i="106"/>
  <c r="G14" i="106" s="1"/>
  <c r="H14" i="106" s="1"/>
  <c r="I14" i="106" s="1"/>
  <c r="D14" i="106"/>
  <c r="C14" i="106"/>
  <c r="B14" i="106"/>
  <c r="E13" i="106"/>
  <c r="G13" i="106" s="1"/>
  <c r="H13" i="106" s="1"/>
  <c r="I13" i="106" s="1"/>
  <c r="D13" i="106"/>
  <c r="C13" i="106"/>
  <c r="B13" i="106"/>
  <c r="E12" i="106"/>
  <c r="G12" i="106" s="1"/>
  <c r="H12" i="106" s="1"/>
  <c r="I12" i="106" s="1"/>
  <c r="D12" i="106"/>
  <c r="C12" i="106"/>
  <c r="B12" i="106"/>
  <c r="E11" i="106"/>
  <c r="G11" i="106" s="1"/>
  <c r="H11" i="106" s="1"/>
  <c r="I11" i="106" s="1"/>
  <c r="D11" i="106"/>
  <c r="C11" i="106"/>
  <c r="B11" i="106"/>
  <c r="E17" i="106"/>
  <c r="G17" i="106" s="1"/>
  <c r="H17" i="106" s="1"/>
  <c r="I17" i="106" s="1"/>
  <c r="D17" i="106"/>
  <c r="C17" i="106"/>
  <c r="B17" i="106"/>
  <c r="E15" i="106"/>
  <c r="G15" i="106" s="1"/>
  <c r="H15" i="106" s="1"/>
  <c r="I15" i="106" s="1"/>
  <c r="D15" i="106"/>
  <c r="C15" i="106"/>
  <c r="B15" i="106"/>
  <c r="E16" i="106"/>
  <c r="G16" i="106" s="1"/>
  <c r="H16" i="106" s="1"/>
  <c r="I16" i="106" s="1"/>
  <c r="D16" i="106"/>
  <c r="C16" i="106"/>
  <c r="B16" i="106"/>
  <c r="E8" i="106"/>
  <c r="G8" i="106" s="1"/>
  <c r="H8" i="106" s="1"/>
  <c r="I8" i="106" s="1"/>
  <c r="D8" i="106"/>
  <c r="C8" i="106"/>
  <c r="B8" i="106"/>
  <c r="E7" i="106"/>
  <c r="G7" i="106" s="1"/>
  <c r="H7" i="106" s="1"/>
  <c r="I7" i="106" s="1"/>
  <c r="D7" i="106"/>
  <c r="C7" i="106"/>
  <c r="B7" i="106"/>
  <c r="E10" i="106"/>
  <c r="G10" i="106" s="1"/>
  <c r="H10" i="106" s="1"/>
  <c r="I10" i="106" s="1"/>
  <c r="D10" i="106"/>
  <c r="C10" i="106"/>
  <c r="B10" i="106"/>
  <c r="E9" i="106"/>
  <c r="G9" i="106" s="1"/>
  <c r="H9" i="106" s="1"/>
  <c r="I9" i="106" s="1"/>
  <c r="D9" i="106"/>
  <c r="C9" i="106"/>
  <c r="B9" i="106"/>
  <c r="C2" i="106"/>
  <c r="N3" i="108" l="1"/>
  <c r="N4" i="108"/>
  <c r="P5" i="108"/>
  <c r="O3" i="108"/>
  <c r="O4" i="108"/>
  <c r="O2" i="108"/>
  <c r="P6" i="108"/>
  <c r="D9" i="101"/>
  <c r="E9" i="101" s="1"/>
  <c r="F9" i="101" s="1"/>
  <c r="P4" i="108" l="1"/>
  <c r="Q5" i="108"/>
  <c r="P3" i="108"/>
  <c r="P2" i="108"/>
  <c r="Q6" i="108"/>
  <c r="F12" i="102"/>
  <c r="F11" i="102"/>
  <c r="F10" i="102"/>
  <c r="F9" i="102"/>
  <c r="F8" i="102"/>
  <c r="D12" i="102"/>
  <c r="D11" i="102"/>
  <c r="D10" i="102"/>
  <c r="D9" i="102"/>
  <c r="D8" i="102"/>
  <c r="D7" i="102"/>
  <c r="D6" i="102"/>
  <c r="D5" i="102"/>
  <c r="Q3" i="108" l="1"/>
  <c r="Q4" i="108"/>
  <c r="R5" i="108"/>
  <c r="R6" i="108"/>
  <c r="Q2" i="108"/>
  <c r="A6" i="105"/>
  <c r="Z13" i="105" l="1"/>
  <c r="AE13" i="105"/>
  <c r="U13" i="105"/>
  <c r="P13" i="105"/>
  <c r="K13" i="105"/>
  <c r="AE37" i="105"/>
  <c r="Z37" i="105"/>
  <c r="P37" i="105"/>
  <c r="K37" i="105"/>
  <c r="U37" i="105"/>
  <c r="U15" i="105"/>
  <c r="AE14" i="105"/>
  <c r="K14" i="105"/>
  <c r="Z14" i="105"/>
  <c r="P15" i="105"/>
  <c r="U14" i="105"/>
  <c r="P14" i="105"/>
  <c r="K15" i="105"/>
  <c r="Z15" i="105"/>
  <c r="AE15" i="105"/>
  <c r="A4" i="69"/>
  <c r="B1" i="108"/>
  <c r="R3" i="108"/>
  <c r="R4" i="108"/>
  <c r="S5" i="108"/>
  <c r="R2" i="108"/>
  <c r="S6" i="108"/>
  <c r="E6" i="106"/>
  <c r="D6" i="106"/>
  <c r="C6" i="106"/>
  <c r="B6" i="106"/>
  <c r="AI13" i="105" l="1"/>
  <c r="AI37" i="105"/>
  <c r="D10" i="108"/>
  <c r="D9" i="108"/>
  <c r="AI15" i="105"/>
  <c r="AI14" i="105"/>
  <c r="S3" i="108"/>
  <c r="T5" i="108"/>
  <c r="S4" i="108"/>
  <c r="S2" i="108"/>
  <c r="T6" i="108"/>
  <c r="G6" i="106"/>
  <c r="H6" i="106" s="1"/>
  <c r="I6" i="106" s="1"/>
  <c r="U5" i="108" l="1"/>
  <c r="T3" i="108"/>
  <c r="T4" i="108"/>
  <c r="T2" i="108"/>
  <c r="U6" i="108"/>
  <c r="AH53" i="90"/>
  <c r="AH52" i="90"/>
  <c r="AB53" i="90"/>
  <c r="AB52" i="90"/>
  <c r="V53" i="90"/>
  <c r="V52" i="90"/>
  <c r="P53" i="90"/>
  <c r="P52" i="90"/>
  <c r="J53" i="90"/>
  <c r="J52" i="90"/>
  <c r="V5" i="108" l="1"/>
  <c r="U3" i="108"/>
  <c r="U4" i="108"/>
  <c r="U2" i="108"/>
  <c r="V6" i="108"/>
  <c r="AF2" i="90"/>
  <c r="Z2" i="90"/>
  <c r="T2" i="90"/>
  <c r="N2" i="90"/>
  <c r="H2" i="90"/>
  <c r="V4" i="108" l="1"/>
  <c r="W5" i="108"/>
  <c r="V3" i="108"/>
  <c r="V2" i="108"/>
  <c r="W6" i="108"/>
  <c r="F17" i="105"/>
  <c r="D17" i="105"/>
  <c r="D11" i="69" s="1"/>
  <c r="D12" i="105"/>
  <c r="D7" i="69" s="1"/>
  <c r="C12" i="105"/>
  <c r="D8" i="108" s="1"/>
  <c r="F12" i="105"/>
  <c r="C17" i="105"/>
  <c r="D12" i="108" s="1"/>
  <c r="B17" i="105"/>
  <c r="B11" i="69" s="1"/>
  <c r="F16" i="105"/>
  <c r="D16" i="105"/>
  <c r="D10" i="69" s="1"/>
  <c r="C16" i="105"/>
  <c r="D11" i="108" s="1"/>
  <c r="AH16" i="105"/>
  <c r="E11" i="108" s="1"/>
  <c r="B16" i="105"/>
  <c r="B10" i="69" s="1"/>
  <c r="C18" i="105"/>
  <c r="D13" i="108" s="1"/>
  <c r="F18" i="105"/>
  <c r="C19" i="105"/>
  <c r="D14" i="108" s="1"/>
  <c r="D19" i="105"/>
  <c r="D13" i="69" s="1"/>
  <c r="F19" i="105"/>
  <c r="C20" i="105"/>
  <c r="D15" i="108" s="1"/>
  <c r="D20" i="105"/>
  <c r="D14" i="69" s="1"/>
  <c r="F20" i="105"/>
  <c r="C21" i="105"/>
  <c r="D21" i="105"/>
  <c r="D15" i="69" s="1"/>
  <c r="F21" i="105"/>
  <c r="C23" i="105"/>
  <c r="D23" i="105"/>
  <c r="D17" i="69" s="1"/>
  <c r="F23" i="105"/>
  <c r="C47" i="105"/>
  <c r="C38" i="69" s="1"/>
  <c r="F47" i="105"/>
  <c r="D47" i="105"/>
  <c r="D38" i="69" s="1"/>
  <c r="C48" i="105"/>
  <c r="C39" i="69" s="1"/>
  <c r="F48" i="105"/>
  <c r="D48" i="105"/>
  <c r="D39" i="69" s="1"/>
  <c r="C45" i="105"/>
  <c r="C36" i="69" s="1"/>
  <c r="F45" i="105"/>
  <c r="D45" i="105"/>
  <c r="D36" i="69" s="1"/>
  <c r="C46" i="105"/>
  <c r="C37" i="69" s="1"/>
  <c r="F46" i="105"/>
  <c r="D46" i="105"/>
  <c r="D37" i="69" s="1"/>
  <c r="C25" i="105"/>
  <c r="C18" i="69" s="1"/>
  <c r="F25" i="105"/>
  <c r="D25" i="105"/>
  <c r="D18" i="69" s="1"/>
  <c r="C26" i="105"/>
  <c r="C19" i="69" s="1"/>
  <c r="F26" i="105"/>
  <c r="D26" i="105"/>
  <c r="D19" i="69" s="1"/>
  <c r="C27" i="105"/>
  <c r="C20" i="69" s="1"/>
  <c r="F27" i="105"/>
  <c r="D27" i="105"/>
  <c r="D20" i="69" s="1"/>
  <c r="C28" i="105"/>
  <c r="C21" i="69" s="1"/>
  <c r="F28" i="105"/>
  <c r="D28" i="105"/>
  <c r="D21" i="69" s="1"/>
  <c r="C30" i="105"/>
  <c r="C22" i="69" s="1"/>
  <c r="F30" i="105"/>
  <c r="D30" i="105"/>
  <c r="D22" i="69" s="1"/>
  <c r="C31" i="105"/>
  <c r="C23" i="69" s="1"/>
  <c r="F31" i="105"/>
  <c r="D31" i="105"/>
  <c r="D23" i="69" s="1"/>
  <c r="C32" i="105"/>
  <c r="C24" i="69" s="1"/>
  <c r="F32" i="105"/>
  <c r="D32" i="105"/>
  <c r="D24" i="69" s="1"/>
  <c r="C33" i="105"/>
  <c r="C25" i="69" s="1"/>
  <c r="F33" i="105"/>
  <c r="D33" i="105"/>
  <c r="D25" i="69" s="1"/>
  <c r="C34" i="105"/>
  <c r="C26" i="69" s="1"/>
  <c r="F34" i="105"/>
  <c r="D34" i="105"/>
  <c r="D26" i="69" s="1"/>
  <c r="C35" i="105"/>
  <c r="C27" i="69" s="1"/>
  <c r="F35" i="105"/>
  <c r="D35" i="105"/>
  <c r="D27" i="69" s="1"/>
  <c r="C36" i="105"/>
  <c r="C28" i="69" s="1"/>
  <c r="F36" i="105"/>
  <c r="D36" i="105"/>
  <c r="D28" i="69" s="1"/>
  <c r="C49" i="105"/>
  <c r="C40" i="69" s="1"/>
  <c r="F49" i="105"/>
  <c r="D49" i="105"/>
  <c r="D40" i="69" s="1"/>
  <c r="C54" i="105"/>
  <c r="C41" i="69" s="1"/>
  <c r="F54" i="105"/>
  <c r="D54" i="105"/>
  <c r="D41" i="69" s="1"/>
  <c r="C38" i="105"/>
  <c r="C30" i="69" s="1"/>
  <c r="F38" i="105"/>
  <c r="D38" i="105"/>
  <c r="D30" i="69" s="1"/>
  <c r="C39" i="105"/>
  <c r="C31" i="69" s="1"/>
  <c r="F39" i="105"/>
  <c r="D39" i="105"/>
  <c r="D31" i="69" s="1"/>
  <c r="C40" i="105"/>
  <c r="C32" i="69" s="1"/>
  <c r="D40" i="105"/>
  <c r="D32" i="69" s="1"/>
  <c r="F40" i="105"/>
  <c r="C41" i="105"/>
  <c r="C33" i="69" s="1"/>
  <c r="F41" i="105"/>
  <c r="D41" i="105"/>
  <c r="D33" i="69" s="1"/>
  <c r="C42" i="105"/>
  <c r="C34" i="69" s="1"/>
  <c r="F42" i="105"/>
  <c r="D42" i="105"/>
  <c r="D34" i="69" s="1"/>
  <c r="C43" i="105"/>
  <c r="C35" i="69" s="1"/>
  <c r="D43" i="105"/>
  <c r="D35" i="69" s="1"/>
  <c r="F43" i="105"/>
  <c r="C58" i="105"/>
  <c r="C43" i="69" s="1"/>
  <c r="D58" i="105"/>
  <c r="D43" i="69" s="1"/>
  <c r="F58" i="105"/>
  <c r="C59" i="105"/>
  <c r="C44" i="69" s="1"/>
  <c r="D59" i="105"/>
  <c r="D44" i="69" s="1"/>
  <c r="F59" i="105"/>
  <c r="C60" i="105"/>
  <c r="C45" i="69" s="1"/>
  <c r="D60" i="105"/>
  <c r="D45" i="69" s="1"/>
  <c r="F60" i="105"/>
  <c r="C61" i="105"/>
  <c r="C46" i="69" s="1"/>
  <c r="D61" i="105"/>
  <c r="D46" i="69" s="1"/>
  <c r="F61" i="105"/>
  <c r="C62" i="105"/>
  <c r="C47" i="69" s="1"/>
  <c r="D62" i="105"/>
  <c r="D47" i="69" s="1"/>
  <c r="F62" i="105"/>
  <c r="D18" i="105"/>
  <c r="D12" i="69" s="1"/>
  <c r="AC64" i="105"/>
  <c r="W49" i="69" s="1"/>
  <c r="X64" i="105"/>
  <c r="S49" i="69" s="1"/>
  <c r="F64" i="105"/>
  <c r="E49" i="69" s="1"/>
  <c r="D64" i="105"/>
  <c r="D49" i="69" s="1"/>
  <c r="C64" i="105"/>
  <c r="C49" i="69" s="1"/>
  <c r="B64" i="105"/>
  <c r="B49" i="69" s="1"/>
  <c r="B62" i="105"/>
  <c r="B47" i="69" s="1"/>
  <c r="B61" i="105"/>
  <c r="B46" i="69" s="1"/>
  <c r="B60" i="105"/>
  <c r="B45" i="69" s="1"/>
  <c r="B59" i="105"/>
  <c r="B44" i="69" s="1"/>
  <c r="B58" i="105"/>
  <c r="B43" i="69" s="1"/>
  <c r="B43" i="105"/>
  <c r="B35" i="69" s="1"/>
  <c r="B42" i="105"/>
  <c r="B34" i="69" s="1"/>
  <c r="B41" i="105"/>
  <c r="B33" i="69" s="1"/>
  <c r="B40" i="105"/>
  <c r="B32" i="69" s="1"/>
  <c r="B39" i="105"/>
  <c r="B31" i="69" s="1"/>
  <c r="B38" i="105"/>
  <c r="B30" i="69" s="1"/>
  <c r="B54" i="105"/>
  <c r="B41" i="69" s="1"/>
  <c r="B34" i="105"/>
  <c r="B26" i="69" s="1"/>
  <c r="B33" i="105"/>
  <c r="B25" i="69" s="1"/>
  <c r="B32" i="105"/>
  <c r="B24" i="69" s="1"/>
  <c r="B31" i="105"/>
  <c r="B23" i="69" s="1"/>
  <c r="B30" i="105"/>
  <c r="B22" i="69" s="1"/>
  <c r="B28" i="105"/>
  <c r="B21" i="69" s="1"/>
  <c r="B27" i="105"/>
  <c r="B20" i="69" s="1"/>
  <c r="B26" i="105"/>
  <c r="B19" i="69" s="1"/>
  <c r="B25" i="105"/>
  <c r="B18" i="69" s="1"/>
  <c r="B45" i="105"/>
  <c r="B36" i="69" s="1"/>
  <c r="B48" i="105"/>
  <c r="B39" i="69" s="1"/>
  <c r="B47" i="105"/>
  <c r="B38" i="69" s="1"/>
  <c r="B23" i="105"/>
  <c r="B17" i="69" s="1"/>
  <c r="B21" i="105"/>
  <c r="B15" i="69" s="1"/>
  <c r="B20" i="105"/>
  <c r="B14" i="69" s="1"/>
  <c r="B19" i="105"/>
  <c r="B13" i="69" s="1"/>
  <c r="B18" i="105"/>
  <c r="B12" i="69" s="1"/>
  <c r="B12" i="105"/>
  <c r="W5" i="69"/>
  <c r="S5" i="69"/>
  <c r="O5" i="69"/>
  <c r="K5" i="69"/>
  <c r="G5" i="69"/>
  <c r="Y1" i="69"/>
  <c r="U1" i="69"/>
  <c r="Q1" i="69"/>
  <c r="M1" i="69"/>
  <c r="I1" i="69"/>
  <c r="AE57" i="105"/>
  <c r="AE63" i="105"/>
  <c r="Z57" i="105"/>
  <c r="Z63" i="105"/>
  <c r="U57" i="105"/>
  <c r="U63" i="105"/>
  <c r="P57" i="105"/>
  <c r="P63" i="105"/>
  <c r="K57" i="105"/>
  <c r="K63" i="105"/>
  <c r="AH62" i="105"/>
  <c r="AH61" i="105"/>
  <c r="AH60" i="105"/>
  <c r="AH59" i="105"/>
  <c r="AH58" i="105"/>
  <c r="AH43" i="105"/>
  <c r="AH42" i="105"/>
  <c r="AH41" i="105"/>
  <c r="AH40" i="105"/>
  <c r="AH39" i="105"/>
  <c r="AH38" i="105"/>
  <c r="AH54" i="105"/>
  <c r="AH49" i="105"/>
  <c r="B49" i="105"/>
  <c r="B40" i="69" s="1"/>
  <c r="AH36" i="105"/>
  <c r="B36" i="105"/>
  <c r="B28" i="69" s="1"/>
  <c r="AH35" i="105"/>
  <c r="B35" i="105"/>
  <c r="B27" i="69" s="1"/>
  <c r="AH34" i="105"/>
  <c r="AH33" i="105"/>
  <c r="AH32" i="105"/>
  <c r="AH31" i="105"/>
  <c r="AH30" i="105"/>
  <c r="E23" i="108" s="1"/>
  <c r="AH28" i="105"/>
  <c r="E22" i="108" s="1"/>
  <c r="AH27" i="105"/>
  <c r="E21" i="108" s="1"/>
  <c r="AH26" i="105"/>
  <c r="E20" i="108" s="1"/>
  <c r="AH25" i="105"/>
  <c r="E19" i="108" s="1"/>
  <c r="AH46" i="105"/>
  <c r="B46" i="105"/>
  <c r="B37" i="69" s="1"/>
  <c r="AH45" i="105"/>
  <c r="AH48" i="105"/>
  <c r="AH47" i="105"/>
  <c r="AH23" i="105"/>
  <c r="E18" i="108" s="1"/>
  <c r="AH21" i="105"/>
  <c r="E16" i="108" s="1"/>
  <c r="AH19" i="105"/>
  <c r="E14" i="108" s="1"/>
  <c r="AH18" i="105"/>
  <c r="E13" i="108" s="1"/>
  <c r="AH12" i="105"/>
  <c r="E8" i="108" s="1"/>
  <c r="D14" i="102"/>
  <c r="D18" i="102" s="1"/>
  <c r="E7" i="100"/>
  <c r="E10" i="100"/>
  <c r="E8" i="100"/>
  <c r="O1092" i="52"/>
  <c r="O1091" i="52"/>
  <c r="O1090" i="52"/>
  <c r="O1086" i="52"/>
  <c r="O1085" i="52"/>
  <c r="O1084" i="52"/>
  <c r="O1083" i="52"/>
  <c r="O1082" i="52"/>
  <c r="O1080" i="52"/>
  <c r="O1078" i="52"/>
  <c r="O1076" i="52"/>
  <c r="O1075" i="52"/>
  <c r="O1072" i="52"/>
  <c r="O1069" i="52"/>
  <c r="O1068" i="52"/>
  <c r="O1067" i="52"/>
  <c r="O1062" i="52"/>
  <c r="O1061" i="52"/>
  <c r="O1060" i="52"/>
  <c r="O1059" i="52"/>
  <c r="O1058" i="52"/>
  <c r="O1056" i="52"/>
  <c r="O1054" i="52"/>
  <c r="O1053" i="52"/>
  <c r="O1052" i="52"/>
  <c r="O1051" i="52"/>
  <c r="O1048" i="52"/>
  <c r="O1046" i="52"/>
  <c r="O1044" i="52"/>
  <c r="O1043" i="52"/>
  <c r="O1037" i="52"/>
  <c r="O1036" i="52"/>
  <c r="O1035" i="52"/>
  <c r="O1032" i="52"/>
  <c r="O1030" i="52"/>
  <c r="O1029" i="52"/>
  <c r="O1028" i="52"/>
  <c r="O1027" i="52"/>
  <c r="O1026" i="52"/>
  <c r="O1024" i="52"/>
  <c r="O1022" i="52"/>
  <c r="O1020" i="52"/>
  <c r="O1019" i="52"/>
  <c r="O1018" i="52"/>
  <c r="O1013" i="52"/>
  <c r="O1012" i="52"/>
  <c r="O1011" i="52"/>
  <c r="O1010" i="52"/>
  <c r="O1006" i="52"/>
  <c r="O1004" i="52"/>
  <c r="O1003" i="52"/>
  <c r="O1002" i="52"/>
  <c r="O998" i="52"/>
  <c r="O997" i="52"/>
  <c r="O996" i="52"/>
  <c r="O995" i="52"/>
  <c r="O994" i="52"/>
  <c r="O990" i="52"/>
  <c r="O989" i="52"/>
  <c r="O988" i="52"/>
  <c r="O987" i="52"/>
  <c r="O986" i="52"/>
  <c r="O982" i="52"/>
  <c r="O981" i="52"/>
  <c r="O980" i="52"/>
  <c r="O979" i="52"/>
  <c r="O978" i="52"/>
  <c r="O973" i="52"/>
  <c r="O972" i="52"/>
  <c r="O971" i="52"/>
  <c r="O970" i="52"/>
  <c r="O966" i="52"/>
  <c r="O965" i="52"/>
  <c r="O964" i="52"/>
  <c r="O963" i="52"/>
  <c r="O962" i="52"/>
  <c r="O958" i="52"/>
  <c r="O956" i="52"/>
  <c r="O955" i="52"/>
  <c r="O954" i="52"/>
  <c r="O949" i="52"/>
  <c r="O948" i="52"/>
  <c r="O947" i="52"/>
  <c r="O946" i="52"/>
  <c r="O941" i="52"/>
  <c r="O940" i="52"/>
  <c r="O939" i="52"/>
  <c r="O938" i="52"/>
  <c r="O933" i="52"/>
  <c r="O932" i="52"/>
  <c r="O931" i="52"/>
  <c r="O930" i="52"/>
  <c r="O926" i="52"/>
  <c r="O925" i="52"/>
  <c r="O923" i="52"/>
  <c r="O922" i="52"/>
  <c r="O917" i="52"/>
  <c r="O915" i="52"/>
  <c r="O914" i="52"/>
  <c r="O909" i="52"/>
  <c r="O907" i="52"/>
  <c r="O906" i="52"/>
  <c r="O900" i="52"/>
  <c r="O899" i="52"/>
  <c r="O898" i="52"/>
  <c r="O897" i="52"/>
  <c r="O894" i="52"/>
  <c r="O893" i="52"/>
  <c r="O891" i="52"/>
  <c r="O890" i="52"/>
  <c r="O889" i="52"/>
  <c r="O886" i="52"/>
  <c r="O882" i="52"/>
  <c r="O881" i="52"/>
  <c r="O880" i="52"/>
  <c r="O879" i="52"/>
  <c r="O878" i="52"/>
  <c r="O874" i="52"/>
  <c r="O873" i="52"/>
  <c r="O872" i="52"/>
  <c r="O870" i="52"/>
  <c r="O869" i="52"/>
  <c r="O866" i="52"/>
  <c r="O865" i="52"/>
  <c r="O864" i="52"/>
  <c r="O862" i="52"/>
  <c r="M861" i="52"/>
  <c r="O860" i="52"/>
  <c r="M859" i="52"/>
  <c r="M858" i="52"/>
  <c r="O857" i="52"/>
  <c r="O856" i="52"/>
  <c r="M855" i="52"/>
  <c r="O854" i="52"/>
  <c r="M853" i="52"/>
  <c r="O852" i="52"/>
  <c r="M851" i="52"/>
  <c r="O850" i="52"/>
  <c r="O849" i="52"/>
  <c r="O848" i="52"/>
  <c r="M847" i="52"/>
  <c r="O846" i="52"/>
  <c r="O845" i="52"/>
  <c r="O844" i="52"/>
  <c r="M843" i="52"/>
  <c r="M842" i="52"/>
  <c r="O841" i="52"/>
  <c r="O840" i="52"/>
  <c r="M839" i="52"/>
  <c r="O838" i="52"/>
  <c r="O837" i="52"/>
  <c r="O836" i="52"/>
  <c r="O835" i="52"/>
  <c r="M834" i="52"/>
  <c r="N834" i="52" s="1"/>
  <c r="O833" i="52"/>
  <c r="O832" i="52"/>
  <c r="M831" i="52"/>
  <c r="O830" i="52"/>
  <c r="O829" i="52"/>
  <c r="O828" i="52"/>
  <c r="M827" i="52"/>
  <c r="O826" i="52"/>
  <c r="M825" i="52"/>
  <c r="O824" i="52"/>
  <c r="M823" i="52"/>
  <c r="O822" i="52"/>
  <c r="O821" i="52"/>
  <c r="O820" i="52"/>
  <c r="M819" i="52"/>
  <c r="O818" i="52"/>
  <c r="M817" i="52"/>
  <c r="O816" i="52"/>
  <c r="M815" i="52"/>
  <c r="N815" i="52" s="1"/>
  <c r="O814" i="52"/>
  <c r="O813" i="52"/>
  <c r="M812" i="52"/>
  <c r="M811" i="52"/>
  <c r="N811" i="52" s="1"/>
  <c r="O810" i="52"/>
  <c r="M809" i="52"/>
  <c r="O808" i="52"/>
  <c r="O807" i="52"/>
  <c r="O806" i="52"/>
  <c r="O805" i="52"/>
  <c r="O804" i="52"/>
  <c r="M803" i="52"/>
  <c r="N803" i="52" s="1"/>
  <c r="O802" i="52"/>
  <c r="O801" i="52"/>
  <c r="O800" i="52"/>
  <c r="O799" i="52"/>
  <c r="O798" i="52"/>
  <c r="O797" i="52"/>
  <c r="M796" i="52"/>
  <c r="O795" i="52"/>
  <c r="M794" i="52"/>
  <c r="M793" i="52"/>
  <c r="O792" i="52"/>
  <c r="O791" i="52"/>
  <c r="M790" i="52"/>
  <c r="O789" i="52"/>
  <c r="M788" i="52"/>
  <c r="M787" i="52"/>
  <c r="N787" i="52" s="1"/>
  <c r="O786" i="52"/>
  <c r="O785" i="52"/>
  <c r="O784" i="52"/>
  <c r="O783" i="52"/>
  <c r="O782" i="52"/>
  <c r="O781" i="52"/>
  <c r="M780" i="52"/>
  <c r="N780" i="52" s="1"/>
  <c r="O779" i="52"/>
  <c r="M778" i="52"/>
  <c r="N778" i="52" s="1"/>
  <c r="M777" i="52"/>
  <c r="O776" i="52"/>
  <c r="O775" i="52"/>
  <c r="O774" i="52"/>
  <c r="O773" i="52"/>
  <c r="O772" i="52"/>
  <c r="O771" i="52"/>
  <c r="O770" i="52"/>
  <c r="M769" i="52"/>
  <c r="M768" i="52"/>
  <c r="N768" i="52" s="1"/>
  <c r="O767" i="52"/>
  <c r="O766" i="52"/>
  <c r="O765" i="52"/>
  <c r="M764" i="52"/>
  <c r="N764" i="52" s="1"/>
  <c r="O763" i="52"/>
  <c r="M762" i="52"/>
  <c r="N762" i="52" s="1"/>
  <c r="O761" i="52"/>
  <c r="M760" i="52"/>
  <c r="N760" i="52" s="1"/>
  <c r="O759" i="52"/>
  <c r="M758" i="52"/>
  <c r="N758" i="52" s="1"/>
  <c r="O757" i="52"/>
  <c r="M756" i="52"/>
  <c r="N756" i="52" s="1"/>
  <c r="O755" i="52"/>
  <c r="O754" i="52"/>
  <c r="M753" i="52"/>
  <c r="M752" i="52"/>
  <c r="N752" i="52" s="1"/>
  <c r="M751" i="52"/>
  <c r="N751" i="52" s="1"/>
  <c r="O750" i="52"/>
  <c r="O749" i="52"/>
  <c r="M748" i="52"/>
  <c r="N748" i="52" s="1"/>
  <c r="O747" i="52"/>
  <c r="M746" i="52"/>
  <c r="N746" i="52" s="1"/>
  <c r="M745" i="52"/>
  <c r="O744" i="52"/>
  <c r="O743" i="52"/>
  <c r="O742" i="52"/>
  <c r="M741" i="52"/>
  <c r="M740" i="52"/>
  <c r="N740" i="52" s="1"/>
  <c r="O739" i="52"/>
  <c r="O738" i="52"/>
  <c r="M737" i="52"/>
  <c r="O736" i="52"/>
  <c r="M735" i="52"/>
  <c r="N735" i="52" s="1"/>
  <c r="M734" i="52"/>
  <c r="N734" i="52" s="1"/>
  <c r="M733" i="52"/>
  <c r="O732" i="52"/>
  <c r="O731" i="52"/>
  <c r="M730" i="52"/>
  <c r="N730" i="52" s="1"/>
  <c r="M729" i="52"/>
  <c r="O728" i="52"/>
  <c r="O727" i="52"/>
  <c r="M726" i="52"/>
  <c r="O725" i="52"/>
  <c r="M724" i="52"/>
  <c r="N724" i="52" s="1"/>
  <c r="M723" i="52"/>
  <c r="O722" i="52"/>
  <c r="M721" i="52"/>
  <c r="O720" i="52"/>
  <c r="M719" i="52"/>
  <c r="N719" i="52" s="1"/>
  <c r="O718" i="52"/>
  <c r="M717" i="52"/>
  <c r="N717" i="52" s="1"/>
  <c r="O716" i="52"/>
  <c r="M715" i="52"/>
  <c r="M714" i="52"/>
  <c r="N714" i="52" s="1"/>
  <c r="M713" i="52"/>
  <c r="O712" i="52"/>
  <c r="M711" i="52"/>
  <c r="N711" i="52" s="1"/>
  <c r="M710" i="52"/>
  <c r="O709" i="52"/>
  <c r="M708" i="52"/>
  <c r="O707" i="52"/>
  <c r="O706" i="52"/>
  <c r="M705" i="52"/>
  <c r="O704" i="52"/>
  <c r="O703" i="52"/>
  <c r="O702" i="52"/>
  <c r="O701" i="52"/>
  <c r="M700" i="52"/>
  <c r="M699" i="52"/>
  <c r="M698" i="52"/>
  <c r="M697" i="52"/>
  <c r="O696" i="52"/>
  <c r="M695" i="52"/>
  <c r="O694" i="52"/>
  <c r="M693" i="52"/>
  <c r="N693" i="52" s="1"/>
  <c r="M692" i="52"/>
  <c r="O691" i="52"/>
  <c r="O690" i="52"/>
  <c r="O689" i="52"/>
  <c r="O688" i="52"/>
  <c r="O687" i="52"/>
  <c r="O686" i="52"/>
  <c r="M685" i="52"/>
  <c r="M684" i="52"/>
  <c r="O683" i="52"/>
  <c r="O682" i="52"/>
  <c r="O681" i="52"/>
  <c r="O680" i="52"/>
  <c r="O679" i="52"/>
  <c r="O678" i="52"/>
  <c r="M677" i="52"/>
  <c r="N677" i="52" s="1"/>
  <c r="M676" i="52"/>
  <c r="O675" i="52"/>
  <c r="O674" i="52"/>
  <c r="O673" i="52"/>
  <c r="O672" i="52"/>
  <c r="O671" i="52"/>
  <c r="O670" i="52"/>
  <c r="O669" i="52"/>
  <c r="M668" i="52"/>
  <c r="O667" i="52"/>
  <c r="M666" i="52"/>
  <c r="O665" i="52"/>
  <c r="O664" i="52"/>
  <c r="O663" i="52"/>
  <c r="O662" i="52"/>
  <c r="O661" i="52"/>
  <c r="M660" i="52"/>
  <c r="M659" i="52"/>
  <c r="N659" i="52" s="1"/>
  <c r="M658" i="52"/>
  <c r="O657" i="52"/>
  <c r="O656" i="52"/>
  <c r="O655" i="52"/>
  <c r="O654" i="52"/>
  <c r="M653" i="52"/>
  <c r="M652" i="52"/>
  <c r="N652" i="52" s="1"/>
  <c r="O651" i="52"/>
  <c r="O650" i="52"/>
  <c r="M649" i="52"/>
  <c r="N649" i="52" s="1"/>
  <c r="O648" i="52"/>
  <c r="M647" i="52"/>
  <c r="M646" i="52"/>
  <c r="N646" i="52" s="1"/>
  <c r="M645" i="52"/>
  <c r="N645" i="52" s="1"/>
  <c r="M644" i="52"/>
  <c r="N644" i="52" s="1"/>
  <c r="M643" i="52"/>
  <c r="N643" i="52" s="1"/>
  <c r="O642" i="52"/>
  <c r="O641" i="52"/>
  <c r="O640" i="52"/>
  <c r="O639" i="52"/>
  <c r="O638" i="52"/>
  <c r="M637" i="52"/>
  <c r="N637" i="52" s="1"/>
  <c r="M636" i="52"/>
  <c r="M635" i="52"/>
  <c r="N635" i="52" s="1"/>
  <c r="O634" i="52"/>
  <c r="O633" i="52"/>
  <c r="O632" i="52"/>
  <c r="O631" i="52"/>
  <c r="O630" i="52"/>
  <c r="O629" i="52"/>
  <c r="M628" i="52"/>
  <c r="O627" i="52"/>
  <c r="O626" i="52"/>
  <c r="O625" i="52"/>
  <c r="O624" i="52"/>
  <c r="O623" i="52"/>
  <c r="O622" i="52"/>
  <c r="O621" i="52"/>
  <c r="M620" i="52"/>
  <c r="O619" i="52"/>
  <c r="O618" i="52"/>
  <c r="O617" i="52"/>
  <c r="O616" i="52"/>
  <c r="O615" i="52"/>
  <c r="O614" i="52"/>
  <c r="O613" i="52"/>
  <c r="M612" i="52"/>
  <c r="M611" i="52"/>
  <c r="N611" i="52" s="1"/>
  <c r="O610" i="52"/>
  <c r="O609" i="52"/>
  <c r="O608" i="52"/>
  <c r="O607" i="52"/>
  <c r="O606" i="52"/>
  <c r="M605" i="52"/>
  <c r="N605" i="52" s="1"/>
  <c r="M604" i="52"/>
  <c r="M603" i="52"/>
  <c r="N603" i="52" s="1"/>
  <c r="O602" i="52"/>
  <c r="O601" i="52"/>
  <c r="O600" i="52"/>
  <c r="O599" i="52"/>
  <c r="O598" i="52"/>
  <c r="O597" i="52"/>
  <c r="M596" i="52"/>
  <c r="O595" i="52"/>
  <c r="O594" i="52"/>
  <c r="O593" i="52"/>
  <c r="O592" i="52"/>
  <c r="O591" i="52"/>
  <c r="O590" i="52"/>
  <c r="M589" i="52"/>
  <c r="O588" i="52"/>
  <c r="O587" i="52"/>
  <c r="O586" i="52"/>
  <c r="O585" i="52"/>
  <c r="O584" i="52"/>
  <c r="O583" i="52"/>
  <c r="M582" i="52"/>
  <c r="N582" i="52" s="1"/>
  <c r="O581" i="52"/>
  <c r="O580" i="52"/>
  <c r="M579" i="52"/>
  <c r="N579" i="52" s="1"/>
  <c r="O578" i="52"/>
  <c r="O577" i="52"/>
  <c r="O576" i="52"/>
  <c r="O575" i="52"/>
  <c r="O574" i="52"/>
  <c r="M573" i="52"/>
  <c r="M572" i="52"/>
  <c r="O571" i="52"/>
  <c r="M570" i="52"/>
  <c r="N570" i="52" s="1"/>
  <c r="O569" i="52"/>
  <c r="O568" i="52"/>
  <c r="O567" i="52"/>
  <c r="O566" i="52"/>
  <c r="M565" i="52"/>
  <c r="M564" i="52"/>
  <c r="O563" i="52"/>
  <c r="M562" i="52"/>
  <c r="N562" i="52" s="1"/>
  <c r="O561" i="52"/>
  <c r="O560" i="52"/>
  <c r="O559" i="52"/>
  <c r="O558" i="52"/>
  <c r="M557" i="52"/>
  <c r="M556" i="52"/>
  <c r="O555" i="52"/>
  <c r="O554" i="52"/>
  <c r="O553" i="52"/>
  <c r="O552" i="52"/>
  <c r="O551" i="52"/>
  <c r="O550" i="52"/>
  <c r="M549" i="52"/>
  <c r="M548" i="52"/>
  <c r="M547" i="52"/>
  <c r="N547" i="52" s="1"/>
  <c r="M546" i="52"/>
  <c r="N546" i="52" s="1"/>
  <c r="O545" i="52"/>
  <c r="O544" i="52"/>
  <c r="M543" i="52"/>
  <c r="N543" i="52" s="1"/>
  <c r="O542" i="52"/>
  <c r="O541" i="52"/>
  <c r="O540" i="52"/>
  <c r="O539" i="52"/>
  <c r="M538" i="52"/>
  <c r="N538" i="52" s="1"/>
  <c r="O537" i="52"/>
  <c r="O536" i="52"/>
  <c r="M535" i="52"/>
  <c r="M534" i="52"/>
  <c r="O533" i="52"/>
  <c r="M532" i="52"/>
  <c r="M531" i="52"/>
  <c r="N531" i="52" s="1"/>
  <c r="O530" i="52"/>
  <c r="O529" i="52"/>
  <c r="M528" i="52"/>
  <c r="M527" i="52"/>
  <c r="O526" i="52"/>
  <c r="O525" i="52"/>
  <c r="O524" i="52"/>
  <c r="M523" i="52"/>
  <c r="O522" i="52"/>
  <c r="O521" i="52"/>
  <c r="O520" i="52"/>
  <c r="M519" i="52"/>
  <c r="O518" i="52"/>
  <c r="M517" i="52"/>
  <c r="N517" i="52" s="1"/>
  <c r="O516" i="52"/>
  <c r="M515" i="52"/>
  <c r="M514" i="52"/>
  <c r="N514" i="52" s="1"/>
  <c r="O513" i="52"/>
  <c r="O512" i="52"/>
  <c r="O511" i="52"/>
  <c r="O510" i="52"/>
  <c r="O509" i="52"/>
  <c r="O508" i="52"/>
  <c r="M507" i="52"/>
  <c r="O506" i="52"/>
  <c r="M505" i="52"/>
  <c r="O504" i="52"/>
  <c r="O503" i="52"/>
  <c r="O502" i="52"/>
  <c r="O501" i="52"/>
  <c r="M500" i="52"/>
  <c r="O499" i="52"/>
  <c r="O498" i="52"/>
  <c r="M497" i="52"/>
  <c r="O496" i="52"/>
  <c r="O495" i="52"/>
  <c r="O494" i="52"/>
  <c r="O493" i="52"/>
  <c r="O492" i="52"/>
  <c r="M491" i="52"/>
  <c r="O490" i="52"/>
  <c r="M489" i="52"/>
  <c r="O488" i="52"/>
  <c r="O487" i="52"/>
  <c r="M486" i="52"/>
  <c r="O484" i="52"/>
  <c r="O483" i="52"/>
  <c r="O482" i="52"/>
  <c r="M481" i="52"/>
  <c r="O480" i="52"/>
  <c r="O479" i="52"/>
  <c r="M478" i="52"/>
  <c r="N478" i="52" s="1"/>
  <c r="O477" i="52"/>
  <c r="O476" i="52"/>
  <c r="M475" i="52"/>
  <c r="M473" i="52"/>
  <c r="O472" i="52"/>
  <c r="O471" i="52"/>
  <c r="O470" i="52"/>
  <c r="O469" i="52"/>
  <c r="O468" i="52"/>
  <c r="M467" i="52"/>
  <c r="N467" i="52" s="1"/>
  <c r="O466" i="52"/>
  <c r="M465" i="52"/>
  <c r="O464" i="52"/>
  <c r="O463" i="52"/>
  <c r="O462" i="52"/>
  <c r="O461" i="52"/>
  <c r="O460" i="52"/>
  <c r="M459" i="52"/>
  <c r="N459" i="52" s="1"/>
  <c r="O458" i="52"/>
  <c r="M457" i="52"/>
  <c r="O456" i="52"/>
  <c r="O455" i="52"/>
  <c r="M454" i="52"/>
  <c r="O453" i="52"/>
  <c r="M452" i="52"/>
  <c r="O451" i="52"/>
  <c r="O450" i="52"/>
  <c r="M449" i="52"/>
  <c r="O448" i="52"/>
  <c r="O447" i="52"/>
  <c r="M446" i="52"/>
  <c r="O445" i="52"/>
  <c r="O444" i="52"/>
  <c r="O443" i="52"/>
  <c r="O442" i="52"/>
  <c r="O441" i="52"/>
  <c r="O440" i="52"/>
  <c r="O439" i="52"/>
  <c r="M438" i="52"/>
  <c r="O437" i="52"/>
  <c r="O436" i="52"/>
  <c r="O435" i="52"/>
  <c r="O434" i="52"/>
  <c r="O433" i="52"/>
  <c r="O432" i="52"/>
  <c r="O431" i="52"/>
  <c r="M430" i="52"/>
  <c r="O429" i="52"/>
  <c r="O428" i="52"/>
  <c r="M427" i="52"/>
  <c r="O426" i="52"/>
  <c r="M425" i="52"/>
  <c r="O424" i="52"/>
  <c r="O423" i="52"/>
  <c r="M422" i="52"/>
  <c r="O421" i="52"/>
  <c r="O420" i="52"/>
  <c r="O419" i="52"/>
  <c r="M417" i="52"/>
  <c r="O416" i="52"/>
  <c r="O415" i="52"/>
  <c r="M414" i="52"/>
  <c r="O413" i="52"/>
  <c r="O412" i="52"/>
  <c r="M411" i="52"/>
  <c r="O410" i="52"/>
  <c r="M409" i="52"/>
  <c r="O408" i="52"/>
  <c r="O407" i="52"/>
  <c r="O406" i="52"/>
  <c r="O405" i="52"/>
  <c r="M404" i="52"/>
  <c r="O402" i="52"/>
  <c r="M401" i="52"/>
  <c r="O400" i="52"/>
  <c r="O399" i="52"/>
  <c r="O398" i="52"/>
  <c r="O397" i="52"/>
  <c r="M396" i="52"/>
  <c r="M395" i="52"/>
  <c r="M394" i="52"/>
  <c r="N394" i="52" s="1"/>
  <c r="M393" i="52"/>
  <c r="O392" i="52"/>
  <c r="O391" i="52"/>
  <c r="O390" i="52"/>
  <c r="O389" i="52"/>
  <c r="O388" i="52"/>
  <c r="O387" i="52"/>
  <c r="O386" i="52"/>
  <c r="M385" i="52"/>
  <c r="O384" i="52"/>
  <c r="O383" i="52"/>
  <c r="O381" i="52"/>
  <c r="O380" i="52"/>
  <c r="M379" i="52"/>
  <c r="O378" i="52"/>
  <c r="M377" i="52"/>
  <c r="O376" i="52"/>
  <c r="O375" i="52"/>
  <c r="O374" i="52"/>
  <c r="O373" i="52"/>
  <c r="O372" i="52"/>
  <c r="M371" i="52"/>
  <c r="M370" i="52"/>
  <c r="N370" i="52" s="1"/>
  <c r="M369" i="52"/>
  <c r="M368" i="52"/>
  <c r="N368" i="52" s="1"/>
  <c r="O367" i="52"/>
  <c r="M366" i="52"/>
  <c r="O365" i="52"/>
  <c r="M364" i="52"/>
  <c r="O363" i="52"/>
  <c r="O362" i="52"/>
  <c r="M361" i="52"/>
  <c r="O360" i="52"/>
  <c r="O359" i="52"/>
  <c r="M358" i="52"/>
  <c r="N358" i="52" s="1"/>
  <c r="M357" i="52"/>
  <c r="M356" i="52"/>
  <c r="O355" i="52"/>
  <c r="M353" i="52"/>
  <c r="O352" i="52"/>
  <c r="O351" i="52"/>
  <c r="O350" i="52"/>
  <c r="O349" i="52"/>
  <c r="M348" i="52"/>
  <c r="O347" i="52"/>
  <c r="M346" i="52"/>
  <c r="M345" i="52"/>
  <c r="O344" i="52"/>
  <c r="O343" i="52"/>
  <c r="O342" i="52"/>
  <c r="O341" i="52"/>
  <c r="M340" i="52"/>
  <c r="O339" i="52"/>
  <c r="M338" i="52"/>
  <c r="M337" i="52"/>
  <c r="O336" i="52"/>
  <c r="O335" i="52"/>
  <c r="O334" i="52"/>
  <c r="M333" i="52"/>
  <c r="M332" i="52"/>
  <c r="O331" i="52"/>
  <c r="M330" i="52"/>
  <c r="O329" i="52"/>
  <c r="O327" i="52"/>
  <c r="O326" i="52"/>
  <c r="O325" i="52"/>
  <c r="O324" i="52"/>
  <c r="O323" i="52"/>
  <c r="O322" i="52"/>
  <c r="O321" i="52"/>
  <c r="O320" i="52"/>
  <c r="M319" i="52"/>
  <c r="O318" i="52"/>
  <c r="O317" i="52"/>
  <c r="O316" i="52"/>
  <c r="O315" i="52"/>
  <c r="M314" i="52"/>
  <c r="O313" i="52"/>
  <c r="O312" i="52"/>
  <c r="O311" i="52"/>
  <c r="O310" i="52"/>
  <c r="M308" i="52"/>
  <c r="O307" i="52"/>
  <c r="M306" i="52"/>
  <c r="O305" i="52"/>
  <c r="O304" i="52"/>
  <c r="O303" i="52"/>
  <c r="O302" i="52"/>
  <c r="O301" i="52"/>
  <c r="O300" i="52"/>
  <c r="O299" i="52"/>
  <c r="O298" i="52"/>
  <c r="O297" i="52"/>
  <c r="O296" i="52"/>
  <c r="O295" i="52"/>
  <c r="O294" i="52"/>
  <c r="O293" i="52"/>
  <c r="O292" i="52"/>
  <c r="O291" i="52"/>
  <c r="M290" i="52"/>
  <c r="O289" i="52"/>
  <c r="O288" i="52"/>
  <c r="O287" i="52"/>
  <c r="O286" i="52"/>
  <c r="O285" i="52"/>
  <c r="M284" i="52"/>
  <c r="O283" i="52"/>
  <c r="O282" i="52"/>
  <c r="O281" i="52"/>
  <c r="O280" i="52"/>
  <c r="M279" i="52"/>
  <c r="O278" i="52"/>
  <c r="O277" i="52"/>
  <c r="O276" i="52"/>
  <c r="O275" i="52"/>
  <c r="M274" i="52"/>
  <c r="O273" i="52"/>
  <c r="O272" i="52"/>
  <c r="O271" i="52"/>
  <c r="O269" i="52"/>
  <c r="O268" i="52"/>
  <c r="O267" i="52"/>
  <c r="M266" i="52"/>
  <c r="O265" i="52"/>
  <c r="O264" i="52"/>
  <c r="M263" i="52"/>
  <c r="O261" i="52"/>
  <c r="O257" i="52"/>
  <c r="O256" i="52"/>
  <c r="O255" i="52"/>
  <c r="M254" i="52"/>
  <c r="O252" i="52"/>
  <c r="O251" i="52"/>
  <c r="M250" i="52"/>
  <c r="O249" i="52"/>
  <c r="O248" i="52"/>
  <c r="M246" i="52"/>
  <c r="O245" i="52"/>
  <c r="O244" i="52"/>
  <c r="O243" i="52"/>
  <c r="O241" i="52"/>
  <c r="O240" i="52"/>
  <c r="M239" i="52"/>
  <c r="O238" i="52"/>
  <c r="O237" i="52"/>
  <c r="M236" i="52"/>
  <c r="O235" i="52"/>
  <c r="M234" i="52"/>
  <c r="O233" i="52"/>
  <c r="O232" i="52"/>
  <c r="O231" i="52"/>
  <c r="O230" i="52"/>
  <c r="O229" i="52"/>
  <c r="O228" i="52"/>
  <c r="M226" i="52"/>
  <c r="O225" i="52"/>
  <c r="O224" i="52"/>
  <c r="M223" i="52"/>
  <c r="M222" i="52"/>
  <c r="O221" i="52"/>
  <c r="O220" i="52"/>
  <c r="O219" i="52"/>
  <c r="M218" i="52"/>
  <c r="O217" i="52"/>
  <c r="M215" i="52"/>
  <c r="O214" i="52"/>
  <c r="O212" i="52"/>
  <c r="O211" i="52"/>
  <c r="M210" i="52"/>
  <c r="O208" i="52"/>
  <c r="M207" i="52"/>
  <c r="O206" i="52"/>
  <c r="O205" i="52"/>
  <c r="O204" i="52"/>
  <c r="O203" i="52"/>
  <c r="M202" i="52"/>
  <c r="O201" i="52"/>
  <c r="O200" i="52"/>
  <c r="M199" i="52"/>
  <c r="M198" i="52"/>
  <c r="O197" i="52"/>
  <c r="O196" i="52"/>
  <c r="O195" i="52"/>
  <c r="M194" i="52"/>
  <c r="M193" i="52"/>
  <c r="O191" i="52"/>
  <c r="O190" i="52"/>
  <c r="O189" i="52"/>
  <c r="O188" i="52"/>
  <c r="O186" i="52"/>
  <c r="O185" i="52"/>
  <c r="O184" i="52"/>
  <c r="M183" i="52"/>
  <c r="O182" i="52"/>
  <c r="O181" i="52"/>
  <c r="O179" i="52"/>
  <c r="M178" i="52"/>
  <c r="O177" i="52"/>
  <c r="O176" i="52"/>
  <c r="M174" i="52"/>
  <c r="O173" i="52"/>
  <c r="O172" i="52"/>
  <c r="O171" i="52"/>
  <c r="M170" i="52"/>
  <c r="O169" i="52"/>
  <c r="O167" i="52"/>
  <c r="O166" i="52"/>
  <c r="O165" i="52"/>
  <c r="O164" i="52"/>
  <c r="M162" i="52"/>
  <c r="O161" i="52"/>
  <c r="M159" i="52"/>
  <c r="M157" i="52"/>
  <c r="O155" i="52"/>
  <c r="M154" i="52"/>
  <c r="O153" i="52"/>
  <c r="M152" i="52"/>
  <c r="M150" i="52"/>
  <c r="O149" i="52"/>
  <c r="M148" i="52"/>
  <c r="O147" i="52"/>
  <c r="M146" i="52"/>
  <c r="O145" i="52"/>
  <c r="M144" i="52"/>
  <c r="M143" i="52"/>
  <c r="O142" i="52"/>
  <c r="O140" i="52"/>
  <c r="M139" i="52"/>
  <c r="M138" i="52"/>
  <c r="O137" i="52"/>
  <c r="M136" i="52"/>
  <c r="M135" i="52"/>
  <c r="O134" i="52"/>
  <c r="M133" i="52"/>
  <c r="M132" i="52"/>
  <c r="O131" i="52"/>
  <c r="O130" i="52"/>
  <c r="M128" i="52"/>
  <c r="M127" i="52"/>
  <c r="M126" i="52"/>
  <c r="O124" i="52"/>
  <c r="O123" i="52"/>
  <c r="M122" i="52"/>
  <c r="O121" i="52"/>
  <c r="O120" i="52"/>
  <c r="M119" i="52"/>
  <c r="O118" i="52"/>
  <c r="O117" i="52"/>
  <c r="O116" i="52"/>
  <c r="M115" i="52"/>
  <c r="M114" i="52"/>
  <c r="M113" i="52"/>
  <c r="O112" i="52"/>
  <c r="O111" i="52"/>
  <c r="O110" i="52"/>
  <c r="M109" i="52"/>
  <c r="O107" i="52"/>
  <c r="O106" i="52"/>
  <c r="O105" i="52"/>
  <c r="O104" i="52"/>
  <c r="M103" i="52"/>
  <c r="O101" i="52"/>
  <c r="M100" i="52"/>
  <c r="M99" i="52"/>
  <c r="O98" i="52"/>
  <c r="O97" i="52"/>
  <c r="O96" i="52"/>
  <c r="M94" i="52"/>
  <c r="M93" i="52"/>
  <c r="M92" i="52"/>
  <c r="O91" i="52"/>
  <c r="M90" i="52"/>
  <c r="O89" i="52"/>
  <c r="O88" i="52"/>
  <c r="O87" i="52"/>
  <c r="O85" i="52"/>
  <c r="O84" i="52"/>
  <c r="O82" i="52"/>
  <c r="M80" i="52"/>
  <c r="M78" i="52"/>
  <c r="O77" i="52"/>
  <c r="M76" i="52"/>
  <c r="O74" i="52"/>
  <c r="O72" i="52"/>
  <c r="O71" i="52"/>
  <c r="O70" i="52"/>
  <c r="M68" i="52"/>
  <c r="O65" i="52"/>
  <c r="O64" i="52"/>
  <c r="O63" i="52"/>
  <c r="M62" i="52"/>
  <c r="O61" i="52"/>
  <c r="M58" i="52"/>
  <c r="O57" i="52"/>
  <c r="O56" i="52"/>
  <c r="O53" i="52"/>
  <c r="M52" i="52"/>
  <c r="O51" i="52"/>
  <c r="O49" i="52"/>
  <c r="M48" i="52"/>
  <c r="O46" i="52"/>
  <c r="O45" i="52"/>
  <c r="O44" i="52"/>
  <c r="M43" i="52"/>
  <c r="M41" i="52"/>
  <c r="O40" i="52"/>
  <c r="O38" i="52"/>
  <c r="O37" i="52"/>
  <c r="M35" i="52"/>
  <c r="O33" i="52"/>
  <c r="O30" i="52"/>
  <c r="O28" i="52"/>
  <c r="O27" i="52"/>
  <c r="M26" i="52"/>
  <c r="M25" i="52"/>
  <c r="O19" i="52"/>
  <c r="O18" i="52"/>
  <c r="M17" i="52"/>
  <c r="M15" i="52"/>
  <c r="O14" i="52"/>
  <c r="O12" i="52"/>
  <c r="O11" i="52"/>
  <c r="O892" i="52"/>
  <c r="O910" i="52"/>
  <c r="O1005" i="52"/>
  <c r="M801" i="52"/>
  <c r="N801" i="52" s="1"/>
  <c r="O984" i="52"/>
  <c r="O901" i="52"/>
  <c r="O902" i="52"/>
  <c r="O952" i="52"/>
  <c r="O974" i="52"/>
  <c r="O936" i="52"/>
  <c r="O957" i="52"/>
  <c r="O968" i="52"/>
  <c r="O1008" i="52"/>
  <c r="O1000" i="52"/>
  <c r="O992" i="52"/>
  <c r="O861" i="52"/>
  <c r="O877" i="52"/>
  <c r="O944" i="52"/>
  <c r="O904" i="52"/>
  <c r="O912" i="52"/>
  <c r="O920" i="52"/>
  <c r="O960" i="52"/>
  <c r="O918" i="52"/>
  <c r="O928" i="52"/>
  <c r="O934" i="52"/>
  <c r="O942" i="52"/>
  <c r="O950" i="52"/>
  <c r="M797" i="52"/>
  <c r="N797" i="52" s="1"/>
  <c r="O887" i="52"/>
  <c r="O976" i="52"/>
  <c r="O927" i="52"/>
  <c r="O1079" i="52"/>
  <c r="O1087" i="52"/>
  <c r="M857" i="52"/>
  <c r="N857" i="52" s="1"/>
  <c r="O883" i="52"/>
  <c r="O913" i="52"/>
  <c r="O937" i="52"/>
  <c r="O911" i="52"/>
  <c r="O916" i="52"/>
  <c r="O935" i="52"/>
  <c r="O895" i="52"/>
  <c r="O921" i="52"/>
  <c r="O943" i="52"/>
  <c r="O884" i="52"/>
  <c r="O919" i="52"/>
  <c r="O924" i="52"/>
  <c r="O951" i="52"/>
  <c r="O959" i="52"/>
  <c r="O967" i="52"/>
  <c r="O975" i="52"/>
  <c r="O983" i="52"/>
  <c r="O991" i="52"/>
  <c r="O999" i="52"/>
  <c r="O1007" i="52"/>
  <c r="O1015" i="52"/>
  <c r="O1023" i="52"/>
  <c r="O1031" i="52"/>
  <c r="O1039" i="52"/>
  <c r="O1047" i="52"/>
  <c r="O1055" i="52"/>
  <c r="O1063" i="52"/>
  <c r="O903" i="52"/>
  <c r="O908" i="52"/>
  <c r="O929" i="52"/>
  <c r="O1071" i="52"/>
  <c r="O945" i="52"/>
  <c r="O953" i="52"/>
  <c r="O961" i="52"/>
  <c r="O969" i="52"/>
  <c r="O977" i="52"/>
  <c r="O985" i="52"/>
  <c r="O993" i="52"/>
  <c r="O1001" i="52"/>
  <c r="O1009" i="52"/>
  <c r="O1017" i="52"/>
  <c r="O1025" i="52"/>
  <c r="O1033" i="52"/>
  <c r="O1041" i="52"/>
  <c r="O1049" i="52"/>
  <c r="O1057" i="52"/>
  <c r="O1065" i="52"/>
  <c r="O1073" i="52"/>
  <c r="O1081" i="52"/>
  <c r="O1089" i="52"/>
  <c r="E11" i="97"/>
  <c r="D11" i="97"/>
  <c r="F10" i="97"/>
  <c r="E10" i="97"/>
  <c r="D10" i="97"/>
  <c r="E9" i="97"/>
  <c r="D9" i="97"/>
  <c r="F9" i="97" s="1"/>
  <c r="E8" i="97"/>
  <c r="F8" i="97" s="1"/>
  <c r="D8" i="97"/>
  <c r="E7" i="97"/>
  <c r="E12" i="97"/>
  <c r="C19" i="97" s="1"/>
  <c r="D19" i="97" s="1"/>
  <c r="E19" i="97" s="1"/>
  <c r="F19" i="97" s="1"/>
  <c r="G19" i="97" s="1"/>
  <c r="D7" i="97"/>
  <c r="D12" i="97"/>
  <c r="C18" i="97" s="1"/>
  <c r="D18" i="97" s="1"/>
  <c r="E18" i="97" s="1"/>
  <c r="F18" i="97" s="1"/>
  <c r="G18" i="97" s="1"/>
  <c r="C18" i="102"/>
  <c r="O9" i="52"/>
  <c r="O8" i="52"/>
  <c r="O7" i="52"/>
  <c r="H31" i="85"/>
  <c r="F31" i="85"/>
  <c r="E31" i="85"/>
  <c r="H30" i="85"/>
  <c r="F30" i="85"/>
  <c r="E30" i="85"/>
  <c r="F33" i="85"/>
  <c r="H32" i="85"/>
  <c r="I32" i="85" s="1"/>
  <c r="J32" i="85"/>
  <c r="K32" i="85"/>
  <c r="L32" i="85" s="1"/>
  <c r="O6" i="52"/>
  <c r="M5" i="52"/>
  <c r="M4" i="52"/>
  <c r="C28" i="101"/>
  <c r="C27" i="101"/>
  <c r="C18" i="101"/>
  <c r="C16" i="101"/>
  <c r="J14" i="101"/>
  <c r="C10" i="101"/>
  <c r="J4" i="101"/>
  <c r="D4" i="101"/>
  <c r="E4" i="101" s="1"/>
  <c r="F4" i="101" s="1"/>
  <c r="G4" i="101" s="1"/>
  <c r="H4" i="101" s="1"/>
  <c r="W8" i="81"/>
  <c r="S110" i="81"/>
  <c r="S109" i="81"/>
  <c r="S108" i="81"/>
  <c r="S107" i="81"/>
  <c r="S106" i="81"/>
  <c r="S105" i="81"/>
  <c r="S104" i="81"/>
  <c r="S103" i="81"/>
  <c r="T102" i="81"/>
  <c r="U102" i="81"/>
  <c r="S102" i="81"/>
  <c r="S100" i="81"/>
  <c r="S99" i="81"/>
  <c r="S98" i="81"/>
  <c r="S97" i="81"/>
  <c r="S96" i="81"/>
  <c r="S95" i="81"/>
  <c r="S94" i="81"/>
  <c r="S93" i="81"/>
  <c r="S92" i="81"/>
  <c r="S91" i="81"/>
  <c r="S90" i="81"/>
  <c r="S89" i="81"/>
  <c r="S88" i="81"/>
  <c r="S87" i="81"/>
  <c r="S86" i="81"/>
  <c r="S85" i="81"/>
  <c r="S84" i="81"/>
  <c r="S83" i="81"/>
  <c r="S82" i="81"/>
  <c r="S81" i="81"/>
  <c r="S80" i="81"/>
  <c r="S79" i="81"/>
  <c r="S78" i="81"/>
  <c r="S77" i="81"/>
  <c r="S76" i="81"/>
  <c r="S75" i="81"/>
  <c r="S74" i="81"/>
  <c r="S73" i="81"/>
  <c r="S72" i="81"/>
  <c r="S71" i="81"/>
  <c r="S70" i="81"/>
  <c r="S69" i="81"/>
  <c r="S68" i="81"/>
  <c r="S67" i="81"/>
  <c r="S66" i="81"/>
  <c r="S65" i="81"/>
  <c r="S64" i="81"/>
  <c r="S63" i="81"/>
  <c r="S62" i="81"/>
  <c r="S60" i="81"/>
  <c r="S59" i="81"/>
  <c r="S57" i="81"/>
  <c r="S56" i="81"/>
  <c r="S55" i="81"/>
  <c r="S54" i="81"/>
  <c r="S53" i="81"/>
  <c r="S52" i="81"/>
  <c r="S51" i="81"/>
  <c r="S50" i="81"/>
  <c r="S49" i="81"/>
  <c r="S48" i="81"/>
  <c r="S47" i="81"/>
  <c r="S46" i="81"/>
  <c r="S45" i="81"/>
  <c r="S44" i="81"/>
  <c r="S43" i="81"/>
  <c r="S42" i="81"/>
  <c r="S41" i="81"/>
  <c r="S40" i="81"/>
  <c r="S39" i="81"/>
  <c r="S38" i="81"/>
  <c r="S37" i="81"/>
  <c r="S36" i="81"/>
  <c r="S35" i="81"/>
  <c r="S34" i="81"/>
  <c r="S33" i="81"/>
  <c r="S32" i="81"/>
  <c r="S31" i="81"/>
  <c r="S30" i="81"/>
  <c r="S29" i="81"/>
  <c r="S28" i="81"/>
  <c r="S27" i="81"/>
  <c r="S26" i="81"/>
  <c r="S25" i="81"/>
  <c r="S23" i="81"/>
  <c r="S22" i="81"/>
  <c r="S21" i="81"/>
  <c r="S20" i="81"/>
  <c r="S19" i="81"/>
  <c r="S18" i="81"/>
  <c r="S17" i="81"/>
  <c r="S16" i="81"/>
  <c r="S15" i="81"/>
  <c r="S14" i="81"/>
  <c r="S13" i="81"/>
  <c r="S12" i="81"/>
  <c r="S11" i="81"/>
  <c r="S10" i="81"/>
  <c r="S9" i="81"/>
  <c r="T112" i="81"/>
  <c r="U112" i="81" s="1"/>
  <c r="S112" i="81"/>
  <c r="S117" i="81"/>
  <c r="U115" i="81"/>
  <c r="T115" i="81"/>
  <c r="S115" i="81"/>
  <c r="S8" i="81"/>
  <c r="J63" i="92"/>
  <c r="J62" i="92"/>
  <c r="J61" i="92"/>
  <c r="J60" i="92"/>
  <c r="R60" i="92" s="1"/>
  <c r="Q60" i="92" s="1"/>
  <c r="J59" i="92"/>
  <c r="J58" i="92"/>
  <c r="J57" i="92"/>
  <c r="J56" i="92"/>
  <c r="S56" i="92"/>
  <c r="J55" i="92"/>
  <c r="R55" i="92" s="1"/>
  <c r="Q55" i="92" s="1"/>
  <c r="J54" i="92"/>
  <c r="S54" i="92" s="1"/>
  <c r="J53" i="92"/>
  <c r="J52" i="92"/>
  <c r="J51" i="92"/>
  <c r="J50" i="92"/>
  <c r="J49" i="92"/>
  <c r="R49" i="92" s="1"/>
  <c r="J48" i="92"/>
  <c r="R48" i="92" s="1"/>
  <c r="Q48" i="92" s="1"/>
  <c r="J47" i="92"/>
  <c r="J46" i="92"/>
  <c r="R46" i="92" s="1"/>
  <c r="J45" i="92"/>
  <c r="J44" i="92"/>
  <c r="J43" i="92"/>
  <c r="J42" i="92"/>
  <c r="J41" i="92"/>
  <c r="J40" i="92"/>
  <c r="J39" i="92"/>
  <c r="J38" i="92"/>
  <c r="S38" i="92" s="1"/>
  <c r="J37" i="92"/>
  <c r="J36" i="92"/>
  <c r="S36" i="92" s="1"/>
  <c r="J35" i="92"/>
  <c r="J34" i="92"/>
  <c r="S34" i="92" s="1"/>
  <c r="J33" i="92"/>
  <c r="R33" i="92" s="1"/>
  <c r="Q33" i="92" s="1"/>
  <c r="J32" i="92"/>
  <c r="J31" i="92"/>
  <c r="J30" i="92"/>
  <c r="R30" i="92" s="1"/>
  <c r="J29" i="92"/>
  <c r="S29" i="92" s="1"/>
  <c r="J28" i="92"/>
  <c r="J27" i="92"/>
  <c r="R27" i="92" s="1"/>
  <c r="Q27" i="92" s="1"/>
  <c r="J26" i="92"/>
  <c r="J25" i="92"/>
  <c r="J24" i="92"/>
  <c r="J23" i="92"/>
  <c r="J22" i="92"/>
  <c r="J21" i="92"/>
  <c r="J20" i="92"/>
  <c r="S20" i="92" s="1"/>
  <c r="J19" i="92"/>
  <c r="J18" i="92"/>
  <c r="R18" i="92" s="1"/>
  <c r="Q18" i="92" s="1"/>
  <c r="J17" i="92"/>
  <c r="R17" i="92" s="1"/>
  <c r="J16" i="92"/>
  <c r="J15" i="92"/>
  <c r="J14" i="92"/>
  <c r="J13" i="92"/>
  <c r="J12" i="92"/>
  <c r="R12" i="92" s="1"/>
  <c r="Q12" i="92" s="1"/>
  <c r="J11" i="92"/>
  <c r="R11" i="92" s="1"/>
  <c r="J10" i="92"/>
  <c r="S10" i="92" s="1"/>
  <c r="J9" i="92"/>
  <c r="J8" i="92"/>
  <c r="R8" i="92"/>
  <c r="Q8" i="92" s="1"/>
  <c r="T63" i="92"/>
  <c r="S63" i="92"/>
  <c r="R63" i="92"/>
  <c r="Q63" i="92" s="1"/>
  <c r="T62" i="92"/>
  <c r="T61" i="92"/>
  <c r="T60" i="92"/>
  <c r="S60" i="92"/>
  <c r="T59" i="92"/>
  <c r="S59" i="92"/>
  <c r="R59" i="92"/>
  <c r="Q59" i="92" s="1"/>
  <c r="T58" i="92"/>
  <c r="T57" i="92"/>
  <c r="S57" i="92"/>
  <c r="R57" i="92"/>
  <c r="Q57" i="92"/>
  <c r="T56" i="92"/>
  <c r="T55" i="92"/>
  <c r="T54" i="92"/>
  <c r="T53" i="92"/>
  <c r="S53" i="92"/>
  <c r="R53" i="92"/>
  <c r="Q53" i="92"/>
  <c r="T52" i="92"/>
  <c r="T51" i="92"/>
  <c r="T50" i="92"/>
  <c r="S50" i="92"/>
  <c r="R50" i="92"/>
  <c r="Q50" i="92" s="1"/>
  <c r="T49" i="92"/>
  <c r="S49" i="92"/>
  <c r="Q49" i="92"/>
  <c r="T48" i="92"/>
  <c r="T47" i="92"/>
  <c r="S47" i="92"/>
  <c r="R47" i="92"/>
  <c r="Q47" i="92" s="1"/>
  <c r="T46" i="92"/>
  <c r="S46" i="92"/>
  <c r="Q46" i="92"/>
  <c r="T45" i="92"/>
  <c r="T44" i="92"/>
  <c r="S44" i="92"/>
  <c r="R44" i="92"/>
  <c r="Q44" i="92" s="1"/>
  <c r="T43" i="92"/>
  <c r="R43" i="92"/>
  <c r="Q43" i="92" s="1"/>
  <c r="T42" i="92"/>
  <c r="T41" i="92"/>
  <c r="S41" i="92"/>
  <c r="R41" i="92"/>
  <c r="Q41" i="92" s="1"/>
  <c r="T40" i="92"/>
  <c r="T39" i="92"/>
  <c r="S39" i="92"/>
  <c r="R39" i="92"/>
  <c r="Q39" i="92" s="1"/>
  <c r="T38" i="92"/>
  <c r="T37" i="92"/>
  <c r="S37" i="92"/>
  <c r="R37" i="92"/>
  <c r="Q37" i="92"/>
  <c r="T36" i="92"/>
  <c r="R36" i="92"/>
  <c r="Q36" i="92"/>
  <c r="T35" i="92"/>
  <c r="S35" i="92"/>
  <c r="T34" i="92"/>
  <c r="R34" i="92"/>
  <c r="Q34" i="92" s="1"/>
  <c r="T33" i="92"/>
  <c r="S33" i="92"/>
  <c r="T32" i="92"/>
  <c r="T31" i="92"/>
  <c r="S31" i="92"/>
  <c r="R31" i="92"/>
  <c r="Q31" i="92" s="1"/>
  <c r="T30" i="92"/>
  <c r="S30" i="92"/>
  <c r="Q30" i="92"/>
  <c r="T29" i="92"/>
  <c r="R29" i="92"/>
  <c r="Q29" i="92" s="1"/>
  <c r="T28" i="92"/>
  <c r="R28" i="92"/>
  <c r="Q28" i="92" s="1"/>
  <c r="T27" i="92"/>
  <c r="T26" i="92"/>
  <c r="S26" i="92"/>
  <c r="R26" i="92"/>
  <c r="Q26" i="92"/>
  <c r="T25" i="92"/>
  <c r="S25" i="92"/>
  <c r="R25" i="92"/>
  <c r="Q25" i="92" s="1"/>
  <c r="T24" i="92"/>
  <c r="T23" i="92"/>
  <c r="R23" i="92"/>
  <c r="Q23" i="92" s="1"/>
  <c r="T22" i="92"/>
  <c r="S22" i="92"/>
  <c r="R22" i="92"/>
  <c r="Q22" i="92"/>
  <c r="T21" i="92"/>
  <c r="S21" i="92"/>
  <c r="T20" i="92"/>
  <c r="R20" i="92"/>
  <c r="Q20" i="92" s="1"/>
  <c r="T19" i="92"/>
  <c r="S19" i="92"/>
  <c r="R19" i="92"/>
  <c r="Q19" i="92" s="1"/>
  <c r="T18" i="92"/>
  <c r="T17" i="92"/>
  <c r="S17" i="92"/>
  <c r="Q17" i="92"/>
  <c r="T16" i="92"/>
  <c r="S16" i="92"/>
  <c r="T15" i="92"/>
  <c r="T14" i="92"/>
  <c r="T13" i="92"/>
  <c r="S13" i="92"/>
  <c r="R13" i="92"/>
  <c r="Q13" i="92" s="1"/>
  <c r="T12" i="92"/>
  <c r="S12" i="92"/>
  <c r="T11" i="92"/>
  <c r="S11" i="92"/>
  <c r="Q11" i="92"/>
  <c r="T10" i="92"/>
  <c r="R10" i="92"/>
  <c r="Q10" i="92" s="1"/>
  <c r="T9" i="92"/>
  <c r="T8" i="92"/>
  <c r="A12" i="93"/>
  <c r="D75" i="93"/>
  <c r="D74" i="93"/>
  <c r="C74" i="93"/>
  <c r="D12" i="93"/>
  <c r="S8" i="92"/>
  <c r="R16" i="92"/>
  <c r="Q16" i="92"/>
  <c r="R32" i="92"/>
  <c r="Q32" i="92"/>
  <c r="S32" i="92"/>
  <c r="R56" i="92"/>
  <c r="Q56" i="92" s="1"/>
  <c r="K21" i="99"/>
  <c r="K18" i="99"/>
  <c r="K17" i="99"/>
  <c r="K16" i="99"/>
  <c r="K15" i="99"/>
  <c r="K14" i="99"/>
  <c r="K13" i="99"/>
  <c r="K12" i="99"/>
  <c r="K11" i="99"/>
  <c r="K10" i="99"/>
  <c r="K9" i="99"/>
  <c r="K8" i="99"/>
  <c r="K7" i="99"/>
  <c r="K6" i="99"/>
  <c r="K20" i="99" s="1"/>
  <c r="K5" i="99"/>
  <c r="K3" i="99"/>
  <c r="P28" i="99"/>
  <c r="O28" i="99"/>
  <c r="P27" i="99"/>
  <c r="O27" i="99"/>
  <c r="P26" i="99"/>
  <c r="O26" i="99"/>
  <c r="L22" i="99"/>
  <c r="J22" i="99"/>
  <c r="L21" i="99"/>
  <c r="J21" i="99"/>
  <c r="L20" i="99"/>
  <c r="J20" i="99"/>
  <c r="J19" i="99"/>
  <c r="L18" i="99"/>
  <c r="J18" i="99"/>
  <c r="L17" i="99"/>
  <c r="J17" i="99"/>
  <c r="L16" i="99"/>
  <c r="J16" i="99"/>
  <c r="L15" i="99"/>
  <c r="J15" i="99"/>
  <c r="L14" i="99"/>
  <c r="J14" i="99"/>
  <c r="L13" i="99"/>
  <c r="J13" i="99"/>
  <c r="L12" i="99"/>
  <c r="M12" i="99" s="1"/>
  <c r="J12" i="99"/>
  <c r="L11" i="99"/>
  <c r="J11" i="99"/>
  <c r="L10" i="99"/>
  <c r="J10" i="99"/>
  <c r="L9" i="99"/>
  <c r="J9" i="99"/>
  <c r="M9" i="99" s="1"/>
  <c r="L8" i="99"/>
  <c r="J8" i="99"/>
  <c r="L7" i="99"/>
  <c r="J7" i="99"/>
  <c r="L6" i="99"/>
  <c r="J6" i="99"/>
  <c r="L5" i="99"/>
  <c r="J5" i="99"/>
  <c r="J4" i="99"/>
  <c r="L3" i="99"/>
  <c r="J3" i="99"/>
  <c r="H15" i="99"/>
  <c r="H22" i="99"/>
  <c r="M22" i="99" s="1"/>
  <c r="H9" i="99"/>
  <c r="H17" i="99"/>
  <c r="M17" i="99" s="1"/>
  <c r="H14" i="99"/>
  <c r="H11" i="99"/>
  <c r="M11" i="99" s="1"/>
  <c r="H19" i="99"/>
  <c r="M19" i="99"/>
  <c r="H21" i="99"/>
  <c r="M21" i="99"/>
  <c r="H8" i="99"/>
  <c r="M8" i="99" s="1"/>
  <c r="H16" i="99"/>
  <c r="M16" i="99"/>
  <c r="H12" i="99"/>
  <c r="H4" i="99"/>
  <c r="M4" i="99" s="1"/>
  <c r="H6" i="99"/>
  <c r="M6" i="99" s="1"/>
  <c r="H3" i="99"/>
  <c r="M3" i="99" s="1"/>
  <c r="H5" i="99"/>
  <c r="M5" i="99"/>
  <c r="H13" i="99"/>
  <c r="M13" i="99" s="1"/>
  <c r="H10" i="99"/>
  <c r="M10" i="99" s="1"/>
  <c r="H18" i="99"/>
  <c r="M18" i="99"/>
  <c r="H20" i="99"/>
  <c r="M20" i="99"/>
  <c r="H7" i="99"/>
  <c r="M7" i="99" s="1"/>
  <c r="F31" i="65"/>
  <c r="E31" i="65"/>
  <c r="F30" i="65"/>
  <c r="E30" i="65"/>
  <c r="F29" i="65"/>
  <c r="E29" i="65"/>
  <c r="F28" i="65"/>
  <c r="E28" i="65"/>
  <c r="F27" i="65"/>
  <c r="E27" i="65"/>
  <c r="F26" i="65"/>
  <c r="E26" i="65"/>
  <c r="F25" i="65"/>
  <c r="E25" i="65"/>
  <c r="F24" i="65"/>
  <c r="E24" i="65"/>
  <c r="F23" i="65"/>
  <c r="E23" i="65"/>
  <c r="F22" i="65"/>
  <c r="E22" i="65"/>
  <c r="F21" i="65"/>
  <c r="E21" i="65"/>
  <c r="F20" i="65"/>
  <c r="E20" i="65"/>
  <c r="F19" i="65"/>
  <c r="E19" i="65"/>
  <c r="F18" i="65"/>
  <c r="E18" i="65"/>
  <c r="F17" i="65"/>
  <c r="E17" i="65"/>
  <c r="F16" i="65"/>
  <c r="E16" i="65"/>
  <c r="F15" i="65"/>
  <c r="E15" i="65"/>
  <c r="F14" i="65"/>
  <c r="E14" i="65"/>
  <c r="F13" i="65"/>
  <c r="E13" i="65"/>
  <c r="F12" i="65"/>
  <c r="E12" i="65"/>
  <c r="F11" i="65"/>
  <c r="E11" i="65"/>
  <c r="F10" i="65"/>
  <c r="E10" i="65"/>
  <c r="F9" i="65"/>
  <c r="E9" i="65"/>
  <c r="F8" i="65"/>
  <c r="E8" i="65"/>
  <c r="F44" i="85"/>
  <c r="F42" i="85"/>
  <c r="E44" i="85"/>
  <c r="E42" i="85"/>
  <c r="E41" i="85"/>
  <c r="E48" i="85"/>
  <c r="E46" i="85"/>
  <c r="F46" i="85"/>
  <c r="H14" i="85"/>
  <c r="F14" i="85"/>
  <c r="E14" i="85"/>
  <c r="H13" i="85"/>
  <c r="F13" i="85"/>
  <c r="E13" i="85"/>
  <c r="H12" i="85"/>
  <c r="F12" i="85"/>
  <c r="E12" i="85"/>
  <c r="H11" i="85"/>
  <c r="F11" i="85"/>
  <c r="E11" i="85"/>
  <c r="F48" i="85"/>
  <c r="H47" i="85"/>
  <c r="I47" i="85" s="1"/>
  <c r="J47" i="85" s="1"/>
  <c r="K47" i="85" s="1"/>
  <c r="L47" i="85" s="1"/>
  <c r="H45" i="85"/>
  <c r="F45" i="85"/>
  <c r="E45" i="85"/>
  <c r="O10" i="52"/>
  <c r="K704" i="95"/>
  <c r="N704" i="95" s="1"/>
  <c r="L704" i="95"/>
  <c r="K703" i="95"/>
  <c r="L703" i="95"/>
  <c r="N703" i="95"/>
  <c r="M703" i="95"/>
  <c r="K702" i="95"/>
  <c r="N702" i="95" s="1"/>
  <c r="L702" i="95"/>
  <c r="K701" i="95"/>
  <c r="L701" i="95"/>
  <c r="N701" i="95"/>
  <c r="M701" i="95"/>
  <c r="K700" i="95"/>
  <c r="L700" i="95"/>
  <c r="K699" i="95"/>
  <c r="L699" i="95"/>
  <c r="N699" i="95"/>
  <c r="M699" i="95"/>
  <c r="K698" i="95"/>
  <c r="N698" i="95" s="1"/>
  <c r="L698" i="95"/>
  <c r="K697" i="95"/>
  <c r="L697" i="95"/>
  <c r="N697" i="95"/>
  <c r="M697" i="95"/>
  <c r="K696" i="95"/>
  <c r="N696" i="95" s="1"/>
  <c r="L696" i="95"/>
  <c r="K695" i="95"/>
  <c r="L695" i="95"/>
  <c r="N695" i="95"/>
  <c r="M695" i="95"/>
  <c r="K694" i="95"/>
  <c r="N694" i="95" s="1"/>
  <c r="L694" i="95"/>
  <c r="K693" i="95"/>
  <c r="L693" i="95"/>
  <c r="N693" i="95"/>
  <c r="M693" i="95"/>
  <c r="K692" i="95"/>
  <c r="L692" i="95"/>
  <c r="K691" i="95"/>
  <c r="L691" i="95"/>
  <c r="N691" i="95"/>
  <c r="M691" i="95"/>
  <c r="K690" i="95"/>
  <c r="N690" i="95" s="1"/>
  <c r="L690" i="95"/>
  <c r="K689" i="95"/>
  <c r="L689" i="95"/>
  <c r="N689" i="95"/>
  <c r="M689" i="95"/>
  <c r="K688" i="95"/>
  <c r="N688" i="95" s="1"/>
  <c r="L688" i="95"/>
  <c r="K687" i="95"/>
  <c r="L687" i="95"/>
  <c r="N687" i="95"/>
  <c r="M687" i="95"/>
  <c r="K686" i="95"/>
  <c r="N686" i="95" s="1"/>
  <c r="L686" i="95"/>
  <c r="K685" i="95"/>
  <c r="L685" i="95"/>
  <c r="N685" i="95"/>
  <c r="M685" i="95"/>
  <c r="K684" i="95"/>
  <c r="L684" i="95"/>
  <c r="K683" i="95"/>
  <c r="L683" i="95"/>
  <c r="N683" i="95"/>
  <c r="M683" i="95"/>
  <c r="K682" i="95"/>
  <c r="L682" i="95"/>
  <c r="K681" i="95"/>
  <c r="M681" i="95" s="1"/>
  <c r="L681" i="95"/>
  <c r="N681" i="95"/>
  <c r="K680" i="95"/>
  <c r="M680" i="95" s="1"/>
  <c r="L680" i="95"/>
  <c r="N680" i="95" s="1"/>
  <c r="K679" i="95"/>
  <c r="M679" i="95" s="1"/>
  <c r="L679" i="95"/>
  <c r="K678" i="95"/>
  <c r="L678" i="95"/>
  <c r="N678" i="95"/>
  <c r="M678" i="95"/>
  <c r="K677" i="95"/>
  <c r="M677" i="95" s="1"/>
  <c r="L677" i="95"/>
  <c r="K676" i="95"/>
  <c r="L676" i="95"/>
  <c r="N676" i="95" s="1"/>
  <c r="M676" i="95"/>
  <c r="K675" i="95"/>
  <c r="L675" i="95"/>
  <c r="K674" i="95"/>
  <c r="L674" i="95"/>
  <c r="N674" i="95"/>
  <c r="M674" i="95"/>
  <c r="K673" i="95"/>
  <c r="M673" i="95" s="1"/>
  <c r="L673" i="95"/>
  <c r="K672" i="95"/>
  <c r="N672" i="95" s="1"/>
  <c r="L672" i="95"/>
  <c r="M672" i="95"/>
  <c r="K671" i="95"/>
  <c r="M671" i="95" s="1"/>
  <c r="L671" i="95"/>
  <c r="K670" i="95"/>
  <c r="L670" i="95"/>
  <c r="K669" i="95"/>
  <c r="N669" i="95" s="1"/>
  <c r="L669" i="95"/>
  <c r="M669" i="95"/>
  <c r="K668" i="95"/>
  <c r="L668" i="95"/>
  <c r="K667" i="95"/>
  <c r="N667" i="95" s="1"/>
  <c r="L667" i="95"/>
  <c r="K666" i="95"/>
  <c r="L666" i="95"/>
  <c r="K665" i="95"/>
  <c r="M665" i="95" s="1"/>
  <c r="L665" i="95"/>
  <c r="N665" i="95"/>
  <c r="K664" i="95"/>
  <c r="L664" i="95"/>
  <c r="K663" i="95"/>
  <c r="M663" i="95" s="1"/>
  <c r="L663" i="95"/>
  <c r="N663" i="95"/>
  <c r="K662" i="95"/>
  <c r="L662" i="95"/>
  <c r="K661" i="95"/>
  <c r="N661" i="95" s="1"/>
  <c r="L661" i="95"/>
  <c r="K660" i="95"/>
  <c r="L660" i="95"/>
  <c r="K659" i="95"/>
  <c r="N659" i="95" s="1"/>
  <c r="L659" i="95"/>
  <c r="K658" i="95"/>
  <c r="L658" i="95"/>
  <c r="K657" i="95"/>
  <c r="M657" i="95" s="1"/>
  <c r="L657" i="95"/>
  <c r="N657" i="95"/>
  <c r="K656" i="95"/>
  <c r="L656" i="95"/>
  <c r="K655" i="95"/>
  <c r="N655" i="95" s="1"/>
  <c r="L655" i="95"/>
  <c r="K654" i="95"/>
  <c r="L654" i="95"/>
  <c r="K653" i="95"/>
  <c r="N653" i="95" s="1"/>
  <c r="L653" i="95"/>
  <c r="K652" i="95"/>
  <c r="L652" i="95"/>
  <c r="K651" i="95"/>
  <c r="N651" i="95" s="1"/>
  <c r="L651" i="95"/>
  <c r="K650" i="95"/>
  <c r="L650" i="95"/>
  <c r="K649" i="95"/>
  <c r="M649" i="95" s="1"/>
  <c r="L649" i="95"/>
  <c r="N649" i="95"/>
  <c r="K648" i="95"/>
  <c r="L648" i="95"/>
  <c r="K647" i="95"/>
  <c r="N647" i="95" s="1"/>
  <c r="L647" i="95"/>
  <c r="K646" i="95"/>
  <c r="L646" i="95"/>
  <c r="K645" i="95"/>
  <c r="N645" i="95" s="1"/>
  <c r="L645" i="95"/>
  <c r="K644" i="95"/>
  <c r="L644" i="95"/>
  <c r="K643" i="95"/>
  <c r="N643" i="95" s="1"/>
  <c r="L643" i="95"/>
  <c r="K642" i="95"/>
  <c r="L642" i="95"/>
  <c r="K641" i="95"/>
  <c r="M641" i="95" s="1"/>
  <c r="L641" i="95"/>
  <c r="N641" i="95"/>
  <c r="K640" i="95"/>
  <c r="L640" i="95"/>
  <c r="K639" i="95"/>
  <c r="N639" i="95" s="1"/>
  <c r="L639" i="95"/>
  <c r="K638" i="95"/>
  <c r="L638" i="95"/>
  <c r="K637" i="95"/>
  <c r="N637" i="95" s="1"/>
  <c r="L637" i="95"/>
  <c r="K636" i="95"/>
  <c r="L636" i="95"/>
  <c r="K635" i="95"/>
  <c r="N635" i="95" s="1"/>
  <c r="L635" i="95"/>
  <c r="K634" i="95"/>
  <c r="L634" i="95"/>
  <c r="K633" i="95"/>
  <c r="M633" i="95" s="1"/>
  <c r="L633" i="95"/>
  <c r="N633" i="95"/>
  <c r="K632" i="95"/>
  <c r="L632" i="95"/>
  <c r="K631" i="95"/>
  <c r="N631" i="95" s="1"/>
  <c r="L631" i="95"/>
  <c r="K630" i="95"/>
  <c r="L630" i="95"/>
  <c r="K629" i="95"/>
  <c r="N629" i="95" s="1"/>
  <c r="L629" i="95"/>
  <c r="K628" i="95"/>
  <c r="L628" i="95"/>
  <c r="K627" i="95"/>
  <c r="N627" i="95" s="1"/>
  <c r="L627" i="95"/>
  <c r="K626" i="95"/>
  <c r="L626" i="95"/>
  <c r="K625" i="95"/>
  <c r="M625" i="95" s="1"/>
  <c r="L625" i="95"/>
  <c r="N625" i="95"/>
  <c r="K624" i="95"/>
  <c r="L624" i="95"/>
  <c r="K623" i="95"/>
  <c r="N623" i="95" s="1"/>
  <c r="L623" i="95"/>
  <c r="K622" i="95"/>
  <c r="L622" i="95"/>
  <c r="K621" i="95"/>
  <c r="N621" i="95" s="1"/>
  <c r="L621" i="95"/>
  <c r="K620" i="95"/>
  <c r="L620" i="95"/>
  <c r="K619" i="95"/>
  <c r="N619" i="95" s="1"/>
  <c r="L619" i="95"/>
  <c r="K618" i="95"/>
  <c r="L618" i="95"/>
  <c r="K617" i="95"/>
  <c r="N617" i="95" s="1"/>
  <c r="L617" i="95"/>
  <c r="K616" i="95"/>
  <c r="L616" i="95"/>
  <c r="K615" i="95"/>
  <c r="N615" i="95" s="1"/>
  <c r="L615" i="95"/>
  <c r="K614" i="95"/>
  <c r="L614" i="95"/>
  <c r="K613" i="95"/>
  <c r="N613" i="95" s="1"/>
  <c r="L613" i="95"/>
  <c r="K612" i="95"/>
  <c r="L612" i="95"/>
  <c r="K611" i="95"/>
  <c r="M611" i="95" s="1"/>
  <c r="L611" i="95"/>
  <c r="N611" i="95"/>
  <c r="K610" i="95"/>
  <c r="L610" i="95"/>
  <c r="K609" i="95"/>
  <c r="M609" i="95" s="1"/>
  <c r="L609" i="95"/>
  <c r="N609" i="95"/>
  <c r="K608" i="95"/>
  <c r="L608" i="95"/>
  <c r="K607" i="95"/>
  <c r="N607" i="95" s="1"/>
  <c r="L607" i="95"/>
  <c r="K606" i="95"/>
  <c r="L606" i="95"/>
  <c r="K605" i="95"/>
  <c r="N605" i="95" s="1"/>
  <c r="L605" i="95"/>
  <c r="K604" i="95"/>
  <c r="M604" i="95" s="1"/>
  <c r="L604" i="95"/>
  <c r="N604" i="95"/>
  <c r="K603" i="95"/>
  <c r="N603" i="95" s="1"/>
  <c r="L603" i="95"/>
  <c r="M603" i="95"/>
  <c r="K602" i="95"/>
  <c r="M602" i="95" s="1"/>
  <c r="L602" i="95"/>
  <c r="K601" i="95"/>
  <c r="M601" i="95" s="1"/>
  <c r="L601" i="95"/>
  <c r="N601" i="95"/>
  <c r="K600" i="95"/>
  <c r="M600" i="95" s="1"/>
  <c r="L600" i="95"/>
  <c r="K599" i="95"/>
  <c r="N599" i="95" s="1"/>
  <c r="L599" i="95"/>
  <c r="M599" i="95"/>
  <c r="K598" i="95"/>
  <c r="M598" i="95" s="1"/>
  <c r="L598" i="95"/>
  <c r="N598" i="95" s="1"/>
  <c r="K597" i="95"/>
  <c r="M597" i="95" s="1"/>
  <c r="L597" i="95"/>
  <c r="N597" i="95"/>
  <c r="K596" i="95"/>
  <c r="M596" i="95" s="1"/>
  <c r="L596" i="95"/>
  <c r="K595" i="95"/>
  <c r="N595" i="95" s="1"/>
  <c r="L595" i="95"/>
  <c r="M595" i="95"/>
  <c r="K594" i="95"/>
  <c r="M594" i="95" s="1"/>
  <c r="L594" i="95"/>
  <c r="K593" i="95"/>
  <c r="N593" i="95" s="1"/>
  <c r="L593" i="95"/>
  <c r="K592" i="95"/>
  <c r="M592" i="95" s="1"/>
  <c r="L592" i="95"/>
  <c r="K591" i="95"/>
  <c r="L591" i="95"/>
  <c r="N591" i="95" s="1"/>
  <c r="M591" i="95"/>
  <c r="K590" i="95"/>
  <c r="M590" i="95" s="1"/>
  <c r="L590" i="95"/>
  <c r="K589" i="95"/>
  <c r="N589" i="95" s="1"/>
  <c r="L589" i="95"/>
  <c r="K588" i="95"/>
  <c r="M588" i="95" s="1"/>
  <c r="L588" i="95"/>
  <c r="N588" i="95"/>
  <c r="K587" i="95"/>
  <c r="N587" i="95" s="1"/>
  <c r="L587" i="95"/>
  <c r="M587" i="95"/>
  <c r="K586" i="95"/>
  <c r="M586" i="95" s="1"/>
  <c r="L586" i="95"/>
  <c r="K585" i="95"/>
  <c r="M585" i="95" s="1"/>
  <c r="L585" i="95"/>
  <c r="N585" i="95"/>
  <c r="K584" i="95"/>
  <c r="M584" i="95" s="1"/>
  <c r="L584" i="95"/>
  <c r="K583" i="95"/>
  <c r="L583" i="95"/>
  <c r="N583" i="95" s="1"/>
  <c r="M583" i="95"/>
  <c r="K582" i="95"/>
  <c r="M582" i="95" s="1"/>
  <c r="L582" i="95"/>
  <c r="N582" i="95" s="1"/>
  <c r="K581" i="95"/>
  <c r="M581" i="95" s="1"/>
  <c r="L581" i="95"/>
  <c r="N581" i="95"/>
  <c r="K580" i="95"/>
  <c r="M580" i="95" s="1"/>
  <c r="L580" i="95"/>
  <c r="K579" i="95"/>
  <c r="N579" i="95" s="1"/>
  <c r="L579" i="95"/>
  <c r="M579" i="95"/>
  <c r="K578" i="95"/>
  <c r="M578" i="95" s="1"/>
  <c r="L578" i="95"/>
  <c r="K577" i="95"/>
  <c r="N577" i="95" s="1"/>
  <c r="L577" i="95"/>
  <c r="K576" i="95"/>
  <c r="M576" i="95" s="1"/>
  <c r="L576" i="95"/>
  <c r="N576" i="95"/>
  <c r="K575" i="95"/>
  <c r="L575" i="95"/>
  <c r="N575" i="95" s="1"/>
  <c r="M575" i="95"/>
  <c r="K574" i="95"/>
  <c r="M574" i="95" s="1"/>
  <c r="L574" i="95"/>
  <c r="N574" i="95" s="1"/>
  <c r="K573" i="95"/>
  <c r="N573" i="95" s="1"/>
  <c r="L573" i="95"/>
  <c r="K572" i="95"/>
  <c r="M572" i="95" s="1"/>
  <c r="L572" i="95"/>
  <c r="K571" i="95"/>
  <c r="N571" i="95" s="1"/>
  <c r="L571" i="95"/>
  <c r="M571" i="95"/>
  <c r="K570" i="95"/>
  <c r="M570" i="95" s="1"/>
  <c r="L570" i="95"/>
  <c r="K569" i="95"/>
  <c r="M569" i="95" s="1"/>
  <c r="L569" i="95"/>
  <c r="N569" i="95"/>
  <c r="K568" i="95"/>
  <c r="M568" i="95" s="1"/>
  <c r="L568" i="95"/>
  <c r="K567" i="95"/>
  <c r="L567" i="95"/>
  <c r="N567" i="95" s="1"/>
  <c r="M567" i="95"/>
  <c r="K566" i="95"/>
  <c r="M566" i="95" s="1"/>
  <c r="L566" i="95"/>
  <c r="N566" i="95" s="1"/>
  <c r="K565" i="95"/>
  <c r="N565" i="95" s="1"/>
  <c r="L565" i="95"/>
  <c r="K564" i="95"/>
  <c r="M564" i="95" s="1"/>
  <c r="L564" i="95"/>
  <c r="K563" i="95"/>
  <c r="N563" i="95" s="1"/>
  <c r="L563" i="95"/>
  <c r="M563" i="95"/>
  <c r="K562" i="95"/>
  <c r="M562" i="95" s="1"/>
  <c r="L562" i="95"/>
  <c r="K561" i="95"/>
  <c r="N561" i="95" s="1"/>
  <c r="L561" i="95"/>
  <c r="K560" i="95"/>
  <c r="M560" i="95" s="1"/>
  <c r="L560" i="95"/>
  <c r="N560" i="95"/>
  <c r="K559" i="95"/>
  <c r="L559" i="95"/>
  <c r="N559" i="95" s="1"/>
  <c r="M559" i="95"/>
  <c r="K558" i="95"/>
  <c r="M558" i="95" s="1"/>
  <c r="L558" i="95"/>
  <c r="N558" i="95" s="1"/>
  <c r="K557" i="95"/>
  <c r="N557" i="95" s="1"/>
  <c r="L557" i="95"/>
  <c r="K556" i="95"/>
  <c r="M556" i="95" s="1"/>
  <c r="L556" i="95"/>
  <c r="N556" i="95"/>
  <c r="K555" i="95"/>
  <c r="L555" i="95"/>
  <c r="N555" i="95" s="1"/>
  <c r="M555" i="95"/>
  <c r="K554" i="95"/>
  <c r="M554" i="95" s="1"/>
  <c r="L554" i="95"/>
  <c r="K553" i="95"/>
  <c r="M553" i="95" s="1"/>
  <c r="L553" i="95"/>
  <c r="N553" i="95"/>
  <c r="K552" i="95"/>
  <c r="M552" i="95" s="1"/>
  <c r="L552" i="95"/>
  <c r="K551" i="95"/>
  <c r="N551" i="95" s="1"/>
  <c r="L551" i="95"/>
  <c r="M551" i="95"/>
  <c r="K550" i="95"/>
  <c r="M550" i="95" s="1"/>
  <c r="L550" i="95"/>
  <c r="N550" i="95" s="1"/>
  <c r="K549" i="95"/>
  <c r="N549" i="95" s="1"/>
  <c r="L549" i="95"/>
  <c r="K548" i="95"/>
  <c r="M548" i="95" s="1"/>
  <c r="L548" i="95"/>
  <c r="K547" i="95"/>
  <c r="N547" i="95" s="1"/>
  <c r="L547" i="95"/>
  <c r="M547" i="95"/>
  <c r="K546" i="95"/>
  <c r="M546" i="95" s="1"/>
  <c r="L546" i="95"/>
  <c r="N546" i="95" s="1"/>
  <c r="K545" i="95"/>
  <c r="N545" i="95" s="1"/>
  <c r="L545" i="95"/>
  <c r="K544" i="95"/>
  <c r="M544" i="95" s="1"/>
  <c r="L544" i="95"/>
  <c r="N544" i="95"/>
  <c r="K543" i="95"/>
  <c r="N543" i="95" s="1"/>
  <c r="L543" i="95"/>
  <c r="M543" i="95"/>
  <c r="K542" i="95"/>
  <c r="M542" i="95" s="1"/>
  <c r="L542" i="95"/>
  <c r="K541" i="95"/>
  <c r="N541" i="95" s="1"/>
  <c r="L541" i="95"/>
  <c r="K540" i="95"/>
  <c r="M540" i="95" s="1"/>
  <c r="L540" i="95"/>
  <c r="K539" i="95"/>
  <c r="L539" i="95"/>
  <c r="N539" i="95" s="1"/>
  <c r="M539" i="95"/>
  <c r="K538" i="95"/>
  <c r="M538" i="95" s="1"/>
  <c r="L538" i="95"/>
  <c r="K537" i="95"/>
  <c r="M537" i="95" s="1"/>
  <c r="L537" i="95"/>
  <c r="N537" i="95"/>
  <c r="K536" i="95"/>
  <c r="M536" i="95" s="1"/>
  <c r="L536" i="95"/>
  <c r="K535" i="95"/>
  <c r="N535" i="95" s="1"/>
  <c r="L535" i="95"/>
  <c r="M535" i="95"/>
  <c r="K534" i="95"/>
  <c r="M534" i="95" s="1"/>
  <c r="L534" i="95"/>
  <c r="K533" i="95"/>
  <c r="N533" i="95" s="1"/>
  <c r="L533" i="95"/>
  <c r="K532" i="95"/>
  <c r="M532" i="95" s="1"/>
  <c r="L532" i="95"/>
  <c r="K531" i="95"/>
  <c r="N531" i="95" s="1"/>
  <c r="L531" i="95"/>
  <c r="M531" i="95"/>
  <c r="K530" i="95"/>
  <c r="M530" i="95" s="1"/>
  <c r="L530" i="95"/>
  <c r="N530" i="95" s="1"/>
  <c r="K529" i="95"/>
  <c r="N529" i="95" s="1"/>
  <c r="L529" i="95"/>
  <c r="K528" i="95"/>
  <c r="M528" i="95" s="1"/>
  <c r="L528" i="95"/>
  <c r="N528" i="95"/>
  <c r="K527" i="95"/>
  <c r="L527" i="95"/>
  <c r="N527" i="95" s="1"/>
  <c r="M527" i="95"/>
  <c r="K526" i="95"/>
  <c r="M526" i="95" s="1"/>
  <c r="L526" i="95"/>
  <c r="K525" i="95"/>
  <c r="L525" i="95"/>
  <c r="K524" i="95"/>
  <c r="M524" i="95" s="1"/>
  <c r="L524" i="95"/>
  <c r="K523" i="95"/>
  <c r="L523" i="95"/>
  <c r="N523" i="95" s="1"/>
  <c r="M523" i="95"/>
  <c r="K522" i="95"/>
  <c r="M522" i="95" s="1"/>
  <c r="L522" i="95"/>
  <c r="K521" i="95"/>
  <c r="M521" i="95" s="1"/>
  <c r="L521" i="95"/>
  <c r="N521" i="95"/>
  <c r="K520" i="95"/>
  <c r="M520" i="95" s="1"/>
  <c r="L520" i="95"/>
  <c r="K519" i="95"/>
  <c r="L519" i="95"/>
  <c r="M519" i="95"/>
  <c r="K518" i="95"/>
  <c r="M518" i="95" s="1"/>
  <c r="L518" i="95"/>
  <c r="K517" i="95"/>
  <c r="M517" i="95" s="1"/>
  <c r="L517" i="95"/>
  <c r="N517" i="95"/>
  <c r="K516" i="95"/>
  <c r="M516" i="95" s="1"/>
  <c r="L516" i="95"/>
  <c r="K515" i="95"/>
  <c r="L515" i="95"/>
  <c r="M515" i="95"/>
  <c r="K514" i="95"/>
  <c r="M514" i="95" s="1"/>
  <c r="L514" i="95"/>
  <c r="N514" i="95" s="1"/>
  <c r="K513" i="95"/>
  <c r="M513" i="95" s="1"/>
  <c r="L513" i="95"/>
  <c r="K512" i="95"/>
  <c r="M512" i="95" s="1"/>
  <c r="L512" i="95"/>
  <c r="K511" i="95"/>
  <c r="L511" i="95"/>
  <c r="M511" i="95"/>
  <c r="K510" i="95"/>
  <c r="M510" i="95" s="1"/>
  <c r="L510" i="95"/>
  <c r="K509" i="95"/>
  <c r="M509" i="95" s="1"/>
  <c r="L509" i="95"/>
  <c r="K508" i="95"/>
  <c r="M508" i="95" s="1"/>
  <c r="L508" i="95"/>
  <c r="N508" i="95"/>
  <c r="K507" i="95"/>
  <c r="L507" i="95"/>
  <c r="N507" i="95" s="1"/>
  <c r="M507" i="95"/>
  <c r="K506" i="95"/>
  <c r="M506" i="95" s="1"/>
  <c r="L506" i="95"/>
  <c r="K505" i="95"/>
  <c r="M505" i="95" s="1"/>
  <c r="L505" i="95"/>
  <c r="K504" i="95"/>
  <c r="M504" i="95" s="1"/>
  <c r="L504" i="95"/>
  <c r="N504" i="95"/>
  <c r="K503" i="95"/>
  <c r="L503" i="95"/>
  <c r="M503" i="95"/>
  <c r="K502" i="95"/>
  <c r="M502" i="95" s="1"/>
  <c r="L502" i="95"/>
  <c r="N502" i="95" s="1"/>
  <c r="K501" i="95"/>
  <c r="M501" i="95" s="1"/>
  <c r="L501" i="95"/>
  <c r="N501" i="95"/>
  <c r="K500" i="95"/>
  <c r="M500" i="95" s="1"/>
  <c r="L500" i="95"/>
  <c r="N500" i="95"/>
  <c r="K499" i="95"/>
  <c r="L499" i="95"/>
  <c r="M499" i="95"/>
  <c r="K498" i="95"/>
  <c r="M498" i="95" s="1"/>
  <c r="L498" i="95"/>
  <c r="N498" i="95" s="1"/>
  <c r="K497" i="95"/>
  <c r="M497" i="95" s="1"/>
  <c r="L497" i="95"/>
  <c r="K496" i="95"/>
  <c r="M496" i="95" s="1"/>
  <c r="L496" i="95"/>
  <c r="N496" i="95"/>
  <c r="K495" i="95"/>
  <c r="L495" i="95"/>
  <c r="N495" i="95" s="1"/>
  <c r="M495" i="95"/>
  <c r="K494" i="95"/>
  <c r="M494" i="95" s="1"/>
  <c r="L494" i="95"/>
  <c r="K493" i="95"/>
  <c r="M493" i="95" s="1"/>
  <c r="L493" i="95"/>
  <c r="K492" i="95"/>
  <c r="M492" i="95" s="1"/>
  <c r="L492" i="95"/>
  <c r="N492" i="95"/>
  <c r="K491" i="95"/>
  <c r="L491" i="95"/>
  <c r="N491" i="95" s="1"/>
  <c r="M491" i="95"/>
  <c r="K490" i="95"/>
  <c r="M490" i="95" s="1"/>
  <c r="L490" i="95"/>
  <c r="K489" i="95"/>
  <c r="M489" i="95" s="1"/>
  <c r="L489" i="95"/>
  <c r="K488" i="95"/>
  <c r="M488" i="95" s="1"/>
  <c r="L488" i="95"/>
  <c r="N488" i="95"/>
  <c r="K487" i="95"/>
  <c r="L487" i="95"/>
  <c r="M487" i="95"/>
  <c r="K486" i="95"/>
  <c r="M486" i="95" s="1"/>
  <c r="L486" i="95"/>
  <c r="N486" i="95" s="1"/>
  <c r="K485" i="95"/>
  <c r="M485" i="95" s="1"/>
  <c r="L485" i="95"/>
  <c r="N485" i="95"/>
  <c r="K484" i="95"/>
  <c r="M484" i="95" s="1"/>
  <c r="L484" i="95"/>
  <c r="N484" i="95"/>
  <c r="K483" i="95"/>
  <c r="L483" i="95"/>
  <c r="M483" i="95"/>
  <c r="K482" i="95"/>
  <c r="M482" i="95" s="1"/>
  <c r="L482" i="95"/>
  <c r="N482" i="95" s="1"/>
  <c r="K481" i="95"/>
  <c r="M481" i="95" s="1"/>
  <c r="L481" i="95"/>
  <c r="K480" i="95"/>
  <c r="M480" i="95" s="1"/>
  <c r="L480" i="95"/>
  <c r="K479" i="95"/>
  <c r="L479" i="95"/>
  <c r="N479" i="95" s="1"/>
  <c r="M479" i="95"/>
  <c r="K478" i="95"/>
  <c r="M478" i="95" s="1"/>
  <c r="L478" i="95"/>
  <c r="K477" i="95"/>
  <c r="M477" i="95" s="1"/>
  <c r="L477" i="95"/>
  <c r="K476" i="95"/>
  <c r="M476" i="95" s="1"/>
  <c r="L476" i="95"/>
  <c r="N476" i="95"/>
  <c r="K475" i="95"/>
  <c r="L475" i="95"/>
  <c r="N475" i="95" s="1"/>
  <c r="M475" i="95"/>
  <c r="K474" i="95"/>
  <c r="M474" i="95" s="1"/>
  <c r="L474" i="95"/>
  <c r="K473" i="95"/>
  <c r="M473" i="95" s="1"/>
  <c r="L473" i="95"/>
  <c r="K472" i="95"/>
  <c r="M472" i="95" s="1"/>
  <c r="L472" i="95"/>
  <c r="N472" i="95"/>
  <c r="K471" i="95"/>
  <c r="N471" i="95" s="1"/>
  <c r="L471" i="95"/>
  <c r="M471" i="95"/>
  <c r="K470" i="95"/>
  <c r="M470" i="95" s="1"/>
  <c r="L470" i="95"/>
  <c r="N470" i="95" s="1"/>
  <c r="K469" i="95"/>
  <c r="M469" i="95" s="1"/>
  <c r="L469" i="95"/>
  <c r="N469" i="95"/>
  <c r="K468" i="95"/>
  <c r="M468" i="95" s="1"/>
  <c r="L468" i="95"/>
  <c r="K467" i="95"/>
  <c r="L467" i="95"/>
  <c r="M467" i="95"/>
  <c r="K466" i="95"/>
  <c r="M466" i="95" s="1"/>
  <c r="L466" i="95"/>
  <c r="N466" i="95" s="1"/>
  <c r="K465" i="95"/>
  <c r="M465" i="95" s="1"/>
  <c r="L465" i="95"/>
  <c r="K464" i="95"/>
  <c r="M464" i="95" s="1"/>
  <c r="L464" i="95"/>
  <c r="N464" i="95"/>
  <c r="K463" i="95"/>
  <c r="L463" i="95"/>
  <c r="N463" i="95" s="1"/>
  <c r="M463" i="95"/>
  <c r="K462" i="95"/>
  <c r="M462" i="95" s="1"/>
  <c r="L462" i="95"/>
  <c r="K461" i="95"/>
  <c r="M461" i="95" s="1"/>
  <c r="L461" i="95"/>
  <c r="K460" i="95"/>
  <c r="M460" i="95" s="1"/>
  <c r="L460" i="95"/>
  <c r="N460" i="95"/>
  <c r="K459" i="95"/>
  <c r="L459" i="95"/>
  <c r="N459" i="95" s="1"/>
  <c r="M459" i="95"/>
  <c r="K458" i="95"/>
  <c r="M458" i="95" s="1"/>
  <c r="L458" i="95"/>
  <c r="K457" i="95"/>
  <c r="M457" i="95" s="1"/>
  <c r="L457" i="95"/>
  <c r="N457" i="95"/>
  <c r="K456" i="95"/>
  <c r="M456" i="95" s="1"/>
  <c r="L456" i="95"/>
  <c r="N456" i="95"/>
  <c r="K455" i="95"/>
  <c r="L455" i="95"/>
  <c r="M455" i="95"/>
  <c r="K454" i="95"/>
  <c r="M454" i="95" s="1"/>
  <c r="L454" i="95"/>
  <c r="N454" i="95" s="1"/>
  <c r="K453" i="95"/>
  <c r="M453" i="95" s="1"/>
  <c r="L453" i="95"/>
  <c r="N453" i="95"/>
  <c r="K452" i="95"/>
  <c r="M452" i="95" s="1"/>
  <c r="L452" i="95"/>
  <c r="N452" i="95"/>
  <c r="K451" i="95"/>
  <c r="L451" i="95"/>
  <c r="M451" i="95"/>
  <c r="K450" i="95"/>
  <c r="M450" i="95" s="1"/>
  <c r="L450" i="95"/>
  <c r="N450" i="95" s="1"/>
  <c r="K449" i="95"/>
  <c r="M449" i="95" s="1"/>
  <c r="L449" i="95"/>
  <c r="K448" i="95"/>
  <c r="M448" i="95" s="1"/>
  <c r="L448" i="95"/>
  <c r="K447" i="95"/>
  <c r="L447" i="95"/>
  <c r="N447" i="95" s="1"/>
  <c r="M447" i="95"/>
  <c r="K446" i="95"/>
  <c r="M446" i="95" s="1"/>
  <c r="L446" i="95"/>
  <c r="K445" i="95"/>
  <c r="M445" i="95" s="1"/>
  <c r="L445" i="95"/>
  <c r="K444" i="95"/>
  <c r="M444" i="95" s="1"/>
  <c r="L444" i="95"/>
  <c r="N444" i="95"/>
  <c r="K443" i="95"/>
  <c r="L443" i="95"/>
  <c r="N443" i="95" s="1"/>
  <c r="M443" i="95"/>
  <c r="K442" i="95"/>
  <c r="M442" i="95" s="1"/>
  <c r="L442" i="95"/>
  <c r="K441" i="95"/>
  <c r="M441" i="95" s="1"/>
  <c r="L441" i="95"/>
  <c r="K440" i="95"/>
  <c r="M440" i="95" s="1"/>
  <c r="L440" i="95"/>
  <c r="N440" i="95"/>
  <c r="K439" i="95"/>
  <c r="N439" i="95" s="1"/>
  <c r="L439" i="95"/>
  <c r="M439" i="95"/>
  <c r="K438" i="95"/>
  <c r="M438" i="95" s="1"/>
  <c r="L438" i="95"/>
  <c r="N438" i="95" s="1"/>
  <c r="K437" i="95"/>
  <c r="M437" i="95" s="1"/>
  <c r="L437" i="95"/>
  <c r="N437" i="95"/>
  <c r="K436" i="95"/>
  <c r="M436" i="95" s="1"/>
  <c r="L436" i="95"/>
  <c r="K435" i="95"/>
  <c r="L435" i="95"/>
  <c r="M435" i="95"/>
  <c r="K434" i="95"/>
  <c r="M434" i="95" s="1"/>
  <c r="L434" i="95"/>
  <c r="N434" i="95" s="1"/>
  <c r="K433" i="95"/>
  <c r="M433" i="95" s="1"/>
  <c r="L433" i="95"/>
  <c r="K432" i="95"/>
  <c r="M432" i="95" s="1"/>
  <c r="L432" i="95"/>
  <c r="N432" i="95"/>
  <c r="K431" i="95"/>
  <c r="L431" i="95"/>
  <c r="N431" i="95"/>
  <c r="M431" i="95"/>
  <c r="K430" i="95"/>
  <c r="M430" i="95" s="1"/>
  <c r="L430" i="95"/>
  <c r="K429" i="95"/>
  <c r="N429" i="95" s="1"/>
  <c r="L429" i="95"/>
  <c r="M429" i="95"/>
  <c r="K428" i="95"/>
  <c r="M428" i="95" s="1"/>
  <c r="L428" i="95"/>
  <c r="K427" i="95"/>
  <c r="L427" i="95"/>
  <c r="N427" i="95" s="1"/>
  <c r="M427" i="95"/>
  <c r="K426" i="95"/>
  <c r="L426" i="95"/>
  <c r="K425" i="95"/>
  <c r="L425" i="95"/>
  <c r="N425" i="95"/>
  <c r="M425" i="95"/>
  <c r="K424" i="95"/>
  <c r="M424" i="95" s="1"/>
  <c r="L424" i="95"/>
  <c r="N424" i="95"/>
  <c r="K423" i="95"/>
  <c r="N423" i="95" s="1"/>
  <c r="L423" i="95"/>
  <c r="M423" i="95"/>
  <c r="K422" i="95"/>
  <c r="M422" i="95" s="1"/>
  <c r="L422" i="95"/>
  <c r="N422" i="95"/>
  <c r="K421" i="95"/>
  <c r="L421" i="95"/>
  <c r="M421" i="95"/>
  <c r="K420" i="95"/>
  <c r="N420" i="95" s="1"/>
  <c r="L420" i="95"/>
  <c r="K419" i="95"/>
  <c r="L419" i="95"/>
  <c r="M419" i="95"/>
  <c r="K418" i="95"/>
  <c r="L418" i="95"/>
  <c r="N418" i="95" s="1"/>
  <c r="M418" i="95"/>
  <c r="K417" i="95"/>
  <c r="N417" i="95" s="1"/>
  <c r="L417" i="95"/>
  <c r="M417" i="95"/>
  <c r="K416" i="95"/>
  <c r="N416" i="95" s="1"/>
  <c r="L416" i="95"/>
  <c r="K415" i="95"/>
  <c r="M415" i="95" s="1"/>
  <c r="L415" i="95"/>
  <c r="K414" i="95"/>
  <c r="N414" i="95" s="1"/>
  <c r="L414" i="95"/>
  <c r="K413" i="95"/>
  <c r="N413" i="95" s="1"/>
  <c r="L413" i="95"/>
  <c r="K412" i="95"/>
  <c r="M412" i="95" s="1"/>
  <c r="L412" i="95"/>
  <c r="N412" i="95"/>
  <c r="K411" i="95"/>
  <c r="M411" i="95" s="1"/>
  <c r="L411" i="95"/>
  <c r="K410" i="95"/>
  <c r="L410" i="95"/>
  <c r="N410" i="95"/>
  <c r="M410" i="95"/>
  <c r="K409" i="95"/>
  <c r="L409" i="95"/>
  <c r="M409" i="95"/>
  <c r="K408" i="95"/>
  <c r="N408" i="95" s="1"/>
  <c r="L408" i="95"/>
  <c r="M408" i="95"/>
  <c r="K407" i="95"/>
  <c r="N407" i="95" s="1"/>
  <c r="L407" i="95"/>
  <c r="K406" i="95"/>
  <c r="N406" i="95" s="1"/>
  <c r="L406" i="95"/>
  <c r="K405" i="95"/>
  <c r="L405" i="95"/>
  <c r="K404" i="95"/>
  <c r="N404" i="95" s="1"/>
  <c r="L404" i="95"/>
  <c r="K403" i="95"/>
  <c r="L403" i="95"/>
  <c r="M403" i="95"/>
  <c r="K402" i="95"/>
  <c r="L402" i="95"/>
  <c r="N402" i="95"/>
  <c r="M402" i="95"/>
  <c r="K401" i="95"/>
  <c r="N401" i="95" s="1"/>
  <c r="L401" i="95"/>
  <c r="M401" i="95"/>
  <c r="K400" i="95"/>
  <c r="N400" i="95" s="1"/>
  <c r="L400" i="95"/>
  <c r="K399" i="95"/>
  <c r="M399" i="95" s="1"/>
  <c r="L399" i="95"/>
  <c r="K398" i="95"/>
  <c r="N398" i="95" s="1"/>
  <c r="L398" i="95"/>
  <c r="K397" i="95"/>
  <c r="N397" i="95" s="1"/>
  <c r="L397" i="95"/>
  <c r="K396" i="95"/>
  <c r="L396" i="95"/>
  <c r="N396" i="95"/>
  <c r="M396" i="95"/>
  <c r="K395" i="95"/>
  <c r="M395" i="95" s="1"/>
  <c r="L395" i="95"/>
  <c r="K394" i="95"/>
  <c r="L394" i="95"/>
  <c r="N394" i="95"/>
  <c r="M394" i="95"/>
  <c r="K393" i="95"/>
  <c r="N393" i="95" s="1"/>
  <c r="L393" i="95"/>
  <c r="K392" i="95"/>
  <c r="N392" i="95" s="1"/>
  <c r="L392" i="95"/>
  <c r="M392" i="95"/>
  <c r="K391" i="95"/>
  <c r="N391" i="95" s="1"/>
  <c r="L391" i="95"/>
  <c r="K390" i="95"/>
  <c r="N390" i="95" s="1"/>
  <c r="L390" i="95"/>
  <c r="K389" i="95"/>
  <c r="L389" i="95"/>
  <c r="K388" i="95"/>
  <c r="N388" i="95" s="1"/>
  <c r="L388" i="95"/>
  <c r="K387" i="95"/>
  <c r="L387" i="95"/>
  <c r="M387" i="95"/>
  <c r="K386" i="95"/>
  <c r="N386" i="95" s="1"/>
  <c r="L386" i="95"/>
  <c r="K385" i="95"/>
  <c r="N385" i="95" s="1"/>
  <c r="L385" i="95"/>
  <c r="M385" i="95"/>
  <c r="K384" i="95"/>
  <c r="N384" i="95" s="1"/>
  <c r="L384" i="95"/>
  <c r="K383" i="95"/>
  <c r="M383" i="95" s="1"/>
  <c r="L383" i="95"/>
  <c r="K382" i="95"/>
  <c r="N382" i="95" s="1"/>
  <c r="L382" i="95"/>
  <c r="K381" i="95"/>
  <c r="N381" i="95" s="1"/>
  <c r="L381" i="95"/>
  <c r="K380" i="95"/>
  <c r="L380" i="95"/>
  <c r="N380" i="95"/>
  <c r="M380" i="95"/>
  <c r="K379" i="95"/>
  <c r="M379" i="95" s="1"/>
  <c r="L379" i="95"/>
  <c r="K378" i="95"/>
  <c r="L378" i="95"/>
  <c r="N378" i="95"/>
  <c r="M378" i="95"/>
  <c r="K377" i="95"/>
  <c r="N377" i="95" s="1"/>
  <c r="L377" i="95"/>
  <c r="M377" i="95"/>
  <c r="K376" i="95"/>
  <c r="N376" i="95" s="1"/>
  <c r="L376" i="95"/>
  <c r="M376" i="95"/>
  <c r="K375" i="95"/>
  <c r="N375" i="95" s="1"/>
  <c r="L375" i="95"/>
  <c r="K374" i="95"/>
  <c r="N374" i="95" s="1"/>
  <c r="L374" i="95"/>
  <c r="K373" i="95"/>
  <c r="L373" i="95"/>
  <c r="K372" i="95"/>
  <c r="N372" i="95" s="1"/>
  <c r="L372" i="95"/>
  <c r="K371" i="95"/>
  <c r="L371" i="95"/>
  <c r="M371" i="95"/>
  <c r="K370" i="95"/>
  <c r="M370" i="95" s="1"/>
  <c r="L370" i="95"/>
  <c r="N370" i="95"/>
  <c r="K369" i="95"/>
  <c r="N369" i="95" s="1"/>
  <c r="L369" i="95"/>
  <c r="M369" i="95"/>
  <c r="K368" i="95"/>
  <c r="N368" i="95" s="1"/>
  <c r="L368" i="95"/>
  <c r="K367" i="95"/>
  <c r="M367" i="95" s="1"/>
  <c r="L367" i="95"/>
  <c r="K366" i="95"/>
  <c r="N366" i="95" s="1"/>
  <c r="L366" i="95"/>
  <c r="K365" i="95"/>
  <c r="N365" i="95" s="1"/>
  <c r="L365" i="95"/>
  <c r="K364" i="95"/>
  <c r="L364" i="95"/>
  <c r="N364" i="95"/>
  <c r="M364" i="95"/>
  <c r="K363" i="95"/>
  <c r="M363" i="95" s="1"/>
  <c r="L363" i="95"/>
  <c r="K362" i="95"/>
  <c r="L362" i="95"/>
  <c r="N362" i="95"/>
  <c r="M362" i="95"/>
  <c r="K361" i="95"/>
  <c r="L361" i="95"/>
  <c r="M361" i="95"/>
  <c r="K360" i="95"/>
  <c r="N360" i="95" s="1"/>
  <c r="L360" i="95"/>
  <c r="M360" i="95"/>
  <c r="K359" i="95"/>
  <c r="N359" i="95" s="1"/>
  <c r="L359" i="95"/>
  <c r="K358" i="95"/>
  <c r="N358" i="95" s="1"/>
  <c r="L358" i="95"/>
  <c r="K357" i="95"/>
  <c r="L357" i="95"/>
  <c r="K356" i="95"/>
  <c r="N356" i="95" s="1"/>
  <c r="L356" i="95"/>
  <c r="K355" i="95"/>
  <c r="L355" i="95"/>
  <c r="M355" i="95"/>
  <c r="K354" i="95"/>
  <c r="M354" i="95" s="1"/>
  <c r="L354" i="95"/>
  <c r="N354" i="95" s="1"/>
  <c r="K353" i="95"/>
  <c r="N353" i="95" s="1"/>
  <c r="L353" i="95"/>
  <c r="M353" i="95"/>
  <c r="K352" i="95"/>
  <c r="N352" i="95" s="1"/>
  <c r="L352" i="95"/>
  <c r="K351" i="95"/>
  <c r="M351" i="95" s="1"/>
  <c r="L351" i="95"/>
  <c r="K350" i="95"/>
  <c r="N350" i="95" s="1"/>
  <c r="L350" i="95"/>
  <c r="K349" i="95"/>
  <c r="N349" i="95" s="1"/>
  <c r="L349" i="95"/>
  <c r="K348" i="95"/>
  <c r="L348" i="95"/>
  <c r="N348" i="95"/>
  <c r="M348" i="95"/>
  <c r="K347" i="95"/>
  <c r="M347" i="95" s="1"/>
  <c r="L347" i="95"/>
  <c r="K346" i="95"/>
  <c r="L346" i="95"/>
  <c r="N346" i="95"/>
  <c r="M346" i="95"/>
  <c r="K345" i="95"/>
  <c r="L345" i="95"/>
  <c r="M345" i="95"/>
  <c r="K344" i="95"/>
  <c r="N344" i="95" s="1"/>
  <c r="L344" i="95"/>
  <c r="M344" i="95"/>
  <c r="K343" i="95"/>
  <c r="N343" i="95" s="1"/>
  <c r="L343" i="95"/>
  <c r="K342" i="95"/>
  <c r="N342" i="95" s="1"/>
  <c r="L342" i="95"/>
  <c r="K341" i="95"/>
  <c r="L341" i="95"/>
  <c r="K340" i="95"/>
  <c r="N340" i="95" s="1"/>
  <c r="L340" i="95"/>
  <c r="K339" i="95"/>
  <c r="L339" i="95"/>
  <c r="M339" i="95"/>
  <c r="K338" i="95"/>
  <c r="N338" i="95" s="1"/>
  <c r="L338" i="95"/>
  <c r="K337" i="95"/>
  <c r="N337" i="95" s="1"/>
  <c r="L337" i="95"/>
  <c r="M337" i="95"/>
  <c r="K336" i="95"/>
  <c r="N336" i="95" s="1"/>
  <c r="L336" i="95"/>
  <c r="K335" i="95"/>
  <c r="M335" i="95" s="1"/>
  <c r="L335" i="95"/>
  <c r="K334" i="95"/>
  <c r="N334" i="95" s="1"/>
  <c r="L334" i="95"/>
  <c r="K333" i="95"/>
  <c r="N333" i="95" s="1"/>
  <c r="L333" i="95"/>
  <c r="K332" i="95"/>
  <c r="L332" i="95"/>
  <c r="N332" i="95"/>
  <c r="M332" i="95"/>
  <c r="K331" i="95"/>
  <c r="M331" i="95" s="1"/>
  <c r="L331" i="95"/>
  <c r="K330" i="95"/>
  <c r="L330" i="95"/>
  <c r="N330" i="95"/>
  <c r="M330" i="95"/>
  <c r="K329" i="95"/>
  <c r="N329" i="95" s="1"/>
  <c r="L329" i="95"/>
  <c r="K328" i="95"/>
  <c r="N328" i="95" s="1"/>
  <c r="L328" i="95"/>
  <c r="M328" i="95"/>
  <c r="K327" i="95"/>
  <c r="N327" i="95" s="1"/>
  <c r="L327" i="95"/>
  <c r="K326" i="95"/>
  <c r="N326" i="95" s="1"/>
  <c r="L326" i="95"/>
  <c r="K325" i="95"/>
  <c r="L325" i="95"/>
  <c r="K324" i="95"/>
  <c r="N324" i="95" s="1"/>
  <c r="L324" i="95"/>
  <c r="K323" i="95"/>
  <c r="L323" i="95"/>
  <c r="M323" i="95"/>
  <c r="K322" i="95"/>
  <c r="N322" i="95" s="1"/>
  <c r="L322" i="95"/>
  <c r="K321" i="95"/>
  <c r="N321" i="95" s="1"/>
  <c r="L321" i="95"/>
  <c r="M321" i="95"/>
  <c r="K320" i="95"/>
  <c r="N320" i="95" s="1"/>
  <c r="L320" i="95"/>
  <c r="K319" i="95"/>
  <c r="M319" i="95" s="1"/>
  <c r="L319" i="95"/>
  <c r="K318" i="95"/>
  <c r="N318" i="95" s="1"/>
  <c r="L318" i="95"/>
  <c r="K317" i="95"/>
  <c r="N317" i="95" s="1"/>
  <c r="L317" i="95"/>
  <c r="M317" i="95"/>
  <c r="K316" i="95"/>
  <c r="L316" i="95"/>
  <c r="N316" i="95"/>
  <c r="M316" i="95"/>
  <c r="K315" i="95"/>
  <c r="N315" i="95" s="1"/>
  <c r="L315" i="95"/>
  <c r="K314" i="95"/>
  <c r="L314" i="95"/>
  <c r="N314" i="95"/>
  <c r="M314" i="95"/>
  <c r="K313" i="95"/>
  <c r="M313" i="95" s="1"/>
  <c r="L313" i="95"/>
  <c r="K312" i="95"/>
  <c r="N312" i="95" s="1"/>
  <c r="L312" i="95"/>
  <c r="M312" i="95"/>
  <c r="K311" i="95"/>
  <c r="N311" i="95" s="1"/>
  <c r="L311" i="95"/>
  <c r="K310" i="95"/>
  <c r="N310" i="95" s="1"/>
  <c r="L310" i="95"/>
  <c r="K309" i="95"/>
  <c r="L309" i="95"/>
  <c r="K308" i="95"/>
  <c r="N308" i="95" s="1"/>
  <c r="L308" i="95"/>
  <c r="K307" i="95"/>
  <c r="L307" i="95"/>
  <c r="M307" i="95"/>
  <c r="K306" i="95"/>
  <c r="M306" i="95" s="1"/>
  <c r="L306" i="95"/>
  <c r="N306" i="95" s="1"/>
  <c r="K305" i="95"/>
  <c r="N305" i="95" s="1"/>
  <c r="L305" i="95"/>
  <c r="M305" i="95"/>
  <c r="K304" i="95"/>
  <c r="N304" i="95" s="1"/>
  <c r="L304" i="95"/>
  <c r="K303" i="95"/>
  <c r="M303" i="95" s="1"/>
  <c r="L303" i="95"/>
  <c r="K302" i="95"/>
  <c r="N302" i="95" s="1"/>
  <c r="L302" i="95"/>
  <c r="K301" i="95"/>
  <c r="N301" i="95" s="1"/>
  <c r="L301" i="95"/>
  <c r="K300" i="95"/>
  <c r="L300" i="95"/>
  <c r="N300" i="95"/>
  <c r="M300" i="95"/>
  <c r="K299" i="95"/>
  <c r="N299" i="95" s="1"/>
  <c r="L299" i="95"/>
  <c r="K298" i="95"/>
  <c r="L298" i="95"/>
  <c r="N298" i="95"/>
  <c r="M298" i="95"/>
  <c r="K297" i="95"/>
  <c r="M297" i="95" s="1"/>
  <c r="L297" i="95"/>
  <c r="K296" i="95"/>
  <c r="N296" i="95" s="1"/>
  <c r="L296" i="95"/>
  <c r="M296" i="95"/>
  <c r="K295" i="95"/>
  <c r="N295" i="95" s="1"/>
  <c r="L295" i="95"/>
  <c r="K294" i="95"/>
  <c r="N294" i="95" s="1"/>
  <c r="L294" i="95"/>
  <c r="K293" i="95"/>
  <c r="L293" i="95"/>
  <c r="K292" i="95"/>
  <c r="N292" i="95" s="1"/>
  <c r="L292" i="95"/>
  <c r="K291" i="95"/>
  <c r="L291" i="95"/>
  <c r="M291" i="95"/>
  <c r="K290" i="95"/>
  <c r="M290" i="95" s="1"/>
  <c r="L290" i="95"/>
  <c r="N290" i="95"/>
  <c r="K289" i="95"/>
  <c r="N289" i="95" s="1"/>
  <c r="L289" i="95"/>
  <c r="M289" i="95"/>
  <c r="K288" i="95"/>
  <c r="N288" i="95" s="1"/>
  <c r="L288" i="95"/>
  <c r="K287" i="95"/>
  <c r="M287" i="95" s="1"/>
  <c r="L287" i="95"/>
  <c r="K286" i="95"/>
  <c r="N286" i="95" s="1"/>
  <c r="L286" i="95"/>
  <c r="K285" i="95"/>
  <c r="N285" i="95" s="1"/>
  <c r="L285" i="95"/>
  <c r="K284" i="95"/>
  <c r="L284" i="95"/>
  <c r="N284" i="95"/>
  <c r="M284" i="95"/>
  <c r="K283" i="95"/>
  <c r="M283" i="95" s="1"/>
  <c r="L283" i="95"/>
  <c r="K282" i="95"/>
  <c r="L282" i="95"/>
  <c r="N282" i="95"/>
  <c r="M282" i="95"/>
  <c r="K281" i="95"/>
  <c r="L281" i="95"/>
  <c r="M281" i="95"/>
  <c r="K280" i="95"/>
  <c r="N280" i="95" s="1"/>
  <c r="L280" i="95"/>
  <c r="M280" i="95"/>
  <c r="K279" i="95"/>
  <c r="N279" i="95" s="1"/>
  <c r="L279" i="95"/>
  <c r="K278" i="95"/>
  <c r="N278" i="95" s="1"/>
  <c r="L278" i="95"/>
  <c r="K277" i="95"/>
  <c r="L277" i="95"/>
  <c r="K276" i="95"/>
  <c r="N276" i="95" s="1"/>
  <c r="L276" i="95"/>
  <c r="K275" i="95"/>
  <c r="L275" i="95"/>
  <c r="M275" i="95"/>
  <c r="K274" i="95"/>
  <c r="M274" i="95" s="1"/>
  <c r="L274" i="95"/>
  <c r="N274" i="95"/>
  <c r="K273" i="95"/>
  <c r="N273" i="95" s="1"/>
  <c r="L273" i="95"/>
  <c r="M273" i="95"/>
  <c r="K272" i="95"/>
  <c r="N272" i="95" s="1"/>
  <c r="L272" i="95"/>
  <c r="K271" i="95"/>
  <c r="M271" i="95" s="1"/>
  <c r="L271" i="95"/>
  <c r="K270" i="95"/>
  <c r="N270" i="95" s="1"/>
  <c r="L270" i="95"/>
  <c r="K269" i="95"/>
  <c r="N269" i="95" s="1"/>
  <c r="L269" i="95"/>
  <c r="K268" i="95"/>
  <c r="L268" i="95"/>
  <c r="N268" i="95"/>
  <c r="M268" i="95"/>
  <c r="K267" i="95"/>
  <c r="M267" i="95" s="1"/>
  <c r="L267" i="95"/>
  <c r="K266" i="95"/>
  <c r="L266" i="95"/>
  <c r="N266" i="95"/>
  <c r="M266" i="95"/>
  <c r="K265" i="95"/>
  <c r="L265" i="95"/>
  <c r="M265" i="95"/>
  <c r="K264" i="95"/>
  <c r="N264" i="95" s="1"/>
  <c r="L264" i="95"/>
  <c r="M264" i="95"/>
  <c r="K263" i="95"/>
  <c r="N263" i="95" s="1"/>
  <c r="L263" i="95"/>
  <c r="K262" i="95"/>
  <c r="N262" i="95" s="1"/>
  <c r="L262" i="95"/>
  <c r="K261" i="95"/>
  <c r="L261" i="95"/>
  <c r="K260" i="95"/>
  <c r="N260" i="95" s="1"/>
  <c r="L260" i="95"/>
  <c r="K259" i="95"/>
  <c r="L259" i="95"/>
  <c r="M259" i="95"/>
  <c r="K258" i="95"/>
  <c r="M258" i="95" s="1"/>
  <c r="L258" i="95"/>
  <c r="N258" i="95"/>
  <c r="K257" i="95"/>
  <c r="N257" i="95" s="1"/>
  <c r="L257" i="95"/>
  <c r="M257" i="95"/>
  <c r="K256" i="95"/>
  <c r="N256" i="95" s="1"/>
  <c r="L256" i="95"/>
  <c r="K255" i="95"/>
  <c r="M255" i="95" s="1"/>
  <c r="L255" i="95"/>
  <c r="K254" i="95"/>
  <c r="N254" i="95" s="1"/>
  <c r="L254" i="95"/>
  <c r="K253" i="95"/>
  <c r="N253" i="95" s="1"/>
  <c r="L253" i="95"/>
  <c r="K252" i="95"/>
  <c r="L252" i="95"/>
  <c r="N252" i="95"/>
  <c r="M252" i="95"/>
  <c r="K251" i="95"/>
  <c r="M251" i="95" s="1"/>
  <c r="L251" i="95"/>
  <c r="K250" i="95"/>
  <c r="L250" i="95"/>
  <c r="N250" i="95"/>
  <c r="M250" i="95"/>
  <c r="K249" i="95"/>
  <c r="L249" i="95"/>
  <c r="M249" i="95"/>
  <c r="K248" i="95"/>
  <c r="N248" i="95" s="1"/>
  <c r="L248" i="95"/>
  <c r="M248" i="95"/>
  <c r="K247" i="95"/>
  <c r="N247" i="95" s="1"/>
  <c r="L247" i="95"/>
  <c r="K246" i="95"/>
  <c r="N246" i="95" s="1"/>
  <c r="L246" i="95"/>
  <c r="K245" i="95"/>
  <c r="L245" i="95"/>
  <c r="K244" i="95"/>
  <c r="N244" i="95" s="1"/>
  <c r="L244" i="95"/>
  <c r="K243" i="95"/>
  <c r="L243" i="95"/>
  <c r="M243" i="95"/>
  <c r="K242" i="95"/>
  <c r="M242" i="95" s="1"/>
  <c r="L242" i="95"/>
  <c r="N242" i="95"/>
  <c r="K241" i="95"/>
  <c r="N241" i="95" s="1"/>
  <c r="L241" i="95"/>
  <c r="M241" i="95"/>
  <c r="K240" i="95"/>
  <c r="N240" i="95" s="1"/>
  <c r="L240" i="95"/>
  <c r="K239" i="95"/>
  <c r="M239" i="95" s="1"/>
  <c r="L239" i="95"/>
  <c r="K238" i="95"/>
  <c r="N238" i="95" s="1"/>
  <c r="L238" i="95"/>
  <c r="K237" i="95"/>
  <c r="N237" i="95" s="1"/>
  <c r="L237" i="95"/>
  <c r="K236" i="95"/>
  <c r="L236" i="95"/>
  <c r="N236" i="95"/>
  <c r="M236" i="95"/>
  <c r="K235" i="95"/>
  <c r="N235" i="95" s="1"/>
  <c r="L235" i="95"/>
  <c r="K234" i="95"/>
  <c r="L234" i="95"/>
  <c r="N234" i="95"/>
  <c r="M234" i="95"/>
  <c r="K233" i="95"/>
  <c r="L233" i="95"/>
  <c r="M233" i="95"/>
  <c r="K232" i="95"/>
  <c r="N232" i="95" s="1"/>
  <c r="L232" i="95"/>
  <c r="M232" i="95"/>
  <c r="K231" i="95"/>
  <c r="N231" i="95" s="1"/>
  <c r="L231" i="95"/>
  <c r="K230" i="95"/>
  <c r="N230" i="95" s="1"/>
  <c r="L230" i="95"/>
  <c r="K229" i="95"/>
  <c r="L229" i="95"/>
  <c r="K228" i="95"/>
  <c r="N228" i="95" s="1"/>
  <c r="L228" i="95"/>
  <c r="K227" i="95"/>
  <c r="L227" i="95"/>
  <c r="M227" i="95"/>
  <c r="K226" i="95"/>
  <c r="M226" i="95" s="1"/>
  <c r="L226" i="95"/>
  <c r="N226" i="95" s="1"/>
  <c r="K225" i="95"/>
  <c r="N225" i="95" s="1"/>
  <c r="L225" i="95"/>
  <c r="M225" i="95"/>
  <c r="K224" i="95"/>
  <c r="N224" i="95" s="1"/>
  <c r="L224" i="95"/>
  <c r="K223" i="95"/>
  <c r="M223" i="95" s="1"/>
  <c r="L223" i="95"/>
  <c r="K222" i="95"/>
  <c r="L222" i="95"/>
  <c r="K221" i="95"/>
  <c r="N221" i="95" s="1"/>
  <c r="L221" i="95"/>
  <c r="K220" i="95"/>
  <c r="L220" i="95"/>
  <c r="N220" i="95"/>
  <c r="M220" i="95"/>
  <c r="K219" i="95"/>
  <c r="N219" i="95" s="1"/>
  <c r="L219" i="95"/>
  <c r="K218" i="95"/>
  <c r="L218" i="95"/>
  <c r="N218" i="95"/>
  <c r="M218" i="95"/>
  <c r="K217" i="95"/>
  <c r="L217" i="95"/>
  <c r="M217" i="95"/>
  <c r="K216" i="95"/>
  <c r="N216" i="95" s="1"/>
  <c r="L216" i="95"/>
  <c r="M216" i="95"/>
  <c r="K215" i="95"/>
  <c r="L215" i="95"/>
  <c r="K214" i="95"/>
  <c r="N214" i="95" s="1"/>
  <c r="L214" i="95"/>
  <c r="K213" i="95"/>
  <c r="L213" i="95"/>
  <c r="K212" i="95"/>
  <c r="N212" i="95" s="1"/>
  <c r="L212" i="95"/>
  <c r="K211" i="95"/>
  <c r="L211" i="95"/>
  <c r="M211" i="95"/>
  <c r="K210" i="95"/>
  <c r="M210" i="95" s="1"/>
  <c r="L210" i="95"/>
  <c r="N210" i="95" s="1"/>
  <c r="K209" i="95"/>
  <c r="N209" i="95" s="1"/>
  <c r="L209" i="95"/>
  <c r="M209" i="95"/>
  <c r="K208" i="95"/>
  <c r="L208" i="95"/>
  <c r="K207" i="95"/>
  <c r="M207" i="95" s="1"/>
  <c r="L207" i="95"/>
  <c r="K206" i="95"/>
  <c r="L206" i="95"/>
  <c r="M206" i="95"/>
  <c r="K205" i="95"/>
  <c r="N205" i="95" s="1"/>
  <c r="L205" i="95"/>
  <c r="K204" i="95"/>
  <c r="L204" i="95"/>
  <c r="N204" i="95"/>
  <c r="M204" i="95"/>
  <c r="K203" i="95"/>
  <c r="N203" i="95" s="1"/>
  <c r="L203" i="95"/>
  <c r="K202" i="95"/>
  <c r="L202" i="95"/>
  <c r="N202" i="95"/>
  <c r="M202" i="95"/>
  <c r="K201" i="95"/>
  <c r="L201" i="95"/>
  <c r="M201" i="95"/>
  <c r="K200" i="95"/>
  <c r="N200" i="95" s="1"/>
  <c r="L200" i="95"/>
  <c r="M200" i="95"/>
  <c r="K199" i="95"/>
  <c r="L199" i="95"/>
  <c r="K198" i="95"/>
  <c r="N198" i="95" s="1"/>
  <c r="L198" i="95"/>
  <c r="K197" i="95"/>
  <c r="L197" i="95"/>
  <c r="K196" i="95"/>
  <c r="N196" i="95" s="1"/>
  <c r="L196" i="95"/>
  <c r="K195" i="95"/>
  <c r="L195" i="95"/>
  <c r="M195" i="95"/>
  <c r="K194" i="95"/>
  <c r="M194" i="95" s="1"/>
  <c r="L194" i="95"/>
  <c r="N194" i="95" s="1"/>
  <c r="K193" i="95"/>
  <c r="N193" i="95" s="1"/>
  <c r="L193" i="95"/>
  <c r="M193" i="95"/>
  <c r="K192" i="95"/>
  <c r="L192" i="95"/>
  <c r="K191" i="95"/>
  <c r="M191" i="95" s="1"/>
  <c r="L191" i="95"/>
  <c r="K190" i="95"/>
  <c r="L190" i="95"/>
  <c r="M190" i="95"/>
  <c r="K189" i="95"/>
  <c r="N189" i="95" s="1"/>
  <c r="L189" i="95"/>
  <c r="K188" i="95"/>
  <c r="L188" i="95"/>
  <c r="N188" i="95"/>
  <c r="M188" i="95"/>
  <c r="K187" i="95"/>
  <c r="N187" i="95" s="1"/>
  <c r="L187" i="95"/>
  <c r="K186" i="95"/>
  <c r="L186" i="95"/>
  <c r="N186" i="95"/>
  <c r="M186" i="95"/>
  <c r="K185" i="95"/>
  <c r="L185" i="95"/>
  <c r="M185" i="95"/>
  <c r="K184" i="95"/>
  <c r="N184" i="95" s="1"/>
  <c r="L184" i="95"/>
  <c r="M184" i="95"/>
  <c r="K183" i="95"/>
  <c r="L183" i="95"/>
  <c r="K182" i="95"/>
  <c r="N182" i="95" s="1"/>
  <c r="L182" i="95"/>
  <c r="K181" i="95"/>
  <c r="L181" i="95"/>
  <c r="K180" i="95"/>
  <c r="N180" i="95" s="1"/>
  <c r="L180" i="95"/>
  <c r="K179" i="95"/>
  <c r="L179" i="95"/>
  <c r="M179" i="95"/>
  <c r="K178" i="95"/>
  <c r="M178" i="95" s="1"/>
  <c r="L178" i="95"/>
  <c r="N178" i="95"/>
  <c r="K177" i="95"/>
  <c r="N177" i="95" s="1"/>
  <c r="L177" i="95"/>
  <c r="M177" i="95"/>
  <c r="K176" i="95"/>
  <c r="L176" i="95"/>
  <c r="K175" i="95"/>
  <c r="M175" i="95" s="1"/>
  <c r="L175" i="95"/>
  <c r="K174" i="95"/>
  <c r="L174" i="95"/>
  <c r="K173" i="95"/>
  <c r="N173" i="95" s="1"/>
  <c r="L173" i="95"/>
  <c r="K172" i="95"/>
  <c r="L172" i="95"/>
  <c r="N172" i="95"/>
  <c r="M172" i="95"/>
  <c r="K171" i="95"/>
  <c r="M171" i="95" s="1"/>
  <c r="L171" i="95"/>
  <c r="K170" i="95"/>
  <c r="N170" i="95" s="1"/>
  <c r="L170" i="95"/>
  <c r="M170" i="95"/>
  <c r="K169" i="95"/>
  <c r="L169" i="95"/>
  <c r="M169" i="95"/>
  <c r="K168" i="95"/>
  <c r="N168" i="95" s="1"/>
  <c r="L168" i="95"/>
  <c r="M168" i="95"/>
  <c r="K167" i="95"/>
  <c r="L167" i="95"/>
  <c r="K166" i="95"/>
  <c r="N166" i="95" s="1"/>
  <c r="L166" i="95"/>
  <c r="K165" i="95"/>
  <c r="L165" i="95"/>
  <c r="K164" i="95"/>
  <c r="N164" i="95" s="1"/>
  <c r="L164" i="95"/>
  <c r="K163" i="95"/>
  <c r="L163" i="95"/>
  <c r="M163" i="95"/>
  <c r="K162" i="95"/>
  <c r="M162" i="95" s="1"/>
  <c r="L162" i="95"/>
  <c r="N162" i="95"/>
  <c r="K161" i="95"/>
  <c r="N161" i="95" s="1"/>
  <c r="L161" i="95"/>
  <c r="M161" i="95"/>
  <c r="K160" i="95"/>
  <c r="L160" i="95"/>
  <c r="K159" i="95"/>
  <c r="M159" i="95" s="1"/>
  <c r="L159" i="95"/>
  <c r="K158" i="95"/>
  <c r="L158" i="95"/>
  <c r="M158" i="95"/>
  <c r="K157" i="95"/>
  <c r="N157" i="95" s="1"/>
  <c r="L157" i="95"/>
  <c r="K156" i="95"/>
  <c r="L156" i="95"/>
  <c r="N156" i="95"/>
  <c r="M156" i="95"/>
  <c r="K155" i="95"/>
  <c r="N155" i="95" s="1"/>
  <c r="L155" i="95"/>
  <c r="K154" i="95"/>
  <c r="L154" i="95"/>
  <c r="N154" i="95"/>
  <c r="M154" i="95"/>
  <c r="K153" i="95"/>
  <c r="L153" i="95"/>
  <c r="M153" i="95"/>
  <c r="K152" i="95"/>
  <c r="N152" i="95" s="1"/>
  <c r="L152" i="95"/>
  <c r="M152" i="95"/>
  <c r="K151" i="95"/>
  <c r="N151" i="95" s="1"/>
  <c r="L151" i="95"/>
  <c r="K150" i="95"/>
  <c r="L150" i="95"/>
  <c r="K149" i="95"/>
  <c r="L149" i="95"/>
  <c r="K148" i="95"/>
  <c r="L148" i="95"/>
  <c r="K147" i="95"/>
  <c r="L147" i="95"/>
  <c r="M147" i="95"/>
  <c r="K146" i="95"/>
  <c r="M146" i="95" s="1"/>
  <c r="L146" i="95"/>
  <c r="N146" i="95"/>
  <c r="K145" i="95"/>
  <c r="N145" i="95" s="1"/>
  <c r="L145" i="95"/>
  <c r="M145" i="95"/>
  <c r="K144" i="95"/>
  <c r="L144" i="95"/>
  <c r="N144" i="95"/>
  <c r="M144" i="95"/>
  <c r="K143" i="95"/>
  <c r="M143" i="95" s="1"/>
  <c r="L143" i="95"/>
  <c r="K142" i="95"/>
  <c r="N142" i="95" s="1"/>
  <c r="L142" i="95"/>
  <c r="M142" i="95"/>
  <c r="K141" i="95"/>
  <c r="L141" i="95"/>
  <c r="K140" i="95"/>
  <c r="L140" i="95"/>
  <c r="N140" i="95"/>
  <c r="M140" i="95"/>
  <c r="K139" i="95"/>
  <c r="L139" i="95"/>
  <c r="K138" i="95"/>
  <c r="L138" i="95"/>
  <c r="N138" i="95"/>
  <c r="M138" i="95"/>
  <c r="K137" i="95"/>
  <c r="N137" i="95" s="1"/>
  <c r="L137" i="95"/>
  <c r="M137" i="95"/>
  <c r="K136" i="95"/>
  <c r="L136" i="95"/>
  <c r="M136" i="95"/>
  <c r="K135" i="95"/>
  <c r="N135" i="95" s="1"/>
  <c r="L135" i="95"/>
  <c r="K134" i="95"/>
  <c r="M134" i="95" s="1"/>
  <c r="L134" i="95"/>
  <c r="K133" i="95"/>
  <c r="L133" i="95"/>
  <c r="M133" i="95"/>
  <c r="K132" i="95"/>
  <c r="N132" i="95" s="1"/>
  <c r="L132" i="95"/>
  <c r="K131" i="95"/>
  <c r="L131" i="95"/>
  <c r="M131" i="95"/>
  <c r="K130" i="95"/>
  <c r="M130" i="95" s="1"/>
  <c r="L130" i="95"/>
  <c r="K129" i="95"/>
  <c r="N129" i="95" s="1"/>
  <c r="L129" i="95"/>
  <c r="K128" i="95"/>
  <c r="L128" i="95"/>
  <c r="N128" i="95"/>
  <c r="M128" i="95"/>
  <c r="K127" i="95"/>
  <c r="L127" i="95"/>
  <c r="K126" i="95"/>
  <c r="N126" i="95" s="1"/>
  <c r="L126" i="95"/>
  <c r="M126" i="95"/>
  <c r="K125" i="95"/>
  <c r="N125" i="95" s="1"/>
  <c r="L125" i="95"/>
  <c r="K124" i="95"/>
  <c r="L124" i="95"/>
  <c r="N124" i="95" s="1"/>
  <c r="M124" i="95"/>
  <c r="K123" i="95"/>
  <c r="L123" i="95"/>
  <c r="K122" i="95"/>
  <c r="N122" i="95" s="1"/>
  <c r="L122" i="95"/>
  <c r="K121" i="95"/>
  <c r="L121" i="95"/>
  <c r="M121" i="95"/>
  <c r="K120" i="95"/>
  <c r="N120" i="95" s="1"/>
  <c r="L120" i="95"/>
  <c r="K119" i="95"/>
  <c r="N119" i="95" s="1"/>
  <c r="L119" i="95"/>
  <c r="K118" i="95"/>
  <c r="M118" i="95" s="1"/>
  <c r="L118" i="95"/>
  <c r="N118" i="95" s="1"/>
  <c r="K117" i="95"/>
  <c r="N117" i="95" s="1"/>
  <c r="L117" i="95"/>
  <c r="K116" i="95"/>
  <c r="L116" i="95"/>
  <c r="N116" i="95"/>
  <c r="M116" i="95"/>
  <c r="K115" i="95"/>
  <c r="L115" i="95"/>
  <c r="M115" i="95"/>
  <c r="K114" i="95"/>
  <c r="N114" i="95" s="1"/>
  <c r="L114" i="95"/>
  <c r="M114" i="95"/>
  <c r="K113" i="95"/>
  <c r="N113" i="95" s="1"/>
  <c r="L113" i="95"/>
  <c r="K112" i="95"/>
  <c r="N112" i="95" s="1"/>
  <c r="L112" i="95"/>
  <c r="K111" i="95"/>
  <c r="L111" i="95"/>
  <c r="K110" i="95"/>
  <c r="N110" i="95" s="1"/>
  <c r="L110" i="95"/>
  <c r="K109" i="95"/>
  <c r="N109" i="95" s="1"/>
  <c r="L109" i="95"/>
  <c r="M109" i="95"/>
  <c r="K108" i="95"/>
  <c r="L108" i="95"/>
  <c r="N108" i="95" s="1"/>
  <c r="M108" i="95"/>
  <c r="K107" i="95"/>
  <c r="N107" i="95" s="1"/>
  <c r="L107" i="95"/>
  <c r="K106" i="95"/>
  <c r="N106" i="95" s="1"/>
  <c r="L106" i="95"/>
  <c r="K105" i="95"/>
  <c r="N105" i="95" s="1"/>
  <c r="L105" i="95"/>
  <c r="K104" i="95"/>
  <c r="L104" i="95"/>
  <c r="M104" i="95"/>
  <c r="K103" i="95"/>
  <c r="N103" i="95" s="1"/>
  <c r="L103" i="95"/>
  <c r="K102" i="95"/>
  <c r="N102" i="95" s="1"/>
  <c r="L102" i="95"/>
  <c r="M102" i="95"/>
  <c r="K101" i="95"/>
  <c r="N101" i="95" s="1"/>
  <c r="L101" i="95"/>
  <c r="K100" i="95"/>
  <c r="N100" i="95" s="1"/>
  <c r="L100" i="95"/>
  <c r="K99" i="95"/>
  <c r="L99" i="95"/>
  <c r="K98" i="95"/>
  <c r="N98" i="95" s="1"/>
  <c r="L98" i="95"/>
  <c r="K97" i="95"/>
  <c r="L97" i="95"/>
  <c r="M97" i="95"/>
  <c r="K96" i="95"/>
  <c r="N96" i="95" s="1"/>
  <c r="L96" i="95"/>
  <c r="K95" i="95"/>
  <c r="L95" i="95"/>
  <c r="M95" i="95"/>
  <c r="K94" i="95"/>
  <c r="L94" i="95"/>
  <c r="K93" i="95"/>
  <c r="N93" i="95" s="1"/>
  <c r="L93" i="95"/>
  <c r="K92" i="95"/>
  <c r="L92" i="95"/>
  <c r="K91" i="95"/>
  <c r="N91" i="95" s="1"/>
  <c r="L91" i="95"/>
  <c r="K90" i="95"/>
  <c r="L90" i="95"/>
  <c r="N90" i="95"/>
  <c r="M90" i="95"/>
  <c r="K89" i="95"/>
  <c r="M89" i="95" s="1"/>
  <c r="L89" i="95"/>
  <c r="K88" i="95"/>
  <c r="L88" i="95"/>
  <c r="N88" i="95"/>
  <c r="M88" i="95"/>
  <c r="K87" i="95"/>
  <c r="N87" i="95" s="1"/>
  <c r="L87" i="95"/>
  <c r="K86" i="95"/>
  <c r="N86" i="95" s="1"/>
  <c r="L86" i="95"/>
  <c r="M86" i="95"/>
  <c r="K85" i="95"/>
  <c r="L85" i="95"/>
  <c r="K84" i="95"/>
  <c r="N84" i="95" s="1"/>
  <c r="L84" i="95"/>
  <c r="K83" i="95"/>
  <c r="L83" i="95"/>
  <c r="M83" i="95"/>
  <c r="K82" i="95"/>
  <c r="N82" i="95" s="1"/>
  <c r="L82" i="95"/>
  <c r="K81" i="95"/>
  <c r="L81" i="95"/>
  <c r="M81" i="95"/>
  <c r="K80" i="95"/>
  <c r="N80" i="95" s="1"/>
  <c r="L80" i="95"/>
  <c r="K79" i="95"/>
  <c r="L79" i="95"/>
  <c r="M79" i="95"/>
  <c r="K78" i="95"/>
  <c r="L78" i="95"/>
  <c r="K77" i="95"/>
  <c r="N77" i="95" s="1"/>
  <c r="L77" i="95"/>
  <c r="K76" i="95"/>
  <c r="M76" i="95" s="1"/>
  <c r="L76" i="95"/>
  <c r="N76" i="95" s="1"/>
  <c r="K75" i="95"/>
  <c r="N75" i="95" s="1"/>
  <c r="L75" i="95"/>
  <c r="K74" i="95"/>
  <c r="L74" i="95"/>
  <c r="N74" i="95"/>
  <c r="M74" i="95"/>
  <c r="K73" i="95"/>
  <c r="M73" i="95" s="1"/>
  <c r="L73" i="95"/>
  <c r="K72" i="95"/>
  <c r="L72" i="95"/>
  <c r="N72" i="95"/>
  <c r="M72" i="95"/>
  <c r="K71" i="95"/>
  <c r="N71" i="95" s="1"/>
  <c r="L71" i="95"/>
  <c r="K70" i="95"/>
  <c r="N70" i="95" s="1"/>
  <c r="L70" i="95"/>
  <c r="M70" i="95"/>
  <c r="K69" i="95"/>
  <c r="L69" i="95"/>
  <c r="K68" i="95"/>
  <c r="N68" i="95" s="1"/>
  <c r="L68" i="95"/>
  <c r="K67" i="95"/>
  <c r="L67" i="95"/>
  <c r="M67" i="95"/>
  <c r="K66" i="95"/>
  <c r="N66" i="95" s="1"/>
  <c r="L66" i="95"/>
  <c r="K65" i="95"/>
  <c r="L65" i="95"/>
  <c r="M65" i="95"/>
  <c r="K64" i="95"/>
  <c r="N64" i="95" s="1"/>
  <c r="L64" i="95"/>
  <c r="K63" i="95"/>
  <c r="L63" i="95"/>
  <c r="M63" i="95"/>
  <c r="K62" i="95"/>
  <c r="L62" i="95"/>
  <c r="K61" i="95"/>
  <c r="N61" i="95" s="1"/>
  <c r="L61" i="95"/>
  <c r="K60" i="95"/>
  <c r="M60" i="95" s="1"/>
  <c r="L60" i="95"/>
  <c r="N60" i="95" s="1"/>
  <c r="K59" i="95"/>
  <c r="N59" i="95" s="1"/>
  <c r="L59" i="95"/>
  <c r="K58" i="95"/>
  <c r="M58" i="95" s="1"/>
  <c r="L58" i="95"/>
  <c r="N58" i="95"/>
  <c r="K57" i="95"/>
  <c r="M57" i="95" s="1"/>
  <c r="L57" i="95"/>
  <c r="K56" i="95"/>
  <c r="L56" i="95"/>
  <c r="N56" i="95" s="1"/>
  <c r="M56" i="95"/>
  <c r="K55" i="95"/>
  <c r="N55" i="95" s="1"/>
  <c r="L55" i="95"/>
  <c r="K54" i="95"/>
  <c r="L54" i="95"/>
  <c r="N54" i="95"/>
  <c r="M54" i="95"/>
  <c r="K53" i="95"/>
  <c r="L53" i="95"/>
  <c r="K52" i="95"/>
  <c r="N52" i="95" s="1"/>
  <c r="L52" i="95"/>
  <c r="M52" i="95"/>
  <c r="K51" i="95"/>
  <c r="L51" i="95"/>
  <c r="M51" i="95"/>
  <c r="K50" i="95"/>
  <c r="N50" i="95" s="1"/>
  <c r="L50" i="95"/>
  <c r="K49" i="95"/>
  <c r="L49" i="95"/>
  <c r="K48" i="95"/>
  <c r="N48" i="95" s="1"/>
  <c r="L48" i="95"/>
  <c r="K47" i="95"/>
  <c r="L47" i="95"/>
  <c r="M47" i="95"/>
  <c r="K46" i="95"/>
  <c r="L46" i="95"/>
  <c r="K45" i="95"/>
  <c r="N45" i="95" s="1"/>
  <c r="L45" i="95"/>
  <c r="M45" i="95"/>
  <c r="K44" i="95"/>
  <c r="M44" i="95" s="1"/>
  <c r="L44" i="95"/>
  <c r="N44" i="95"/>
  <c r="K43" i="95"/>
  <c r="N43" i="95" s="1"/>
  <c r="L43" i="95"/>
  <c r="K42" i="95"/>
  <c r="N42" i="95" s="1"/>
  <c r="L42" i="95"/>
  <c r="K41" i="95"/>
  <c r="M41" i="95" s="1"/>
  <c r="L41" i="95"/>
  <c r="K40" i="95"/>
  <c r="L40" i="95"/>
  <c r="N40" i="95" s="1"/>
  <c r="M40" i="95"/>
  <c r="K39" i="95"/>
  <c r="L39" i="95"/>
  <c r="K38" i="95"/>
  <c r="L38" i="95"/>
  <c r="N38" i="95"/>
  <c r="M38" i="95"/>
  <c r="K37" i="95"/>
  <c r="L37" i="95"/>
  <c r="K36" i="95"/>
  <c r="N36" i="95" s="1"/>
  <c r="L36" i="95"/>
  <c r="M36" i="95"/>
  <c r="K35" i="95"/>
  <c r="L35" i="95"/>
  <c r="M35" i="95"/>
  <c r="K34" i="95"/>
  <c r="L34" i="95"/>
  <c r="K33" i="95"/>
  <c r="N33" i="95" s="1"/>
  <c r="L33" i="95"/>
  <c r="K32" i="95"/>
  <c r="M32" i="95" s="1"/>
  <c r="L32" i="95"/>
  <c r="N32" i="95"/>
  <c r="K31" i="95"/>
  <c r="L31" i="95"/>
  <c r="M31" i="95"/>
  <c r="K30" i="95"/>
  <c r="N30" i="95" s="1"/>
  <c r="L30" i="95"/>
  <c r="M30" i="95"/>
  <c r="K29" i="95"/>
  <c r="N29" i="95" s="1"/>
  <c r="L29" i="95"/>
  <c r="M29" i="95"/>
  <c r="K28" i="95"/>
  <c r="M28" i="95" s="1"/>
  <c r="L28" i="95"/>
  <c r="N28" i="95"/>
  <c r="K27" i="95"/>
  <c r="L27" i="95"/>
  <c r="K26" i="95"/>
  <c r="L26" i="95"/>
  <c r="K25" i="95"/>
  <c r="M25" i="95" s="1"/>
  <c r="L25" i="95"/>
  <c r="K24" i="95"/>
  <c r="L24" i="95"/>
  <c r="N24" i="95"/>
  <c r="M24" i="95"/>
  <c r="K23" i="95"/>
  <c r="N23" i="95" s="1"/>
  <c r="L23" i="95"/>
  <c r="M23" i="95"/>
  <c r="K22" i="95"/>
  <c r="L22" i="95"/>
  <c r="N22" i="95"/>
  <c r="M22" i="95"/>
  <c r="K21" i="95"/>
  <c r="L21" i="95"/>
  <c r="K20" i="95"/>
  <c r="N20" i="95" s="1"/>
  <c r="L20" i="95"/>
  <c r="K19" i="95"/>
  <c r="N19" i="95" s="1"/>
  <c r="L19" i="95"/>
  <c r="K18" i="95"/>
  <c r="N18" i="95" s="1"/>
  <c r="L18" i="95"/>
  <c r="K17" i="95"/>
  <c r="L17" i="95"/>
  <c r="K16" i="95"/>
  <c r="L16" i="95"/>
  <c r="K15" i="95"/>
  <c r="L15" i="95"/>
  <c r="M15" i="95"/>
  <c r="K14" i="95"/>
  <c r="L14" i="95"/>
  <c r="N14" i="95"/>
  <c r="M14" i="95"/>
  <c r="M13" i="95"/>
  <c r="K12" i="95"/>
  <c r="N12" i="95" s="1"/>
  <c r="M12" i="95"/>
  <c r="K11" i="95"/>
  <c r="K10" i="95"/>
  <c r="K9" i="95"/>
  <c r="N9" i="95"/>
  <c r="M9" i="95"/>
  <c r="K8" i="95"/>
  <c r="K7" i="95"/>
  <c r="K6" i="95"/>
  <c r="N6" i="95"/>
  <c r="M6" i="95"/>
  <c r="K5" i="95"/>
  <c r="M5" i="95" s="1"/>
  <c r="N5" i="95"/>
  <c r="K4" i="95"/>
  <c r="U5" i="55"/>
  <c r="C10" i="55"/>
  <c r="C9" i="55"/>
  <c r="C8" i="55"/>
  <c r="C7" i="55"/>
  <c r="C6" i="55"/>
  <c r="B7" i="55"/>
  <c r="H7" i="55" s="1"/>
  <c r="O7" i="55" s="1"/>
  <c r="B8" i="55"/>
  <c r="B6" i="55"/>
  <c r="H6" i="55" s="1"/>
  <c r="G7" i="55"/>
  <c r="H5" i="55"/>
  <c r="O5" i="55" s="1"/>
  <c r="B9" i="55"/>
  <c r="G9" i="55" s="1"/>
  <c r="BB47" i="87"/>
  <c r="BB51" i="87"/>
  <c r="AW47" i="87"/>
  <c r="AW51" i="87" s="1"/>
  <c r="AV47" i="87"/>
  <c r="AV51" i="87"/>
  <c r="AT47" i="87"/>
  <c r="BA47" i="87"/>
  <c r="BA51" i="87"/>
  <c r="AZ47" i="87"/>
  <c r="AY47" i="87"/>
  <c r="AY51" i="87" s="1"/>
  <c r="AX47" i="87"/>
  <c r="AU47" i="87"/>
  <c r="AU51" i="87" s="1"/>
  <c r="AS47" i="87"/>
  <c r="AS51" i="87"/>
  <c r="AR47" i="87"/>
  <c r="AR51" i="87" s="1"/>
  <c r="AQ47" i="87"/>
  <c r="AQ51" i="87"/>
  <c r="AX51" i="87"/>
  <c r="W105" i="81"/>
  <c r="N105" i="81"/>
  <c r="I105" i="81"/>
  <c r="F105" i="81"/>
  <c r="T105" i="81" s="1"/>
  <c r="U105" i="81" s="1"/>
  <c r="W57" i="81"/>
  <c r="N57" i="81"/>
  <c r="I57" i="81"/>
  <c r="X57" i="81" s="1"/>
  <c r="F57" i="81"/>
  <c r="T57" i="81" s="1"/>
  <c r="U57" i="81" s="1"/>
  <c r="W56" i="81"/>
  <c r="N56" i="81"/>
  <c r="I56" i="81"/>
  <c r="X56" i="81" s="1"/>
  <c r="F56" i="81"/>
  <c r="BE43" i="87"/>
  <c r="BE42" i="87"/>
  <c r="BE41" i="87"/>
  <c r="BE40" i="87"/>
  <c r="BE39" i="87"/>
  <c r="BE38" i="87"/>
  <c r="BE37" i="87"/>
  <c r="BE36" i="87"/>
  <c r="BE35" i="87"/>
  <c r="BE34" i="87"/>
  <c r="BE33" i="87"/>
  <c r="BE32" i="87"/>
  <c r="BE31" i="87"/>
  <c r="BE30" i="87"/>
  <c r="BE29" i="87"/>
  <c r="BE28" i="87"/>
  <c r="BE27" i="87"/>
  <c r="BE26" i="87"/>
  <c r="BE25" i="87"/>
  <c r="BE24" i="87"/>
  <c r="BE23" i="87"/>
  <c r="BE22" i="87"/>
  <c r="BE21" i="87"/>
  <c r="BE20" i="87"/>
  <c r="BE19" i="87"/>
  <c r="BE18" i="87"/>
  <c r="BE17" i="87"/>
  <c r="BE16" i="87"/>
  <c r="BE15" i="87"/>
  <c r="BE14" i="87"/>
  <c r="BE13" i="87"/>
  <c r="BE12" i="87"/>
  <c r="BE11" i="87"/>
  <c r="BE10" i="87"/>
  <c r="BE9" i="87"/>
  <c r="BE8" i="87"/>
  <c r="BE7" i="87"/>
  <c r="BE6" i="87"/>
  <c r="BE5" i="87"/>
  <c r="BE4" i="87"/>
  <c r="BE3" i="87"/>
  <c r="J7" i="92"/>
  <c r="D69" i="92"/>
  <c r="D67" i="92"/>
  <c r="D66" i="92"/>
  <c r="U67" i="92"/>
  <c r="U66" i="92"/>
  <c r="Q67" i="92"/>
  <c r="Q66" i="92"/>
  <c r="J67" i="92"/>
  <c r="J66" i="92"/>
  <c r="L67" i="92"/>
  <c r="L66" i="92"/>
  <c r="L69" i="92"/>
  <c r="X6" i="92"/>
  <c r="X5" i="92"/>
  <c r="X4" i="92"/>
  <c r="X3" i="92"/>
  <c r="B3" i="87"/>
  <c r="B4" i="87"/>
  <c r="B5" i="87"/>
  <c r="B6" i="87"/>
  <c r="B7" i="87"/>
  <c r="B8" i="87"/>
  <c r="B9" i="87"/>
  <c r="B10" i="87"/>
  <c r="B11" i="87"/>
  <c r="B12" i="87"/>
  <c r="B13" i="87"/>
  <c r="B14" i="87"/>
  <c r="B15" i="87"/>
  <c r="B16" i="87"/>
  <c r="B17" i="87"/>
  <c r="B18" i="87"/>
  <c r="B19" i="87"/>
  <c r="B20" i="87"/>
  <c r="B21" i="87"/>
  <c r="B22" i="87"/>
  <c r="B23" i="87"/>
  <c r="B24" i="87"/>
  <c r="B25" i="87"/>
  <c r="B26" i="87"/>
  <c r="B27" i="87"/>
  <c r="B28" i="87"/>
  <c r="B29" i="87"/>
  <c r="B30" i="87"/>
  <c r="B31" i="87"/>
  <c r="B32" i="87"/>
  <c r="B33" i="87"/>
  <c r="B34" i="87"/>
  <c r="B35" i="87"/>
  <c r="B36" i="87"/>
  <c r="B37" i="87"/>
  <c r="B38" i="87"/>
  <c r="B39" i="87"/>
  <c r="B40" i="87"/>
  <c r="B41" i="87"/>
  <c r="B42" i="87"/>
  <c r="B43" i="87"/>
  <c r="BH1" i="87"/>
  <c r="D53" i="90"/>
  <c r="D52" i="90"/>
  <c r="D29" i="90"/>
  <c r="D32" i="90"/>
  <c r="D33" i="90"/>
  <c r="D51" i="90"/>
  <c r="D44" i="90"/>
  <c r="D31" i="90"/>
  <c r="D9" i="90"/>
  <c r="D14" i="90"/>
  <c r="G14" i="90" s="1"/>
  <c r="D15" i="90"/>
  <c r="D13" i="90"/>
  <c r="G13" i="90" s="1"/>
  <c r="D40" i="90"/>
  <c r="D41" i="90"/>
  <c r="D36" i="90"/>
  <c r="D30" i="90"/>
  <c r="D37" i="90"/>
  <c r="D12" i="90"/>
  <c r="G12" i="90" s="1"/>
  <c r="D8" i="90"/>
  <c r="D45" i="90"/>
  <c r="D47" i="90"/>
  <c r="D23" i="90"/>
  <c r="D18" i="90"/>
  <c r="D48" i="90"/>
  <c r="D25" i="90"/>
  <c r="D49" i="90"/>
  <c r="D42" i="90"/>
  <c r="D27" i="90"/>
  <c r="D11" i="90"/>
  <c r="G11" i="90" s="1"/>
  <c r="D43" i="90"/>
  <c r="D35" i="90"/>
  <c r="D19" i="90"/>
  <c r="D22" i="90"/>
  <c r="D38" i="90"/>
  <c r="D46" i="90"/>
  <c r="D34" i="90"/>
  <c r="D10" i="90"/>
  <c r="D16" i="90"/>
  <c r="D28" i="90"/>
  <c r="D24" i="90"/>
  <c r="D20" i="90"/>
  <c r="D26" i="90"/>
  <c r="D39" i="90"/>
  <c r="D21" i="90"/>
  <c r="D17" i="90"/>
  <c r="D50" i="90"/>
  <c r="B53" i="90"/>
  <c r="B52" i="90"/>
  <c r="C51" i="90"/>
  <c r="B51" i="90"/>
  <c r="C50" i="90"/>
  <c r="B50" i="90"/>
  <c r="C49" i="90"/>
  <c r="B49" i="90"/>
  <c r="C48" i="90"/>
  <c r="B48" i="90"/>
  <c r="C47" i="90"/>
  <c r="B47" i="90"/>
  <c r="C46" i="90"/>
  <c r="B46" i="90"/>
  <c r="C45" i="90"/>
  <c r="B45" i="90"/>
  <c r="C44" i="90"/>
  <c r="B44" i="90"/>
  <c r="C43" i="90"/>
  <c r="B43" i="90"/>
  <c r="C42" i="90"/>
  <c r="B42" i="90"/>
  <c r="C41" i="90"/>
  <c r="B41" i="90"/>
  <c r="C40" i="90"/>
  <c r="B40" i="90"/>
  <c r="C39" i="90"/>
  <c r="B39" i="90"/>
  <c r="C38" i="90"/>
  <c r="B38" i="90"/>
  <c r="C37" i="90"/>
  <c r="B37" i="90"/>
  <c r="C36" i="90"/>
  <c r="B36" i="90"/>
  <c r="C35" i="90"/>
  <c r="B35" i="90"/>
  <c r="C34" i="90"/>
  <c r="B34" i="90"/>
  <c r="C33" i="90"/>
  <c r="B33" i="90"/>
  <c r="C32" i="90"/>
  <c r="B32" i="90"/>
  <c r="C31" i="90"/>
  <c r="B31" i="90"/>
  <c r="C30" i="90"/>
  <c r="B30" i="90"/>
  <c r="C29" i="90"/>
  <c r="B29" i="90"/>
  <c r="C28" i="90"/>
  <c r="B28" i="90"/>
  <c r="C27" i="90"/>
  <c r="B27" i="90"/>
  <c r="C26" i="90"/>
  <c r="B26" i="90"/>
  <c r="C25" i="90"/>
  <c r="B25" i="90"/>
  <c r="C24" i="90"/>
  <c r="B24" i="90"/>
  <c r="C23" i="90"/>
  <c r="B23" i="90"/>
  <c r="C22" i="90"/>
  <c r="B22" i="90"/>
  <c r="C21" i="90"/>
  <c r="B21" i="90"/>
  <c r="C20" i="90"/>
  <c r="B20" i="90"/>
  <c r="C19" i="90"/>
  <c r="B19" i="90"/>
  <c r="C18" i="90"/>
  <c r="B18" i="90"/>
  <c r="C17" i="90"/>
  <c r="B17" i="90"/>
  <c r="C16" i="90"/>
  <c r="B16" i="90"/>
  <c r="C15" i="90"/>
  <c r="B15" i="90"/>
  <c r="C14" i="90"/>
  <c r="B14" i="90"/>
  <c r="C13" i="90"/>
  <c r="B13" i="90"/>
  <c r="C12" i="90"/>
  <c r="B12" i="90"/>
  <c r="C11" i="90"/>
  <c r="B11" i="90"/>
  <c r="C10" i="90"/>
  <c r="B10" i="90"/>
  <c r="C9" i="90"/>
  <c r="B9" i="90"/>
  <c r="C8" i="90"/>
  <c r="B8" i="90"/>
  <c r="BD43" i="87"/>
  <c r="BD42" i="87"/>
  <c r="BD41" i="87"/>
  <c r="BD40" i="87"/>
  <c r="BD39" i="87"/>
  <c r="BD38" i="87"/>
  <c r="BD37" i="87"/>
  <c r="BD36" i="87"/>
  <c r="BD35" i="87"/>
  <c r="BD34" i="87"/>
  <c r="BD33" i="87"/>
  <c r="BD32" i="87"/>
  <c r="BD31" i="87"/>
  <c r="BD30" i="87"/>
  <c r="BD29" i="87"/>
  <c r="BD28" i="87"/>
  <c r="BD27" i="87"/>
  <c r="BD26" i="87"/>
  <c r="BD25" i="87"/>
  <c r="BD24" i="87"/>
  <c r="BD23" i="87"/>
  <c r="BD22" i="87"/>
  <c r="BD21" i="87"/>
  <c r="BD20" i="87"/>
  <c r="BD19" i="87"/>
  <c r="BD18" i="87"/>
  <c r="BD17" i="87"/>
  <c r="BD16" i="87"/>
  <c r="BD15" i="87"/>
  <c r="BD14" i="87"/>
  <c r="BD13" i="87"/>
  <c r="BD12" i="87"/>
  <c r="BD11" i="87"/>
  <c r="BD10" i="87"/>
  <c r="BD9" i="87"/>
  <c r="BD8" i="87"/>
  <c r="BD7" i="87"/>
  <c r="BD6" i="87"/>
  <c r="BD5" i="87"/>
  <c r="BD4" i="87"/>
  <c r="BD3" i="87"/>
  <c r="T7" i="92"/>
  <c r="T6" i="92"/>
  <c r="T5" i="92"/>
  <c r="T4" i="92"/>
  <c r="T3" i="92"/>
  <c r="J6" i="92"/>
  <c r="J5" i="92"/>
  <c r="J4" i="92"/>
  <c r="J3" i="92"/>
  <c r="BJ43" i="87"/>
  <c r="BJ42" i="87"/>
  <c r="BJ41" i="87"/>
  <c r="BJ40" i="87"/>
  <c r="BJ39" i="87"/>
  <c r="BJ38" i="87"/>
  <c r="BJ37" i="87"/>
  <c r="BJ36" i="87"/>
  <c r="BJ35" i="87"/>
  <c r="BJ34" i="87"/>
  <c r="BJ33" i="87"/>
  <c r="BJ32" i="87"/>
  <c r="BJ31" i="87"/>
  <c r="BJ30" i="87"/>
  <c r="BJ29" i="87"/>
  <c r="BJ28" i="87"/>
  <c r="BJ27" i="87"/>
  <c r="BJ26" i="87"/>
  <c r="BJ25" i="87"/>
  <c r="BJ24" i="87"/>
  <c r="BJ23" i="87"/>
  <c r="BJ22" i="87"/>
  <c r="BJ21" i="87"/>
  <c r="BJ20" i="87"/>
  <c r="BJ19" i="87"/>
  <c r="BJ18" i="87"/>
  <c r="BJ17" i="87"/>
  <c r="BJ16" i="87"/>
  <c r="BJ15" i="87"/>
  <c r="BJ14" i="87"/>
  <c r="BJ13" i="87"/>
  <c r="BJ12" i="87"/>
  <c r="BJ11" i="87"/>
  <c r="BJ10" i="87"/>
  <c r="BJ9" i="87"/>
  <c r="BJ8" i="87"/>
  <c r="BJ7" i="87"/>
  <c r="BJ6" i="87"/>
  <c r="BJ5" i="87"/>
  <c r="BJ4" i="87"/>
  <c r="G48" i="87"/>
  <c r="BJ3" i="87"/>
  <c r="A4" i="90"/>
  <c r="H43" i="85"/>
  <c r="I43" i="85" s="1"/>
  <c r="J43" i="85" s="1"/>
  <c r="K43" i="85" s="1"/>
  <c r="L43" i="85" s="1"/>
  <c r="H41" i="85"/>
  <c r="F41" i="85"/>
  <c r="H40" i="85"/>
  <c r="F40" i="85"/>
  <c r="E40" i="85"/>
  <c r="H39" i="85"/>
  <c r="F39" i="85"/>
  <c r="E39" i="85"/>
  <c r="H38" i="85"/>
  <c r="F38" i="85"/>
  <c r="E38" i="85"/>
  <c r="H37" i="85"/>
  <c r="F37" i="85"/>
  <c r="E37" i="85"/>
  <c r="H29" i="85"/>
  <c r="F29" i="85"/>
  <c r="E29" i="85"/>
  <c r="H28" i="85"/>
  <c r="F28" i="85"/>
  <c r="E28" i="85"/>
  <c r="H27" i="85"/>
  <c r="F27" i="85"/>
  <c r="E27" i="85"/>
  <c r="H26" i="85"/>
  <c r="F26" i="85"/>
  <c r="E26" i="85"/>
  <c r="H25" i="85"/>
  <c r="F25" i="85"/>
  <c r="E25" i="85"/>
  <c r="H24" i="85"/>
  <c r="F24" i="85"/>
  <c r="E24" i="85"/>
  <c r="H23" i="85"/>
  <c r="F23" i="85"/>
  <c r="E23" i="85"/>
  <c r="H22" i="85"/>
  <c r="F22" i="85"/>
  <c r="E22" i="85"/>
  <c r="AP47" i="87"/>
  <c r="AP51" i="87"/>
  <c r="AO47" i="87"/>
  <c r="AO51" i="87" s="1"/>
  <c r="AN47" i="87"/>
  <c r="AM47" i="87"/>
  <c r="AL47" i="87"/>
  <c r="AL51" i="87" s="1"/>
  <c r="AK47" i="87"/>
  <c r="AJ47" i="87"/>
  <c r="AJ51" i="87"/>
  <c r="AI47" i="87"/>
  <c r="AH47" i="87"/>
  <c r="AG47" i="87"/>
  <c r="AG51" i="87" s="1"/>
  <c r="AF47" i="87"/>
  <c r="AF51" i="87"/>
  <c r="AE47" i="87"/>
  <c r="AE51" i="87" s="1"/>
  <c r="AD47" i="87"/>
  <c r="AC47" i="87"/>
  <c r="AB47" i="87"/>
  <c r="AA47" i="87"/>
  <c r="Z47" i="87"/>
  <c r="Y47" i="87"/>
  <c r="X47" i="87"/>
  <c r="W47" i="87"/>
  <c r="V47" i="87"/>
  <c r="U47" i="87"/>
  <c r="T47" i="87"/>
  <c r="S47" i="87"/>
  <c r="R47" i="87"/>
  <c r="Q47" i="87"/>
  <c r="P47" i="87"/>
  <c r="O47" i="87"/>
  <c r="N47" i="87"/>
  <c r="M47" i="87"/>
  <c r="L47" i="87"/>
  <c r="K47" i="87"/>
  <c r="J47" i="87"/>
  <c r="I47" i="87"/>
  <c r="H47" i="87"/>
  <c r="H49" i="87" s="1"/>
  <c r="G47" i="87"/>
  <c r="H10" i="85"/>
  <c r="H9" i="85"/>
  <c r="H8" i="85"/>
  <c r="H7" i="85"/>
  <c r="H6" i="85"/>
  <c r="H5" i="85"/>
  <c r="H4" i="85"/>
  <c r="H3" i="85"/>
  <c r="F100" i="81"/>
  <c r="T100" i="81" s="1"/>
  <c r="U100" i="81" s="1"/>
  <c r="I100" i="81"/>
  <c r="X100" i="81" s="1"/>
  <c r="N100" i="81"/>
  <c r="W100" i="81"/>
  <c r="F99" i="81"/>
  <c r="T99" i="81" s="1"/>
  <c r="U99" i="81" s="1"/>
  <c r="I99" i="81"/>
  <c r="X99" i="81" s="1"/>
  <c r="N99" i="81"/>
  <c r="O99" i="81" s="1"/>
  <c r="W99" i="81"/>
  <c r="F98" i="81"/>
  <c r="T98" i="81" s="1"/>
  <c r="U98" i="81" s="1"/>
  <c r="I98" i="81"/>
  <c r="X98" i="81" s="1"/>
  <c r="N98" i="81"/>
  <c r="W98" i="81"/>
  <c r="F97" i="81"/>
  <c r="I97" i="81"/>
  <c r="X97" i="81" s="1"/>
  <c r="N97" i="81"/>
  <c r="W97" i="81"/>
  <c r="F96" i="81"/>
  <c r="T96" i="81" s="1"/>
  <c r="U96" i="81" s="1"/>
  <c r="I96" i="81"/>
  <c r="N96" i="81"/>
  <c r="W96" i="81"/>
  <c r="F95" i="81"/>
  <c r="O95" i="81" s="1"/>
  <c r="P95" i="81" s="1"/>
  <c r="I95" i="81"/>
  <c r="N95" i="81"/>
  <c r="W95" i="81"/>
  <c r="F94" i="81"/>
  <c r="T94" i="81" s="1"/>
  <c r="U94" i="81" s="1"/>
  <c r="N94" i="81"/>
  <c r="O94" i="81" s="1"/>
  <c r="I94" i="81"/>
  <c r="W94" i="81"/>
  <c r="F93" i="81"/>
  <c r="O93" i="81"/>
  <c r="P93" i="81" s="1"/>
  <c r="I93" i="81"/>
  <c r="N93" i="81"/>
  <c r="W93" i="81"/>
  <c r="F92" i="81"/>
  <c r="T92" i="81" s="1"/>
  <c r="U92" i="81" s="1"/>
  <c r="I92" i="81"/>
  <c r="N92" i="81"/>
  <c r="W92" i="81"/>
  <c r="F91" i="81"/>
  <c r="T91" i="81" s="1"/>
  <c r="U91" i="81" s="1"/>
  <c r="I91" i="81"/>
  <c r="X91" i="81" s="1"/>
  <c r="N91" i="81"/>
  <c r="W91" i="81"/>
  <c r="F90" i="81"/>
  <c r="I90" i="81"/>
  <c r="X90" i="81" s="1"/>
  <c r="N90" i="81"/>
  <c r="W90" i="81"/>
  <c r="F89" i="81"/>
  <c r="I89" i="81"/>
  <c r="N89" i="81"/>
  <c r="W89" i="81"/>
  <c r="F88" i="81"/>
  <c r="T88" i="81" s="1"/>
  <c r="U88" i="81" s="1"/>
  <c r="I88" i="81"/>
  <c r="J88" i="81" s="1"/>
  <c r="N88" i="81"/>
  <c r="O88" i="81" s="1"/>
  <c r="W88" i="81"/>
  <c r="F87" i="81"/>
  <c r="T87" i="81" s="1"/>
  <c r="U87" i="81" s="1"/>
  <c r="I87" i="81"/>
  <c r="N87" i="81"/>
  <c r="W87" i="81"/>
  <c r="F86" i="81"/>
  <c r="T86" i="81" s="1"/>
  <c r="U86" i="81" s="1"/>
  <c r="I86" i="81"/>
  <c r="N86" i="81"/>
  <c r="W86" i="81"/>
  <c r="F85" i="81"/>
  <c r="T85" i="81" s="1"/>
  <c r="U85" i="81" s="1"/>
  <c r="I85" i="81"/>
  <c r="N85" i="81"/>
  <c r="W85" i="81"/>
  <c r="F84" i="81"/>
  <c r="T84" i="81" s="1"/>
  <c r="U84" i="81" s="1"/>
  <c r="I84" i="81"/>
  <c r="N84" i="81"/>
  <c r="W84" i="81"/>
  <c r="F83" i="81"/>
  <c r="T83" i="81" s="1"/>
  <c r="U83" i="81" s="1"/>
  <c r="I83" i="81"/>
  <c r="N83" i="81"/>
  <c r="W83" i="81"/>
  <c r="F82" i="81"/>
  <c r="T82" i="81" s="1"/>
  <c r="U82" i="81" s="1"/>
  <c r="I82" i="81"/>
  <c r="N82" i="81"/>
  <c r="W82" i="81"/>
  <c r="F81" i="81"/>
  <c r="T81" i="81" s="1"/>
  <c r="U81" i="81" s="1"/>
  <c r="I81" i="81"/>
  <c r="J81" i="81" s="1"/>
  <c r="N81" i="81"/>
  <c r="W81" i="81"/>
  <c r="F80" i="81"/>
  <c r="T80" i="81" s="1"/>
  <c r="U80" i="81" s="1"/>
  <c r="I80" i="81"/>
  <c r="N80" i="81"/>
  <c r="W80" i="81"/>
  <c r="F79" i="81"/>
  <c r="T79" i="81" s="1"/>
  <c r="U79" i="81" s="1"/>
  <c r="I79" i="81"/>
  <c r="N79" i="81"/>
  <c r="W79" i="81"/>
  <c r="F78" i="81"/>
  <c r="I78" i="81"/>
  <c r="X78" i="81" s="1"/>
  <c r="N78" i="81"/>
  <c r="W78" i="81"/>
  <c r="F77" i="81"/>
  <c r="T77" i="81" s="1"/>
  <c r="U77" i="81" s="1"/>
  <c r="I77" i="81"/>
  <c r="N77" i="81"/>
  <c r="X77" i="81" s="1"/>
  <c r="W77" i="81"/>
  <c r="F76" i="81"/>
  <c r="T76" i="81" s="1"/>
  <c r="U76" i="81" s="1"/>
  <c r="I76" i="81"/>
  <c r="N76" i="81"/>
  <c r="W76" i="81"/>
  <c r="F75" i="81"/>
  <c r="T75" i="81" s="1"/>
  <c r="U75" i="81" s="1"/>
  <c r="I75" i="81"/>
  <c r="N75" i="81"/>
  <c r="W75" i="81"/>
  <c r="F74" i="81"/>
  <c r="T74" i="81" s="1"/>
  <c r="U74" i="81" s="1"/>
  <c r="I74" i="81"/>
  <c r="N74" i="81"/>
  <c r="W74" i="81"/>
  <c r="F73" i="81"/>
  <c r="T73" i="81" s="1"/>
  <c r="U73" i="81" s="1"/>
  <c r="I73" i="81"/>
  <c r="N73" i="81"/>
  <c r="W73" i="81"/>
  <c r="F72" i="81"/>
  <c r="T72" i="81" s="1"/>
  <c r="U72" i="81" s="1"/>
  <c r="I72" i="81"/>
  <c r="N72" i="81"/>
  <c r="W72" i="81"/>
  <c r="F71" i="81"/>
  <c r="I71" i="81"/>
  <c r="N71" i="81"/>
  <c r="W71" i="81"/>
  <c r="F70" i="81"/>
  <c r="T70" i="81" s="1"/>
  <c r="U70" i="81" s="1"/>
  <c r="I70" i="81"/>
  <c r="N70" i="81"/>
  <c r="W70" i="81"/>
  <c r="F69" i="81"/>
  <c r="T69" i="81" s="1"/>
  <c r="U69" i="81" s="1"/>
  <c r="I69" i="81"/>
  <c r="N69" i="81"/>
  <c r="X69" i="81" s="1"/>
  <c r="W69" i="81"/>
  <c r="F68" i="81"/>
  <c r="T68" i="81" s="1"/>
  <c r="U68" i="81" s="1"/>
  <c r="I68" i="81"/>
  <c r="N68" i="81"/>
  <c r="W68" i="81"/>
  <c r="F67" i="81"/>
  <c r="T67" i="81" s="1"/>
  <c r="U67" i="81" s="1"/>
  <c r="I67" i="81"/>
  <c r="N67" i="81"/>
  <c r="O67" i="81" s="1"/>
  <c r="W67" i="81"/>
  <c r="F66" i="81"/>
  <c r="T66" i="81" s="1"/>
  <c r="U66" i="81" s="1"/>
  <c r="I66" i="81"/>
  <c r="N66" i="81"/>
  <c r="W66" i="81"/>
  <c r="F65" i="81"/>
  <c r="T65" i="81" s="1"/>
  <c r="U65" i="81" s="1"/>
  <c r="I65" i="81"/>
  <c r="N65" i="81"/>
  <c r="W65" i="81"/>
  <c r="F64" i="81"/>
  <c r="T64" i="81" s="1"/>
  <c r="U64" i="81" s="1"/>
  <c r="I64" i="81"/>
  <c r="N64" i="81"/>
  <c r="W64" i="81"/>
  <c r="F63" i="81"/>
  <c r="T63" i="81" s="1"/>
  <c r="U63" i="81" s="1"/>
  <c r="N63" i="81"/>
  <c r="I63" i="81"/>
  <c r="W63" i="81"/>
  <c r="F62" i="81"/>
  <c r="T62" i="81" s="1"/>
  <c r="U62" i="81" s="1"/>
  <c r="I62" i="81"/>
  <c r="N62" i="81"/>
  <c r="W62" i="81"/>
  <c r="I102" i="81"/>
  <c r="J102" i="81"/>
  <c r="K102" i="81"/>
  <c r="N102" i="81"/>
  <c r="X102" i="81" s="1"/>
  <c r="W102" i="81"/>
  <c r="F26" i="81"/>
  <c r="T26" i="81" s="1"/>
  <c r="U26" i="81" s="1"/>
  <c r="I26" i="81"/>
  <c r="N26" i="81"/>
  <c r="W26" i="81"/>
  <c r="F25" i="81"/>
  <c r="T25" i="81" s="1"/>
  <c r="U25" i="81" s="1"/>
  <c r="O25" i="81"/>
  <c r="P25" i="81" s="1"/>
  <c r="I25" i="81"/>
  <c r="N25" i="81"/>
  <c r="W25" i="81"/>
  <c r="F35" i="81"/>
  <c r="T35" i="81" s="1"/>
  <c r="U35" i="81" s="1"/>
  <c r="I35" i="81"/>
  <c r="N35" i="81"/>
  <c r="W35" i="81"/>
  <c r="F34" i="81"/>
  <c r="T34" i="81" s="1"/>
  <c r="U34" i="81" s="1"/>
  <c r="I34" i="81"/>
  <c r="N34" i="81"/>
  <c r="W34" i="81"/>
  <c r="F33" i="81"/>
  <c r="T33" i="81" s="1"/>
  <c r="U33" i="81" s="1"/>
  <c r="I33" i="81"/>
  <c r="N33" i="81"/>
  <c r="X33" i="81" s="1"/>
  <c r="W33" i="81"/>
  <c r="F45" i="81"/>
  <c r="T45" i="81" s="1"/>
  <c r="U45" i="81" s="1"/>
  <c r="I45" i="81"/>
  <c r="N45" i="81"/>
  <c r="W45" i="81"/>
  <c r="F44" i="81"/>
  <c r="T44" i="81" s="1"/>
  <c r="U44" i="81" s="1"/>
  <c r="I44" i="81"/>
  <c r="N44" i="81"/>
  <c r="X44" i="81" s="1"/>
  <c r="W44" i="81"/>
  <c r="F43" i="81"/>
  <c r="I43" i="81"/>
  <c r="N43" i="81"/>
  <c r="W43" i="81"/>
  <c r="F60" i="81"/>
  <c r="N60" i="81"/>
  <c r="I60" i="81"/>
  <c r="W60" i="81"/>
  <c r="F59" i="81"/>
  <c r="I59" i="81"/>
  <c r="N59" i="81"/>
  <c r="W59" i="81"/>
  <c r="F32" i="81"/>
  <c r="I32" i="81"/>
  <c r="N32" i="81"/>
  <c r="W32" i="81"/>
  <c r="F31" i="81"/>
  <c r="T31" i="81" s="1"/>
  <c r="U31" i="81" s="1"/>
  <c r="I31" i="81"/>
  <c r="X31" i="81" s="1"/>
  <c r="N31" i="81"/>
  <c r="W31" i="81"/>
  <c r="F41" i="81"/>
  <c r="I41" i="81"/>
  <c r="N41" i="81"/>
  <c r="W41" i="81"/>
  <c r="F40" i="81"/>
  <c r="T40" i="81" s="1"/>
  <c r="U40" i="81" s="1"/>
  <c r="I40" i="81"/>
  <c r="N40" i="81"/>
  <c r="X40" i="81" s="1"/>
  <c r="W40" i="81"/>
  <c r="F30" i="81"/>
  <c r="T30" i="81" s="1"/>
  <c r="U30" i="81" s="1"/>
  <c r="I30" i="81"/>
  <c r="X30" i="81" s="1"/>
  <c r="N30" i="81"/>
  <c r="W30" i="81"/>
  <c r="F42" i="81"/>
  <c r="T42" i="81" s="1"/>
  <c r="U42" i="81" s="1"/>
  <c r="N42" i="81"/>
  <c r="I42" i="81"/>
  <c r="X42" i="81" s="1"/>
  <c r="W42" i="81"/>
  <c r="F29" i="81"/>
  <c r="T29" i="81" s="1"/>
  <c r="U29" i="81" s="1"/>
  <c r="N29" i="81"/>
  <c r="I29" i="81"/>
  <c r="W29" i="81"/>
  <c r="F28" i="81"/>
  <c r="T28" i="81" s="1"/>
  <c r="U28" i="81" s="1"/>
  <c r="I28" i="81"/>
  <c r="N28" i="81"/>
  <c r="W28" i="81"/>
  <c r="F27" i="81"/>
  <c r="T27" i="81" s="1"/>
  <c r="U27" i="81" s="1"/>
  <c r="I27" i="81"/>
  <c r="N27" i="81"/>
  <c r="W27" i="81"/>
  <c r="F39" i="81"/>
  <c r="T39" i="81" s="1"/>
  <c r="U39" i="81" s="1"/>
  <c r="N39" i="81"/>
  <c r="I39" i="81"/>
  <c r="W39" i="81"/>
  <c r="F38" i="81"/>
  <c r="T38" i="81" s="1"/>
  <c r="U38" i="81" s="1"/>
  <c r="I38" i="81"/>
  <c r="N38" i="81"/>
  <c r="W38" i="81"/>
  <c r="F37" i="81"/>
  <c r="T37" i="81" s="1"/>
  <c r="U37" i="81" s="1"/>
  <c r="I37" i="81"/>
  <c r="N37" i="81"/>
  <c r="W37" i="81"/>
  <c r="F15" i="81"/>
  <c r="T15" i="81" s="1"/>
  <c r="U15" i="81" s="1"/>
  <c r="I15" i="81"/>
  <c r="X15" i="81" s="1"/>
  <c r="N15" i="81"/>
  <c r="W15" i="81"/>
  <c r="F14" i="81"/>
  <c r="T14" i="81" s="1"/>
  <c r="U14" i="81" s="1"/>
  <c r="N14" i="81"/>
  <c r="I14" i="81"/>
  <c r="W14" i="81"/>
  <c r="F23" i="81"/>
  <c r="T23" i="81" s="1"/>
  <c r="U23" i="81" s="1"/>
  <c r="I23" i="81"/>
  <c r="N23" i="81"/>
  <c r="W23" i="81"/>
  <c r="F22" i="81"/>
  <c r="T22" i="81" s="1"/>
  <c r="U22" i="81" s="1"/>
  <c r="I22" i="81"/>
  <c r="N22" i="81"/>
  <c r="W22" i="81"/>
  <c r="X10" i="85"/>
  <c r="W10" i="85"/>
  <c r="V10" i="85"/>
  <c r="U10" i="85"/>
  <c r="T10" i="85"/>
  <c r="S10" i="85"/>
  <c r="R10" i="85"/>
  <c r="Q10" i="85"/>
  <c r="P10" i="85"/>
  <c r="O10" i="85"/>
  <c r="N10" i="85"/>
  <c r="M10" i="85"/>
  <c r="F10" i="85"/>
  <c r="E10" i="85"/>
  <c r="X9" i="85"/>
  <c r="W9" i="85"/>
  <c r="V9" i="85"/>
  <c r="U9" i="85"/>
  <c r="T9" i="85"/>
  <c r="S9" i="85"/>
  <c r="R9" i="85"/>
  <c r="Q9" i="85"/>
  <c r="P9" i="85"/>
  <c r="O9" i="85"/>
  <c r="N9" i="85"/>
  <c r="M9" i="85"/>
  <c r="F9" i="85"/>
  <c r="E9" i="85"/>
  <c r="X8" i="85"/>
  <c r="W8" i="85"/>
  <c r="V8" i="85"/>
  <c r="U8" i="85"/>
  <c r="T8" i="85"/>
  <c r="S8" i="85"/>
  <c r="R8" i="85"/>
  <c r="Q8" i="85"/>
  <c r="P8" i="85"/>
  <c r="O8" i="85"/>
  <c r="N8" i="85"/>
  <c r="M8" i="85"/>
  <c r="F8" i="85"/>
  <c r="E8" i="85"/>
  <c r="X7" i="85"/>
  <c r="W7" i="85"/>
  <c r="V7" i="85"/>
  <c r="U7" i="85"/>
  <c r="T7" i="85"/>
  <c r="S7" i="85"/>
  <c r="R7" i="85"/>
  <c r="Q7" i="85"/>
  <c r="P7" i="85"/>
  <c r="O7" i="85"/>
  <c r="N7" i="85"/>
  <c r="M7" i="85"/>
  <c r="F7" i="85"/>
  <c r="E7" i="85"/>
  <c r="X6" i="85"/>
  <c r="W6" i="85"/>
  <c r="V6" i="85"/>
  <c r="U6" i="85"/>
  <c r="T6" i="85"/>
  <c r="S6" i="85"/>
  <c r="R6" i="85"/>
  <c r="Q6" i="85"/>
  <c r="P6" i="85"/>
  <c r="O6" i="85"/>
  <c r="N6" i="85"/>
  <c r="M6" i="85"/>
  <c r="F6" i="85"/>
  <c r="E6" i="85"/>
  <c r="X5" i="85"/>
  <c r="W5" i="85"/>
  <c r="V5" i="85"/>
  <c r="U5" i="85"/>
  <c r="T5" i="85"/>
  <c r="S5" i="85"/>
  <c r="R5" i="85"/>
  <c r="Q5" i="85"/>
  <c r="P5" i="85"/>
  <c r="O5" i="85"/>
  <c r="N5" i="85"/>
  <c r="M5" i="85"/>
  <c r="F5" i="85"/>
  <c r="E5" i="85"/>
  <c r="X4" i="85"/>
  <c r="W4" i="85"/>
  <c r="V4" i="85"/>
  <c r="U4" i="85"/>
  <c r="T4" i="85"/>
  <c r="S4" i="85"/>
  <c r="R4" i="85"/>
  <c r="Q4" i="85"/>
  <c r="P4" i="85"/>
  <c r="O4" i="85"/>
  <c r="N4" i="85"/>
  <c r="M4" i="85"/>
  <c r="F4" i="85"/>
  <c r="E4" i="85"/>
  <c r="X3" i="85"/>
  <c r="W3" i="85"/>
  <c r="V3" i="85"/>
  <c r="U3" i="85"/>
  <c r="T3" i="85"/>
  <c r="S3" i="85"/>
  <c r="R3" i="85"/>
  <c r="Q3" i="85"/>
  <c r="P3" i="85"/>
  <c r="O3" i="85"/>
  <c r="N3" i="85"/>
  <c r="M3" i="85"/>
  <c r="F3" i="85"/>
  <c r="E3" i="85"/>
  <c r="AA32" i="65"/>
  <c r="W32" i="65"/>
  <c r="X32" i="65" s="1"/>
  <c r="S32" i="65"/>
  <c r="H32" i="65"/>
  <c r="AB32" i="65" s="1"/>
  <c r="G32" i="65"/>
  <c r="E111" i="81"/>
  <c r="N8" i="81"/>
  <c r="I8" i="81"/>
  <c r="F8" i="81"/>
  <c r="T8" i="81" s="1"/>
  <c r="W19" i="81"/>
  <c r="N19" i="81"/>
  <c r="O19" i="81" s="1"/>
  <c r="I19" i="81"/>
  <c r="J19" i="81" s="1"/>
  <c r="F19" i="81"/>
  <c r="T19" i="81" s="1"/>
  <c r="U19" i="81" s="1"/>
  <c r="W18" i="81"/>
  <c r="N18" i="81"/>
  <c r="I18" i="81"/>
  <c r="F18" i="81"/>
  <c r="T18" i="81" s="1"/>
  <c r="U18" i="81" s="1"/>
  <c r="W51" i="81"/>
  <c r="N51" i="81"/>
  <c r="I51" i="81"/>
  <c r="J51" i="81" s="1"/>
  <c r="F51" i="81"/>
  <c r="T51" i="81" s="1"/>
  <c r="U51" i="81" s="1"/>
  <c r="W49" i="81"/>
  <c r="N49" i="81"/>
  <c r="I49" i="81"/>
  <c r="X49" i="81" s="1"/>
  <c r="F49" i="81"/>
  <c r="T49" i="81" s="1"/>
  <c r="U49" i="81" s="1"/>
  <c r="W47" i="81"/>
  <c r="N47" i="81"/>
  <c r="I47" i="81"/>
  <c r="J47" i="81" s="1"/>
  <c r="F47" i="81"/>
  <c r="T47" i="81" s="1"/>
  <c r="U47" i="81" s="1"/>
  <c r="W16" i="81"/>
  <c r="N16" i="81"/>
  <c r="I16" i="81"/>
  <c r="F16" i="81"/>
  <c r="T16" i="81" s="1"/>
  <c r="U16" i="81" s="1"/>
  <c r="W55" i="81"/>
  <c r="N55" i="81"/>
  <c r="I55" i="81"/>
  <c r="F55" i="81"/>
  <c r="T55" i="81" s="1"/>
  <c r="U55" i="81" s="1"/>
  <c r="W111" i="81"/>
  <c r="F111" i="81"/>
  <c r="W110" i="81"/>
  <c r="N110" i="81"/>
  <c r="I110" i="81"/>
  <c r="F110" i="81"/>
  <c r="T110" i="81" s="1"/>
  <c r="U110" i="81" s="1"/>
  <c r="W109" i="81"/>
  <c r="N109" i="81"/>
  <c r="I109" i="81"/>
  <c r="F109" i="81"/>
  <c r="T109" i="81" s="1"/>
  <c r="U109" i="81" s="1"/>
  <c r="W108" i="81"/>
  <c r="N108" i="81"/>
  <c r="I108" i="81"/>
  <c r="F108" i="81"/>
  <c r="W107" i="81"/>
  <c r="N107" i="81"/>
  <c r="F107" i="81"/>
  <c r="I107" i="81"/>
  <c r="X107" i="81" s="1"/>
  <c r="W106" i="81"/>
  <c r="N106" i="81"/>
  <c r="I106" i="81"/>
  <c r="F106" i="81"/>
  <c r="T106" i="81" s="1"/>
  <c r="U106" i="81" s="1"/>
  <c r="W104" i="81"/>
  <c r="N104" i="81"/>
  <c r="I104" i="81"/>
  <c r="F104" i="81"/>
  <c r="T104" i="81" s="1"/>
  <c r="U104" i="81" s="1"/>
  <c r="W103" i="81"/>
  <c r="N103" i="81"/>
  <c r="I103" i="81"/>
  <c r="J103" i="81" s="1"/>
  <c r="F103" i="81"/>
  <c r="T103" i="81" s="1"/>
  <c r="U103" i="81" s="1"/>
  <c r="W13" i="81"/>
  <c r="N13" i="81"/>
  <c r="F13" i="81"/>
  <c r="T13" i="81" s="1"/>
  <c r="U13" i="81" s="1"/>
  <c r="I13" i="81"/>
  <c r="W12" i="81"/>
  <c r="N12" i="81"/>
  <c r="I12" i="81"/>
  <c r="F12" i="81"/>
  <c r="T12" i="81" s="1"/>
  <c r="U12" i="81" s="1"/>
  <c r="W11" i="81"/>
  <c r="N11" i="81"/>
  <c r="O11" i="81" s="1"/>
  <c r="P11" i="81" s="1"/>
  <c r="I11" i="81"/>
  <c r="F11" i="81"/>
  <c r="T11" i="81" s="1"/>
  <c r="U11" i="81" s="1"/>
  <c r="W10" i="81"/>
  <c r="N10" i="81"/>
  <c r="I10" i="81"/>
  <c r="F10" i="81"/>
  <c r="W21" i="81"/>
  <c r="N21" i="81"/>
  <c r="F21" i="81"/>
  <c r="T21" i="81" s="1"/>
  <c r="U21" i="81" s="1"/>
  <c r="I21" i="81"/>
  <c r="W20" i="81"/>
  <c r="N20" i="81"/>
  <c r="I20" i="81"/>
  <c r="F20" i="81"/>
  <c r="T20" i="81" s="1"/>
  <c r="U20" i="81" s="1"/>
  <c r="W53" i="81"/>
  <c r="N53" i="81"/>
  <c r="I53" i="81"/>
  <c r="X53" i="81" s="1"/>
  <c r="F53" i="81"/>
  <c r="T53" i="81" s="1"/>
  <c r="U53" i="81" s="1"/>
  <c r="W52" i="81"/>
  <c r="N52" i="81"/>
  <c r="X52" i="81" s="1"/>
  <c r="I52" i="81"/>
  <c r="F52" i="81"/>
  <c r="T52" i="81" s="1"/>
  <c r="U52" i="81" s="1"/>
  <c r="W17" i="81"/>
  <c r="N17" i="81"/>
  <c r="I17" i="81"/>
  <c r="F17" i="81"/>
  <c r="W36" i="81"/>
  <c r="N36" i="81"/>
  <c r="I36" i="81"/>
  <c r="F36" i="81"/>
  <c r="T36" i="81" s="1"/>
  <c r="U36" i="81" s="1"/>
  <c r="W54" i="81"/>
  <c r="N54" i="81"/>
  <c r="I54" i="81"/>
  <c r="F54" i="81"/>
  <c r="W9" i="81"/>
  <c r="N9" i="81"/>
  <c r="I9" i="81"/>
  <c r="F9" i="81"/>
  <c r="T9" i="81" s="1"/>
  <c r="U9" i="81" s="1"/>
  <c r="W50" i="81"/>
  <c r="N50" i="81"/>
  <c r="I50" i="81"/>
  <c r="F50" i="81"/>
  <c r="W48" i="81"/>
  <c r="N48" i="81"/>
  <c r="O48" i="81" s="1"/>
  <c r="I48" i="81"/>
  <c r="F48" i="81"/>
  <c r="T48" i="81" s="1"/>
  <c r="U48" i="81" s="1"/>
  <c r="J48" i="81"/>
  <c r="K48" i="81" s="1"/>
  <c r="W46" i="81"/>
  <c r="N46" i="81"/>
  <c r="I46" i="81"/>
  <c r="F46" i="81"/>
  <c r="T46" i="81" s="1"/>
  <c r="U46" i="81" s="1"/>
  <c r="AA26" i="65"/>
  <c r="AB26" i="65" s="1"/>
  <c r="W26" i="65"/>
  <c r="X26" i="65" s="1"/>
  <c r="S26" i="65"/>
  <c r="T26" i="65"/>
  <c r="H26" i="65"/>
  <c r="G26" i="65"/>
  <c r="AA25" i="65"/>
  <c r="AB25" i="65"/>
  <c r="W25" i="65"/>
  <c r="X25" i="65" s="1"/>
  <c r="S25" i="65"/>
  <c r="T25" i="65"/>
  <c r="H25" i="65"/>
  <c r="G25" i="65"/>
  <c r="K25" i="65" s="1"/>
  <c r="G31" i="65"/>
  <c r="K31" i="65" s="1"/>
  <c r="G30" i="65"/>
  <c r="K30" i="65"/>
  <c r="G29" i="65"/>
  <c r="G27" i="65"/>
  <c r="G24" i="65"/>
  <c r="K24" i="65" s="1"/>
  <c r="G22" i="65"/>
  <c r="O22" i="65"/>
  <c r="P22" i="65"/>
  <c r="G18" i="65"/>
  <c r="G17" i="65"/>
  <c r="G20" i="65"/>
  <c r="O20" i="65" s="1"/>
  <c r="G19" i="65"/>
  <c r="G15" i="65"/>
  <c r="G14" i="65"/>
  <c r="G23" i="65"/>
  <c r="G13" i="65"/>
  <c r="G16" i="65"/>
  <c r="K16" i="65" s="1"/>
  <c r="G12" i="65"/>
  <c r="G11" i="65"/>
  <c r="G10" i="65"/>
  <c r="O10" i="65" s="1"/>
  <c r="G9" i="65"/>
  <c r="G8" i="65"/>
  <c r="O8" i="65" s="1"/>
  <c r="G33" i="65"/>
  <c r="O33" i="65" s="1"/>
  <c r="G28" i="65"/>
  <c r="K28" i="65" s="1"/>
  <c r="O28" i="65"/>
  <c r="P28" i="65" s="1"/>
  <c r="G21" i="65"/>
  <c r="O21" i="65"/>
  <c r="AA28" i="65"/>
  <c r="AB28" i="65"/>
  <c r="W28" i="65"/>
  <c r="X28" i="65" s="1"/>
  <c r="S28" i="65"/>
  <c r="T28" i="65"/>
  <c r="H28" i="65"/>
  <c r="AA31" i="65"/>
  <c r="W31" i="65"/>
  <c r="S31" i="65"/>
  <c r="H31" i="65"/>
  <c r="X31" i="65" s="1"/>
  <c r="AA30" i="65"/>
  <c r="AB30" i="65" s="1"/>
  <c r="W30" i="65"/>
  <c r="X30" i="65"/>
  <c r="S30" i="65"/>
  <c r="T30" i="65"/>
  <c r="H30" i="65"/>
  <c r="AA29" i="65"/>
  <c r="AB29" i="65"/>
  <c r="W29" i="65"/>
  <c r="S29" i="65"/>
  <c r="T29" i="65"/>
  <c r="H29" i="65"/>
  <c r="AA27" i="65"/>
  <c r="AB27" i="65" s="1"/>
  <c r="W27" i="65"/>
  <c r="X27" i="65"/>
  <c r="S27" i="65"/>
  <c r="H27" i="65"/>
  <c r="T27" i="65" s="1"/>
  <c r="A46" i="44"/>
  <c r="C45" i="44"/>
  <c r="D45" i="44" s="1"/>
  <c r="E45" i="44" s="1"/>
  <c r="D44" i="44"/>
  <c r="E44" i="44" s="1"/>
  <c r="F44" i="44" s="1"/>
  <c r="G44" i="44" s="1"/>
  <c r="C2" i="44"/>
  <c r="H8" i="65"/>
  <c r="S8" i="65"/>
  <c r="T8" i="65"/>
  <c r="W8" i="65"/>
  <c r="X8" i="65"/>
  <c r="AA8" i="65"/>
  <c r="AB8" i="65"/>
  <c r="H9" i="65"/>
  <c r="S9" i="65"/>
  <c r="T9" i="65" s="1"/>
  <c r="W9" i="65"/>
  <c r="X9" i="65"/>
  <c r="AA9" i="65"/>
  <c r="AB9" i="65"/>
  <c r="H10" i="65"/>
  <c r="S10" i="65"/>
  <c r="T10" i="65"/>
  <c r="W10" i="65"/>
  <c r="X10" i="65"/>
  <c r="AA10" i="65"/>
  <c r="AB10" i="65" s="1"/>
  <c r="H11" i="65"/>
  <c r="AB11" i="65" s="1"/>
  <c r="S11" i="65"/>
  <c r="W11" i="65"/>
  <c r="X11" i="65" s="1"/>
  <c r="AA11" i="65"/>
  <c r="H12" i="65"/>
  <c r="S12" i="65"/>
  <c r="W12" i="65"/>
  <c r="AA12" i="65"/>
  <c r="H16" i="65"/>
  <c r="S16" i="65"/>
  <c r="T16" i="65"/>
  <c r="W16" i="65"/>
  <c r="AA16" i="65"/>
  <c r="H13" i="65"/>
  <c r="S13" i="65"/>
  <c r="T13" i="65" s="1"/>
  <c r="W13" i="65"/>
  <c r="X13" i="65"/>
  <c r="AA13" i="65"/>
  <c r="AB13" i="65" s="1"/>
  <c r="H23" i="65"/>
  <c r="S23" i="65"/>
  <c r="W23" i="65"/>
  <c r="AA23" i="65"/>
  <c r="H14" i="65"/>
  <c r="S14" i="65"/>
  <c r="T14" i="65"/>
  <c r="W14" i="65"/>
  <c r="X14" i="65"/>
  <c r="AA14" i="65"/>
  <c r="AB14" i="65"/>
  <c r="H15" i="65"/>
  <c r="T15" i="65" s="1"/>
  <c r="S15" i="65"/>
  <c r="W15" i="65"/>
  <c r="X15" i="65" s="1"/>
  <c r="AA15" i="65"/>
  <c r="AB15" i="65" s="1"/>
  <c r="H19" i="65"/>
  <c r="S19" i="65"/>
  <c r="W19" i="65"/>
  <c r="AA19" i="65"/>
  <c r="AB19" i="65" s="1"/>
  <c r="H20" i="65"/>
  <c r="T20" i="65" s="1"/>
  <c r="S20" i="65"/>
  <c r="W20" i="65"/>
  <c r="X20" i="65"/>
  <c r="AA20" i="65"/>
  <c r="AB20" i="65" s="1"/>
  <c r="H17" i="65"/>
  <c r="AB17" i="65" s="1"/>
  <c r="S17" i="65"/>
  <c r="W17" i="65"/>
  <c r="AA17" i="65"/>
  <c r="H21" i="65"/>
  <c r="S21" i="65"/>
  <c r="W21" i="65"/>
  <c r="AA21" i="65"/>
  <c r="AB21" i="65"/>
  <c r="H18" i="65"/>
  <c r="S18" i="65"/>
  <c r="T18" i="65"/>
  <c r="W18" i="65"/>
  <c r="X18" i="65" s="1"/>
  <c r="AA18" i="65"/>
  <c r="H22" i="65"/>
  <c r="S22" i="65"/>
  <c r="T22" i="65" s="1"/>
  <c r="W22" i="65"/>
  <c r="AA22" i="65"/>
  <c r="H24" i="65"/>
  <c r="S24" i="65"/>
  <c r="T24" i="65"/>
  <c r="W24" i="65"/>
  <c r="X24" i="65"/>
  <c r="AA24" i="65"/>
  <c r="AB24" i="65"/>
  <c r="H33" i="65"/>
  <c r="T33" i="65" s="1"/>
  <c r="S33" i="65"/>
  <c r="W33" i="65"/>
  <c r="X33" i="65" s="1"/>
  <c r="AA33" i="65"/>
  <c r="O6" i="55"/>
  <c r="U6" i="55"/>
  <c r="U7" i="55" s="1"/>
  <c r="N5" i="55"/>
  <c r="O4" i="55"/>
  <c r="O3" i="55"/>
  <c r="A24" i="44"/>
  <c r="A22" i="44"/>
  <c r="D32" i="44"/>
  <c r="E32" i="44" s="1"/>
  <c r="F32" i="44" s="1"/>
  <c r="C3" i="44"/>
  <c r="D5" i="44"/>
  <c r="D3" i="44" s="1"/>
  <c r="C19" i="44"/>
  <c r="C20" i="44"/>
  <c r="D18" i="44"/>
  <c r="E18" i="44" s="1"/>
  <c r="C4" i="44"/>
  <c r="D6" i="44"/>
  <c r="E6" i="44" s="1"/>
  <c r="F6" i="44" s="1"/>
  <c r="G32" i="44"/>
  <c r="H3" i="65"/>
  <c r="H4" i="65"/>
  <c r="D19" i="44"/>
  <c r="D20" i="44" s="1"/>
  <c r="G6" i="55"/>
  <c r="L6" i="55" s="1"/>
  <c r="N6" i="55"/>
  <c r="D4" i="44"/>
  <c r="E5" i="44"/>
  <c r="F5" i="44" s="1"/>
  <c r="AB16" i="65"/>
  <c r="W3" i="92"/>
  <c r="W4" i="92"/>
  <c r="S4" i="92"/>
  <c r="W5" i="92"/>
  <c r="S5" i="92"/>
  <c r="G49" i="87"/>
  <c r="H48" i="87"/>
  <c r="N9" i="55"/>
  <c r="I48" i="87"/>
  <c r="J48" i="87" s="1"/>
  <c r="K48" i="87"/>
  <c r="K49" i="87" s="1"/>
  <c r="L48" i="87"/>
  <c r="M48" i="87" s="1"/>
  <c r="L49" i="87"/>
  <c r="D7" i="44"/>
  <c r="E7" i="44" s="1"/>
  <c r="F7" i="44" s="1"/>
  <c r="G7" i="44" s="1"/>
  <c r="H7" i="44" s="1"/>
  <c r="I7" i="44" s="1"/>
  <c r="J7" i="44" s="1"/>
  <c r="K7" i="44" s="1"/>
  <c r="L7" i="44" s="1"/>
  <c r="M7" i="44" s="1"/>
  <c r="X27" i="81"/>
  <c r="O84" i="81"/>
  <c r="P84" i="81"/>
  <c r="O86" i="81"/>
  <c r="P86" i="81" s="1"/>
  <c r="X109" i="81"/>
  <c r="J23" i="81"/>
  <c r="J15" i="81"/>
  <c r="J27" i="81"/>
  <c r="Y27" i="81" s="1"/>
  <c r="X63" i="81"/>
  <c r="J87" i="81"/>
  <c r="K87" i="81"/>
  <c r="J97" i="81"/>
  <c r="J99" i="81"/>
  <c r="J66" i="81"/>
  <c r="X35" i="81"/>
  <c r="J64" i="81"/>
  <c r="K64" i="81" s="1"/>
  <c r="X83" i="81"/>
  <c r="O49" i="81"/>
  <c r="P49" i="81" s="1"/>
  <c r="J8" i="81"/>
  <c r="O66" i="81"/>
  <c r="O68" i="81"/>
  <c r="P68" i="81"/>
  <c r="O9" i="81"/>
  <c r="P9" i="81" s="1"/>
  <c r="K103" i="81"/>
  <c r="X73" i="81"/>
  <c r="O81" i="81"/>
  <c r="P81" i="81" s="1"/>
  <c r="O72" i="81"/>
  <c r="P72" i="81"/>
  <c r="O74" i="81"/>
  <c r="P74" i="81" s="1"/>
  <c r="O80" i="81"/>
  <c r="P80" i="81"/>
  <c r="X88" i="81"/>
  <c r="O90" i="81"/>
  <c r="P90" i="81" s="1"/>
  <c r="O96" i="81"/>
  <c r="P96" i="81" s="1"/>
  <c r="O57" i="81"/>
  <c r="P57" i="81" s="1"/>
  <c r="J77" i="81"/>
  <c r="K77" i="81"/>
  <c r="J100" i="81"/>
  <c r="O31" i="81"/>
  <c r="P31" i="81" s="1"/>
  <c r="O59" i="81"/>
  <c r="P59" i="81" s="1"/>
  <c r="X48" i="81"/>
  <c r="X108" i="81"/>
  <c r="J40" i="81"/>
  <c r="K40" i="81"/>
  <c r="J79" i="81"/>
  <c r="K79" i="81" s="1"/>
  <c r="J68" i="81"/>
  <c r="K68" i="81" s="1"/>
  <c r="Z68" i="81" s="1"/>
  <c r="O34" i="81"/>
  <c r="P34" i="81"/>
  <c r="J109" i="81"/>
  <c r="X32" i="81"/>
  <c r="J42" i="81"/>
  <c r="K42" i="81"/>
  <c r="Z42" i="81" s="1"/>
  <c r="J14" i="81"/>
  <c r="O42" i="81"/>
  <c r="P42" i="81" s="1"/>
  <c r="X67" i="81"/>
  <c r="P94" i="81"/>
  <c r="J9" i="81"/>
  <c r="K9" i="81"/>
  <c r="O71" i="81"/>
  <c r="P71" i="81" s="1"/>
  <c r="J63" i="81"/>
  <c r="O51" i="81"/>
  <c r="P51" i="81"/>
  <c r="P19" i="81"/>
  <c r="O23" i="81"/>
  <c r="P23" i="81"/>
  <c r="O15" i="81"/>
  <c r="P15" i="81"/>
  <c r="O27" i="81"/>
  <c r="P27" i="81" s="1"/>
  <c r="J29" i="81"/>
  <c r="K29" i="81"/>
  <c r="X26" i="81"/>
  <c r="K51" i="81"/>
  <c r="J110" i="81"/>
  <c r="K110" i="81" s="1"/>
  <c r="Z110" i="81" s="1"/>
  <c r="X14" i="81"/>
  <c r="O60" i="81"/>
  <c r="P60" i="81" s="1"/>
  <c r="X62" i="81"/>
  <c r="O63" i="81"/>
  <c r="P63" i="81" s="1"/>
  <c r="X71" i="81"/>
  <c r="J92" i="81"/>
  <c r="Y92" i="81" s="1"/>
  <c r="K92" i="81"/>
  <c r="P88" i="81"/>
  <c r="O92" i="81"/>
  <c r="P92" i="81" s="1"/>
  <c r="O98" i="81"/>
  <c r="P98" i="81" s="1"/>
  <c r="X9" i="81"/>
  <c r="X36" i="81"/>
  <c r="J28" i="81"/>
  <c r="K28" i="81"/>
  <c r="O33" i="81"/>
  <c r="P33" i="81" s="1"/>
  <c r="J62" i="81"/>
  <c r="K62" i="81"/>
  <c r="O73" i="81"/>
  <c r="P73" i="81" s="1"/>
  <c r="O85" i="81"/>
  <c r="O32" i="81"/>
  <c r="P32" i="81" s="1"/>
  <c r="O26" i="81"/>
  <c r="P26" i="81" s="1"/>
  <c r="O83" i="81"/>
  <c r="P83" i="81" s="1"/>
  <c r="O46" i="81"/>
  <c r="P46" i="81"/>
  <c r="O104" i="81"/>
  <c r="P104" i="81"/>
  <c r="X23" i="81"/>
  <c r="X29" i="81"/>
  <c r="X70" i="81"/>
  <c r="J50" i="81"/>
  <c r="X50" i="81"/>
  <c r="X104" i="81"/>
  <c r="O29" i="81"/>
  <c r="P29" i="81" s="1"/>
  <c r="J45" i="81"/>
  <c r="K45" i="81"/>
  <c r="Z45" i="81" s="1"/>
  <c r="J25" i="81"/>
  <c r="O76" i="81"/>
  <c r="P76" i="81" s="1"/>
  <c r="O20" i="81"/>
  <c r="P20" i="81" s="1"/>
  <c r="X20" i="81"/>
  <c r="K97" i="81"/>
  <c r="O110" i="81"/>
  <c r="P110" i="81" s="1"/>
  <c r="X46" i="81"/>
  <c r="O12" i="81"/>
  <c r="P12" i="81" s="1"/>
  <c r="X41" i="81"/>
  <c r="X81" i="81"/>
  <c r="J108" i="81"/>
  <c r="K108" i="81" s="1"/>
  <c r="J73" i="81"/>
  <c r="K73" i="81"/>
  <c r="Z73" i="81" s="1"/>
  <c r="X12" i="81"/>
  <c r="N117" i="81"/>
  <c r="J49" i="81"/>
  <c r="K49" i="81"/>
  <c r="Z49" i="81" s="1"/>
  <c r="O14" i="81"/>
  <c r="P14" i="81" s="1"/>
  <c r="O39" i="81"/>
  <c r="P39" i="81" s="1"/>
  <c r="X28" i="81"/>
  <c r="J83" i="81"/>
  <c r="K83" i="81"/>
  <c r="X92" i="81"/>
  <c r="X54" i="81"/>
  <c r="X17" i="81"/>
  <c r="J67" i="81"/>
  <c r="K67" i="81" s="1"/>
  <c r="Z67" i="81" s="1"/>
  <c r="O100" i="81"/>
  <c r="P100" i="81"/>
  <c r="J33" i="81"/>
  <c r="J20" i="81"/>
  <c r="K20" i="81" s="1"/>
  <c r="X10" i="81"/>
  <c r="J21" i="81"/>
  <c r="X103" i="81"/>
  <c r="O109" i="81"/>
  <c r="P109" i="81"/>
  <c r="X38" i="81"/>
  <c r="J43" i="81"/>
  <c r="X45" i="81"/>
  <c r="O35" i="81"/>
  <c r="P35" i="81" s="1"/>
  <c r="K15" i="81"/>
  <c r="O36" i="81"/>
  <c r="Y36" i="81" s="1"/>
  <c r="P48" i="81"/>
  <c r="J36" i="81"/>
  <c r="K36" i="81"/>
  <c r="J55" i="81"/>
  <c r="K55" i="81"/>
  <c r="X66" i="81"/>
  <c r="X68" i="81"/>
  <c r="P99" i="81"/>
  <c r="O22" i="81"/>
  <c r="P22" i="81"/>
  <c r="X60" i="81"/>
  <c r="X51" i="81"/>
  <c r="X55" i="81"/>
  <c r="X47" i="81"/>
  <c r="K19" i="81"/>
  <c r="J34" i="81"/>
  <c r="X25" i="81"/>
  <c r="O69" i="81"/>
  <c r="P69" i="81" s="1"/>
  <c r="X75" i="81"/>
  <c r="K27" i="81"/>
  <c r="Z27" i="81" s="1"/>
  <c r="J46" i="81"/>
  <c r="X11" i="81"/>
  <c r="J11" i="81"/>
  <c r="K11" i="81" s="1"/>
  <c r="O18" i="81"/>
  <c r="P18" i="81" s="1"/>
  <c r="X37" i="81"/>
  <c r="O37" i="81"/>
  <c r="J39" i="81"/>
  <c r="X39" i="81"/>
  <c r="O79" i="81"/>
  <c r="X79" i="81"/>
  <c r="O82" i="81"/>
  <c r="P82" i="81"/>
  <c r="O40" i="81"/>
  <c r="K81" i="81"/>
  <c r="Z81" i="81" s="1"/>
  <c r="O103" i="81"/>
  <c r="O52" i="81"/>
  <c r="O8" i="81"/>
  <c r="J65" i="81"/>
  <c r="Y65" i="81" s="1"/>
  <c r="O65" i="81"/>
  <c r="P65" i="81"/>
  <c r="O77" i="81"/>
  <c r="P77" i="81" s="1"/>
  <c r="Z77" i="81" s="1"/>
  <c r="J96" i="81"/>
  <c r="X96" i="81"/>
  <c r="X110" i="81"/>
  <c r="O70" i="81"/>
  <c r="P70" i="81"/>
  <c r="J70" i="81"/>
  <c r="K70" i="81" s="1"/>
  <c r="J91" i="81"/>
  <c r="Y91" i="81" s="1"/>
  <c r="O91" i="81"/>
  <c r="P91" i="81"/>
  <c r="X93" i="81"/>
  <c r="J35" i="81"/>
  <c r="Y35" i="81" s="1"/>
  <c r="X43" i="81"/>
  <c r="J53" i="81"/>
  <c r="O53" i="81"/>
  <c r="P53" i="81"/>
  <c r="J31" i="81"/>
  <c r="Y31" i="81" s="1"/>
  <c r="X64" i="81"/>
  <c r="O64" i="81"/>
  <c r="J98" i="81"/>
  <c r="Y98" i="81" s="1"/>
  <c r="J105" i="81"/>
  <c r="O105" i="81"/>
  <c r="P105" i="81" s="1"/>
  <c r="O45" i="81"/>
  <c r="P45" i="81" s="1"/>
  <c r="X34" i="81"/>
  <c r="J106" i="81"/>
  <c r="O106" i="81"/>
  <c r="P106" i="81"/>
  <c r="X19" i="81"/>
  <c r="I116" i="81"/>
  <c r="N116" i="81"/>
  <c r="X106" i="81"/>
  <c r="K14" i="81"/>
  <c r="Z14" i="81" s="1"/>
  <c r="I117" i="81"/>
  <c r="X59" i="81"/>
  <c r="X117" i="81" s="1"/>
  <c r="O102" i="81"/>
  <c r="O78" i="81"/>
  <c r="P78" i="81" s="1"/>
  <c r="X85" i="81"/>
  <c r="J85" i="81"/>
  <c r="J75" i="81"/>
  <c r="O75" i="81"/>
  <c r="P75" i="81" s="1"/>
  <c r="J89" i="81"/>
  <c r="X89" i="81"/>
  <c r="O30" i="81"/>
  <c r="P30" i="81" s="1"/>
  <c r="O44" i="81"/>
  <c r="P44" i="81"/>
  <c r="J44" i="81"/>
  <c r="O55" i="81"/>
  <c r="P55" i="81"/>
  <c r="O28" i="81"/>
  <c r="O62" i="81"/>
  <c r="P62" i="81" s="1"/>
  <c r="Z62" i="81" s="1"/>
  <c r="J69" i="81"/>
  <c r="K69" i="81" s="1"/>
  <c r="X95" i="81"/>
  <c r="O47" i="81"/>
  <c r="P47" i="81"/>
  <c r="J26" i="81"/>
  <c r="O16" i="81"/>
  <c r="P16" i="81" s="1"/>
  <c r="O56" i="81"/>
  <c r="P56" i="81" s="1"/>
  <c r="I111" i="81"/>
  <c r="I118" i="81" s="1"/>
  <c r="A34" i="44"/>
  <c r="A35" i="44"/>
  <c r="A23" i="44"/>
  <c r="R6" i="92"/>
  <c r="Q6" i="92"/>
  <c r="R7" i="92"/>
  <c r="Q7" i="92"/>
  <c r="A47" i="44"/>
  <c r="A21" i="44"/>
  <c r="K22" i="65"/>
  <c r="K23" i="65"/>
  <c r="O23" i="65"/>
  <c r="L16" i="65"/>
  <c r="O16" i="65"/>
  <c r="P16" i="65" s="1"/>
  <c r="O24" i="65"/>
  <c r="P24" i="65" s="1"/>
  <c r="K10" i="65"/>
  <c r="P10" i="65"/>
  <c r="O13" i="65"/>
  <c r="AE13" i="65" s="1"/>
  <c r="AG13" i="65" s="1"/>
  <c r="P13" i="65"/>
  <c r="K13" i="65"/>
  <c r="L13" i="65" s="1"/>
  <c r="AF13" i="65" s="1"/>
  <c r="K21" i="65"/>
  <c r="L21" i="65"/>
  <c r="O14" i="65"/>
  <c r="K14" i="65"/>
  <c r="O11" i="65"/>
  <c r="P11" i="65"/>
  <c r="K11" i="65"/>
  <c r="O15" i="65"/>
  <c r="P15" i="65"/>
  <c r="K15" i="65"/>
  <c r="O31" i="65"/>
  <c r="K19" i="65"/>
  <c r="O19" i="65"/>
  <c r="P19" i="65"/>
  <c r="K18" i="65"/>
  <c r="O18" i="65"/>
  <c r="P18" i="65" s="1"/>
  <c r="O27" i="65"/>
  <c r="P27" i="65"/>
  <c r="K27" i="65"/>
  <c r="O9" i="65"/>
  <c r="P9" i="65"/>
  <c r="K9" i="65"/>
  <c r="K20" i="65"/>
  <c r="AD20" i="65" s="1"/>
  <c r="P20" i="65"/>
  <c r="K29" i="65"/>
  <c r="O29" i="65"/>
  <c r="P29" i="65" s="1"/>
  <c r="O26" i="65"/>
  <c r="P26" i="65" s="1"/>
  <c r="K26" i="65"/>
  <c r="O25" i="65"/>
  <c r="P25" i="65"/>
  <c r="P21" i="65"/>
  <c r="O30" i="65"/>
  <c r="P30" i="65" s="1"/>
  <c r="K8" i="65"/>
  <c r="Y51" i="81"/>
  <c r="P66" i="81"/>
  <c r="Y81" i="81"/>
  <c r="Y110" i="81"/>
  <c r="Y29" i="81"/>
  <c r="Z29" i="81"/>
  <c r="Z9" i="81"/>
  <c r="Z51" i="81"/>
  <c r="Y9" i="81"/>
  <c r="Z55" i="81"/>
  <c r="Z83" i="81"/>
  <c r="Y83" i="81"/>
  <c r="Z92" i="81"/>
  <c r="Y15" i="81"/>
  <c r="P117" i="81"/>
  <c r="K33" i="81"/>
  <c r="Z33" i="81" s="1"/>
  <c r="Y48" i="81"/>
  <c r="Z19" i="81"/>
  <c r="Y42" i="81"/>
  <c r="O117" i="81"/>
  <c r="Y14" i="81"/>
  <c r="Y49" i="81"/>
  <c r="Y73" i="81"/>
  <c r="K21" i="81"/>
  <c r="Y19" i="81"/>
  <c r="K43" i="81"/>
  <c r="Y34" i="81"/>
  <c r="K34" i="81"/>
  <c r="Z34" i="81"/>
  <c r="P67" i="81"/>
  <c r="Y67" i="81"/>
  <c r="P102" i="81"/>
  <c r="K98" i="81"/>
  <c r="Z98" i="81"/>
  <c r="Y53" i="81"/>
  <c r="K53" i="81"/>
  <c r="Z53" i="81"/>
  <c r="Y77" i="81"/>
  <c r="P37" i="81"/>
  <c r="K46" i="81"/>
  <c r="Z46" i="81" s="1"/>
  <c r="P52" i="81"/>
  <c r="K26" i="81"/>
  <c r="Z26" i="81" s="1"/>
  <c r="Y26" i="81"/>
  <c r="K89" i="81"/>
  <c r="K106" i="81"/>
  <c r="Z106" i="81"/>
  <c r="Y106" i="81"/>
  <c r="Y55" i="81"/>
  <c r="Y44" i="81"/>
  <c r="K44" i="81"/>
  <c r="Z44" i="81"/>
  <c r="P28" i="81"/>
  <c r="Y28" i="81"/>
  <c r="K91" i="81"/>
  <c r="Z91" i="81"/>
  <c r="K65" i="81"/>
  <c r="Z65" i="81"/>
  <c r="P103" i="81"/>
  <c r="Y103" i="81"/>
  <c r="Y75" i="81"/>
  <c r="K75" i="81"/>
  <c r="Y64" i="81"/>
  <c r="P64" i="81"/>
  <c r="Z64" i="81"/>
  <c r="Y70" i="81"/>
  <c r="Z70" i="81"/>
  <c r="P8" i="81"/>
  <c r="Y96" i="81"/>
  <c r="K96" i="81"/>
  <c r="Z96" i="81"/>
  <c r="K85" i="81"/>
  <c r="K35" i="81"/>
  <c r="Z35" i="81" s="1"/>
  <c r="Y40" i="81"/>
  <c r="P40" i="81"/>
  <c r="Z40" i="81" s="1"/>
  <c r="Y69" i="81"/>
  <c r="Z69" i="81"/>
  <c r="Y39" i="81"/>
  <c r="K39" i="81"/>
  <c r="Z39" i="81" s="1"/>
  <c r="J111" i="81"/>
  <c r="K105" i="81"/>
  <c r="Z105" i="81" s="1"/>
  <c r="Y105" i="81"/>
  <c r="K47" i="81"/>
  <c r="Z47" i="81"/>
  <c r="Y47" i="81"/>
  <c r="P79" i="81"/>
  <c r="Z79" i="81" s="1"/>
  <c r="Y79" i="81"/>
  <c r="Z11" i="81"/>
  <c r="Y11" i="81"/>
  <c r="AD13" i="65"/>
  <c r="L22" i="65"/>
  <c r="AE10" i="65"/>
  <c r="AG10" i="65" s="1"/>
  <c r="L10" i="65"/>
  <c r="AF10" i="65"/>
  <c r="AD10" i="65"/>
  <c r="AD21" i="65"/>
  <c r="AE16" i="65"/>
  <c r="AG16" i="65"/>
  <c r="AD16" i="65"/>
  <c r="AE21" i="65"/>
  <c r="AG21" i="65"/>
  <c r="L23" i="65"/>
  <c r="AD23" i="65"/>
  <c r="L14" i="65"/>
  <c r="L25" i="65"/>
  <c r="AF25" i="65"/>
  <c r="AD25" i="65"/>
  <c r="AE25" i="65"/>
  <c r="AG25" i="65" s="1"/>
  <c r="AD29" i="65"/>
  <c r="L29" i="65"/>
  <c r="AE29" i="65"/>
  <c r="AG29" i="65" s="1"/>
  <c r="AE18" i="65"/>
  <c r="AG18" i="65"/>
  <c r="L18" i="65"/>
  <c r="AD18" i="65"/>
  <c r="L31" i="65"/>
  <c r="AE20" i="65"/>
  <c r="AG20" i="65" s="1"/>
  <c r="L20" i="65"/>
  <c r="AF20" i="65"/>
  <c r="AD9" i="65"/>
  <c r="L9" i="65"/>
  <c r="AF9" i="65"/>
  <c r="AE9" i="65"/>
  <c r="AG9" i="65"/>
  <c r="L19" i="65"/>
  <c r="L15" i="65"/>
  <c r="AF15" i="65" s="1"/>
  <c r="AD26" i="65"/>
  <c r="AE26" i="65"/>
  <c r="AG26" i="65"/>
  <c r="L26" i="65"/>
  <c r="AF26" i="65"/>
  <c r="AD11" i="65"/>
  <c r="L11" i="65"/>
  <c r="AE11" i="65"/>
  <c r="AG11" i="65" s="1"/>
  <c r="L27" i="65"/>
  <c r="AF27" i="65"/>
  <c r="AE27" i="65"/>
  <c r="AG27" i="65"/>
  <c r="AD27" i="65"/>
  <c r="AE28" i="65"/>
  <c r="AG28" i="65"/>
  <c r="L28" i="65"/>
  <c r="AF28" i="65" s="1"/>
  <c r="AE30" i="65"/>
  <c r="AG30" i="65"/>
  <c r="P8" i="65"/>
  <c r="L8" i="65"/>
  <c r="AF8" i="65" s="1"/>
  <c r="AE8" i="65"/>
  <c r="AD8" i="65"/>
  <c r="Z102" i="81"/>
  <c r="K111" i="81"/>
  <c r="AG8" i="65"/>
  <c r="D10" i="101"/>
  <c r="J8" i="101"/>
  <c r="BG10" i="87"/>
  <c r="BF37" i="87"/>
  <c r="BF13" i="87"/>
  <c r="BF25" i="87"/>
  <c r="BF43" i="87"/>
  <c r="BH28" i="87"/>
  <c r="BG9" i="87"/>
  <c r="BH25" i="87"/>
  <c r="BH18" i="87"/>
  <c r="BF3" i="87"/>
  <c r="BG16" i="87"/>
  <c r="BH32" i="87"/>
  <c r="BG20" i="87"/>
  <c r="BG37" i="87"/>
  <c r="BF24" i="87"/>
  <c r="BG13" i="87"/>
  <c r="BF15" i="87"/>
  <c r="BH24" i="87"/>
  <c r="BH5" i="87"/>
  <c r="BH3" i="87"/>
  <c r="BF10" i="87"/>
  <c r="BF23" i="87"/>
  <c r="BH37" i="87"/>
  <c r="BH15" i="87"/>
  <c r="BG33" i="87"/>
  <c r="BG39" i="87"/>
  <c r="BF33" i="87"/>
  <c r="BF40" i="87"/>
  <c r="BG18" i="87"/>
  <c r="BF21" i="87"/>
  <c r="BH26" i="87"/>
  <c r="BF11" i="87"/>
  <c r="BG43" i="87"/>
  <c r="BF42" i="87"/>
  <c r="BF39" i="87"/>
  <c r="BG36" i="87"/>
  <c r="BH33" i="87"/>
  <c r="BG42" i="87"/>
  <c r="BF41" i="87"/>
  <c r="BF8" i="87"/>
  <c r="BH21" i="87"/>
  <c r="BG34" i="87"/>
  <c r="BF16" i="87"/>
  <c r="BG8" i="87"/>
  <c r="BF26" i="87"/>
  <c r="BG35" i="87"/>
  <c r="BG21" i="87"/>
  <c r="BG6" i="87"/>
  <c r="BH20" i="87"/>
  <c r="BG24" i="87"/>
  <c r="BH9" i="87"/>
  <c r="BH29" i="87"/>
  <c r="BF34" i="87"/>
  <c r="BH40" i="87"/>
  <c r="BH39" i="87"/>
  <c r="BF28" i="87"/>
  <c r="BH4" i="87"/>
  <c r="BH13" i="87"/>
  <c r="BG27" i="87"/>
  <c r="BF18" i="87"/>
  <c r="BH27" i="87"/>
  <c r="BF29" i="87"/>
  <c r="BH8" i="87"/>
  <c r="BF32" i="87"/>
  <c r="BF31" i="87"/>
  <c r="BH36" i="87"/>
  <c r="BH42" i="87"/>
  <c r="BH10" i="87"/>
  <c r="BG26" i="87"/>
  <c r="BG29" i="87"/>
  <c r="BH34" i="87"/>
  <c r="BG32" i="87"/>
  <c r="BF27" i="87"/>
  <c r="BG4" i="87"/>
  <c r="BG11" i="87"/>
  <c r="BH17" i="87"/>
  <c r="BG25" i="87"/>
  <c r="BG19" i="87"/>
  <c r="BH12" i="87"/>
  <c r="BH11" i="87"/>
  <c r="BG28" i="87"/>
  <c r="BG41" i="87"/>
  <c r="BF5" i="87"/>
  <c r="BG15" i="87"/>
  <c r="BF35" i="87"/>
  <c r="BG5" i="87"/>
  <c r="BF20" i="87"/>
  <c r="BF7" i="87"/>
  <c r="BG17" i="87"/>
  <c r="BG3" i="87"/>
  <c r="BF12" i="87"/>
  <c r="BH23" i="87"/>
  <c r="BF4" i="87"/>
  <c r="BF17" i="87"/>
  <c r="BH41" i="87"/>
  <c r="BH35" i="87"/>
  <c r="BG23" i="87"/>
  <c r="BG40" i="87"/>
  <c r="BH43" i="87"/>
  <c r="BF36" i="87"/>
  <c r="BG12" i="87"/>
  <c r="BF9" i="87"/>
  <c r="BH16" i="87"/>
  <c r="AA49" i="69" l="1"/>
  <c r="N842" i="52"/>
  <c r="N858" i="52"/>
  <c r="Q49" i="69"/>
  <c r="U49" i="69"/>
  <c r="M49" i="69"/>
  <c r="I49" i="69"/>
  <c r="Y49" i="69"/>
  <c r="D18" i="108"/>
  <c r="C17" i="69"/>
  <c r="AC14" i="108"/>
  <c r="Y14" i="108"/>
  <c r="U14" i="108"/>
  <c r="Q14" i="108"/>
  <c r="M14" i="108"/>
  <c r="I14" i="108"/>
  <c r="AB14" i="108"/>
  <c r="X14" i="108"/>
  <c r="T14" i="108"/>
  <c r="P14" i="108"/>
  <c r="L14" i="108"/>
  <c r="H14" i="108"/>
  <c r="AA14" i="108"/>
  <c r="W14" i="108"/>
  <c r="S14" i="108"/>
  <c r="O14" i="108"/>
  <c r="K14" i="108"/>
  <c r="G14" i="108"/>
  <c r="Z14" i="108"/>
  <c r="V14" i="108"/>
  <c r="R14" i="108"/>
  <c r="N14" i="108"/>
  <c r="J14" i="108"/>
  <c r="AA8" i="108"/>
  <c r="W8" i="108"/>
  <c r="S8" i="108"/>
  <c r="O8" i="108"/>
  <c r="K8" i="108"/>
  <c r="G8" i="108"/>
  <c r="Z8" i="108"/>
  <c r="V8" i="108"/>
  <c r="R8" i="108"/>
  <c r="N8" i="108"/>
  <c r="J8" i="108"/>
  <c r="AC8" i="108"/>
  <c r="Y8" i="108"/>
  <c r="U8" i="108"/>
  <c r="Q8" i="108"/>
  <c r="M8" i="108"/>
  <c r="I8" i="108"/>
  <c r="AB8" i="108"/>
  <c r="X8" i="108"/>
  <c r="T8" i="108"/>
  <c r="P8" i="108"/>
  <c r="L8" i="108"/>
  <c r="H8" i="108"/>
  <c r="BM22" i="108"/>
  <c r="BI22" i="108"/>
  <c r="BE22" i="108"/>
  <c r="BA22" i="108"/>
  <c r="AW22" i="108"/>
  <c r="AS22" i="108"/>
  <c r="AO22" i="108"/>
  <c r="AK22" i="108"/>
  <c r="AG22" i="108"/>
  <c r="AC22" i="108"/>
  <c r="Y22" i="108"/>
  <c r="U22" i="108"/>
  <c r="Q22" i="108"/>
  <c r="M22" i="108"/>
  <c r="I22" i="108"/>
  <c r="BL22" i="108"/>
  <c r="BH22" i="108"/>
  <c r="BD22" i="108"/>
  <c r="AZ22" i="108"/>
  <c r="AV22" i="108"/>
  <c r="AR22" i="108"/>
  <c r="AN22" i="108"/>
  <c r="AJ22" i="108"/>
  <c r="AF22" i="108"/>
  <c r="AB22" i="108"/>
  <c r="X22" i="108"/>
  <c r="T22" i="108"/>
  <c r="P22" i="108"/>
  <c r="L22" i="108"/>
  <c r="H22" i="108"/>
  <c r="BN22" i="108"/>
  <c r="BF22" i="108"/>
  <c r="AX22" i="108"/>
  <c r="AP22" i="108"/>
  <c r="AH22" i="108"/>
  <c r="Z22" i="108"/>
  <c r="R22" i="108"/>
  <c r="J22" i="108"/>
  <c r="BK22" i="108"/>
  <c r="BC22" i="108"/>
  <c r="AU22" i="108"/>
  <c r="AM22" i="108"/>
  <c r="AE22" i="108"/>
  <c r="W22" i="108"/>
  <c r="O22" i="108"/>
  <c r="G22" i="108"/>
  <c r="BJ22" i="108"/>
  <c r="BB22" i="108"/>
  <c r="AT22" i="108"/>
  <c r="AL22" i="108"/>
  <c r="AD22" i="108"/>
  <c r="V22" i="108"/>
  <c r="N22" i="108"/>
  <c r="BG22" i="108"/>
  <c r="AY22" i="108"/>
  <c r="AQ22" i="108"/>
  <c r="AI22" i="108"/>
  <c r="AA22" i="108"/>
  <c r="S22" i="108"/>
  <c r="K22" i="108"/>
  <c r="D23" i="108"/>
  <c r="D19" i="108"/>
  <c r="BK19" i="108"/>
  <c r="BG19" i="108"/>
  <c r="BC19" i="108"/>
  <c r="AY19" i="108"/>
  <c r="AU19" i="108"/>
  <c r="AQ19" i="108"/>
  <c r="AM19" i="108"/>
  <c r="AI19" i="108"/>
  <c r="AE19" i="108"/>
  <c r="AA19" i="108"/>
  <c r="W19" i="108"/>
  <c r="S19" i="108"/>
  <c r="O19" i="108"/>
  <c r="K19" i="108"/>
  <c r="G19" i="108"/>
  <c r="BN19" i="108"/>
  <c r="BJ19" i="108"/>
  <c r="BF19" i="108"/>
  <c r="BB19" i="108"/>
  <c r="AX19" i="108"/>
  <c r="AT19" i="108"/>
  <c r="AP19" i="108"/>
  <c r="AL19" i="108"/>
  <c r="AH19" i="108"/>
  <c r="AD19" i="108"/>
  <c r="Z19" i="108"/>
  <c r="V19" i="108"/>
  <c r="R19" i="108"/>
  <c r="N19" i="108"/>
  <c r="J19" i="108"/>
  <c r="BM19" i="108"/>
  <c r="BI19" i="108"/>
  <c r="BE19" i="108"/>
  <c r="BA19" i="108"/>
  <c r="AW19" i="108"/>
  <c r="AS19" i="108"/>
  <c r="AO19" i="108"/>
  <c r="AK19" i="108"/>
  <c r="AG19" i="108"/>
  <c r="AC19" i="108"/>
  <c r="Y19" i="108"/>
  <c r="U19" i="108"/>
  <c r="Q19" i="108"/>
  <c r="M19" i="108"/>
  <c r="I19" i="108"/>
  <c r="BL19" i="108"/>
  <c r="BH19" i="108"/>
  <c r="BD19" i="108"/>
  <c r="AZ19" i="108"/>
  <c r="AV19" i="108"/>
  <c r="AR19" i="108"/>
  <c r="AN19" i="108"/>
  <c r="AJ19" i="108"/>
  <c r="AF19" i="108"/>
  <c r="AB19" i="108"/>
  <c r="X19" i="108"/>
  <c r="T19" i="108"/>
  <c r="P19" i="108"/>
  <c r="L19" i="108"/>
  <c r="H19" i="108"/>
  <c r="BM23" i="108"/>
  <c r="BI23" i="108"/>
  <c r="BE23" i="108"/>
  <c r="BA23" i="108"/>
  <c r="AW23" i="108"/>
  <c r="AS23" i="108"/>
  <c r="AO23" i="108"/>
  <c r="AK23" i="108"/>
  <c r="AG23" i="108"/>
  <c r="AC23" i="108"/>
  <c r="Y23" i="108"/>
  <c r="U23" i="108"/>
  <c r="Q23" i="108"/>
  <c r="M23" i="108"/>
  <c r="I23" i="108"/>
  <c r="BL23" i="108"/>
  <c r="BH23" i="108"/>
  <c r="BD23" i="108"/>
  <c r="AZ23" i="108"/>
  <c r="AV23" i="108"/>
  <c r="AR23" i="108"/>
  <c r="AN23" i="108"/>
  <c r="AJ23" i="108"/>
  <c r="AF23" i="108"/>
  <c r="AB23" i="108"/>
  <c r="X23" i="108"/>
  <c r="T23" i="108"/>
  <c r="P23" i="108"/>
  <c r="L23" i="108"/>
  <c r="H23" i="108"/>
  <c r="BJ23" i="108"/>
  <c r="BB23" i="108"/>
  <c r="AT23" i="108"/>
  <c r="AL23" i="108"/>
  <c r="AD23" i="108"/>
  <c r="V23" i="108"/>
  <c r="N23" i="108"/>
  <c r="BG23" i="108"/>
  <c r="AY23" i="108"/>
  <c r="AQ23" i="108"/>
  <c r="AI23" i="108"/>
  <c r="AA23" i="108"/>
  <c r="S23" i="108"/>
  <c r="K23" i="108"/>
  <c r="BN23" i="108"/>
  <c r="BF23" i="108"/>
  <c r="AX23" i="108"/>
  <c r="AP23" i="108"/>
  <c r="AH23" i="108"/>
  <c r="Z23" i="108"/>
  <c r="R23" i="108"/>
  <c r="J23" i="108"/>
  <c r="BK23" i="108"/>
  <c r="BC23" i="108"/>
  <c r="AU23" i="108"/>
  <c r="AM23" i="108"/>
  <c r="AE23" i="108"/>
  <c r="W23" i="108"/>
  <c r="O23" i="108"/>
  <c r="G23" i="108"/>
  <c r="D20" i="108"/>
  <c r="BK20" i="108"/>
  <c r="BG20" i="108"/>
  <c r="BC20" i="108"/>
  <c r="AY20" i="108"/>
  <c r="AU20" i="108"/>
  <c r="AQ20" i="108"/>
  <c r="AM20" i="108"/>
  <c r="AI20" i="108"/>
  <c r="AE20" i="108"/>
  <c r="AA20" i="108"/>
  <c r="W20" i="108"/>
  <c r="S20" i="108"/>
  <c r="O20" i="108"/>
  <c r="K20" i="108"/>
  <c r="G20" i="108"/>
  <c r="BN20" i="108"/>
  <c r="BJ20" i="108"/>
  <c r="BF20" i="108"/>
  <c r="BB20" i="108"/>
  <c r="AX20" i="108"/>
  <c r="AT20" i="108"/>
  <c r="AP20" i="108"/>
  <c r="AL20" i="108"/>
  <c r="AH20" i="108"/>
  <c r="AD20" i="108"/>
  <c r="Z20" i="108"/>
  <c r="V20" i="108"/>
  <c r="R20" i="108"/>
  <c r="N20" i="108"/>
  <c r="J20" i="108"/>
  <c r="BM20" i="108"/>
  <c r="BI20" i="108"/>
  <c r="BE20" i="108"/>
  <c r="BA20" i="108"/>
  <c r="AW20" i="108"/>
  <c r="AS20" i="108"/>
  <c r="AO20" i="108"/>
  <c r="AK20" i="108"/>
  <c r="AG20" i="108"/>
  <c r="AC20" i="108"/>
  <c r="Y20" i="108"/>
  <c r="U20" i="108"/>
  <c r="Q20" i="108"/>
  <c r="M20" i="108"/>
  <c r="I20" i="108"/>
  <c r="BL20" i="108"/>
  <c r="BH20" i="108"/>
  <c r="BD20" i="108"/>
  <c r="AZ20" i="108"/>
  <c r="AV20" i="108"/>
  <c r="AR20" i="108"/>
  <c r="AN20" i="108"/>
  <c r="AJ20" i="108"/>
  <c r="AF20" i="108"/>
  <c r="AB20" i="108"/>
  <c r="X20" i="108"/>
  <c r="T20" i="108"/>
  <c r="P20" i="108"/>
  <c r="L20" i="108"/>
  <c r="H20" i="108"/>
  <c r="D21" i="108"/>
  <c r="BM21" i="108"/>
  <c r="BI21" i="108"/>
  <c r="BE21" i="108"/>
  <c r="BA21" i="108"/>
  <c r="AW21" i="108"/>
  <c r="AS21" i="108"/>
  <c r="AO21" i="108"/>
  <c r="AK21" i="108"/>
  <c r="AG21" i="108"/>
  <c r="AC21" i="108"/>
  <c r="Y21" i="108"/>
  <c r="U21" i="108"/>
  <c r="Q21" i="108"/>
  <c r="BL21" i="108"/>
  <c r="BH21" i="108"/>
  <c r="BD21" i="108"/>
  <c r="AZ21" i="108"/>
  <c r="AV21" i="108"/>
  <c r="AR21" i="108"/>
  <c r="AN21" i="108"/>
  <c r="AJ21" i="108"/>
  <c r="AF21" i="108"/>
  <c r="AB21" i="108"/>
  <c r="X21" i="108"/>
  <c r="T21" i="108"/>
  <c r="BJ21" i="108"/>
  <c r="BB21" i="108"/>
  <c r="AT21" i="108"/>
  <c r="AL21" i="108"/>
  <c r="AD21" i="108"/>
  <c r="V21" i="108"/>
  <c r="O21" i="108"/>
  <c r="K21" i="108"/>
  <c r="G21" i="108"/>
  <c r="BG21" i="108"/>
  <c r="AY21" i="108"/>
  <c r="AQ21" i="108"/>
  <c r="AI21" i="108"/>
  <c r="AA21" i="108"/>
  <c r="S21" i="108"/>
  <c r="N21" i="108"/>
  <c r="J21" i="108"/>
  <c r="BN21" i="108"/>
  <c r="BF21" i="108"/>
  <c r="AX21" i="108"/>
  <c r="AP21" i="108"/>
  <c r="AH21" i="108"/>
  <c r="Z21" i="108"/>
  <c r="R21" i="108"/>
  <c r="M21" i="108"/>
  <c r="I21" i="108"/>
  <c r="BK21" i="108"/>
  <c r="BC21" i="108"/>
  <c r="AU21" i="108"/>
  <c r="AM21" i="108"/>
  <c r="AE21" i="108"/>
  <c r="W21" i="108"/>
  <c r="P21" i="108"/>
  <c r="L21" i="108"/>
  <c r="H21" i="108"/>
  <c r="D22" i="108"/>
  <c r="K16" i="108"/>
  <c r="BN16" i="108"/>
  <c r="AE16" i="108"/>
  <c r="AU16" i="108"/>
  <c r="BK16" i="108"/>
  <c r="T16" i="108"/>
  <c r="AJ16" i="108"/>
  <c r="AZ16" i="108"/>
  <c r="I16" i="108"/>
  <c r="Y16" i="108"/>
  <c r="AO16" i="108"/>
  <c r="BE16" i="108"/>
  <c r="N16" i="108"/>
  <c r="AD16" i="108"/>
  <c r="AT16" i="108"/>
  <c r="BJ16" i="108"/>
  <c r="AI16" i="108"/>
  <c r="AY16" i="108"/>
  <c r="H16" i="108"/>
  <c r="X16" i="108"/>
  <c r="AN16" i="108"/>
  <c r="BD16" i="108"/>
  <c r="M16" i="108"/>
  <c r="AC16" i="108"/>
  <c r="AS16" i="108"/>
  <c r="BI16" i="108"/>
  <c r="R16" i="108"/>
  <c r="AH16" i="108"/>
  <c r="AX16" i="108"/>
  <c r="W16" i="108"/>
  <c r="AM16" i="108"/>
  <c r="BC16" i="108"/>
  <c r="L16" i="108"/>
  <c r="AB16" i="108"/>
  <c r="AR16" i="108"/>
  <c r="BH16" i="108"/>
  <c r="Q16" i="108"/>
  <c r="AG16" i="108"/>
  <c r="AW16" i="108"/>
  <c r="BM16" i="108"/>
  <c r="V16" i="108"/>
  <c r="AL16" i="108"/>
  <c r="BB16" i="108"/>
  <c r="O16" i="108"/>
  <c r="S16" i="108"/>
  <c r="G16" i="108"/>
  <c r="AA16" i="108"/>
  <c r="AQ16" i="108"/>
  <c r="BG16" i="108"/>
  <c r="P16" i="108"/>
  <c r="AF16" i="108"/>
  <c r="AV16" i="108"/>
  <c r="BL16" i="108"/>
  <c r="U16" i="108"/>
  <c r="AK16" i="108"/>
  <c r="BA16" i="108"/>
  <c r="J16" i="108"/>
  <c r="Z16" i="108"/>
  <c r="AP16" i="108"/>
  <c r="BF16" i="108"/>
  <c r="C15" i="69"/>
  <c r="D16" i="108"/>
  <c r="K11" i="108"/>
  <c r="D2" i="44"/>
  <c r="E10" i="101"/>
  <c r="O842" i="52"/>
  <c r="M766" i="52"/>
  <c r="N766" i="52" s="1"/>
  <c r="M804" i="52"/>
  <c r="N804" i="52" s="1"/>
  <c r="M722" i="52"/>
  <c r="N722" i="52" s="1"/>
  <c r="M256" i="52"/>
  <c r="N256" i="52" s="1"/>
  <c r="O752" i="52"/>
  <c r="M848" i="52"/>
  <c r="N848" i="52" s="1"/>
  <c r="O717" i="52"/>
  <c r="N505" i="52"/>
  <c r="M820" i="52"/>
  <c r="N820" i="52" s="1"/>
  <c r="M841" i="52"/>
  <c r="N841" i="52" s="1"/>
  <c r="M203" i="52"/>
  <c r="N203" i="52" s="1"/>
  <c r="M826" i="52"/>
  <c r="N826" i="52" s="1"/>
  <c r="M800" i="52"/>
  <c r="N800" i="52" s="1"/>
  <c r="M783" i="52"/>
  <c r="N783" i="52" s="1"/>
  <c r="M598" i="52"/>
  <c r="N598" i="52" s="1"/>
  <c r="O823" i="52"/>
  <c r="M672" i="52"/>
  <c r="N672" i="52" s="1"/>
  <c r="M461" i="52"/>
  <c r="N461" i="52" s="1"/>
  <c r="N695" i="52"/>
  <c r="M750" i="52"/>
  <c r="N750" i="52" s="1"/>
  <c r="M186" i="52"/>
  <c r="N186" i="52" s="1"/>
  <c r="O562" i="52"/>
  <c r="M54" i="69"/>
  <c r="U54" i="69"/>
  <c r="Q54" i="69"/>
  <c r="Y54" i="69"/>
  <c r="M824" i="52"/>
  <c r="N824" i="52" s="1"/>
  <c r="O714" i="52"/>
  <c r="M782" i="52"/>
  <c r="N782" i="52" s="1"/>
  <c r="N557" i="52"/>
  <c r="O596" i="52"/>
  <c r="O557" i="52"/>
  <c r="M810" i="52"/>
  <c r="N810" i="52" s="1"/>
  <c r="O815" i="52"/>
  <c r="M522" i="52"/>
  <c r="N522" i="52" s="1"/>
  <c r="N697" i="52"/>
  <c r="O721" i="52"/>
  <c r="O748" i="52"/>
  <c r="O790" i="52"/>
  <c r="M775" i="52"/>
  <c r="N775" i="52" s="1"/>
  <c r="M555" i="52"/>
  <c r="N555" i="52" s="1"/>
  <c r="M629" i="52"/>
  <c r="N629" i="52" s="1"/>
  <c r="N507" i="52"/>
  <c r="N491" i="52"/>
  <c r="O726" i="52"/>
  <c r="O698" i="52"/>
  <c r="O218" i="52"/>
  <c r="O787" i="52"/>
  <c r="O825" i="52"/>
  <c r="N515" i="52"/>
  <c r="M241" i="52"/>
  <c r="N241" i="52" s="1"/>
  <c r="M670" i="52"/>
  <c r="N670" i="52" s="1"/>
  <c r="M212" i="52"/>
  <c r="N212" i="52" s="1"/>
  <c r="O319" i="52"/>
  <c r="O207" i="52"/>
  <c r="O697" i="52"/>
  <c r="M770" i="52"/>
  <c r="N770" i="52" s="1"/>
  <c r="O762" i="52"/>
  <c r="M725" i="52"/>
  <c r="N725" i="52" s="1"/>
  <c r="M498" i="52"/>
  <c r="N498" i="52" s="1"/>
  <c r="O202" i="52"/>
  <c r="O756" i="52"/>
  <c r="M638" i="52"/>
  <c r="N638" i="52" s="1"/>
  <c r="O644" i="52"/>
  <c r="M765" i="52"/>
  <c r="N765" i="52" s="1"/>
  <c r="M608" i="52"/>
  <c r="N608" i="52" s="1"/>
  <c r="M571" i="52"/>
  <c r="N571" i="52" s="1"/>
  <c r="M716" i="52"/>
  <c r="N716" i="52" s="1"/>
  <c r="M606" i="52"/>
  <c r="N606" i="52" s="1"/>
  <c r="M602" i="52"/>
  <c r="N602" i="52" s="1"/>
  <c r="N817" i="52"/>
  <c r="M513" i="52"/>
  <c r="N513" i="52" s="1"/>
  <c r="O710" i="52"/>
  <c r="M655" i="52"/>
  <c r="N655" i="52" s="1"/>
  <c r="M675" i="52"/>
  <c r="N675" i="52" s="1"/>
  <c r="M285" i="52"/>
  <c r="N285" i="52" s="1"/>
  <c r="O780" i="52"/>
  <c r="O645" i="52"/>
  <c r="O740" i="52"/>
  <c r="O572" i="52"/>
  <c r="O700" i="52"/>
  <c r="M818" i="52"/>
  <c r="N818" i="52" s="1"/>
  <c r="M833" i="52"/>
  <c r="N833" i="52" s="1"/>
  <c r="M807" i="52"/>
  <c r="N807" i="52" s="1"/>
  <c r="M799" i="52"/>
  <c r="N799" i="52" s="1"/>
  <c r="M576" i="52"/>
  <c r="N576" i="52" s="1"/>
  <c r="O409" i="52"/>
  <c r="O290" i="52"/>
  <c r="M829" i="52"/>
  <c r="N829" i="52" s="1"/>
  <c r="N788" i="52"/>
  <c r="M837" i="52"/>
  <c r="N837" i="52" s="1"/>
  <c r="N769" i="52"/>
  <c r="M761" i="52"/>
  <c r="N761" i="52" s="1"/>
  <c r="M327" i="52"/>
  <c r="N327" i="52" s="1"/>
  <c r="O693" i="52"/>
  <c r="O758" i="52"/>
  <c r="M806" i="52"/>
  <c r="N806" i="52" s="1"/>
  <c r="N753" i="52"/>
  <c r="N825" i="52"/>
  <c r="M720" i="52"/>
  <c r="N720" i="52" s="1"/>
  <c r="C14" i="69"/>
  <c r="C10" i="69"/>
  <c r="M840" i="52"/>
  <c r="N840" i="52" s="1"/>
  <c r="O778" i="52"/>
  <c r="M704" i="52"/>
  <c r="N704" i="52" s="1"/>
  <c r="O760" i="52"/>
  <c r="M709" i="52"/>
  <c r="N709" i="52" s="1"/>
  <c r="M587" i="52"/>
  <c r="N587" i="52" s="1"/>
  <c r="M335" i="52"/>
  <c r="N335" i="52" s="1"/>
  <c r="M176" i="52"/>
  <c r="N176" i="52" s="1"/>
  <c r="O764" i="52"/>
  <c r="M662" i="52"/>
  <c r="N662" i="52" s="1"/>
  <c r="M774" i="52"/>
  <c r="N774" i="52" s="1"/>
  <c r="M251" i="52"/>
  <c r="N251" i="52" s="1"/>
  <c r="M614" i="52"/>
  <c r="N614" i="52" s="1"/>
  <c r="M561" i="52"/>
  <c r="N561" i="52" s="1"/>
  <c r="O605" i="52"/>
  <c r="M838" i="52"/>
  <c r="N838" i="52" s="1"/>
  <c r="N668" i="52"/>
  <c r="M625" i="52"/>
  <c r="N625" i="52" s="1"/>
  <c r="O723" i="52"/>
  <c r="C13" i="69"/>
  <c r="M738" i="52"/>
  <c r="N738" i="52" s="1"/>
  <c r="M816" i="52"/>
  <c r="N816" i="52" s="1"/>
  <c r="O746" i="52"/>
  <c r="M583" i="52"/>
  <c r="N583" i="52" s="1"/>
  <c r="M688" i="52"/>
  <c r="N688" i="52" s="1"/>
  <c r="M791" i="52"/>
  <c r="N791" i="52" s="1"/>
  <c r="M544" i="52"/>
  <c r="N544" i="52" s="1"/>
  <c r="M320" i="52"/>
  <c r="N320" i="52" s="1"/>
  <c r="M107" i="52"/>
  <c r="M681" i="52"/>
  <c r="N681" i="52" s="1"/>
  <c r="M613" i="52"/>
  <c r="N613" i="52" s="1"/>
  <c r="M712" i="52"/>
  <c r="N712" i="52" s="1"/>
  <c r="M661" i="52"/>
  <c r="N661" i="52" s="1"/>
  <c r="M324" i="52"/>
  <c r="N324" i="52" s="1"/>
  <c r="M657" i="52"/>
  <c r="N657" i="52" s="1"/>
  <c r="M480" i="52"/>
  <c r="N480" i="52" s="1"/>
  <c r="N676" i="52"/>
  <c r="O246" i="52"/>
  <c r="M814" i="52"/>
  <c r="N814" i="52" s="1"/>
  <c r="M610" i="52"/>
  <c r="N610" i="52" s="1"/>
  <c r="N620" i="52"/>
  <c r="C11" i="69"/>
  <c r="C12" i="69"/>
  <c r="M784" i="52"/>
  <c r="N784" i="52" s="1"/>
  <c r="O834" i="52"/>
  <c r="O751" i="52"/>
  <c r="M736" i="52"/>
  <c r="N736" i="52" s="1"/>
  <c r="M640" i="52"/>
  <c r="N640" i="52" s="1"/>
  <c r="O652" i="52"/>
  <c r="M365" i="52"/>
  <c r="N365" i="52" s="1"/>
  <c r="M321" i="52"/>
  <c r="N321" i="52" s="1"/>
  <c r="M650" i="52"/>
  <c r="N650" i="52" s="1"/>
  <c r="N737" i="52"/>
  <c r="M553" i="52"/>
  <c r="N553" i="52" s="1"/>
  <c r="O734" i="52"/>
  <c r="M525" i="52"/>
  <c r="N525" i="52" s="1"/>
  <c r="M142" i="52"/>
  <c r="N142" i="52" s="1"/>
  <c r="O812" i="52"/>
  <c r="N589" i="52"/>
  <c r="O803" i="52"/>
  <c r="M617" i="52"/>
  <c r="N617" i="52" s="1"/>
  <c r="M718" i="52"/>
  <c r="N718" i="52" s="1"/>
  <c r="AH17" i="105"/>
  <c r="E12" i="108" s="1"/>
  <c r="AH64" i="105"/>
  <c r="AH20" i="105"/>
  <c r="E15" i="108" s="1"/>
  <c r="N5" i="52"/>
  <c r="O831" i="52"/>
  <c r="N831" i="52"/>
  <c r="M615" i="52"/>
  <c r="N615" i="52" s="1"/>
  <c r="M727" i="52"/>
  <c r="N727" i="52" s="1"/>
  <c r="M463" i="52"/>
  <c r="N463" i="52" s="1"/>
  <c r="M421" i="52"/>
  <c r="N421" i="52" s="1"/>
  <c r="O337" i="52"/>
  <c r="M351" i="52"/>
  <c r="N351" i="52" s="1"/>
  <c r="M131" i="52"/>
  <c r="N131" i="52" s="1"/>
  <c r="M621" i="52"/>
  <c r="N621" i="52" s="1"/>
  <c r="M492" i="52"/>
  <c r="N492" i="52" s="1"/>
  <c r="M424" i="52"/>
  <c r="N424" i="52" s="1"/>
  <c r="M184" i="52"/>
  <c r="N184" i="52" s="1"/>
  <c r="O449" i="52"/>
  <c r="M224" i="52"/>
  <c r="N224" i="52" s="1"/>
  <c r="N851" i="52"/>
  <c r="O658" i="52"/>
  <c r="N393" i="52"/>
  <c r="N819" i="52"/>
  <c r="M802" i="52"/>
  <c r="N802" i="52" s="1"/>
  <c r="M792" i="52"/>
  <c r="N792" i="52" s="1"/>
  <c r="N823" i="52"/>
  <c r="O730" i="52"/>
  <c r="M551" i="52"/>
  <c r="N551" i="52" s="1"/>
  <c r="O733" i="52"/>
  <c r="M656" i="52"/>
  <c r="N656" i="52" s="1"/>
  <c r="M696" i="52"/>
  <c r="N696" i="52" s="1"/>
  <c r="M520" i="52"/>
  <c r="N520" i="52" s="1"/>
  <c r="O579" i="52"/>
  <c r="M317" i="52"/>
  <c r="N317" i="52" s="1"/>
  <c r="M297" i="52"/>
  <c r="N297" i="52" s="1"/>
  <c r="M686" i="52"/>
  <c r="N686" i="52" s="1"/>
  <c r="M772" i="52"/>
  <c r="N772" i="52" s="1"/>
  <c r="M732" i="52"/>
  <c r="N732" i="52" s="1"/>
  <c r="O737" i="52"/>
  <c r="N796" i="52"/>
  <c r="O649" i="52"/>
  <c r="M255" i="52"/>
  <c r="N255" i="52" s="1"/>
  <c r="M243" i="52"/>
  <c r="N243" i="52" s="1"/>
  <c r="M654" i="52"/>
  <c r="N654" i="52" s="1"/>
  <c r="O564" i="52"/>
  <c r="O570" i="52"/>
  <c r="O148" i="52"/>
  <c r="M822" i="52"/>
  <c r="N822" i="52" s="1"/>
  <c r="M828" i="52"/>
  <c r="N828" i="52" s="1"/>
  <c r="O500" i="52"/>
  <c r="M702" i="52"/>
  <c r="N702" i="52" s="1"/>
  <c r="O811" i="52"/>
  <c r="N699" i="52"/>
  <c r="O452" i="52"/>
  <c r="O653" i="52"/>
  <c r="M307" i="52"/>
  <c r="N307" i="52" s="1"/>
  <c r="M104" i="52"/>
  <c r="N104" i="52" s="1"/>
  <c r="M776" i="52"/>
  <c r="N776" i="52" s="1"/>
  <c r="N741" i="52"/>
  <c r="O768" i="52"/>
  <c r="M767" i="52"/>
  <c r="N767" i="52" s="1"/>
  <c r="M624" i="52"/>
  <c r="N624" i="52" s="1"/>
  <c r="O603" i="52"/>
  <c r="M458" i="52"/>
  <c r="N458" i="52" s="1"/>
  <c r="O528" i="52"/>
  <c r="M245" i="52"/>
  <c r="N245" i="52" s="1"/>
  <c r="M161" i="52"/>
  <c r="N161" i="52" s="1"/>
  <c r="O676" i="52"/>
  <c r="O724" i="52"/>
  <c r="M701" i="52"/>
  <c r="N701" i="52" s="1"/>
  <c r="M642" i="52"/>
  <c r="N642" i="52" s="1"/>
  <c r="M580" i="52"/>
  <c r="N580" i="52" s="1"/>
  <c r="M641" i="52"/>
  <c r="N641" i="52" s="1"/>
  <c r="M166" i="52"/>
  <c r="N166" i="52" s="1"/>
  <c r="O620" i="52"/>
  <c r="N489" i="52"/>
  <c r="O646" i="52"/>
  <c r="O92" i="52"/>
  <c r="N713" i="52"/>
  <c r="O819" i="52"/>
  <c r="M294" i="52"/>
  <c r="N294" i="52" s="1"/>
  <c r="M232" i="52"/>
  <c r="N232" i="52" s="1"/>
  <c r="O628" i="52"/>
  <c r="M488" i="52"/>
  <c r="N488" i="52" s="1"/>
  <c r="O223" i="52"/>
  <c r="O489" i="52"/>
  <c r="M739" i="52"/>
  <c r="N739" i="52" s="1"/>
  <c r="O708" i="52"/>
  <c r="M167" i="52"/>
  <c r="N167" i="52" s="1"/>
  <c r="M315" i="52"/>
  <c r="N315" i="52" s="1"/>
  <c r="M140" i="52"/>
  <c r="N140" i="52" s="1"/>
  <c r="N794" i="52"/>
  <c r="M235" i="52"/>
  <c r="N235" i="52" s="1"/>
  <c r="N279" i="52"/>
  <c r="M754" i="52"/>
  <c r="N754" i="52" s="1"/>
  <c r="M832" i="52"/>
  <c r="N832" i="52" s="1"/>
  <c r="O839" i="52"/>
  <c r="N839" i="52"/>
  <c r="O794" i="52"/>
  <c r="M744" i="52"/>
  <c r="N744" i="52" s="1"/>
  <c r="M679" i="52"/>
  <c r="N679" i="52" s="1"/>
  <c r="O719" i="52"/>
  <c r="M728" i="52"/>
  <c r="N728" i="52" s="1"/>
  <c r="M592" i="52"/>
  <c r="N592" i="52" s="1"/>
  <c r="M759" i="52"/>
  <c r="N759" i="52" s="1"/>
  <c r="M595" i="52"/>
  <c r="N595" i="52" s="1"/>
  <c r="M509" i="52"/>
  <c r="N509" i="52" s="1"/>
  <c r="M619" i="52"/>
  <c r="N619" i="52" s="1"/>
  <c r="M344" i="52"/>
  <c r="N344" i="52" s="1"/>
  <c r="O250" i="52"/>
  <c r="O126" i="52"/>
  <c r="M813" i="52"/>
  <c r="N813" i="52" s="1"/>
  <c r="N666" i="52"/>
  <c r="N658" i="52"/>
  <c r="M835" i="52"/>
  <c r="N835" i="52" s="1"/>
  <c r="O636" i="52"/>
  <c r="O612" i="52"/>
  <c r="O538" i="52"/>
  <c r="M537" i="52"/>
  <c r="N537" i="52" s="1"/>
  <c r="O637" i="52"/>
  <c r="M468" i="52"/>
  <c r="N468" i="52" s="1"/>
  <c r="O100" i="52"/>
  <c r="N528" i="52"/>
  <c r="O549" i="52"/>
  <c r="M763" i="52"/>
  <c r="N763" i="52" s="1"/>
  <c r="M830" i="52"/>
  <c r="N830" i="52" s="1"/>
  <c r="M462" i="52"/>
  <c r="N462" i="52" s="1"/>
  <c r="O827" i="52"/>
  <c r="M749" i="52"/>
  <c r="N749" i="52" s="1"/>
  <c r="M836" i="52"/>
  <c r="N836" i="52" s="1"/>
  <c r="M214" i="52"/>
  <c r="N214" i="52" s="1"/>
  <c r="O162" i="52"/>
  <c r="M206" i="52"/>
  <c r="N206" i="52" s="1"/>
  <c r="O122" i="52"/>
  <c r="O222" i="52"/>
  <c r="M786" i="52"/>
  <c r="N786" i="52" s="1"/>
  <c r="O741" i="52"/>
  <c r="M599" i="52"/>
  <c r="N599" i="52" s="1"/>
  <c r="M743" i="52"/>
  <c r="N743" i="52" s="1"/>
  <c r="N733" i="52"/>
  <c r="O735" i="52"/>
  <c r="M664" i="52"/>
  <c r="N664" i="52" s="1"/>
  <c r="M600" i="52"/>
  <c r="N600" i="52" s="1"/>
  <c r="M703" i="52"/>
  <c r="N703" i="52" s="1"/>
  <c r="O711" i="52"/>
  <c r="M651" i="52"/>
  <c r="N651" i="52" s="1"/>
  <c r="O531" i="52"/>
  <c r="M516" i="52"/>
  <c r="N516" i="52" s="1"/>
  <c r="O635" i="52"/>
  <c r="O377" i="52"/>
  <c r="O333" i="52"/>
  <c r="M296" i="52"/>
  <c r="M313" i="52"/>
  <c r="N313" i="52" s="1"/>
  <c r="O274" i="52"/>
  <c r="O210" i="52"/>
  <c r="M72" i="52"/>
  <c r="N72" i="52" s="1"/>
  <c r="O138" i="52"/>
  <c r="O705" i="52"/>
  <c r="M673" i="52"/>
  <c r="N673" i="52" s="1"/>
  <c r="M795" i="52"/>
  <c r="N795" i="52" s="1"/>
  <c r="M665" i="52"/>
  <c r="N665" i="52" s="1"/>
  <c r="M618" i="52"/>
  <c r="N618" i="52" s="1"/>
  <c r="O777" i="52"/>
  <c r="M707" i="52"/>
  <c r="N707" i="52" s="1"/>
  <c r="O796" i="52"/>
  <c r="M524" i="52"/>
  <c r="N524" i="52" s="1"/>
  <c r="M609" i="52"/>
  <c r="N609" i="52" s="1"/>
  <c r="O507" i="52"/>
  <c r="M172" i="52"/>
  <c r="N172" i="52" s="1"/>
  <c r="M585" i="52"/>
  <c r="N585" i="52" s="1"/>
  <c r="M287" i="52"/>
  <c r="N287" i="52" s="1"/>
  <c r="O677" i="52"/>
  <c r="M669" i="52"/>
  <c r="N669" i="52" s="1"/>
  <c r="M511" i="52"/>
  <c r="N511" i="52" s="1"/>
  <c r="M594" i="52"/>
  <c r="N594" i="52" s="1"/>
  <c r="M545" i="52"/>
  <c r="N545" i="52" s="1"/>
  <c r="O236" i="52"/>
  <c r="M101" i="52"/>
  <c r="N101" i="52" s="1"/>
  <c r="M781" i="52"/>
  <c r="N781" i="52" s="1"/>
  <c r="M436" i="52"/>
  <c r="N436" i="52" s="1"/>
  <c r="O753" i="52"/>
  <c r="O340" i="52"/>
  <c r="M111" i="52"/>
  <c r="N111" i="52" s="1"/>
  <c r="M747" i="52"/>
  <c r="N747" i="52" s="1"/>
  <c r="N705" i="52"/>
  <c r="O128" i="52"/>
  <c r="N604" i="52"/>
  <c r="O729" i="52"/>
  <c r="O263" i="52"/>
  <c r="N647" i="52"/>
  <c r="M577" i="52"/>
  <c r="N577" i="52" s="1"/>
  <c r="M674" i="52"/>
  <c r="N674" i="52" s="1"/>
  <c r="M694" i="52"/>
  <c r="N694" i="52" s="1"/>
  <c r="O666" i="52"/>
  <c r="M44" i="52"/>
  <c r="N44" i="52" s="1"/>
  <c r="N183" i="52"/>
  <c r="M110" i="52"/>
  <c r="N110" i="52" s="1"/>
  <c r="M190" i="52"/>
  <c r="N190" i="52" s="1"/>
  <c r="M808" i="52"/>
  <c r="N808" i="52" s="1"/>
  <c r="M687" i="52"/>
  <c r="N687" i="52" s="1"/>
  <c r="M567" i="52"/>
  <c r="N567" i="52" s="1"/>
  <c r="M706" i="52"/>
  <c r="N706" i="52" s="1"/>
  <c r="M648" i="52"/>
  <c r="N648" i="52" s="1"/>
  <c r="M584" i="52"/>
  <c r="N584" i="52" s="1"/>
  <c r="M683" i="52"/>
  <c r="N683" i="52" s="1"/>
  <c r="O611" i="52"/>
  <c r="O514" i="52"/>
  <c r="M493" i="52"/>
  <c r="N493" i="52" s="1"/>
  <c r="M627" i="52"/>
  <c r="N627" i="52" s="1"/>
  <c r="M563" i="52"/>
  <c r="N563" i="52" s="1"/>
  <c r="M301" i="52"/>
  <c r="N301" i="52" s="1"/>
  <c r="M219" i="52"/>
  <c r="N219" i="52" s="1"/>
  <c r="M257" i="52"/>
  <c r="N257" i="52" s="1"/>
  <c r="O234" i="52"/>
  <c r="O152" i="52"/>
  <c r="O136" i="52"/>
  <c r="M821" i="52"/>
  <c r="N821" i="52" s="1"/>
  <c r="M689" i="52"/>
  <c r="N689" i="52" s="1"/>
  <c r="O668" i="52"/>
  <c r="N660" i="52"/>
  <c r="O769" i="52"/>
  <c r="M789" i="52"/>
  <c r="N789" i="52" s="1"/>
  <c r="O745" i="52"/>
  <c r="O793" i="52"/>
  <c r="O685" i="52"/>
  <c r="O582" i="52"/>
  <c r="M502" i="52"/>
  <c r="N502" i="52" s="1"/>
  <c r="O532" i="52"/>
  <c r="M220" i="52"/>
  <c r="N220" i="52" s="1"/>
  <c r="N549" i="52"/>
  <c r="O546" i="52"/>
  <c r="O505" i="52"/>
  <c r="O133" i="52"/>
  <c r="N684" i="52"/>
  <c r="M690" i="52"/>
  <c r="N690" i="52" s="1"/>
  <c r="O306" i="52"/>
  <c r="N596" i="52"/>
  <c r="N409" i="52"/>
  <c r="O604" i="52"/>
  <c r="O817" i="52"/>
  <c r="M384" i="52"/>
  <c r="N384" i="52" s="1"/>
  <c r="M586" i="52"/>
  <c r="N586" i="52" s="1"/>
  <c r="N812" i="52"/>
  <c r="N745" i="52"/>
  <c r="O454" i="52"/>
  <c r="M530" i="52"/>
  <c r="N530" i="52" s="1"/>
  <c r="M244" i="52"/>
  <c r="N244" i="52" s="1"/>
  <c r="N475" i="52"/>
  <c r="N92" i="52"/>
  <c r="N144" i="52"/>
  <c r="M671" i="52"/>
  <c r="N671" i="52" s="1"/>
  <c r="N698" i="52"/>
  <c r="M632" i="52"/>
  <c r="N632" i="52" s="1"/>
  <c r="M560" i="52"/>
  <c r="N560" i="52" s="1"/>
  <c r="M667" i="52"/>
  <c r="N667" i="52" s="1"/>
  <c r="O659" i="52"/>
  <c r="M479" i="52"/>
  <c r="N479" i="52" s="1"/>
  <c r="M490" i="52"/>
  <c r="N490" i="52" s="1"/>
  <c r="M429" i="52"/>
  <c r="N429" i="52" s="1"/>
  <c r="M539" i="52"/>
  <c r="N539" i="52" s="1"/>
  <c r="M360" i="52"/>
  <c r="N360" i="52" s="1"/>
  <c r="M261" i="52"/>
  <c r="N261" i="52" s="1"/>
  <c r="O338" i="52"/>
  <c r="M201" i="52"/>
  <c r="N201" i="52" s="1"/>
  <c r="O146" i="52"/>
  <c r="M112" i="52"/>
  <c r="N112" i="52" s="1"/>
  <c r="M123" i="52"/>
  <c r="N123" i="52" s="1"/>
  <c r="M57" i="52"/>
  <c r="N57" i="52" s="1"/>
  <c r="M805" i="52"/>
  <c r="N805" i="52" s="1"/>
  <c r="O684" i="52"/>
  <c r="O660" i="52"/>
  <c r="M634" i="52"/>
  <c r="N634" i="52" s="1"/>
  <c r="O695" i="52"/>
  <c r="N721" i="52"/>
  <c r="N723" i="52"/>
  <c r="O565" i="52"/>
  <c r="M339" i="52"/>
  <c r="N339" i="52" s="1"/>
  <c r="M440" i="52"/>
  <c r="N440" i="52" s="1"/>
  <c r="M204" i="52"/>
  <c r="N204" i="52" s="1"/>
  <c r="M541" i="52"/>
  <c r="N541" i="52" s="1"/>
  <c r="M682" i="52"/>
  <c r="N682" i="52" s="1"/>
  <c r="O517" i="52"/>
  <c r="O467" i="52"/>
  <c r="M633" i="52"/>
  <c r="N633" i="52" s="1"/>
  <c r="N636" i="52"/>
  <c r="M252" i="52"/>
  <c r="N252" i="52" s="1"/>
  <c r="O809" i="52"/>
  <c r="M248" i="52"/>
  <c r="N248" i="52" s="1"/>
  <c r="O519" i="52"/>
  <c r="O788" i="52"/>
  <c r="M117" i="52"/>
  <c r="N117" i="52" s="1"/>
  <c r="N572" i="52"/>
  <c r="M771" i="52"/>
  <c r="N771" i="52" s="1"/>
  <c r="O713" i="52"/>
  <c r="M622" i="52"/>
  <c r="N622" i="52" s="1"/>
  <c r="M785" i="52"/>
  <c r="N785" i="52" s="1"/>
  <c r="M755" i="52"/>
  <c r="N755" i="52" s="1"/>
  <c r="M631" i="52"/>
  <c r="N631" i="52" s="1"/>
  <c r="M680" i="52"/>
  <c r="N680" i="52" s="1"/>
  <c r="M616" i="52"/>
  <c r="N616" i="52" s="1"/>
  <c r="O547" i="52"/>
  <c r="M423" i="52"/>
  <c r="N423" i="52" s="1"/>
  <c r="O643" i="52"/>
  <c r="M405" i="52"/>
  <c r="N405" i="52" s="1"/>
  <c r="M352" i="52"/>
  <c r="N352" i="52" s="1"/>
  <c r="M173" i="52"/>
  <c r="N173" i="52" s="1"/>
  <c r="M329" i="52"/>
  <c r="N329" i="52" s="1"/>
  <c r="M378" i="52"/>
  <c r="N378" i="52" s="1"/>
  <c r="M53" i="52"/>
  <c r="N53" i="52" s="1"/>
  <c r="M96" i="52"/>
  <c r="N96" i="52" s="1"/>
  <c r="O194" i="52"/>
  <c r="M124" i="52"/>
  <c r="N124" i="52" s="1"/>
  <c r="M678" i="52"/>
  <c r="N678" i="52" s="1"/>
  <c r="O647" i="52"/>
  <c r="M626" i="52"/>
  <c r="N626" i="52" s="1"/>
  <c r="N628" i="52"/>
  <c r="M316" i="52"/>
  <c r="N316" i="52" s="1"/>
  <c r="M408" i="52"/>
  <c r="N408" i="52" s="1"/>
  <c r="N385" i="52"/>
  <c r="N564" i="52"/>
  <c r="N379" i="52"/>
  <c r="O68" i="52"/>
  <c r="O535" i="52"/>
  <c r="M593" i="52"/>
  <c r="N593" i="52" s="1"/>
  <c r="O239" i="52"/>
  <c r="M773" i="52"/>
  <c r="N773" i="52" s="1"/>
  <c r="M208" i="52"/>
  <c r="N208" i="52" s="1"/>
  <c r="M779" i="52"/>
  <c r="N779" i="52" s="1"/>
  <c r="O348" i="52"/>
  <c r="O692" i="52"/>
  <c r="N809" i="52"/>
  <c r="M400" i="52"/>
  <c r="N400" i="52" s="1"/>
  <c r="M742" i="52"/>
  <c r="N742" i="52" s="1"/>
  <c r="M630" i="52"/>
  <c r="N630" i="52" s="1"/>
  <c r="M757" i="52"/>
  <c r="N757" i="52" s="1"/>
  <c r="O379" i="52"/>
  <c r="N556" i="52"/>
  <c r="N653" i="52"/>
  <c r="M472" i="52"/>
  <c r="N472" i="52" s="1"/>
  <c r="N150" i="52"/>
  <c r="N234" i="52"/>
  <c r="N246" i="52"/>
  <c r="N250" i="52"/>
  <c r="N290" i="52"/>
  <c r="O358" i="52"/>
  <c r="N438" i="52"/>
  <c r="M439" i="52"/>
  <c r="N439" i="52" s="1"/>
  <c r="M482" i="52"/>
  <c r="N482" i="52" s="1"/>
  <c r="M381" i="52"/>
  <c r="N381" i="52" s="1"/>
  <c r="O465" i="52"/>
  <c r="M325" i="52"/>
  <c r="N325" i="52" s="1"/>
  <c r="M195" i="52"/>
  <c r="N195" i="52" s="1"/>
  <c r="M310" i="52"/>
  <c r="N310" i="52" s="1"/>
  <c r="M363" i="52"/>
  <c r="N363" i="52" s="1"/>
  <c r="M407" i="52"/>
  <c r="N407" i="52" s="1"/>
  <c r="O459" i="52"/>
  <c r="O308" i="52"/>
  <c r="M566" i="52"/>
  <c r="N566" i="52" s="1"/>
  <c r="N401" i="52"/>
  <c r="O475" i="52"/>
  <c r="O411" i="52"/>
  <c r="M334" i="52"/>
  <c r="N334" i="52" s="1"/>
  <c r="M359" i="52"/>
  <c r="N359" i="52" s="1"/>
  <c r="O394" i="52"/>
  <c r="M386" i="52"/>
  <c r="N386" i="52" s="1"/>
  <c r="M406" i="52"/>
  <c r="N406" i="52" s="1"/>
  <c r="M398" i="52"/>
  <c r="N398" i="52" s="1"/>
  <c r="M442" i="52"/>
  <c r="N442" i="52" s="1"/>
  <c r="M477" i="52"/>
  <c r="N477" i="52" s="1"/>
  <c r="O425" i="52"/>
  <c r="M341" i="52"/>
  <c r="N341" i="52" s="1"/>
  <c r="O353" i="52"/>
  <c r="O368" i="52"/>
  <c r="M464" i="52"/>
  <c r="N464" i="52" s="1"/>
  <c r="O438" i="52"/>
  <c r="M91" i="52"/>
  <c r="N91" i="52" s="1"/>
  <c r="M484" i="52"/>
  <c r="N484" i="52" s="1"/>
  <c r="O356" i="52"/>
  <c r="M311" i="52"/>
  <c r="N311" i="52" s="1"/>
  <c r="N308" i="52"/>
  <c r="O314" i="52"/>
  <c r="O332" i="52"/>
  <c r="N497" i="52"/>
  <c r="O345" i="52"/>
  <c r="M574" i="52"/>
  <c r="N574" i="52" s="1"/>
  <c r="M362" i="52"/>
  <c r="N362" i="52" s="1"/>
  <c r="M342" i="52"/>
  <c r="N342" i="52" s="1"/>
  <c r="O370" i="52"/>
  <c r="M426" i="52"/>
  <c r="N426" i="52" s="1"/>
  <c r="O422" i="52"/>
  <c r="M390" i="52"/>
  <c r="N390" i="52" s="1"/>
  <c r="O534" i="52"/>
  <c r="M402" i="52"/>
  <c r="N402" i="52" s="1"/>
  <c r="M445" i="52"/>
  <c r="N445" i="52" s="1"/>
  <c r="O393" i="52"/>
  <c r="N330" i="52"/>
  <c r="O357" i="52"/>
  <c r="N340" i="52"/>
  <c r="M336" i="52"/>
  <c r="N336" i="52" s="1"/>
  <c r="O330" i="52"/>
  <c r="M451" i="52"/>
  <c r="N451" i="52" s="1"/>
  <c r="O404" i="52"/>
  <c r="M374" i="52"/>
  <c r="N374" i="52" s="1"/>
  <c r="M412" i="52"/>
  <c r="N412" i="52" s="1"/>
  <c r="M554" i="52"/>
  <c r="N554" i="52" s="1"/>
  <c r="M355" i="52"/>
  <c r="N355" i="52" s="1"/>
  <c r="M470" i="52"/>
  <c r="N470" i="52" s="1"/>
  <c r="M428" i="52"/>
  <c r="N428" i="52" s="1"/>
  <c r="M476" i="52"/>
  <c r="N476" i="52" s="1"/>
  <c r="N337" i="52"/>
  <c r="N345" i="52"/>
  <c r="M326" i="52"/>
  <c r="N326" i="52" s="1"/>
  <c r="N314" i="52"/>
  <c r="N338" i="52"/>
  <c r="N346" i="52"/>
  <c r="O346" i="52"/>
  <c r="M318" i="52"/>
  <c r="N318" i="52" s="1"/>
  <c r="N414" i="52"/>
  <c r="AK9" i="108"/>
  <c r="M9" i="108"/>
  <c r="K9" i="108"/>
  <c r="AQ9" i="108"/>
  <c r="S9" i="108"/>
  <c r="AR9" i="108"/>
  <c r="W9" i="108"/>
  <c r="AN9" i="108"/>
  <c r="AW9" i="108"/>
  <c r="BF9" i="108"/>
  <c r="AZ9" i="108"/>
  <c r="AE9" i="108"/>
  <c r="BA9" i="108"/>
  <c r="N9" i="108"/>
  <c r="AV9" i="108"/>
  <c r="BE9" i="108"/>
  <c r="BG9" i="108"/>
  <c r="BH9" i="108"/>
  <c r="V9" i="108"/>
  <c r="AM9" i="108"/>
  <c r="BD9" i="108"/>
  <c r="BM9" i="108"/>
  <c r="J9" i="108"/>
  <c r="AU9" i="108"/>
  <c r="I9" i="108"/>
  <c r="AS9" i="108"/>
  <c r="AD9" i="108"/>
  <c r="BL9" i="108"/>
  <c r="R9" i="108"/>
  <c r="BN9" i="108"/>
  <c r="AI9" i="108"/>
  <c r="AY9" i="108"/>
  <c r="L9" i="108"/>
  <c r="AL9" i="108"/>
  <c r="BC9" i="108"/>
  <c r="H9" i="108"/>
  <c r="Q9" i="108"/>
  <c r="Z9" i="108"/>
  <c r="AJ9" i="108"/>
  <c r="BJ9" i="108"/>
  <c r="O9" i="108"/>
  <c r="AF9" i="108"/>
  <c r="AO9" i="108"/>
  <c r="AC9" i="108"/>
  <c r="U9" i="108"/>
  <c r="T9" i="108"/>
  <c r="AT9" i="108"/>
  <c r="BK9" i="108"/>
  <c r="P9" i="108"/>
  <c r="Y9" i="108"/>
  <c r="AH9" i="108"/>
  <c r="AA9" i="108"/>
  <c r="BI9" i="108"/>
  <c r="AB9" i="108"/>
  <c r="BB9" i="108"/>
  <c r="G9" i="108"/>
  <c r="X9" i="108"/>
  <c r="AG9" i="108"/>
  <c r="AP9" i="108"/>
  <c r="AX9" i="108"/>
  <c r="AG10" i="108"/>
  <c r="AW10" i="108"/>
  <c r="AD10" i="108"/>
  <c r="BM10" i="108"/>
  <c r="BC10" i="108"/>
  <c r="BH10" i="108"/>
  <c r="BE10" i="108"/>
  <c r="BN10" i="108"/>
  <c r="BL10" i="108"/>
  <c r="AO10" i="108"/>
  <c r="BF10" i="108"/>
  <c r="AE10" i="108"/>
  <c r="BI10" i="108"/>
  <c r="AZ10" i="108"/>
  <c r="BG10" i="108"/>
  <c r="BD10" i="108"/>
  <c r="AM10" i="108"/>
  <c r="BJ10" i="108"/>
  <c r="BA10" i="108"/>
  <c r="AR10" i="108"/>
  <c r="AY10" i="108"/>
  <c r="AX10" i="108"/>
  <c r="AV10" i="108"/>
  <c r="AL10" i="108"/>
  <c r="BB10" i="108"/>
  <c r="AS10" i="108"/>
  <c r="AJ10" i="108"/>
  <c r="AQ10" i="108"/>
  <c r="AP10" i="108"/>
  <c r="AN10" i="108"/>
  <c r="BK10" i="108"/>
  <c r="AU10" i="108"/>
  <c r="AT10" i="108"/>
  <c r="AK10" i="108"/>
  <c r="AI10" i="108"/>
  <c r="AH10" i="108"/>
  <c r="AF10" i="108"/>
  <c r="AS18" i="108"/>
  <c r="AC18" i="108"/>
  <c r="AA18" i="108"/>
  <c r="BI18" i="108"/>
  <c r="U18" i="108"/>
  <c r="BG18" i="108"/>
  <c r="S18" i="108"/>
  <c r="AI18" i="108"/>
  <c r="BA18" i="108"/>
  <c r="AK18" i="108"/>
  <c r="AY18" i="108"/>
  <c r="BH18" i="108"/>
  <c r="V18" i="108"/>
  <c r="AE18" i="108"/>
  <c r="AV18" i="108"/>
  <c r="BE18" i="108"/>
  <c r="Z18" i="108"/>
  <c r="BD18" i="108"/>
  <c r="AH18" i="108"/>
  <c r="K18" i="108"/>
  <c r="AD18" i="108"/>
  <c r="AM18" i="108"/>
  <c r="BM18" i="108"/>
  <c r="BN18" i="108"/>
  <c r="AQ18" i="108"/>
  <c r="L18" i="108"/>
  <c r="AL18" i="108"/>
  <c r="AU18" i="108"/>
  <c r="BL18" i="108"/>
  <c r="I18" i="108"/>
  <c r="AP18" i="108"/>
  <c r="AX18" i="108"/>
  <c r="T18" i="108"/>
  <c r="AT18" i="108"/>
  <c r="BC18" i="108"/>
  <c r="H18" i="108"/>
  <c r="Q18" i="108"/>
  <c r="AB18" i="108"/>
  <c r="BB18" i="108"/>
  <c r="BK18" i="108"/>
  <c r="P18" i="108"/>
  <c r="Y18" i="108"/>
  <c r="BF18" i="108"/>
  <c r="AZ18" i="108"/>
  <c r="AW18" i="108"/>
  <c r="M18" i="108"/>
  <c r="AJ18" i="108"/>
  <c r="BJ18" i="108"/>
  <c r="G18" i="108"/>
  <c r="X18" i="108"/>
  <c r="AG18" i="108"/>
  <c r="N18" i="108"/>
  <c r="AR18" i="108"/>
  <c r="O18" i="108"/>
  <c r="AF18" i="108"/>
  <c r="AO18" i="108"/>
  <c r="J18" i="108"/>
  <c r="W18" i="108"/>
  <c r="AN18" i="108"/>
  <c r="R18" i="108"/>
  <c r="AA11" i="108"/>
  <c r="S11" i="108"/>
  <c r="AQ11" i="108"/>
  <c r="AZ11" i="108"/>
  <c r="N11" i="108"/>
  <c r="W11" i="108"/>
  <c r="AN11" i="108"/>
  <c r="AW11" i="108"/>
  <c r="V11" i="108"/>
  <c r="AV11" i="108"/>
  <c r="J11" i="108"/>
  <c r="BH11" i="108"/>
  <c r="BE11" i="108"/>
  <c r="AD11" i="108"/>
  <c r="AM11" i="108"/>
  <c r="BD11" i="108"/>
  <c r="BM11" i="108"/>
  <c r="R11" i="108"/>
  <c r="AL11" i="108"/>
  <c r="BI11" i="108"/>
  <c r="BL11" i="108"/>
  <c r="AY11" i="108"/>
  <c r="BN11" i="108"/>
  <c r="AU11" i="108"/>
  <c r="T11" i="108"/>
  <c r="AT11" i="108"/>
  <c r="BC11" i="108"/>
  <c r="Q11" i="108"/>
  <c r="AH11" i="108"/>
  <c r="BF11" i="108"/>
  <c r="BB11" i="108"/>
  <c r="BK11" i="108"/>
  <c r="M11" i="108"/>
  <c r="Y11" i="108"/>
  <c r="AP11" i="108"/>
  <c r="AR11" i="108"/>
  <c r="AJ11" i="108"/>
  <c r="BJ11" i="108"/>
  <c r="G11" i="108"/>
  <c r="X11" i="108"/>
  <c r="AG11" i="108"/>
  <c r="AX11" i="108"/>
  <c r="O11" i="108"/>
  <c r="AF11" i="108"/>
  <c r="AO11" i="108"/>
  <c r="AO8" i="108"/>
  <c r="BH8" i="108"/>
  <c r="AY8" i="108"/>
  <c r="AX8" i="108"/>
  <c r="AV8" i="108"/>
  <c r="AW8" i="108"/>
  <c r="AE8" i="108"/>
  <c r="AP8" i="108"/>
  <c r="AN8" i="108"/>
  <c r="AZ8" i="108"/>
  <c r="BJ8" i="108"/>
  <c r="BA8" i="108"/>
  <c r="AR8" i="108"/>
  <c r="AI8" i="108"/>
  <c r="AH8" i="108"/>
  <c r="AF8" i="108"/>
  <c r="BC8" i="108"/>
  <c r="AG8" i="108"/>
  <c r="BB8" i="108"/>
  <c r="AS8" i="108"/>
  <c r="AJ8" i="108"/>
  <c r="BM8" i="108"/>
  <c r="BI8" i="108"/>
  <c r="BK8" i="108"/>
  <c r="AT8" i="108"/>
  <c r="AK8" i="108"/>
  <c r="BE8" i="108"/>
  <c r="AL8" i="108"/>
  <c r="BD8" i="108"/>
  <c r="AQ8" i="108"/>
  <c r="AM8" i="108"/>
  <c r="AD8" i="108"/>
  <c r="BN8" i="108"/>
  <c r="BL8" i="108"/>
  <c r="AU8" i="108"/>
  <c r="BG8" i="108"/>
  <c r="BF8" i="108"/>
  <c r="W3" i="108"/>
  <c r="W4" i="108"/>
  <c r="X5" i="108"/>
  <c r="W2" i="108"/>
  <c r="X6" i="108"/>
  <c r="F4" i="44"/>
  <c r="F3" i="44"/>
  <c r="G5" i="44"/>
  <c r="F2" i="44"/>
  <c r="G6" i="44"/>
  <c r="E19" i="44"/>
  <c r="E2" i="44"/>
  <c r="M607" i="52"/>
  <c r="N607" i="52" s="1"/>
  <c r="M471" i="52"/>
  <c r="N471" i="52" s="1"/>
  <c r="M410" i="52"/>
  <c r="N410" i="52" s="1"/>
  <c r="M453" i="52"/>
  <c r="N453" i="52" s="1"/>
  <c r="M397" i="52"/>
  <c r="N397" i="52" s="1"/>
  <c r="O417" i="52"/>
  <c r="M288" i="52"/>
  <c r="N288" i="52" s="1"/>
  <c r="M299" i="52"/>
  <c r="N299" i="52" s="1"/>
  <c r="O266" i="52"/>
  <c r="N523" i="52"/>
  <c r="M391" i="52"/>
  <c r="N391" i="52" s="1"/>
  <c r="M416" i="52"/>
  <c r="N416" i="52" s="1"/>
  <c r="M276" i="52"/>
  <c r="N276" i="52" s="1"/>
  <c r="M460" i="52"/>
  <c r="N460" i="52" s="1"/>
  <c r="M503" i="52"/>
  <c r="N503" i="52" s="1"/>
  <c r="N473" i="52"/>
  <c r="O430" i="52"/>
  <c r="M380" i="52"/>
  <c r="N380" i="52" s="1"/>
  <c r="M372" i="52"/>
  <c r="N372" i="52" s="1"/>
  <c r="N446" i="52"/>
  <c r="M295" i="52"/>
  <c r="N295" i="52" s="1"/>
  <c r="N404" i="52"/>
  <c r="N411" i="52"/>
  <c r="N284" i="52"/>
  <c r="N4" i="52"/>
  <c r="M7" i="52"/>
  <c r="N7" i="52" s="1"/>
  <c r="M280" i="52"/>
  <c r="N280" i="52" s="1"/>
  <c r="M291" i="52"/>
  <c r="N291" i="52" s="1"/>
  <c r="M383" i="52"/>
  <c r="N383" i="52" s="1"/>
  <c r="M350" i="52"/>
  <c r="N350" i="52" s="1"/>
  <c r="M268" i="52"/>
  <c r="N268" i="52" s="1"/>
  <c r="M419" i="52"/>
  <c r="N419" i="52" s="1"/>
  <c r="O284" i="52"/>
  <c r="M271" i="52"/>
  <c r="N271" i="52" s="1"/>
  <c r="O4" i="52"/>
  <c r="M663" i="52"/>
  <c r="N663" i="52" s="1"/>
  <c r="M591" i="52"/>
  <c r="N591" i="52" s="1"/>
  <c r="M568" i="52"/>
  <c r="N568" i="52" s="1"/>
  <c r="M691" i="52"/>
  <c r="N691" i="52" s="1"/>
  <c r="O699" i="52"/>
  <c r="N534" i="52"/>
  <c r="M447" i="52"/>
  <c r="N447" i="52" s="1"/>
  <c r="O527" i="52"/>
  <c r="M466" i="52"/>
  <c r="N466" i="52" s="1"/>
  <c r="M501" i="52"/>
  <c r="N501" i="52" s="1"/>
  <c r="M437" i="52"/>
  <c r="N437" i="52" s="1"/>
  <c r="M389" i="52"/>
  <c r="N389" i="52" s="1"/>
  <c r="O481" i="52"/>
  <c r="O401" i="52"/>
  <c r="N364" i="52"/>
  <c r="M293" i="52"/>
  <c r="N293" i="52" s="1"/>
  <c r="N348" i="52"/>
  <c r="M283" i="52"/>
  <c r="N283" i="52" s="1"/>
  <c r="N357" i="52"/>
  <c r="M302" i="52"/>
  <c r="N302" i="52" s="1"/>
  <c r="N715" i="52"/>
  <c r="N306" i="52"/>
  <c r="M550" i="52"/>
  <c r="N550" i="52" s="1"/>
  <c r="O497" i="52"/>
  <c r="N371" i="52"/>
  <c r="M504" i="52"/>
  <c r="N504" i="52" s="1"/>
  <c r="M388" i="52"/>
  <c r="N388" i="52" s="1"/>
  <c r="M597" i="52"/>
  <c r="N597" i="52" s="1"/>
  <c r="O543" i="52"/>
  <c r="O473" i="52"/>
  <c r="M533" i="52"/>
  <c r="N533" i="52" s="1"/>
  <c r="N465" i="52"/>
  <c r="O414" i="52"/>
  <c r="O279" i="52"/>
  <c r="M578" i="52"/>
  <c r="N578" i="52" s="1"/>
  <c r="N417" i="52"/>
  <c r="N422" i="52"/>
  <c r="M512" i="52"/>
  <c r="N512" i="52" s="1"/>
  <c r="O478" i="52"/>
  <c r="O589" i="52"/>
  <c r="N377" i="52"/>
  <c r="O486" i="52"/>
  <c r="N548" i="52"/>
  <c r="O573" i="52"/>
  <c r="N500" i="52"/>
  <c r="O491" i="52"/>
  <c r="M483" i="52"/>
  <c r="N483" i="52" s="1"/>
  <c r="O35" i="52"/>
  <c r="M375" i="52"/>
  <c r="N375" i="52" s="1"/>
  <c r="M6" i="52"/>
  <c r="N6" i="52" s="1"/>
  <c r="M275" i="52"/>
  <c r="N275" i="52" s="1"/>
  <c r="M639" i="52"/>
  <c r="N639" i="52" s="1"/>
  <c r="M575" i="52"/>
  <c r="N575" i="52" s="1"/>
  <c r="M552" i="52"/>
  <c r="N552" i="52" s="1"/>
  <c r="O556" i="52"/>
  <c r="M526" i="52"/>
  <c r="N526" i="52" s="1"/>
  <c r="M536" i="52"/>
  <c r="N536" i="52" s="1"/>
  <c r="M540" i="52"/>
  <c r="N540" i="52" s="1"/>
  <c r="M431" i="52"/>
  <c r="N431" i="52" s="1"/>
  <c r="M518" i="52"/>
  <c r="N518" i="52" s="1"/>
  <c r="M450" i="52"/>
  <c r="N450" i="52" s="1"/>
  <c r="O548" i="52"/>
  <c r="M373" i="52"/>
  <c r="N373" i="52" s="1"/>
  <c r="O457" i="52"/>
  <c r="O385" i="52"/>
  <c r="M269" i="52"/>
  <c r="N269" i="52" s="1"/>
  <c r="N333" i="52"/>
  <c r="M267" i="52"/>
  <c r="N267" i="52" s="1"/>
  <c r="M305" i="52"/>
  <c r="N305" i="52" s="1"/>
  <c r="M45" i="52"/>
  <c r="N45" i="52" s="1"/>
  <c r="M49" i="52"/>
  <c r="N49" i="52" s="1"/>
  <c r="O515" i="52"/>
  <c r="M487" i="52"/>
  <c r="N487" i="52" s="1"/>
  <c r="M349" i="52"/>
  <c r="N349" i="52" s="1"/>
  <c r="M588" i="52"/>
  <c r="N588" i="52" s="1"/>
  <c r="M448" i="52"/>
  <c r="N448" i="52" s="1"/>
  <c r="M367" i="52"/>
  <c r="N367" i="52" s="1"/>
  <c r="N532" i="52"/>
  <c r="M392" i="52"/>
  <c r="N392" i="52" s="1"/>
  <c r="N519" i="52"/>
  <c r="N457" i="52"/>
  <c r="M399" i="52"/>
  <c r="N399" i="52" s="1"/>
  <c r="M542" i="52"/>
  <c r="N542" i="52" s="1"/>
  <c r="M303" i="52"/>
  <c r="N303" i="52" s="1"/>
  <c r="M581" i="52"/>
  <c r="N581" i="52" s="1"/>
  <c r="M300" i="52"/>
  <c r="N300" i="52" s="1"/>
  <c r="O715" i="52"/>
  <c r="O395" i="52"/>
  <c r="M444" i="52"/>
  <c r="N444" i="52" s="1"/>
  <c r="M278" i="52"/>
  <c r="N278" i="52" s="1"/>
  <c r="M420" i="52"/>
  <c r="N420" i="52" s="1"/>
  <c r="M558" i="52"/>
  <c r="N558" i="52" s="1"/>
  <c r="M569" i="52"/>
  <c r="N569" i="52" s="1"/>
  <c r="M455" i="52"/>
  <c r="N455" i="52" s="1"/>
  <c r="M435" i="52"/>
  <c r="N435" i="52" s="1"/>
  <c r="O523" i="52"/>
  <c r="M590" i="52"/>
  <c r="N590" i="52" s="1"/>
  <c r="M376" i="52"/>
  <c r="N376" i="52" s="1"/>
  <c r="M510" i="52"/>
  <c r="N510" i="52" s="1"/>
  <c r="N223" i="52"/>
  <c r="M623" i="52"/>
  <c r="N623" i="52" s="1"/>
  <c r="M559" i="52"/>
  <c r="N559" i="52" s="1"/>
  <c r="M415" i="52"/>
  <c r="N415" i="52" s="1"/>
  <c r="M506" i="52"/>
  <c r="N506" i="52" s="1"/>
  <c r="M434" i="52"/>
  <c r="N434" i="52" s="1"/>
  <c r="N527" i="52"/>
  <c r="M469" i="52"/>
  <c r="N469" i="52" s="1"/>
  <c r="M413" i="52"/>
  <c r="N413" i="52" s="1"/>
  <c r="O369" i="52"/>
  <c r="M304" i="52"/>
  <c r="N304" i="52" s="1"/>
  <c r="N353" i="52"/>
  <c r="M281" i="52"/>
  <c r="N281" i="52" s="1"/>
  <c r="N274" i="52"/>
  <c r="M77" i="52"/>
  <c r="N77" i="52" s="1"/>
  <c r="M456" i="52"/>
  <c r="N456" i="52" s="1"/>
  <c r="M521" i="52"/>
  <c r="N521" i="52" s="1"/>
  <c r="M347" i="52"/>
  <c r="N347" i="52" s="1"/>
  <c r="M432" i="52"/>
  <c r="N432" i="52" s="1"/>
  <c r="M499" i="52"/>
  <c r="N499" i="52" s="1"/>
  <c r="M286" i="52"/>
  <c r="N286" i="52" s="1"/>
  <c r="M495" i="52"/>
  <c r="N495" i="52" s="1"/>
  <c r="O446" i="52"/>
  <c r="O371" i="52"/>
  <c r="M508" i="52"/>
  <c r="N508" i="52" s="1"/>
  <c r="M731" i="52"/>
  <c r="N731" i="52" s="1"/>
  <c r="M443" i="52"/>
  <c r="N443" i="52" s="1"/>
  <c r="M264" i="52"/>
  <c r="N264" i="52" s="1"/>
  <c r="M601" i="52"/>
  <c r="N601" i="52" s="1"/>
  <c r="N425" i="52"/>
  <c r="M494" i="52"/>
  <c r="N494" i="52" s="1"/>
  <c r="M387" i="52"/>
  <c r="N387" i="52" s="1"/>
  <c r="N449" i="52"/>
  <c r="M272" i="52"/>
  <c r="N272" i="52" s="1"/>
  <c r="O427" i="52"/>
  <c r="O364" i="52"/>
  <c r="M529" i="52"/>
  <c r="N529" i="52" s="1"/>
  <c r="M179" i="52"/>
  <c r="N179" i="52" s="1"/>
  <c r="O183" i="52"/>
  <c r="M249" i="52"/>
  <c r="N249" i="52" s="1"/>
  <c r="M188" i="52"/>
  <c r="N188" i="52" s="1"/>
  <c r="N103" i="52"/>
  <c r="N135" i="52"/>
  <c r="N139" i="52"/>
  <c r="N194" i="52"/>
  <c r="N198" i="52"/>
  <c r="N218" i="52"/>
  <c r="N222" i="52"/>
  <c r="N612" i="52"/>
  <c r="M237" i="52"/>
  <c r="N237" i="52" s="1"/>
  <c r="M233" i="52"/>
  <c r="N233" i="52" s="1"/>
  <c r="O41" i="52"/>
  <c r="N68" i="52"/>
  <c r="N152" i="52"/>
  <c r="M229" i="52"/>
  <c r="N229" i="52" s="1"/>
  <c r="M225" i="52"/>
  <c r="N225" i="52" s="1"/>
  <c r="N685" i="52"/>
  <c r="M46" i="52"/>
  <c r="N46" i="52" s="1"/>
  <c r="M181" i="52"/>
  <c r="N181" i="52" s="1"/>
  <c r="M211" i="52"/>
  <c r="N211" i="52" s="1"/>
  <c r="M217" i="52"/>
  <c r="N217" i="52" s="1"/>
  <c r="N215" i="52"/>
  <c r="M182" i="52"/>
  <c r="N182" i="52" s="1"/>
  <c r="O215" i="52"/>
  <c r="O26" i="52"/>
  <c r="M292" i="52"/>
  <c r="N292" i="52" s="1"/>
  <c r="N93" i="52"/>
  <c r="N113" i="52"/>
  <c r="N146" i="52"/>
  <c r="N162" i="52"/>
  <c r="N170" i="52"/>
  <c r="N535" i="52"/>
  <c r="M849" i="52"/>
  <c r="N849" i="52" s="1"/>
  <c r="N843" i="52"/>
  <c r="O859" i="52"/>
  <c r="N847" i="52"/>
  <c r="M845" i="52"/>
  <c r="N845" i="52" s="1"/>
  <c r="M852" i="52"/>
  <c r="N852" i="52" s="1"/>
  <c r="O855" i="52"/>
  <c r="O858" i="52"/>
  <c r="O843" i="52"/>
  <c r="M850" i="52"/>
  <c r="N850" i="52" s="1"/>
  <c r="M846" i="52"/>
  <c r="N846" i="52" s="1"/>
  <c r="M856" i="52"/>
  <c r="N856" i="52" s="1"/>
  <c r="O847" i="52"/>
  <c r="M854" i="52"/>
  <c r="N854" i="52" s="1"/>
  <c r="N861" i="52"/>
  <c r="N855" i="52"/>
  <c r="M844" i="52"/>
  <c r="N844" i="52" s="1"/>
  <c r="O905" i="52"/>
  <c r="O885" i="52"/>
  <c r="O851" i="52"/>
  <c r="N859" i="52"/>
  <c r="M860" i="52"/>
  <c r="N860" i="52" s="1"/>
  <c r="M862" i="52"/>
  <c r="N862" i="52" s="1"/>
  <c r="O863" i="52"/>
  <c r="N853" i="52"/>
  <c r="O853" i="52"/>
  <c r="O871" i="52"/>
  <c r="O868" i="52"/>
  <c r="O875" i="52"/>
  <c r="O876" i="52"/>
  <c r="O867" i="52"/>
  <c r="AE49" i="105"/>
  <c r="U45" i="105"/>
  <c r="U20" i="105"/>
  <c r="K48" i="105"/>
  <c r="Z30" i="105"/>
  <c r="M8" i="52"/>
  <c r="N8" i="52" s="1"/>
  <c r="N226" i="52"/>
  <c r="O139" i="52"/>
  <c r="M130" i="52"/>
  <c r="N130" i="52" s="1"/>
  <c r="M64" i="52"/>
  <c r="N64" i="52" s="1"/>
  <c r="M230" i="52"/>
  <c r="N230" i="52" s="1"/>
  <c r="M277" i="52"/>
  <c r="N277" i="52" s="1"/>
  <c r="M189" i="52"/>
  <c r="N189" i="52" s="1"/>
  <c r="M331" i="52"/>
  <c r="N331" i="52" s="1"/>
  <c r="M289" i="52"/>
  <c r="N289" i="52" s="1"/>
  <c r="M164" i="52"/>
  <c r="N164" i="52" s="1"/>
  <c r="M153" i="52"/>
  <c r="N153" i="52" s="1"/>
  <c r="M85" i="52"/>
  <c r="N85" i="52" s="1"/>
  <c r="M120" i="52"/>
  <c r="N120" i="52" s="1"/>
  <c r="M40" i="52"/>
  <c r="N40" i="52" s="1"/>
  <c r="O144" i="52"/>
  <c r="M240" i="52"/>
  <c r="N240" i="52" s="1"/>
  <c r="M70" i="52"/>
  <c r="N70" i="52" s="1"/>
  <c r="M323" i="52"/>
  <c r="N323" i="52" s="1"/>
  <c r="M149" i="52"/>
  <c r="N149" i="52" s="1"/>
  <c r="O135" i="52"/>
  <c r="N452" i="52"/>
  <c r="O5" i="52"/>
  <c r="M312" i="52"/>
  <c r="N312" i="52" s="1"/>
  <c r="M273" i="52"/>
  <c r="N273" i="52" s="1"/>
  <c r="M19" i="52"/>
  <c r="N19" i="52" s="1"/>
  <c r="M11" i="52"/>
  <c r="N11" i="52" s="1"/>
  <c r="M121" i="52"/>
  <c r="N121" i="52" s="1"/>
  <c r="M238" i="52"/>
  <c r="N238" i="52" s="1"/>
  <c r="M145" i="52"/>
  <c r="N145" i="52" s="1"/>
  <c r="N143" i="52"/>
  <c r="K17" i="105"/>
  <c r="M89" i="52"/>
  <c r="N89" i="52" s="1"/>
  <c r="N210" i="52"/>
  <c r="M9" i="52"/>
  <c r="N9" i="52" s="1"/>
  <c r="N296" i="52"/>
  <c r="M265" i="52"/>
  <c r="N265" i="52" s="1"/>
  <c r="M185" i="52"/>
  <c r="N185" i="52" s="1"/>
  <c r="M88" i="52"/>
  <c r="N88" i="52" s="1"/>
  <c r="N136" i="52"/>
  <c r="O114" i="52"/>
  <c r="M343" i="52"/>
  <c r="N343" i="52" s="1"/>
  <c r="N133" i="52"/>
  <c r="N266" i="52"/>
  <c r="N356" i="52"/>
  <c r="N481" i="52"/>
  <c r="O99" i="52"/>
  <c r="N114" i="52"/>
  <c r="N236" i="52"/>
  <c r="N486" i="52"/>
  <c r="N573" i="52"/>
  <c r="N708" i="52"/>
  <c r="M27" i="52"/>
  <c r="N27" i="52" s="1"/>
  <c r="O143" i="52"/>
  <c r="O226" i="52"/>
  <c r="M197" i="52"/>
  <c r="N197" i="52" s="1"/>
  <c r="M171" i="52"/>
  <c r="N171" i="52" s="1"/>
  <c r="N178" i="52"/>
  <c r="N777" i="52"/>
  <c r="K46" i="105"/>
  <c r="O48" i="52"/>
  <c r="AE36" i="105"/>
  <c r="K31" i="105"/>
  <c r="M33" i="52"/>
  <c r="N33" i="52" s="1"/>
  <c r="K25" i="105"/>
  <c r="O170" i="52"/>
  <c r="O174" i="52"/>
  <c r="O93" i="52"/>
  <c r="N58" i="52"/>
  <c r="M11" i="90"/>
  <c r="Y11" i="90"/>
  <c r="S11" i="90"/>
  <c r="AE11" i="90"/>
  <c r="M165" i="52"/>
  <c r="N165" i="52" s="1"/>
  <c r="M155" i="52"/>
  <c r="N155" i="52" s="1"/>
  <c r="M98" i="52"/>
  <c r="N98" i="52" s="1"/>
  <c r="O25" i="52"/>
  <c r="N107" i="52"/>
  <c r="O154" i="52"/>
  <c r="M105" i="52"/>
  <c r="N105" i="52" s="1"/>
  <c r="N159" i="52"/>
  <c r="O15" i="52"/>
  <c r="M106" i="52"/>
  <c r="N106" i="52" s="1"/>
  <c r="N128" i="52"/>
  <c r="O159" i="52"/>
  <c r="O103" i="52"/>
  <c r="M191" i="52"/>
  <c r="N191" i="52" s="1"/>
  <c r="N700" i="52"/>
  <c r="O896" i="52"/>
  <c r="P33" i="105"/>
  <c r="P46" i="105"/>
  <c r="O109" i="52"/>
  <c r="N154" i="52"/>
  <c r="M97" i="52"/>
  <c r="N97" i="52" s="1"/>
  <c r="O178" i="52"/>
  <c r="M28" i="52"/>
  <c r="N28" i="52" s="1"/>
  <c r="N122" i="52"/>
  <c r="Z46" i="105"/>
  <c r="M71" i="52"/>
  <c r="N71" i="52" s="1"/>
  <c r="M116" i="52"/>
  <c r="N116" i="52" s="1"/>
  <c r="O157" i="52"/>
  <c r="M205" i="52"/>
  <c r="N205" i="52" s="1"/>
  <c r="M147" i="52"/>
  <c r="N147" i="52" s="1"/>
  <c r="M177" i="52"/>
  <c r="N177" i="52" s="1"/>
  <c r="M61" i="52"/>
  <c r="N61" i="52" s="1"/>
  <c r="N62" i="52"/>
  <c r="M196" i="52"/>
  <c r="N196" i="52" s="1"/>
  <c r="M51" i="52"/>
  <c r="N51" i="52" s="1"/>
  <c r="M12" i="52"/>
  <c r="N12" i="52" s="1"/>
  <c r="O90" i="52"/>
  <c r="M231" i="52"/>
  <c r="N231" i="52" s="1"/>
  <c r="M200" i="52"/>
  <c r="N200" i="52" s="1"/>
  <c r="N35" i="52"/>
  <c r="N100" i="52"/>
  <c r="N565" i="52"/>
  <c r="AE32" i="105"/>
  <c r="M169" i="52"/>
  <c r="N169" i="52" s="1"/>
  <c r="M37" i="52"/>
  <c r="N37" i="52" s="1"/>
  <c r="M56" i="52"/>
  <c r="N56" i="52" s="1"/>
  <c r="N17" i="52"/>
  <c r="M65" i="52"/>
  <c r="N65" i="52" s="1"/>
  <c r="N263" i="52"/>
  <c r="M30" i="52"/>
  <c r="N30" i="52" s="1"/>
  <c r="M87" i="52"/>
  <c r="N87" i="52" s="1"/>
  <c r="K40" i="105"/>
  <c r="O125" i="52"/>
  <c r="M125" i="52"/>
  <c r="N125" i="52" s="1"/>
  <c r="O163" i="52"/>
  <c r="M163" i="52"/>
  <c r="N163" i="52" s="1"/>
  <c r="O198" i="52"/>
  <c r="O309" i="52"/>
  <c r="M309" i="52"/>
  <c r="N309" i="52" s="1"/>
  <c r="M354" i="52"/>
  <c r="N354" i="52" s="1"/>
  <c r="O354" i="52"/>
  <c r="M74" i="52"/>
  <c r="N74" i="52" s="1"/>
  <c r="O156" i="52"/>
  <c r="M156" i="52"/>
  <c r="N156" i="52" s="1"/>
  <c r="O260" i="52"/>
  <c r="M260" i="52"/>
  <c r="N260" i="52" s="1"/>
  <c r="O366" i="52"/>
  <c r="N366" i="52"/>
  <c r="O474" i="52"/>
  <c r="M474" i="52"/>
  <c r="N474" i="52" s="1"/>
  <c r="O485" i="52"/>
  <c r="M485" i="52"/>
  <c r="N485" i="52" s="1"/>
  <c r="O29" i="52"/>
  <c r="M29" i="52"/>
  <c r="N29" i="52" s="1"/>
  <c r="M59" i="52"/>
  <c r="N59" i="52" s="1"/>
  <c r="O86" i="52"/>
  <c r="M86" i="52"/>
  <c r="N86" i="52" s="1"/>
  <c r="M160" i="52"/>
  <c r="N160" i="52" s="1"/>
  <c r="O160" i="52"/>
  <c r="M168" i="52"/>
  <c r="N168" i="52" s="1"/>
  <c r="O168" i="52"/>
  <c r="O253" i="52"/>
  <c r="M253" i="52"/>
  <c r="N253" i="52" s="1"/>
  <c r="M38" i="52"/>
  <c r="N38" i="52" s="1"/>
  <c r="N90" i="52"/>
  <c r="O180" i="52"/>
  <c r="M180" i="52"/>
  <c r="N180" i="52" s="1"/>
  <c r="O328" i="52"/>
  <c r="M328" i="52"/>
  <c r="N328" i="52" s="1"/>
  <c r="N48" i="52"/>
  <c r="O79" i="52"/>
  <c r="M79" i="52"/>
  <c r="N79" i="52" s="1"/>
  <c r="M83" i="52"/>
  <c r="N83" i="52" s="1"/>
  <c r="O83" i="52"/>
  <c r="M102" i="52"/>
  <c r="N102" i="52" s="1"/>
  <c r="O102" i="52"/>
  <c r="N157" i="52"/>
  <c r="M227" i="52"/>
  <c r="N227" i="52" s="1"/>
  <c r="O227" i="52"/>
  <c r="M242" i="52"/>
  <c r="N242" i="52" s="1"/>
  <c r="O242" i="52"/>
  <c r="O113" i="52"/>
  <c r="O216" i="52"/>
  <c r="M216" i="52"/>
  <c r="N216" i="52" s="1"/>
  <c r="M258" i="52"/>
  <c r="N258" i="52" s="1"/>
  <c r="O258" i="52"/>
  <c r="O31" i="52"/>
  <c r="M31" i="52"/>
  <c r="N31" i="52" s="1"/>
  <c r="N80" i="52"/>
  <c r="O80" i="52"/>
  <c r="M158" i="52"/>
  <c r="N158" i="52" s="1"/>
  <c r="O158" i="52"/>
  <c r="O193" i="52"/>
  <c r="N193" i="52"/>
  <c r="O247" i="52"/>
  <c r="M247" i="52"/>
  <c r="N247" i="52" s="1"/>
  <c r="O418" i="52"/>
  <c r="M418" i="52"/>
  <c r="N418" i="52" s="1"/>
  <c r="O24" i="52"/>
  <c r="M24" i="52"/>
  <c r="N24" i="52" s="1"/>
  <c r="O69" i="52"/>
  <c r="M69" i="52"/>
  <c r="N69" i="52" s="1"/>
  <c r="O209" i="52"/>
  <c r="M209" i="52"/>
  <c r="N209" i="52" s="1"/>
  <c r="O213" i="52"/>
  <c r="M213" i="52"/>
  <c r="N213" i="52" s="1"/>
  <c r="M282" i="52"/>
  <c r="N282" i="52" s="1"/>
  <c r="M403" i="52"/>
  <c r="N403" i="52" s="1"/>
  <c r="O403" i="52"/>
  <c r="Z33" i="105"/>
  <c r="M221" i="52"/>
  <c r="N221" i="52" s="1"/>
  <c r="O361" i="52"/>
  <c r="M118" i="52"/>
  <c r="N118" i="52" s="1"/>
  <c r="M496" i="52"/>
  <c r="N496" i="52" s="1"/>
  <c r="N148" i="52"/>
  <c r="N430" i="52"/>
  <c r="AE16" i="105"/>
  <c r="M228" i="52"/>
  <c r="N228" i="52" s="1"/>
  <c r="O199" i="52"/>
  <c r="M82" i="52"/>
  <c r="N82" i="52" s="1"/>
  <c r="N109" i="52"/>
  <c r="N239" i="52"/>
  <c r="N332" i="52"/>
  <c r="N729" i="52"/>
  <c r="AE30" i="105"/>
  <c r="AE19" i="105"/>
  <c r="N395" i="52"/>
  <c r="N454" i="52"/>
  <c r="P45" i="105"/>
  <c r="Z54" i="105"/>
  <c r="K34" i="105"/>
  <c r="AE28" i="105"/>
  <c r="U46" i="105"/>
  <c r="N361" i="52"/>
  <c r="N52" i="52"/>
  <c r="N692" i="52"/>
  <c r="AE33" i="105"/>
  <c r="AE17" i="105"/>
  <c r="AE31" i="105"/>
  <c r="Z45" i="105"/>
  <c r="M137" i="52"/>
  <c r="N137" i="52" s="1"/>
  <c r="M18" i="52"/>
  <c r="N18" i="52" s="1"/>
  <c r="O42" i="52"/>
  <c r="M42" i="52"/>
  <c r="N42" i="52" s="1"/>
  <c r="N127" i="52"/>
  <c r="O95" i="52"/>
  <c r="M95" i="52"/>
  <c r="N95" i="52" s="1"/>
  <c r="O127" i="52"/>
  <c r="M134" i="52"/>
  <c r="N134" i="52" s="1"/>
  <c r="O47" i="52"/>
  <c r="M47" i="52"/>
  <c r="N47" i="52" s="1"/>
  <c r="O78" i="52"/>
  <c r="N78" i="52"/>
  <c r="O151" i="52"/>
  <c r="M151" i="52"/>
  <c r="N151" i="52" s="1"/>
  <c r="O20" i="52"/>
  <c r="O141" i="52"/>
  <c r="M141" i="52"/>
  <c r="N141" i="52" s="1"/>
  <c r="O262" i="52"/>
  <c r="M262" i="52"/>
  <c r="N262" i="52" s="1"/>
  <c r="M20" i="52"/>
  <c r="N20" i="52" s="1"/>
  <c r="M60" i="52"/>
  <c r="N60" i="52" s="1"/>
  <c r="O60" i="52"/>
  <c r="O192" i="52"/>
  <c r="M192" i="52"/>
  <c r="N192" i="52" s="1"/>
  <c r="O259" i="52"/>
  <c r="M259" i="52"/>
  <c r="N259" i="52" s="1"/>
  <c r="O52" i="52"/>
  <c r="AE38" i="105"/>
  <c r="AE54" i="105"/>
  <c r="K33" i="105"/>
  <c r="Z31" i="105"/>
  <c r="AE46" i="105"/>
  <c r="Z48" i="105"/>
  <c r="U31" i="105"/>
  <c r="AE48" i="105"/>
  <c r="AE23" i="105"/>
  <c r="P20" i="105"/>
  <c r="K19" i="105"/>
  <c r="O59" i="52"/>
  <c r="M84" i="52"/>
  <c r="N84" i="52" s="1"/>
  <c r="O150" i="52"/>
  <c r="N710" i="52"/>
  <c r="Z38" i="105"/>
  <c r="N126" i="52"/>
  <c r="N827" i="52"/>
  <c r="P42" i="105"/>
  <c r="U38" i="105"/>
  <c r="N369" i="52"/>
  <c r="U21" i="105"/>
  <c r="Z19" i="105"/>
  <c r="P16" i="105"/>
  <c r="Z17" i="105"/>
  <c r="N199" i="52"/>
  <c r="O58" i="52"/>
  <c r="N207" i="52"/>
  <c r="N427" i="52"/>
  <c r="N793" i="52"/>
  <c r="AE43" i="105"/>
  <c r="P39" i="105"/>
  <c r="U33" i="105"/>
  <c r="U19" i="105"/>
  <c r="K16" i="105"/>
  <c r="N25" i="52"/>
  <c r="D27" i="101"/>
  <c r="E27" i="101" s="1"/>
  <c r="AH28" i="90"/>
  <c r="AB28" i="90"/>
  <c r="P28" i="90"/>
  <c r="J28" i="90"/>
  <c r="V28" i="90"/>
  <c r="AB25" i="90"/>
  <c r="AH25" i="90"/>
  <c r="V25" i="90"/>
  <c r="P25" i="90"/>
  <c r="J25" i="90"/>
  <c r="Y22" i="90"/>
  <c r="AE22" i="90"/>
  <c r="M22" i="90"/>
  <c r="S22" i="90"/>
  <c r="G22" i="90"/>
  <c r="Y37" i="90"/>
  <c r="AE37" i="90"/>
  <c r="S37" i="90"/>
  <c r="M37" i="90"/>
  <c r="G37" i="90"/>
  <c r="AE9" i="90"/>
  <c r="Y9" i="90"/>
  <c r="M9" i="90"/>
  <c r="G9" i="90"/>
  <c r="S9" i="90"/>
  <c r="AE53" i="90"/>
  <c r="AI53" i="90" s="1"/>
  <c r="S53" i="90"/>
  <c r="W53" i="90" s="1"/>
  <c r="Y53" i="90"/>
  <c r="AC53" i="90" s="1"/>
  <c r="G53" i="90"/>
  <c r="K53" i="90" s="1"/>
  <c r="M53" i="90"/>
  <c r="Q53" i="90" s="1"/>
  <c r="AH13" i="90"/>
  <c r="AB13" i="90"/>
  <c r="P13" i="90"/>
  <c r="J13" i="90"/>
  <c r="V13" i="90"/>
  <c r="AB18" i="90"/>
  <c r="AH18" i="90"/>
  <c r="V18" i="90"/>
  <c r="P18" i="90"/>
  <c r="J18" i="90"/>
  <c r="AB32" i="90"/>
  <c r="J32" i="90"/>
  <c r="AH32" i="90"/>
  <c r="P32" i="90"/>
  <c r="V32" i="90"/>
  <c r="AB47" i="90"/>
  <c r="AH47" i="90"/>
  <c r="P47" i="90"/>
  <c r="V47" i="90"/>
  <c r="J47" i="90"/>
  <c r="M20" i="90"/>
  <c r="AE20" i="90"/>
  <c r="S20" i="90"/>
  <c r="Y20" i="90"/>
  <c r="G20" i="90"/>
  <c r="Y25" i="90"/>
  <c r="AE25" i="90"/>
  <c r="S25" i="90"/>
  <c r="G25" i="90"/>
  <c r="M25" i="90"/>
  <c r="AB11" i="90"/>
  <c r="AH11" i="90"/>
  <c r="V11" i="90"/>
  <c r="P11" i="90"/>
  <c r="J11" i="90"/>
  <c r="AH23" i="90"/>
  <c r="V23" i="90"/>
  <c r="AB23" i="90"/>
  <c r="J23" i="90"/>
  <c r="P23" i="90"/>
  <c r="AH35" i="90"/>
  <c r="AB35" i="90"/>
  <c r="P35" i="90"/>
  <c r="V35" i="90"/>
  <c r="J35" i="90"/>
  <c r="AB40" i="90"/>
  <c r="AH40" i="90"/>
  <c r="V40" i="90"/>
  <c r="J40" i="90"/>
  <c r="P40" i="90"/>
  <c r="P45" i="90"/>
  <c r="AH45" i="90"/>
  <c r="V45" i="90"/>
  <c r="AB45" i="90"/>
  <c r="J45" i="90"/>
  <c r="AB50" i="90"/>
  <c r="AH50" i="90"/>
  <c r="V50" i="90"/>
  <c r="P50" i="90"/>
  <c r="J50" i="90"/>
  <c r="AE24" i="90"/>
  <c r="Y24" i="90"/>
  <c r="G24" i="90"/>
  <c r="S24" i="90"/>
  <c r="M24" i="90"/>
  <c r="Y19" i="90"/>
  <c r="AE19" i="90"/>
  <c r="S19" i="90"/>
  <c r="G19" i="90"/>
  <c r="M19" i="90"/>
  <c r="Y48" i="90"/>
  <c r="AE48" i="90"/>
  <c r="S48" i="90"/>
  <c r="M48" i="90"/>
  <c r="G48" i="90"/>
  <c r="Y30" i="90"/>
  <c r="AE30" i="90"/>
  <c r="S30" i="90"/>
  <c r="M30" i="90"/>
  <c r="G30" i="90"/>
  <c r="M31" i="90"/>
  <c r="AE31" i="90"/>
  <c r="S31" i="90"/>
  <c r="Y31" i="90"/>
  <c r="G31" i="90"/>
  <c r="AH16" i="90"/>
  <c r="AB16" i="90"/>
  <c r="J16" i="90"/>
  <c r="V16" i="90"/>
  <c r="P16" i="90"/>
  <c r="AH38" i="90"/>
  <c r="AB38" i="90"/>
  <c r="J38" i="90"/>
  <c r="V38" i="90"/>
  <c r="P38" i="90"/>
  <c r="S35" i="90"/>
  <c r="AE35" i="90"/>
  <c r="Y35" i="90"/>
  <c r="M35" i="90"/>
  <c r="G35" i="90"/>
  <c r="AE36" i="90"/>
  <c r="Y36" i="90"/>
  <c r="M36" i="90"/>
  <c r="G36" i="90"/>
  <c r="S36" i="90"/>
  <c r="AH9" i="90"/>
  <c r="AB9" i="90"/>
  <c r="P9" i="90"/>
  <c r="J9" i="90"/>
  <c r="V9" i="90"/>
  <c r="AH19" i="90"/>
  <c r="V19" i="90"/>
  <c r="AB19" i="90"/>
  <c r="J19" i="90"/>
  <c r="P19" i="90"/>
  <c r="AH26" i="90"/>
  <c r="V26" i="90"/>
  <c r="AB26" i="90"/>
  <c r="P26" i="90"/>
  <c r="J26" i="90"/>
  <c r="V33" i="90"/>
  <c r="AH33" i="90"/>
  <c r="AB33" i="90"/>
  <c r="J33" i="90"/>
  <c r="P33" i="90"/>
  <c r="AH48" i="90"/>
  <c r="V48" i="90"/>
  <c r="J48" i="90"/>
  <c r="AB48" i="90"/>
  <c r="P48" i="90"/>
  <c r="Q48" i="90" s="1"/>
  <c r="S50" i="90"/>
  <c r="Y50" i="90"/>
  <c r="M50" i="90"/>
  <c r="AE50" i="90"/>
  <c r="G50" i="90"/>
  <c r="AE16" i="90"/>
  <c r="S16" i="90"/>
  <c r="Y16" i="90"/>
  <c r="G16" i="90"/>
  <c r="M16" i="90"/>
  <c r="Y43" i="90"/>
  <c r="M43" i="90"/>
  <c r="AE43" i="90"/>
  <c r="S43" i="90"/>
  <c r="G43" i="90"/>
  <c r="Y23" i="90"/>
  <c r="AE23" i="90"/>
  <c r="S23" i="90"/>
  <c r="M23" i="90"/>
  <c r="G23" i="90"/>
  <c r="AE41" i="90"/>
  <c r="S41" i="90"/>
  <c r="Y41" i="90"/>
  <c r="M41" i="90"/>
  <c r="G41" i="90"/>
  <c r="Y51" i="90"/>
  <c r="M51" i="90"/>
  <c r="AE51" i="90"/>
  <c r="S51" i="90"/>
  <c r="G51" i="90"/>
  <c r="AB21" i="90"/>
  <c r="P21" i="90"/>
  <c r="AH21" i="90"/>
  <c r="V21" i="90"/>
  <c r="J21" i="90"/>
  <c r="AH30" i="90"/>
  <c r="V30" i="90"/>
  <c r="AB30" i="90"/>
  <c r="P30" i="90"/>
  <c r="J30" i="90"/>
  <c r="AE28" i="90"/>
  <c r="AI28" i="90" s="1"/>
  <c r="S28" i="90"/>
  <c r="Y28" i="90"/>
  <c r="G28" i="90"/>
  <c r="M28" i="90"/>
  <c r="Y18" i="90"/>
  <c r="AE18" i="90"/>
  <c r="M18" i="90"/>
  <c r="G18" i="90"/>
  <c r="S18" i="90"/>
  <c r="Y44" i="90"/>
  <c r="AE44" i="90"/>
  <c r="S44" i="90"/>
  <c r="M44" i="90"/>
  <c r="G44" i="90"/>
  <c r="AH12" i="90"/>
  <c r="V12" i="90"/>
  <c r="J12" i="90"/>
  <c r="K12" i="90" s="1"/>
  <c r="AB12" i="90"/>
  <c r="P12" i="90"/>
  <c r="AB14" i="90"/>
  <c r="AH14" i="90"/>
  <c r="P14" i="90"/>
  <c r="J14" i="90"/>
  <c r="K14" i="90" s="1"/>
  <c r="V14" i="90"/>
  <c r="AH24" i="90"/>
  <c r="V24" i="90"/>
  <c r="AB24" i="90"/>
  <c r="J24" i="90"/>
  <c r="P24" i="90"/>
  <c r="AB36" i="90"/>
  <c r="V36" i="90"/>
  <c r="J36" i="90"/>
  <c r="AH36" i="90"/>
  <c r="P36" i="90"/>
  <c r="P41" i="90"/>
  <c r="AH41" i="90"/>
  <c r="V41" i="90"/>
  <c r="W41" i="90" s="1"/>
  <c r="AB41" i="90"/>
  <c r="AC41" i="90" s="1"/>
  <c r="J41" i="90"/>
  <c r="AH46" i="90"/>
  <c r="V46" i="90"/>
  <c r="AB46" i="90"/>
  <c r="P46" i="90"/>
  <c r="J46" i="90"/>
  <c r="AB51" i="90"/>
  <c r="AH51" i="90"/>
  <c r="V51" i="90"/>
  <c r="J51" i="90"/>
  <c r="P51" i="90"/>
  <c r="AE17" i="90"/>
  <c r="S17" i="90"/>
  <c r="Y17" i="90"/>
  <c r="M17" i="90"/>
  <c r="G17" i="90"/>
  <c r="S10" i="90"/>
  <c r="Y10" i="90"/>
  <c r="AE10" i="90"/>
  <c r="M10" i="90"/>
  <c r="G10" i="90"/>
  <c r="S47" i="90"/>
  <c r="Y47" i="90"/>
  <c r="AE47" i="90"/>
  <c r="M47" i="90"/>
  <c r="G47" i="90"/>
  <c r="Y40" i="90"/>
  <c r="AE40" i="90"/>
  <c r="S40" i="90"/>
  <c r="M40" i="90"/>
  <c r="G40" i="90"/>
  <c r="Y33" i="90"/>
  <c r="S33" i="90"/>
  <c r="AE33" i="90"/>
  <c r="G33" i="90"/>
  <c r="M33" i="90"/>
  <c r="AB43" i="90"/>
  <c r="AH43" i="90"/>
  <c r="AI43" i="90" s="1"/>
  <c r="V43" i="90"/>
  <c r="W43" i="90" s="1"/>
  <c r="P43" i="90"/>
  <c r="J43" i="90"/>
  <c r="AB17" i="90"/>
  <c r="P17" i="90"/>
  <c r="AH17" i="90"/>
  <c r="J17" i="90"/>
  <c r="V17" i="90"/>
  <c r="M34" i="90"/>
  <c r="S34" i="90"/>
  <c r="AE34" i="90"/>
  <c r="Y34" i="90"/>
  <c r="G34" i="90"/>
  <c r="AE45" i="90"/>
  <c r="S45" i="90"/>
  <c r="Y45" i="90"/>
  <c r="M45" i="90"/>
  <c r="G45" i="90"/>
  <c r="AE32" i="90"/>
  <c r="Y32" i="90"/>
  <c r="M32" i="90"/>
  <c r="G32" i="90"/>
  <c r="S32" i="90"/>
  <c r="AB39" i="90"/>
  <c r="P39" i="90"/>
  <c r="AH39" i="90"/>
  <c r="V39" i="90"/>
  <c r="J39" i="90"/>
  <c r="AE13" i="90"/>
  <c r="Y13" i="90"/>
  <c r="M13" i="90"/>
  <c r="S13" i="90"/>
  <c r="AB10" i="90"/>
  <c r="AH10" i="90"/>
  <c r="P10" i="90"/>
  <c r="J10" i="90"/>
  <c r="V10" i="90"/>
  <c r="AH20" i="90"/>
  <c r="AB20" i="90"/>
  <c r="J20" i="90"/>
  <c r="P20" i="90"/>
  <c r="V20" i="90"/>
  <c r="AH27" i="90"/>
  <c r="AB27" i="90"/>
  <c r="P27" i="90"/>
  <c r="J27" i="90"/>
  <c r="V27" i="90"/>
  <c r="AB29" i="90"/>
  <c r="AH29" i="90"/>
  <c r="V29" i="90"/>
  <c r="J29" i="90"/>
  <c r="P29" i="90"/>
  <c r="AH34" i="90"/>
  <c r="AB34" i="90"/>
  <c r="V34" i="90"/>
  <c r="P34" i="90"/>
  <c r="J34" i="90"/>
  <c r="AH49" i="90"/>
  <c r="V49" i="90"/>
  <c r="AB49" i="90"/>
  <c r="P49" i="90"/>
  <c r="J49" i="90"/>
  <c r="AE39" i="90"/>
  <c r="S39" i="90"/>
  <c r="Y39" i="90"/>
  <c r="M39" i="90"/>
  <c r="G39" i="90"/>
  <c r="AE46" i="90"/>
  <c r="S46" i="90"/>
  <c r="Y46" i="90"/>
  <c r="M46" i="90"/>
  <c r="G46" i="90"/>
  <c r="AE42" i="90"/>
  <c r="S42" i="90"/>
  <c r="Y42" i="90"/>
  <c r="M42" i="90"/>
  <c r="G42" i="90"/>
  <c r="G8" i="90"/>
  <c r="Y8" i="90"/>
  <c r="AE8" i="90"/>
  <c r="S8" i="90"/>
  <c r="M8" i="90"/>
  <c r="Y15" i="90"/>
  <c r="AE15" i="90"/>
  <c r="G15" i="90"/>
  <c r="M15" i="90"/>
  <c r="S15" i="90"/>
  <c r="Y29" i="90"/>
  <c r="AE29" i="90"/>
  <c r="G29" i="90"/>
  <c r="S29" i="90"/>
  <c r="M29" i="90"/>
  <c r="Q29" i="90" s="1"/>
  <c r="AB22" i="90"/>
  <c r="AH22" i="90"/>
  <c r="V22" i="90"/>
  <c r="P22" i="90"/>
  <c r="J22" i="90"/>
  <c r="AH31" i="90"/>
  <c r="AB31" i="90"/>
  <c r="P31" i="90"/>
  <c r="J31" i="90"/>
  <c r="V31" i="90"/>
  <c r="AB44" i="90"/>
  <c r="AH44" i="90"/>
  <c r="V44" i="90"/>
  <c r="J44" i="90"/>
  <c r="P44" i="90"/>
  <c r="AE21" i="90"/>
  <c r="S21" i="90"/>
  <c r="Y21" i="90"/>
  <c r="M21" i="90"/>
  <c r="G21" i="90"/>
  <c r="M27" i="90"/>
  <c r="AE27" i="90"/>
  <c r="S27" i="90"/>
  <c r="Y27" i="90"/>
  <c r="G27" i="90"/>
  <c r="J8" i="90"/>
  <c r="K8" i="90" s="1"/>
  <c r="AH8" i="90"/>
  <c r="AB8" i="90"/>
  <c r="P8" i="90"/>
  <c r="V8" i="90"/>
  <c r="AB15" i="90"/>
  <c r="AC15" i="90" s="1"/>
  <c r="AH15" i="90"/>
  <c r="AI15" i="90" s="1"/>
  <c r="V15" i="90"/>
  <c r="J15" i="90"/>
  <c r="P15" i="90"/>
  <c r="AH37" i="90"/>
  <c r="V37" i="90"/>
  <c r="AB37" i="90"/>
  <c r="J37" i="90"/>
  <c r="P37" i="90"/>
  <c r="AH42" i="90"/>
  <c r="V42" i="90"/>
  <c r="AB42" i="90"/>
  <c r="J42" i="90"/>
  <c r="P42" i="90"/>
  <c r="Y26" i="90"/>
  <c r="AE26" i="90"/>
  <c r="S26" i="90"/>
  <c r="M26" i="90"/>
  <c r="G26" i="90"/>
  <c r="M38" i="90"/>
  <c r="AE38" i="90"/>
  <c r="S38" i="90"/>
  <c r="Y38" i="90"/>
  <c r="G38" i="90"/>
  <c r="AE49" i="90"/>
  <c r="S49" i="90"/>
  <c r="Y49" i="90"/>
  <c r="M49" i="90"/>
  <c r="G49" i="90"/>
  <c r="Y12" i="90"/>
  <c r="AE12" i="90"/>
  <c r="M12" i="90"/>
  <c r="S12" i="90"/>
  <c r="S14" i="90"/>
  <c r="Y14" i="90"/>
  <c r="AE14" i="90"/>
  <c r="M14" i="90"/>
  <c r="AE52" i="90"/>
  <c r="AI52" i="90" s="1"/>
  <c r="S52" i="90"/>
  <c r="W52" i="90" s="1"/>
  <c r="Y52" i="90"/>
  <c r="AC52" i="90" s="1"/>
  <c r="M52" i="90"/>
  <c r="Q52" i="90" s="1"/>
  <c r="G52" i="90"/>
  <c r="K52" i="90" s="1"/>
  <c r="BI29" i="87"/>
  <c r="BI18" i="87"/>
  <c r="BI23" i="87"/>
  <c r="BI20" i="87"/>
  <c r="BI5" i="87"/>
  <c r="BI33" i="87"/>
  <c r="BI10" i="87"/>
  <c r="BI32" i="87"/>
  <c r="BI43" i="87"/>
  <c r="BI40" i="87"/>
  <c r="BI35" i="87"/>
  <c r="BI26" i="87"/>
  <c r="BI42" i="87"/>
  <c r="BI39" i="87"/>
  <c r="BI9" i="87"/>
  <c r="BI15" i="87"/>
  <c r="BI17" i="87"/>
  <c r="BI3" i="87"/>
  <c r="BI8" i="87"/>
  <c r="BI24" i="87"/>
  <c r="BI36" i="87"/>
  <c r="BI4" i="87"/>
  <c r="BI41" i="87"/>
  <c r="BI12" i="87"/>
  <c r="BI11" i="87"/>
  <c r="BI27" i="87"/>
  <c r="BI21" i="87"/>
  <c r="BI37" i="87"/>
  <c r="BI13" i="87"/>
  <c r="BI25" i="87"/>
  <c r="BI28" i="87"/>
  <c r="K100" i="81"/>
  <c r="Z100" i="81" s="1"/>
  <c r="Y100" i="81"/>
  <c r="K23" i="81"/>
  <c r="Z23" i="81" s="1"/>
  <c r="Y23" i="81"/>
  <c r="K63" i="81"/>
  <c r="Z63" i="81" s="1"/>
  <c r="Y63" i="81"/>
  <c r="AB22" i="65"/>
  <c r="AA35" i="65"/>
  <c r="X19" i="65"/>
  <c r="W35" i="65"/>
  <c r="AD19" i="65"/>
  <c r="Y68" i="81"/>
  <c r="K31" i="81"/>
  <c r="Z31" i="81" s="1"/>
  <c r="AD14" i="65"/>
  <c r="P14" i="65"/>
  <c r="AE14" i="65"/>
  <c r="AG14" i="65" s="1"/>
  <c r="AE15" i="65"/>
  <c r="AG15" i="65" s="1"/>
  <c r="AD15" i="65"/>
  <c r="N7" i="44"/>
  <c r="P85" i="81"/>
  <c r="Y85" i="81"/>
  <c r="Z103" i="81"/>
  <c r="P31" i="65"/>
  <c r="AF31" i="65" s="1"/>
  <c r="AE31" i="65"/>
  <c r="AG31" i="65" s="1"/>
  <c r="G4" i="44"/>
  <c r="H5" i="44"/>
  <c r="G3" i="44"/>
  <c r="T12" i="65"/>
  <c r="X12" i="65"/>
  <c r="A38" i="44"/>
  <c r="A50" i="44"/>
  <c r="A25" i="44"/>
  <c r="AN51" i="87"/>
  <c r="K99" i="81"/>
  <c r="Z99" i="81" s="1"/>
  <c r="Y99" i="81"/>
  <c r="M49" i="87"/>
  <c r="N48" i="87"/>
  <c r="O48" i="87" s="1"/>
  <c r="P48" i="87" s="1"/>
  <c r="X22" i="65"/>
  <c r="AD22" i="65"/>
  <c r="AE22" i="65"/>
  <c r="AG22" i="65" s="1"/>
  <c r="T19" i="65"/>
  <c r="AE19" i="65"/>
  <c r="AG19" i="65" s="1"/>
  <c r="S35" i="65"/>
  <c r="T23" i="65"/>
  <c r="P23" i="65"/>
  <c r="AF23" i="65" s="1"/>
  <c r="Z85" i="81"/>
  <c r="Z75" i="81"/>
  <c r="Y62" i="81"/>
  <c r="AF16" i="65"/>
  <c r="P36" i="81"/>
  <c r="O12" i="65"/>
  <c r="K12" i="65"/>
  <c r="O17" i="65"/>
  <c r="P17" i="65" s="1"/>
  <c r="K17" i="65"/>
  <c r="AD30" i="65"/>
  <c r="L30" i="65"/>
  <c r="AF30" i="65" s="1"/>
  <c r="X16" i="81"/>
  <c r="J16" i="81"/>
  <c r="J18" i="81"/>
  <c r="X18" i="81"/>
  <c r="X8" i="81"/>
  <c r="I113" i="81"/>
  <c r="X72" i="81"/>
  <c r="J72" i="81"/>
  <c r="J74" i="81"/>
  <c r="X74" i="81"/>
  <c r="X76" i="81"/>
  <c r="J76" i="81"/>
  <c r="X80" i="81"/>
  <c r="J80" i="81"/>
  <c r="J82" i="81"/>
  <c r="X82" i="81"/>
  <c r="J84" i="81"/>
  <c r="X84" i="81"/>
  <c r="J86" i="81"/>
  <c r="X86" i="81"/>
  <c r="Y88" i="81"/>
  <c r="K88" i="81"/>
  <c r="Z88" i="81" s="1"/>
  <c r="J94" i="81"/>
  <c r="X94" i="81"/>
  <c r="AF21" i="65"/>
  <c r="K50" i="81"/>
  <c r="K8" i="81"/>
  <c r="Y8" i="81"/>
  <c r="F45" i="44"/>
  <c r="T50" i="81"/>
  <c r="U50" i="81" s="1"/>
  <c r="O50" i="81"/>
  <c r="P50" i="81" s="1"/>
  <c r="T54" i="81"/>
  <c r="U54" i="81" s="1"/>
  <c r="J54" i="81"/>
  <c r="O54" i="81"/>
  <c r="P54" i="81" s="1"/>
  <c r="T17" i="81"/>
  <c r="U17" i="81" s="1"/>
  <c r="O17" i="81"/>
  <c r="P17" i="81" s="1"/>
  <c r="J17" i="81"/>
  <c r="X13" i="81"/>
  <c r="J13" i="81"/>
  <c r="AF19" i="65"/>
  <c r="AF22" i="65"/>
  <c r="AD28" i="65"/>
  <c r="AF14" i="65"/>
  <c r="Y102" i="81"/>
  <c r="K25" i="81"/>
  <c r="Z25" i="81" s="1"/>
  <c r="Y25" i="81"/>
  <c r="Z15" i="81"/>
  <c r="Y45" i="81"/>
  <c r="AD31" i="65"/>
  <c r="S111" i="81"/>
  <c r="N111" i="81"/>
  <c r="J22" i="81"/>
  <c r="X22" i="81"/>
  <c r="AE23" i="65"/>
  <c r="AG23" i="65" s="1"/>
  <c r="P33" i="65"/>
  <c r="F18" i="44"/>
  <c r="AB33" i="65"/>
  <c r="X21" i="65"/>
  <c r="T31" i="65"/>
  <c r="X21" i="81"/>
  <c r="O21" i="81"/>
  <c r="AD24" i="65"/>
  <c r="Y20" i="81"/>
  <c r="Y33" i="81"/>
  <c r="K109" i="81"/>
  <c r="Z109" i="81" s="1"/>
  <c r="Y109" i="81"/>
  <c r="K33" i="65"/>
  <c r="A48" i="44"/>
  <c r="A36" i="44"/>
  <c r="T21" i="65"/>
  <c r="Z48" i="81"/>
  <c r="Z36" i="81"/>
  <c r="A49" i="44"/>
  <c r="A37" i="44"/>
  <c r="AE24" i="65"/>
  <c r="AG24" i="65" s="1"/>
  <c r="L24" i="65"/>
  <c r="AF24" i="65" s="1"/>
  <c r="T10" i="81"/>
  <c r="U10" i="81" s="1"/>
  <c r="J10" i="81"/>
  <c r="O10" i="81"/>
  <c r="AK51" i="87"/>
  <c r="BI16" i="87"/>
  <c r="Z20" i="81"/>
  <c r="Z28" i="81"/>
  <c r="AB23" i="65"/>
  <c r="AB31" i="65"/>
  <c r="X111" i="81"/>
  <c r="Y46" i="81"/>
  <c r="Y43" i="81"/>
  <c r="K66" i="81"/>
  <c r="Z66" i="81" s="1"/>
  <c r="Y66" i="81"/>
  <c r="X17" i="65"/>
  <c r="N113" i="81"/>
  <c r="T41" i="81"/>
  <c r="U41" i="81" s="1"/>
  <c r="J41" i="81"/>
  <c r="O41" i="81"/>
  <c r="P41" i="81" s="1"/>
  <c r="T32" i="81"/>
  <c r="U32" i="81" s="1"/>
  <c r="J32" i="81"/>
  <c r="T60" i="81"/>
  <c r="U60" i="81" s="1"/>
  <c r="J60" i="81"/>
  <c r="T95" i="81"/>
  <c r="U95" i="81" s="1"/>
  <c r="J95" i="81"/>
  <c r="I49" i="87"/>
  <c r="S7" i="92"/>
  <c r="J69" i="92"/>
  <c r="BI34" i="87"/>
  <c r="AT51" i="87"/>
  <c r="N8" i="95"/>
  <c r="M8" i="95"/>
  <c r="AZ51" i="87"/>
  <c r="M16" i="95"/>
  <c r="N16" i="95"/>
  <c r="J38" i="81"/>
  <c r="J104" i="81"/>
  <c r="O13" i="81"/>
  <c r="P13" i="81" s="1"/>
  <c r="T32" i="65"/>
  <c r="T59" i="81"/>
  <c r="J59" i="81"/>
  <c r="T43" i="81"/>
  <c r="U43" i="81" s="1"/>
  <c r="O43" i="81"/>
  <c r="P43" i="81" s="1"/>
  <c r="Z43" i="81" s="1"/>
  <c r="T78" i="81"/>
  <c r="U78" i="81" s="1"/>
  <c r="J78" i="81"/>
  <c r="T90" i="81"/>
  <c r="U90" i="81" s="1"/>
  <c r="J90" i="81"/>
  <c r="T97" i="81"/>
  <c r="U97" i="81" s="1"/>
  <c r="O97" i="81"/>
  <c r="J49" i="87"/>
  <c r="AM51" i="87"/>
  <c r="R3" i="92"/>
  <c r="Q3" i="92" s="1"/>
  <c r="S3" i="92"/>
  <c r="N26" i="95"/>
  <c r="B10" i="55"/>
  <c r="H9" i="55"/>
  <c r="O9" i="55" s="1"/>
  <c r="N17" i="95"/>
  <c r="M17" i="95"/>
  <c r="N21" i="95"/>
  <c r="M21" i="95"/>
  <c r="J57" i="81"/>
  <c r="J30" i="81"/>
  <c r="O38" i="81"/>
  <c r="P38" i="81" s="1"/>
  <c r="AB12" i="65"/>
  <c r="J52" i="81"/>
  <c r="T111" i="81"/>
  <c r="U111" i="81" s="1"/>
  <c r="X65" i="81"/>
  <c r="X87" i="81"/>
  <c r="O87" i="81"/>
  <c r="AH51" i="87"/>
  <c r="M10" i="95"/>
  <c r="N10" i="95"/>
  <c r="T107" i="81"/>
  <c r="U107" i="81" s="1"/>
  <c r="J107" i="81"/>
  <c r="O107" i="81"/>
  <c r="P107" i="81" s="1"/>
  <c r="AI51" i="87"/>
  <c r="S6" i="92"/>
  <c r="W6" i="92"/>
  <c r="L7" i="55"/>
  <c r="N7" i="55"/>
  <c r="N11" i="95"/>
  <c r="M11" i="95"/>
  <c r="N49" i="95"/>
  <c r="M49" i="95"/>
  <c r="T71" i="81"/>
  <c r="U71" i="81" s="1"/>
  <c r="J71" i="81"/>
  <c r="N49" i="87"/>
  <c r="N46" i="95"/>
  <c r="M46" i="95"/>
  <c r="E3" i="44"/>
  <c r="E4" i="44"/>
  <c r="V6" i="55"/>
  <c r="U8" i="55"/>
  <c r="T93" i="81"/>
  <c r="U93" i="81" s="1"/>
  <c r="J93" i="81"/>
  <c r="O49" i="87"/>
  <c r="T56" i="81"/>
  <c r="U56" i="81" s="1"/>
  <c r="J56" i="81"/>
  <c r="H8" i="55"/>
  <c r="O8" i="55" s="1"/>
  <c r="G8" i="55"/>
  <c r="V5" i="55"/>
  <c r="M7" i="95"/>
  <c r="N7" i="95"/>
  <c r="N27" i="95"/>
  <c r="M27" i="95"/>
  <c r="M33" i="95"/>
  <c r="M42" i="95"/>
  <c r="N4" i="95"/>
  <c r="M4" i="95"/>
  <c r="M20" i="95"/>
  <c r="N92" i="95"/>
  <c r="X23" i="65"/>
  <c r="T11" i="65"/>
  <c r="AF11" i="65" s="1"/>
  <c r="T108" i="81"/>
  <c r="U108" i="81" s="1"/>
  <c r="O108" i="81"/>
  <c r="O32" i="65"/>
  <c r="P32" i="65" s="1"/>
  <c r="K32" i="65"/>
  <c r="N39" i="95"/>
  <c r="M39" i="95"/>
  <c r="M26" i="95"/>
  <c r="T17" i="65"/>
  <c r="X16" i="65"/>
  <c r="T116" i="81"/>
  <c r="U8" i="81"/>
  <c r="T89" i="81"/>
  <c r="U89" i="81" s="1"/>
  <c r="O89" i="81"/>
  <c r="N34" i="95"/>
  <c r="N37" i="95"/>
  <c r="M37" i="95"/>
  <c r="N62" i="95"/>
  <c r="M62" i="95"/>
  <c r="N78" i="95"/>
  <c r="M78" i="95"/>
  <c r="N94" i="95"/>
  <c r="M94" i="95"/>
  <c r="M19" i="95"/>
  <c r="N69" i="95"/>
  <c r="M69" i="95"/>
  <c r="N85" i="95"/>
  <c r="M85" i="95"/>
  <c r="R5" i="92"/>
  <c r="Q5" i="92" s="1"/>
  <c r="X105" i="81"/>
  <c r="X118" i="81" s="1"/>
  <c r="N53" i="95"/>
  <c r="M53" i="95"/>
  <c r="N208" i="95"/>
  <c r="M208" i="95"/>
  <c r="N215" i="95"/>
  <c r="M215" i="95"/>
  <c r="N35" i="95"/>
  <c r="N51" i="95"/>
  <c r="N67" i="95"/>
  <c r="N83" i="95"/>
  <c r="N99" i="95"/>
  <c r="N111" i="95"/>
  <c r="M111" i="95"/>
  <c r="N123" i="95"/>
  <c r="N133" i="95"/>
  <c r="N141" i="95"/>
  <c r="M141" i="95"/>
  <c r="N150" i="95"/>
  <c r="M150" i="95"/>
  <c r="N158" i="95"/>
  <c r="N174" i="95"/>
  <c r="M61" i="95"/>
  <c r="N65" i="95"/>
  <c r="M68" i="95"/>
  <c r="M77" i="95"/>
  <c r="N81" i="95"/>
  <c r="M84" i="95"/>
  <c r="M93" i="95"/>
  <c r="N97" i="95"/>
  <c r="M100" i="95"/>
  <c r="N104" i="95"/>
  <c r="M107" i="95"/>
  <c r="M112" i="95"/>
  <c r="M119" i="95"/>
  <c r="N121" i="95"/>
  <c r="N134" i="95"/>
  <c r="N136" i="95"/>
  <c r="M151" i="95"/>
  <c r="AB18" i="65"/>
  <c r="AF18" i="65" s="1"/>
  <c r="X29" i="65"/>
  <c r="AF29" i="65" s="1"/>
  <c r="J12" i="81"/>
  <c r="J37" i="81"/>
  <c r="J113" i="81" s="1"/>
  <c r="N15" i="95"/>
  <c r="M18" i="95"/>
  <c r="N31" i="95"/>
  <c r="M34" i="95"/>
  <c r="M43" i="95"/>
  <c r="N47" i="95"/>
  <c r="M50" i="95"/>
  <c r="M59" i="95"/>
  <c r="N63" i="95"/>
  <c r="M66" i="95"/>
  <c r="M75" i="95"/>
  <c r="N79" i="95"/>
  <c r="M82" i="95"/>
  <c r="M91" i="95"/>
  <c r="N95" i="95"/>
  <c r="M98" i="95"/>
  <c r="M105" i="95"/>
  <c r="M122" i="95"/>
  <c r="M129" i="95"/>
  <c r="N139" i="95"/>
  <c r="M139" i="95"/>
  <c r="N190" i="95"/>
  <c r="M48" i="95"/>
  <c r="M64" i="95"/>
  <c r="M80" i="95"/>
  <c r="M96" i="95"/>
  <c r="M110" i="95"/>
  <c r="M117" i="95"/>
  <c r="M132" i="95"/>
  <c r="N206" i="95"/>
  <c r="N222" i="95"/>
  <c r="M55" i="95"/>
  <c r="M71" i="95"/>
  <c r="M87" i="95"/>
  <c r="M103" i="95"/>
  <c r="M120" i="95"/>
  <c r="M135" i="95"/>
  <c r="N148" i="95"/>
  <c r="M148" i="95"/>
  <c r="N160" i="95"/>
  <c r="M160" i="95"/>
  <c r="N176" i="95"/>
  <c r="M176" i="95"/>
  <c r="N25" i="95"/>
  <c r="N41" i="95"/>
  <c r="N57" i="95"/>
  <c r="N73" i="95"/>
  <c r="N89" i="95"/>
  <c r="M92" i="95"/>
  <c r="M101" i="95"/>
  <c r="M106" i="95"/>
  <c r="M113" i="95"/>
  <c r="M125" i="95"/>
  <c r="N127" i="95"/>
  <c r="N130" i="95"/>
  <c r="N167" i="95"/>
  <c r="M167" i="95"/>
  <c r="N183" i="95"/>
  <c r="M183" i="95"/>
  <c r="M99" i="95"/>
  <c r="M123" i="95"/>
  <c r="N192" i="95"/>
  <c r="M192" i="95"/>
  <c r="N199" i="95"/>
  <c r="M199" i="95"/>
  <c r="N149" i="95"/>
  <c r="N165" i="95"/>
  <c r="N181" i="95"/>
  <c r="N197" i="95"/>
  <c r="N213" i="95"/>
  <c r="N229" i="95"/>
  <c r="N245" i="95"/>
  <c r="N261" i="95"/>
  <c r="N277" i="95"/>
  <c r="N293" i="95"/>
  <c r="N309" i="95"/>
  <c r="N325" i="95"/>
  <c r="N341" i="95"/>
  <c r="N357" i="95"/>
  <c r="N373" i="95"/>
  <c r="N389" i="95"/>
  <c r="N405" i="95"/>
  <c r="N421" i="95"/>
  <c r="M426" i="95"/>
  <c r="N426" i="95"/>
  <c r="N451" i="95"/>
  <c r="N483" i="95"/>
  <c r="N515" i="95"/>
  <c r="N115" i="95"/>
  <c r="M127" i="95"/>
  <c r="N131" i="95"/>
  <c r="N147" i="95"/>
  <c r="N163" i="95"/>
  <c r="M166" i="95"/>
  <c r="N179" i="95"/>
  <c r="M182" i="95"/>
  <c r="N195" i="95"/>
  <c r="M198" i="95"/>
  <c r="N211" i="95"/>
  <c r="M214" i="95"/>
  <c r="N227" i="95"/>
  <c r="M230" i="95"/>
  <c r="N243" i="95"/>
  <c r="M246" i="95"/>
  <c r="N259" i="95"/>
  <c r="M262" i="95"/>
  <c r="N275" i="95"/>
  <c r="M278" i="95"/>
  <c r="N291" i="95"/>
  <c r="M294" i="95"/>
  <c r="N307" i="95"/>
  <c r="M310" i="95"/>
  <c r="N323" i="95"/>
  <c r="M326" i="95"/>
  <c r="N339" i="95"/>
  <c r="M342" i="95"/>
  <c r="N355" i="95"/>
  <c r="M358" i="95"/>
  <c r="N371" i="95"/>
  <c r="M374" i="95"/>
  <c r="N387" i="95"/>
  <c r="M390" i="95"/>
  <c r="N403" i="95"/>
  <c r="M406" i="95"/>
  <c r="N419" i="95"/>
  <c r="N449" i="95"/>
  <c r="N481" i="95"/>
  <c r="N513" i="95"/>
  <c r="N516" i="95"/>
  <c r="N525" i="95"/>
  <c r="M525" i="95"/>
  <c r="M157" i="95"/>
  <c r="M164" i="95"/>
  <c r="M173" i="95"/>
  <c r="M180" i="95"/>
  <c r="M189" i="95"/>
  <c r="M196" i="95"/>
  <c r="M205" i="95"/>
  <c r="M212" i="95"/>
  <c r="M221" i="95"/>
  <c r="M228" i="95"/>
  <c r="M237" i="95"/>
  <c r="M244" i="95"/>
  <c r="M253" i="95"/>
  <c r="M260" i="95"/>
  <c r="M269" i="95"/>
  <c r="M276" i="95"/>
  <c r="M285" i="95"/>
  <c r="M292" i="95"/>
  <c r="M301" i="95"/>
  <c r="M308" i="95"/>
  <c r="M324" i="95"/>
  <c r="M333" i="95"/>
  <c r="M340" i="95"/>
  <c r="M349" i="95"/>
  <c r="M356" i="95"/>
  <c r="M365" i="95"/>
  <c r="M372" i="95"/>
  <c r="M381" i="95"/>
  <c r="M388" i="95"/>
  <c r="M397" i="95"/>
  <c r="M404" i="95"/>
  <c r="M413" i="95"/>
  <c r="M420" i="95"/>
  <c r="N461" i="95"/>
  <c r="N493" i="95"/>
  <c r="N143" i="95"/>
  <c r="M155" i="95"/>
  <c r="N159" i="95"/>
  <c r="N175" i="95"/>
  <c r="M187" i="95"/>
  <c r="N191" i="95"/>
  <c r="M203" i="95"/>
  <c r="N207" i="95"/>
  <c r="M219" i="95"/>
  <c r="N223" i="95"/>
  <c r="M235" i="95"/>
  <c r="N239" i="95"/>
  <c r="N255" i="95"/>
  <c r="N271" i="95"/>
  <c r="N287" i="95"/>
  <c r="M299" i="95"/>
  <c r="N303" i="95"/>
  <c r="M315" i="95"/>
  <c r="N319" i="95"/>
  <c r="M322" i="95"/>
  <c r="N335" i="95"/>
  <c r="M338" i="95"/>
  <c r="N351" i="95"/>
  <c r="N367" i="95"/>
  <c r="N383" i="95"/>
  <c r="M386" i="95"/>
  <c r="N399" i="95"/>
  <c r="N415" i="95"/>
  <c r="N441" i="95"/>
  <c r="N455" i="95"/>
  <c r="N473" i="95"/>
  <c r="N487" i="95"/>
  <c r="N505" i="95"/>
  <c r="N519" i="95"/>
  <c r="M224" i="95"/>
  <c r="M240" i="95"/>
  <c r="M256" i="95"/>
  <c r="M272" i="95"/>
  <c r="M288" i="95"/>
  <c r="M304" i="95"/>
  <c r="M320" i="95"/>
  <c r="M329" i="95"/>
  <c r="M336" i="95"/>
  <c r="M352" i="95"/>
  <c r="M368" i="95"/>
  <c r="M384" i="95"/>
  <c r="M393" i="95"/>
  <c r="M400" i="95"/>
  <c r="M416" i="95"/>
  <c r="N435" i="95"/>
  <c r="N467" i="95"/>
  <c r="N499" i="95"/>
  <c r="N171" i="95"/>
  <c r="M174" i="95"/>
  <c r="M222" i="95"/>
  <c r="M231" i="95"/>
  <c r="M238" i="95"/>
  <c r="M247" i="95"/>
  <c r="N251" i="95"/>
  <c r="M254" i="95"/>
  <c r="M263" i="95"/>
  <c r="N267" i="95"/>
  <c r="M270" i="95"/>
  <c r="M279" i="95"/>
  <c r="N283" i="95"/>
  <c r="M286" i="95"/>
  <c r="M295" i="95"/>
  <c r="M302" i="95"/>
  <c r="M311" i="95"/>
  <c r="M318" i="95"/>
  <c r="M327" i="95"/>
  <c r="N331" i="95"/>
  <c r="M334" i="95"/>
  <c r="M343" i="95"/>
  <c r="N347" i="95"/>
  <c r="M350" i="95"/>
  <c r="M359" i="95"/>
  <c r="N363" i="95"/>
  <c r="M366" i="95"/>
  <c r="M375" i="95"/>
  <c r="N379" i="95"/>
  <c r="M382" i="95"/>
  <c r="M391" i="95"/>
  <c r="N395" i="95"/>
  <c r="M398" i="95"/>
  <c r="M407" i="95"/>
  <c r="N411" i="95"/>
  <c r="M414" i="95"/>
  <c r="N428" i="95"/>
  <c r="N433" i="95"/>
  <c r="N436" i="95"/>
  <c r="N465" i="95"/>
  <c r="N468" i="95"/>
  <c r="N497" i="95"/>
  <c r="N511" i="95"/>
  <c r="M149" i="95"/>
  <c r="N153" i="95"/>
  <c r="M165" i="95"/>
  <c r="N169" i="95"/>
  <c r="M181" i="95"/>
  <c r="N185" i="95"/>
  <c r="M197" i="95"/>
  <c r="N201" i="95"/>
  <c r="M213" i="95"/>
  <c r="N217" i="95"/>
  <c r="M229" i="95"/>
  <c r="N233" i="95"/>
  <c r="M245" i="95"/>
  <c r="N249" i="95"/>
  <c r="M261" i="95"/>
  <c r="N265" i="95"/>
  <c r="M277" i="95"/>
  <c r="N281" i="95"/>
  <c r="M293" i="95"/>
  <c r="N297" i="95"/>
  <c r="M309" i="95"/>
  <c r="N313" i="95"/>
  <c r="M325" i="95"/>
  <c r="M341" i="95"/>
  <c r="N345" i="95"/>
  <c r="M357" i="95"/>
  <c r="N361" i="95"/>
  <c r="M373" i="95"/>
  <c r="M389" i="95"/>
  <c r="M405" i="95"/>
  <c r="N409" i="95"/>
  <c r="N445" i="95"/>
  <c r="N448" i="95"/>
  <c r="N477" i="95"/>
  <c r="N480" i="95"/>
  <c r="N509" i="95"/>
  <c r="N512" i="95"/>
  <c r="N489" i="95"/>
  <c r="N503" i="95"/>
  <c r="N562" i="95"/>
  <c r="N578" i="95"/>
  <c r="N594" i="95"/>
  <c r="M619" i="95"/>
  <c r="M627" i="95"/>
  <c r="M635" i="95"/>
  <c r="M643" i="95"/>
  <c r="M651" i="95"/>
  <c r="M659" i="95"/>
  <c r="M667" i="95"/>
  <c r="N592" i="95"/>
  <c r="M608" i="95"/>
  <c r="N608" i="95"/>
  <c r="M616" i="95"/>
  <c r="N616" i="95"/>
  <c r="M624" i="95"/>
  <c r="N624" i="95"/>
  <c r="M632" i="95"/>
  <c r="N632" i="95"/>
  <c r="M640" i="95"/>
  <c r="N640" i="95"/>
  <c r="M648" i="95"/>
  <c r="N648" i="95"/>
  <c r="M656" i="95"/>
  <c r="N656" i="95"/>
  <c r="M664" i="95"/>
  <c r="N664" i="95"/>
  <c r="R51" i="92"/>
  <c r="Q51" i="92" s="1"/>
  <c r="S51" i="92"/>
  <c r="R58" i="92"/>
  <c r="Q58" i="92" s="1"/>
  <c r="S58" i="92"/>
  <c r="G6" i="101"/>
  <c r="J6" i="101"/>
  <c r="F10" i="101"/>
  <c r="F27" i="101" s="1"/>
  <c r="R4" i="92"/>
  <c r="Q4" i="92" s="1"/>
  <c r="N430" i="95"/>
  <c r="N446" i="95"/>
  <c r="N462" i="95"/>
  <c r="N478" i="95"/>
  <c r="N494" i="95"/>
  <c r="N510" i="95"/>
  <c r="N526" i="95"/>
  <c r="M533" i="95"/>
  <c r="N542" i="95"/>
  <c r="M549" i="95"/>
  <c r="M565" i="95"/>
  <c r="N590" i="95"/>
  <c r="M617" i="95"/>
  <c r="N673" i="95"/>
  <c r="M675" i="95"/>
  <c r="N675" i="95"/>
  <c r="N524" i="95"/>
  <c r="N540" i="95"/>
  <c r="N572" i="95"/>
  <c r="M606" i="95"/>
  <c r="N606" i="95"/>
  <c r="M614" i="95"/>
  <c r="N614" i="95"/>
  <c r="M622" i="95"/>
  <c r="N622" i="95"/>
  <c r="M630" i="95"/>
  <c r="N630" i="95"/>
  <c r="M638" i="95"/>
  <c r="N638" i="95"/>
  <c r="M646" i="95"/>
  <c r="N646" i="95"/>
  <c r="M654" i="95"/>
  <c r="N654" i="95"/>
  <c r="M662" i="95"/>
  <c r="N662" i="95"/>
  <c r="M670" i="95"/>
  <c r="N670" i="95"/>
  <c r="S45" i="92"/>
  <c r="R45" i="92"/>
  <c r="Q45" i="92" s="1"/>
  <c r="N442" i="95"/>
  <c r="N458" i="95"/>
  <c r="N474" i="95"/>
  <c r="N490" i="95"/>
  <c r="N506" i="95"/>
  <c r="N522" i="95"/>
  <c r="M529" i="95"/>
  <c r="N538" i="95"/>
  <c r="M545" i="95"/>
  <c r="N554" i="95"/>
  <c r="M561" i="95"/>
  <c r="N570" i="95"/>
  <c r="M577" i="95"/>
  <c r="N586" i="95"/>
  <c r="M593" i="95"/>
  <c r="N602" i="95"/>
  <c r="M607" i="95"/>
  <c r="M615" i="95"/>
  <c r="M623" i="95"/>
  <c r="M631" i="95"/>
  <c r="M639" i="95"/>
  <c r="M647" i="95"/>
  <c r="M655" i="95"/>
  <c r="N671" i="95"/>
  <c r="N684" i="95"/>
  <c r="N692" i="95"/>
  <c r="N700" i="95"/>
  <c r="S116" i="81"/>
  <c r="N520" i="95"/>
  <c r="N536" i="95"/>
  <c r="N552" i="95"/>
  <c r="N568" i="95"/>
  <c r="N584" i="95"/>
  <c r="N600" i="95"/>
  <c r="M612" i="95"/>
  <c r="N612" i="95"/>
  <c r="M620" i="95"/>
  <c r="N620" i="95"/>
  <c r="M628" i="95"/>
  <c r="N628" i="95"/>
  <c r="M636" i="95"/>
  <c r="N636" i="95"/>
  <c r="M644" i="95"/>
  <c r="N644" i="95"/>
  <c r="M652" i="95"/>
  <c r="N652" i="95"/>
  <c r="M660" i="95"/>
  <c r="N660" i="95"/>
  <c r="M668" i="95"/>
  <c r="N668" i="95"/>
  <c r="R15" i="92"/>
  <c r="Q15" i="92" s="1"/>
  <c r="S15" i="92"/>
  <c r="N518" i="95"/>
  <c r="N534" i="95"/>
  <c r="M541" i="95"/>
  <c r="M557" i="95"/>
  <c r="M573" i="95"/>
  <c r="M589" i="95"/>
  <c r="M605" i="95"/>
  <c r="M613" i="95"/>
  <c r="M621" i="95"/>
  <c r="M629" i="95"/>
  <c r="M637" i="95"/>
  <c r="M645" i="95"/>
  <c r="M653" i="95"/>
  <c r="M661" i="95"/>
  <c r="N682" i="95"/>
  <c r="M23" i="99"/>
  <c r="N532" i="95"/>
  <c r="N548" i="95"/>
  <c r="N564" i="95"/>
  <c r="N580" i="95"/>
  <c r="N596" i="95"/>
  <c r="M610" i="95"/>
  <c r="N610" i="95"/>
  <c r="M618" i="95"/>
  <c r="N618" i="95"/>
  <c r="M626" i="95"/>
  <c r="N626" i="95"/>
  <c r="M634" i="95"/>
  <c r="N634" i="95"/>
  <c r="M642" i="95"/>
  <c r="N642" i="95"/>
  <c r="M650" i="95"/>
  <c r="N650" i="95"/>
  <c r="M658" i="95"/>
  <c r="N658" i="95"/>
  <c r="M666" i="95"/>
  <c r="N666" i="95"/>
  <c r="N677" i="95"/>
  <c r="R42" i="92"/>
  <c r="Q42" i="92" s="1"/>
  <c r="S42" i="92"/>
  <c r="M682" i="95"/>
  <c r="M684" i="95"/>
  <c r="M686" i="95"/>
  <c r="M688" i="95"/>
  <c r="M690" i="95"/>
  <c r="M692" i="95"/>
  <c r="M694" i="95"/>
  <c r="M696" i="95"/>
  <c r="M698" i="95"/>
  <c r="M700" i="95"/>
  <c r="M702" i="95"/>
  <c r="M704" i="95"/>
  <c r="C73" i="93"/>
  <c r="A74" i="93"/>
  <c r="R62" i="92"/>
  <c r="Q62" i="92" s="1"/>
  <c r="S28" i="92"/>
  <c r="R35" i="92"/>
  <c r="Q35" i="92" s="1"/>
  <c r="S43" i="92"/>
  <c r="S62" i="92"/>
  <c r="S14" i="92"/>
  <c r="R14" i="92"/>
  <c r="Q14" i="92" s="1"/>
  <c r="R21" i="92"/>
  <c r="Q21" i="92" s="1"/>
  <c r="M15" i="99"/>
  <c r="S27" i="92"/>
  <c r="S23" i="92"/>
  <c r="S52" i="92"/>
  <c r="R52" i="92"/>
  <c r="Q52" i="92" s="1"/>
  <c r="R54" i="92"/>
  <c r="Q54" i="92" s="1"/>
  <c r="R9" i="92"/>
  <c r="Q9" i="92" s="1"/>
  <c r="S24" i="92"/>
  <c r="R24" i="92"/>
  <c r="Q24" i="92" s="1"/>
  <c r="S40" i="92"/>
  <c r="R40" i="92"/>
  <c r="Q40" i="92" s="1"/>
  <c r="F7" i="97"/>
  <c r="N679" i="95"/>
  <c r="S48" i="92"/>
  <c r="S9" i="92"/>
  <c r="R38" i="92"/>
  <c r="Q38" i="92" s="1"/>
  <c r="S18" i="92"/>
  <c r="S55" i="92"/>
  <c r="R61" i="92"/>
  <c r="Q61" i="92" s="1"/>
  <c r="S61" i="92"/>
  <c r="F11" i="97"/>
  <c r="M13" i="52"/>
  <c r="N13" i="52" s="1"/>
  <c r="O13" i="52"/>
  <c r="M14" i="99"/>
  <c r="O22" i="52"/>
  <c r="M22" i="52"/>
  <c r="N22" i="52" s="1"/>
  <c r="O32" i="52"/>
  <c r="M32" i="52"/>
  <c r="N32" i="52" s="1"/>
  <c r="O16" i="52"/>
  <c r="M16" i="52"/>
  <c r="N16" i="52" s="1"/>
  <c r="O50" i="52"/>
  <c r="M50" i="52"/>
  <c r="N50" i="52" s="1"/>
  <c r="O73" i="52"/>
  <c r="N119" i="52"/>
  <c r="O119" i="52"/>
  <c r="M21" i="52"/>
  <c r="N21" i="52" s="1"/>
  <c r="O21" i="52"/>
  <c r="O54" i="52"/>
  <c r="M54" i="52"/>
  <c r="N54" i="52" s="1"/>
  <c r="O66" i="52"/>
  <c r="M66" i="52"/>
  <c r="N66" i="52" s="1"/>
  <c r="O94" i="52"/>
  <c r="N94" i="52"/>
  <c r="N99" i="52"/>
  <c r="M14" i="52"/>
  <c r="N14" i="52" s="1"/>
  <c r="O55" i="52"/>
  <c r="M55" i="52"/>
  <c r="N55" i="52" s="1"/>
  <c r="O67" i="52"/>
  <c r="M67" i="52"/>
  <c r="N67" i="52" s="1"/>
  <c r="O81" i="52"/>
  <c r="M81" i="52"/>
  <c r="N81" i="52" s="1"/>
  <c r="O108" i="52"/>
  <c r="M108" i="52"/>
  <c r="N108" i="52" s="1"/>
  <c r="O36" i="52"/>
  <c r="M36" i="52"/>
  <c r="N36" i="52" s="1"/>
  <c r="O39" i="52"/>
  <c r="O75" i="52"/>
  <c r="M75" i="52"/>
  <c r="N75" i="52" s="1"/>
  <c r="O17" i="52"/>
  <c r="O23" i="52"/>
  <c r="M23" i="52"/>
  <c r="N23" i="52" s="1"/>
  <c r="O62" i="52"/>
  <c r="O132" i="52"/>
  <c r="N132" i="52"/>
  <c r="N138" i="52"/>
  <c r="O187" i="52"/>
  <c r="M187" i="52"/>
  <c r="N187" i="52" s="1"/>
  <c r="M73" i="52"/>
  <c r="N73" i="52" s="1"/>
  <c r="M63" i="52"/>
  <c r="N63" i="52" s="1"/>
  <c r="M39" i="52"/>
  <c r="N39" i="52" s="1"/>
  <c r="N115" i="52"/>
  <c r="O115" i="52"/>
  <c r="O254" i="52"/>
  <c r="N254" i="52"/>
  <c r="M270" i="52"/>
  <c r="N270" i="52" s="1"/>
  <c r="O270" i="52"/>
  <c r="O175" i="52"/>
  <c r="M175" i="52"/>
  <c r="N175" i="52" s="1"/>
  <c r="N26" i="52"/>
  <c r="N41" i="52"/>
  <c r="N76" i="52"/>
  <c r="O76" i="52"/>
  <c r="M382" i="52"/>
  <c r="N382" i="52" s="1"/>
  <c r="O382" i="52"/>
  <c r="M433" i="52"/>
  <c r="N433" i="52" s="1"/>
  <c r="O129" i="52"/>
  <c r="M129" i="52"/>
  <c r="N129" i="52" s="1"/>
  <c r="N202" i="52"/>
  <c r="N319" i="52"/>
  <c r="M322" i="52"/>
  <c r="N322" i="52" s="1"/>
  <c r="P64" i="105"/>
  <c r="AL64" i="105"/>
  <c r="AE64" i="105"/>
  <c r="U64" i="105"/>
  <c r="K64" i="105"/>
  <c r="N15" i="52"/>
  <c r="M34" i="52"/>
  <c r="N34" i="52" s="1"/>
  <c r="O34" i="52"/>
  <c r="M298" i="52"/>
  <c r="N298" i="52" s="1"/>
  <c r="O396" i="52"/>
  <c r="N396" i="52"/>
  <c r="M441" i="52"/>
  <c r="N441" i="52" s="1"/>
  <c r="O43" i="52"/>
  <c r="N43" i="52"/>
  <c r="N174" i="52"/>
  <c r="M798" i="52"/>
  <c r="N798" i="52" s="1"/>
  <c r="P61" i="105"/>
  <c r="Z61" i="105"/>
  <c r="AE61" i="105"/>
  <c r="P59" i="105"/>
  <c r="U59" i="105"/>
  <c r="Z59" i="105"/>
  <c r="K26" i="105"/>
  <c r="P26" i="105"/>
  <c r="U26" i="105"/>
  <c r="AE26" i="105"/>
  <c r="O1021" i="52"/>
  <c r="O1045" i="52"/>
  <c r="O1016" i="52"/>
  <c r="O1038" i="52"/>
  <c r="O1070" i="52"/>
  <c r="O1088" i="52"/>
  <c r="K42" i="105"/>
  <c r="AE42" i="105"/>
  <c r="K35" i="105"/>
  <c r="P35" i="105"/>
  <c r="U35" i="105"/>
  <c r="Z35" i="105"/>
  <c r="AE35" i="105"/>
  <c r="O1064" i="52"/>
  <c r="O1077" i="52"/>
  <c r="K21" i="105"/>
  <c r="P21" i="105"/>
  <c r="AE21" i="105"/>
  <c r="U62" i="105"/>
  <c r="Z62" i="105"/>
  <c r="AE62" i="105"/>
  <c r="P60" i="105"/>
  <c r="U60" i="105"/>
  <c r="AE60" i="105"/>
  <c r="U58" i="105"/>
  <c r="Z58" i="105"/>
  <c r="AE58" i="105"/>
  <c r="O1014" i="52"/>
  <c r="P41" i="105"/>
  <c r="Z41" i="105"/>
  <c r="AE41" i="105"/>
  <c r="K41" i="105"/>
  <c r="U41" i="105"/>
  <c r="K47" i="105"/>
  <c r="P47" i="105"/>
  <c r="U47" i="105"/>
  <c r="Z47" i="105"/>
  <c r="AE47" i="105"/>
  <c r="N726" i="52"/>
  <c r="N790" i="52"/>
  <c r="O1040" i="52"/>
  <c r="Z64" i="105"/>
  <c r="K27" i="105"/>
  <c r="P27" i="105"/>
  <c r="U27" i="105"/>
  <c r="Z27" i="105"/>
  <c r="AE27" i="105"/>
  <c r="O1034" i="52"/>
  <c r="O1066" i="52"/>
  <c r="AE59" i="105"/>
  <c r="U39" i="105"/>
  <c r="O1050" i="52"/>
  <c r="P62" i="105"/>
  <c r="U61" i="105"/>
  <c r="Z60" i="105"/>
  <c r="K58" i="105"/>
  <c r="U40" i="105"/>
  <c r="K38" i="105"/>
  <c r="P38" i="105"/>
  <c r="K49" i="105"/>
  <c r="P49" i="105"/>
  <c r="U49" i="105"/>
  <c r="Z49" i="105"/>
  <c r="U32" i="105"/>
  <c r="K12" i="105"/>
  <c r="P12" i="105"/>
  <c r="U12" i="105"/>
  <c r="O888" i="52"/>
  <c r="U42" i="105"/>
  <c r="Z39" i="105"/>
  <c r="AE39" i="105"/>
  <c r="K39" i="105"/>
  <c r="P32" i="105"/>
  <c r="K28" i="105"/>
  <c r="P28" i="105"/>
  <c r="U28" i="105"/>
  <c r="Z28" i="105"/>
  <c r="Z26" i="105"/>
  <c r="O1042" i="52"/>
  <c r="O1074" i="52"/>
  <c r="P40" i="105"/>
  <c r="Z40" i="105"/>
  <c r="AE40" i="105"/>
  <c r="AE18" i="105"/>
  <c r="K18" i="105"/>
  <c r="P34" i="105"/>
  <c r="U34" i="105"/>
  <c r="Z34" i="105"/>
  <c r="AE34" i="105"/>
  <c r="Z32" i="105"/>
  <c r="K23" i="105"/>
  <c r="P23" i="105"/>
  <c r="U23" i="105"/>
  <c r="Z23" i="105"/>
  <c r="U16" i="105"/>
  <c r="Z16" i="105"/>
  <c r="AE12" i="105"/>
  <c r="K62" i="105"/>
  <c r="K61" i="105"/>
  <c r="K60" i="105"/>
  <c r="K59" i="105"/>
  <c r="P58" i="105"/>
  <c r="K43" i="105"/>
  <c r="P43" i="105"/>
  <c r="U43" i="105"/>
  <c r="Z43" i="105"/>
  <c r="K54" i="105"/>
  <c r="K36" i="105"/>
  <c r="P36" i="105"/>
  <c r="U36" i="105"/>
  <c r="Z36" i="105"/>
  <c r="K30" i="105"/>
  <c r="P25" i="105"/>
  <c r="U25" i="105"/>
  <c r="Z25" i="105"/>
  <c r="AE25" i="105"/>
  <c r="P18" i="105"/>
  <c r="Z12" i="105"/>
  <c r="U54" i="105"/>
  <c r="K32" i="105"/>
  <c r="P31" i="105"/>
  <c r="U30" i="105"/>
  <c r="K45" i="105"/>
  <c r="U48" i="105"/>
  <c r="K20" i="105"/>
  <c r="P19" i="105"/>
  <c r="P54" i="105"/>
  <c r="P30" i="105"/>
  <c r="P48" i="105"/>
  <c r="Z21" i="105"/>
  <c r="AE20" i="105"/>
  <c r="Z18" i="105"/>
  <c r="U17" i="105"/>
  <c r="Z42" i="105"/>
  <c r="U18" i="105"/>
  <c r="AE45" i="105"/>
  <c r="Z20" i="105"/>
  <c r="P17" i="105"/>
  <c r="BK40" i="87"/>
  <c r="BK12" i="87"/>
  <c r="BG30" i="87"/>
  <c r="BK29" i="87"/>
  <c r="BK16" i="87"/>
  <c r="BK9" i="87"/>
  <c r="BH14" i="87"/>
  <c r="BK42" i="87"/>
  <c r="BF14" i="87"/>
  <c r="BH6" i="87"/>
  <c r="BH19" i="87"/>
  <c r="BK18" i="87"/>
  <c r="BK25" i="87"/>
  <c r="BH22" i="87"/>
  <c r="BK26" i="87"/>
  <c r="BK10" i="87"/>
  <c r="BG31" i="87"/>
  <c r="BK32" i="87"/>
  <c r="BH31" i="87"/>
  <c r="BK39" i="87"/>
  <c r="BH38" i="87"/>
  <c r="BF30" i="87"/>
  <c r="BK36" i="87"/>
  <c r="BK27" i="87"/>
  <c r="BK24" i="87"/>
  <c r="BK34" i="87"/>
  <c r="BH30" i="87"/>
  <c r="BK33" i="87"/>
  <c r="BK17" i="87"/>
  <c r="BK35" i="87"/>
  <c r="BK4" i="87"/>
  <c r="BF22" i="87"/>
  <c r="BK20" i="87"/>
  <c r="BF6" i="87"/>
  <c r="BK15" i="87"/>
  <c r="BG14" i="87"/>
  <c r="BF19" i="87"/>
  <c r="BK37" i="87"/>
  <c r="BH7" i="87"/>
  <c r="BK21" i="87"/>
  <c r="BK6" i="87"/>
  <c r="BG7" i="87"/>
  <c r="BK28" i="87"/>
  <c r="BK11" i="87"/>
  <c r="BK19" i="87"/>
  <c r="BG38" i="87"/>
  <c r="BG22" i="87"/>
  <c r="BK23" i="87"/>
  <c r="BK5" i="87"/>
  <c r="BK43" i="87"/>
  <c r="BK8" i="87"/>
  <c r="BK41" i="87"/>
  <c r="BK3" i="87"/>
  <c r="BK13" i="87"/>
  <c r="BF38" i="87"/>
  <c r="AB49" i="69" l="1"/>
  <c r="BG11" i="108"/>
  <c r="U11" i="108"/>
  <c r="AC11" i="108"/>
  <c r="P11" i="108"/>
  <c r="AB11" i="108"/>
  <c r="H11" i="108"/>
  <c r="I11" i="108"/>
  <c r="Z11" i="108"/>
  <c r="L11" i="108"/>
  <c r="BA11" i="108"/>
  <c r="AE11" i="108"/>
  <c r="AS11" i="108"/>
  <c r="AK11" i="108"/>
  <c r="AI11" i="108"/>
  <c r="BN15" i="108"/>
  <c r="O15" i="108"/>
  <c r="AE15" i="108"/>
  <c r="AU15" i="108"/>
  <c r="BK15" i="108"/>
  <c r="T15" i="108"/>
  <c r="AJ15" i="108"/>
  <c r="AZ15" i="108"/>
  <c r="I15" i="108"/>
  <c r="Y15" i="108"/>
  <c r="AO15" i="108"/>
  <c r="BE15" i="108"/>
  <c r="N15" i="108"/>
  <c r="AD15" i="108"/>
  <c r="AT15" i="108"/>
  <c r="BJ15" i="108"/>
  <c r="S15" i="108"/>
  <c r="AI15" i="108"/>
  <c r="AY15" i="108"/>
  <c r="H15" i="108"/>
  <c r="X15" i="108"/>
  <c r="AN15" i="108"/>
  <c r="BD15" i="108"/>
  <c r="M15" i="108"/>
  <c r="AC15" i="108"/>
  <c r="AS15" i="108"/>
  <c r="BI15" i="108"/>
  <c r="R15" i="108"/>
  <c r="AH15" i="108"/>
  <c r="AX15" i="108"/>
  <c r="G15" i="108"/>
  <c r="W15" i="108"/>
  <c r="AM15" i="108"/>
  <c r="BC15" i="108"/>
  <c r="L15" i="108"/>
  <c r="AB15" i="108"/>
  <c r="AR15" i="108"/>
  <c r="BH15" i="108"/>
  <c r="Q15" i="108"/>
  <c r="AG15" i="108"/>
  <c r="AW15" i="108"/>
  <c r="BM15" i="108"/>
  <c r="V15" i="108"/>
  <c r="AL15" i="108"/>
  <c r="BB15" i="108"/>
  <c r="K15" i="108"/>
  <c r="AA15" i="108"/>
  <c r="AQ15" i="108"/>
  <c r="BG15" i="108"/>
  <c r="P15" i="108"/>
  <c r="AF15" i="108"/>
  <c r="AV15" i="108"/>
  <c r="BL15" i="108"/>
  <c r="U15" i="108"/>
  <c r="AK15" i="108"/>
  <c r="BA15" i="108"/>
  <c r="J15" i="108"/>
  <c r="Z15" i="108"/>
  <c r="AP15" i="108"/>
  <c r="BF15" i="108"/>
  <c r="BN14" i="108"/>
  <c r="BE14" i="108"/>
  <c r="AO14" i="108"/>
  <c r="BA14" i="108"/>
  <c r="AK14" i="108"/>
  <c r="AW14" i="108"/>
  <c r="AG14" i="108"/>
  <c r="BI14" i="108"/>
  <c r="AS14" i="108"/>
  <c r="AE14" i="108"/>
  <c r="AU14" i="108"/>
  <c r="BK14" i="108"/>
  <c r="AJ14" i="108"/>
  <c r="AZ14" i="108"/>
  <c r="BM14" i="108"/>
  <c r="AP14" i="108"/>
  <c r="BF14" i="108"/>
  <c r="AI14" i="108"/>
  <c r="AY14" i="108"/>
  <c r="AN14" i="108"/>
  <c r="BD14" i="108"/>
  <c r="AD14" i="108"/>
  <c r="AT14" i="108"/>
  <c r="BJ14" i="108"/>
  <c r="AM14" i="108"/>
  <c r="BC14" i="108"/>
  <c r="AR14" i="108"/>
  <c r="BH14" i="108"/>
  <c r="AH14" i="108"/>
  <c r="AX14" i="108"/>
  <c r="AQ14" i="108"/>
  <c r="BG14" i="108"/>
  <c r="AF14" i="108"/>
  <c r="AV14" i="108"/>
  <c r="BL14" i="108"/>
  <c r="AL14" i="108"/>
  <c r="BB14" i="108"/>
  <c r="BN13" i="108"/>
  <c r="BM13" i="108"/>
  <c r="AG13" i="108"/>
  <c r="BE13" i="108"/>
  <c r="Y13" i="108"/>
  <c r="AW13" i="108"/>
  <c r="Q13" i="108"/>
  <c r="AO13" i="108"/>
  <c r="I13" i="108"/>
  <c r="BI13" i="108"/>
  <c r="O13" i="108"/>
  <c r="AE13" i="108"/>
  <c r="AU13" i="108"/>
  <c r="BK13" i="108"/>
  <c r="T13" i="108"/>
  <c r="AJ13" i="108"/>
  <c r="AZ13" i="108"/>
  <c r="J13" i="108"/>
  <c r="Z13" i="108"/>
  <c r="AP13" i="108"/>
  <c r="BF13" i="108"/>
  <c r="M13" i="108"/>
  <c r="U13" i="108"/>
  <c r="S13" i="108"/>
  <c r="AI13" i="108"/>
  <c r="AY13" i="108"/>
  <c r="H13" i="108"/>
  <c r="X13" i="108"/>
  <c r="AN13" i="108"/>
  <c r="BD13" i="108"/>
  <c r="N13" i="108"/>
  <c r="AD13" i="108"/>
  <c r="AT13" i="108"/>
  <c r="BJ13" i="108"/>
  <c r="AC13" i="108"/>
  <c r="AK13" i="108"/>
  <c r="G13" i="108"/>
  <c r="W13" i="108"/>
  <c r="AM13" i="108"/>
  <c r="BC13" i="108"/>
  <c r="L13" i="108"/>
  <c r="AB13" i="108"/>
  <c r="AR13" i="108"/>
  <c r="BH13" i="108"/>
  <c r="R13" i="108"/>
  <c r="AH13" i="108"/>
  <c r="AX13" i="108"/>
  <c r="AS13" i="108"/>
  <c r="BA13" i="108"/>
  <c r="K13" i="108"/>
  <c r="AA13" i="108"/>
  <c r="AQ13" i="108"/>
  <c r="BG13" i="108"/>
  <c r="P13" i="108"/>
  <c r="AF13" i="108"/>
  <c r="AV13" i="108"/>
  <c r="BL13" i="108"/>
  <c r="V13" i="108"/>
  <c r="AL13" i="108"/>
  <c r="BB13" i="108"/>
  <c r="AB54" i="69"/>
  <c r="AI41" i="90"/>
  <c r="BC12" i="108"/>
  <c r="Q11" i="90"/>
  <c r="Q59" i="90" s="1"/>
  <c r="I54" i="69"/>
  <c r="W22" i="90"/>
  <c r="BM12" i="108"/>
  <c r="AI12" i="90"/>
  <c r="AI31" i="90"/>
  <c r="Q34" i="90"/>
  <c r="AC28" i="90"/>
  <c r="Q38" i="90"/>
  <c r="V64" i="105"/>
  <c r="Q64" i="105"/>
  <c r="AA64" i="105"/>
  <c r="AF64" i="105"/>
  <c r="Q14" i="90"/>
  <c r="X4" i="108"/>
  <c r="Y5" i="108"/>
  <c r="X3" i="108"/>
  <c r="X2" i="108"/>
  <c r="Y6" i="108"/>
  <c r="E20" i="44"/>
  <c r="F19" i="44"/>
  <c r="H6" i="44"/>
  <c r="G2" i="44"/>
  <c r="K69" i="105"/>
  <c r="AI17" i="90"/>
  <c r="AI37" i="90"/>
  <c r="AC11" i="90"/>
  <c r="W9" i="90"/>
  <c r="W30" i="90"/>
  <c r="W42" i="90"/>
  <c r="Q41" i="90"/>
  <c r="W11" i="90"/>
  <c r="AC51" i="90"/>
  <c r="Q24" i="90"/>
  <c r="W10" i="90"/>
  <c r="Q8" i="90"/>
  <c r="AC19" i="90"/>
  <c r="AI11" i="90"/>
  <c r="Q45" i="90"/>
  <c r="Q13" i="90"/>
  <c r="W13" i="90"/>
  <c r="Q28" i="90"/>
  <c r="W45" i="90"/>
  <c r="Q46" i="90"/>
  <c r="AC29" i="90"/>
  <c r="Q21" i="90"/>
  <c r="AI33" i="105"/>
  <c r="AI46" i="105"/>
  <c r="W19" i="90"/>
  <c r="AI48" i="105"/>
  <c r="AC45" i="90"/>
  <c r="AI22" i="90"/>
  <c r="AC46" i="90"/>
  <c r="AC43" i="90"/>
  <c r="AC24" i="90"/>
  <c r="AI30" i="90"/>
  <c r="Q15" i="90"/>
  <c r="W17" i="90"/>
  <c r="K47" i="90"/>
  <c r="AC8" i="90"/>
  <c r="K51" i="90"/>
  <c r="AI16" i="90"/>
  <c r="K16" i="90"/>
  <c r="K60" i="90" s="1"/>
  <c r="AC42" i="90"/>
  <c r="K50" i="90"/>
  <c r="AI19" i="90"/>
  <c r="W31" i="90"/>
  <c r="AC34" i="90"/>
  <c r="W12" i="90"/>
  <c r="K15" i="90"/>
  <c r="AI45" i="90"/>
  <c r="Q51" i="90"/>
  <c r="AI36" i="90"/>
  <c r="AC10" i="90"/>
  <c r="J10" i="101"/>
  <c r="AE69" i="105"/>
  <c r="Z67" i="105"/>
  <c r="P69" i="105"/>
  <c r="AI16" i="105"/>
  <c r="P67" i="105"/>
  <c r="K67" i="105"/>
  <c r="AI25" i="105"/>
  <c r="P66" i="105"/>
  <c r="P71" i="105" s="1"/>
  <c r="Z66" i="105"/>
  <c r="Z71" i="105" s="1"/>
  <c r="K66" i="105"/>
  <c r="AI34" i="105"/>
  <c r="K13" i="90"/>
  <c r="K10" i="90"/>
  <c r="W15" i="90"/>
  <c r="W21" i="90"/>
  <c r="W24" i="90"/>
  <c r="W28" i="90"/>
  <c r="Q9" i="90"/>
  <c r="AI26" i="90"/>
  <c r="AC31" i="90"/>
  <c r="Q10" i="90"/>
  <c r="AC17" i="90"/>
  <c r="Q19" i="90"/>
  <c r="AC9" i="90"/>
  <c r="AC38" i="90"/>
  <c r="AI32" i="90"/>
  <c r="W51" i="90"/>
  <c r="AI9" i="90"/>
  <c r="AI48" i="90"/>
  <c r="Q17" i="90"/>
  <c r="Q42" i="90"/>
  <c r="AI39" i="90"/>
  <c r="Q43" i="90"/>
  <c r="AI51" i="90"/>
  <c r="AI18" i="90"/>
  <c r="AC48" i="90"/>
  <c r="W33" i="90"/>
  <c r="W50" i="90"/>
  <c r="Q40" i="90"/>
  <c r="AC35" i="90"/>
  <c r="Q47" i="90"/>
  <c r="W25" i="90"/>
  <c r="K44" i="90"/>
  <c r="W36" i="90"/>
  <c r="AC37" i="90"/>
  <c r="AC14" i="90"/>
  <c r="W29" i="90"/>
  <c r="AI8" i="90"/>
  <c r="Q39" i="90"/>
  <c r="AI14" i="90"/>
  <c r="Q44" i="90"/>
  <c r="AI50" i="90"/>
  <c r="AI35" i="90"/>
  <c r="AI47" i="90"/>
  <c r="Q18" i="90"/>
  <c r="AI13" i="90"/>
  <c r="AI25" i="90"/>
  <c r="W34" i="90"/>
  <c r="W27" i="90"/>
  <c r="AC39" i="90"/>
  <c r="W44" i="90"/>
  <c r="W48" i="90"/>
  <c r="Q26" i="90"/>
  <c r="Q36" i="90"/>
  <c r="AC16" i="90"/>
  <c r="Q30" i="90"/>
  <c r="AC50" i="90"/>
  <c r="W40" i="90"/>
  <c r="Q23" i="90"/>
  <c r="AC20" i="90"/>
  <c r="AC47" i="90"/>
  <c r="W18" i="90"/>
  <c r="AC25" i="90"/>
  <c r="AC21" i="90"/>
  <c r="Q12" i="90"/>
  <c r="AI44" i="90"/>
  <c r="AC26" i="90"/>
  <c r="AC36" i="90"/>
  <c r="W38" i="90"/>
  <c r="AI40" i="90"/>
  <c r="W20" i="90"/>
  <c r="W32" i="90"/>
  <c r="Q22" i="90"/>
  <c r="W16" i="90"/>
  <c r="AI42" i="90"/>
  <c r="Q49" i="90"/>
  <c r="Q27" i="90"/>
  <c r="AC13" i="90"/>
  <c r="AC12" i="90"/>
  <c r="AC44" i="90"/>
  <c r="Q33" i="90"/>
  <c r="W26" i="90"/>
  <c r="K9" i="90"/>
  <c r="AC40" i="90"/>
  <c r="AC23" i="90"/>
  <c r="AI20" i="90"/>
  <c r="Q32" i="90"/>
  <c r="AC18" i="90"/>
  <c r="Q31" i="90"/>
  <c r="AC49" i="90"/>
  <c r="AC27" i="90"/>
  <c r="AI10" i="90"/>
  <c r="W46" i="90"/>
  <c r="AC30" i="90"/>
  <c r="AI24" i="90"/>
  <c r="W23" i="90"/>
  <c r="Q20" i="90"/>
  <c r="Q37" i="90"/>
  <c r="AC22" i="90"/>
  <c r="W49" i="90"/>
  <c r="AI27" i="90"/>
  <c r="AI46" i="90"/>
  <c r="W14" i="90"/>
  <c r="AI21" i="90"/>
  <c r="AC33" i="90"/>
  <c r="AI38" i="90"/>
  <c r="W35" i="90"/>
  <c r="AI23" i="90"/>
  <c r="W37" i="90"/>
  <c r="AI29" i="90"/>
  <c r="W8" i="90"/>
  <c r="V4" i="90" s="1"/>
  <c r="AI49" i="90"/>
  <c r="W39" i="90"/>
  <c r="AI34" i="90"/>
  <c r="AI33" i="90"/>
  <c r="Q16" i="90"/>
  <c r="Q60" i="90" s="1"/>
  <c r="Q50" i="90"/>
  <c r="Q35" i="90"/>
  <c r="W47" i="90"/>
  <c r="AC32" i="90"/>
  <c r="Q25" i="90"/>
  <c r="BI30" i="87"/>
  <c r="BL17" i="87"/>
  <c r="BL26" i="87"/>
  <c r="BL28" i="87"/>
  <c r="BL40" i="87"/>
  <c r="BL42" i="87"/>
  <c r="BL11" i="87"/>
  <c r="BI31" i="87"/>
  <c r="BI6" i="87"/>
  <c r="BL29" i="87"/>
  <c r="BL3" i="87"/>
  <c r="BL6" i="87"/>
  <c r="BL18" i="87"/>
  <c r="BL32" i="87"/>
  <c r="BL33" i="87"/>
  <c r="BL24" i="87"/>
  <c r="BI7" i="87"/>
  <c r="BL21" i="87"/>
  <c r="BL8" i="87"/>
  <c r="BL23" i="87"/>
  <c r="BL10" i="87"/>
  <c r="BL5" i="87"/>
  <c r="BL4" i="87"/>
  <c r="BI38" i="87"/>
  <c r="BI22" i="87"/>
  <c r="BL19" i="87"/>
  <c r="BL34" i="87"/>
  <c r="BL15" i="87"/>
  <c r="BI19" i="87"/>
  <c r="BI14" i="87"/>
  <c r="BL12" i="87"/>
  <c r="BL37" i="87"/>
  <c r="BL36" i="87"/>
  <c r="BL16" i="87"/>
  <c r="BL39" i="87"/>
  <c r="BL35" i="87"/>
  <c r="BL41" i="87"/>
  <c r="BL9" i="87"/>
  <c r="BL25" i="87"/>
  <c r="BL20" i="87"/>
  <c r="BL27" i="87"/>
  <c r="BL13" i="87"/>
  <c r="BL43" i="87"/>
  <c r="AI40" i="105"/>
  <c r="V7" i="55"/>
  <c r="U9" i="55"/>
  <c r="U59" i="81"/>
  <c r="U117" i="81" s="1"/>
  <c r="T117" i="81"/>
  <c r="Y84" i="81"/>
  <c r="K84" i="81"/>
  <c r="Z84" i="81" s="1"/>
  <c r="K74" i="81"/>
  <c r="Z74" i="81" s="1"/>
  <c r="Y74" i="81"/>
  <c r="AI61" i="105"/>
  <c r="AI28" i="105"/>
  <c r="AI27" i="105"/>
  <c r="AI35" i="105"/>
  <c r="Z69" i="105"/>
  <c r="AD32" i="65"/>
  <c r="AE32" i="65"/>
  <c r="AG32" i="65" s="1"/>
  <c r="L32" i="65"/>
  <c r="AF32" i="65" s="1"/>
  <c r="K30" i="81"/>
  <c r="Z30" i="81" s="1"/>
  <c r="Y30" i="81"/>
  <c r="H10" i="55"/>
  <c r="O10" i="55" s="1"/>
  <c r="G10" i="55"/>
  <c r="K90" i="81"/>
  <c r="Z90" i="81" s="1"/>
  <c r="Y90" i="81"/>
  <c r="Y104" i="81"/>
  <c r="J118" i="81"/>
  <c r="K104" i="81"/>
  <c r="Y41" i="81"/>
  <c r="K41" i="81"/>
  <c r="Z41" i="81" s="1"/>
  <c r="G18" i="44"/>
  <c r="Y17" i="81"/>
  <c r="K17" i="81"/>
  <c r="Z17" i="81" s="1"/>
  <c r="K72" i="81"/>
  <c r="Z72" i="81" s="1"/>
  <c r="Y72" i="81"/>
  <c r="Y87" i="81"/>
  <c r="P87" i="81"/>
  <c r="Z87" i="81" s="1"/>
  <c r="AI62" i="105"/>
  <c r="U67" i="105"/>
  <c r="AI47" i="105"/>
  <c r="L64" i="105"/>
  <c r="AI64" i="105"/>
  <c r="F12" i="97"/>
  <c r="N8" i="55"/>
  <c r="L8" i="55"/>
  <c r="K71" i="81"/>
  <c r="Z71" i="81" s="1"/>
  <c r="Y71" i="81"/>
  <c r="K107" i="81"/>
  <c r="Z107" i="81" s="1"/>
  <c r="Y107" i="81"/>
  <c r="K57" i="81"/>
  <c r="Z57" i="81" s="1"/>
  <c r="Y57" i="81"/>
  <c r="K38" i="81"/>
  <c r="Z38" i="81" s="1"/>
  <c r="Y38" i="81"/>
  <c r="Y95" i="81"/>
  <c r="K95" i="81"/>
  <c r="Z95" i="81" s="1"/>
  <c r="G45" i="44"/>
  <c r="K94" i="81"/>
  <c r="Z94" i="81" s="1"/>
  <c r="Y94" i="81"/>
  <c r="Y82" i="81"/>
  <c r="K82" i="81"/>
  <c r="Z82" i="81" s="1"/>
  <c r="I5" i="44"/>
  <c r="H4" i="44"/>
  <c r="H3" i="44"/>
  <c r="AI32" i="105"/>
  <c r="AI21" i="105"/>
  <c r="Q69" i="92"/>
  <c r="L9" i="55"/>
  <c r="AE17" i="65"/>
  <c r="AG17" i="65" s="1"/>
  <c r="AD17" i="65"/>
  <c r="L17" i="65"/>
  <c r="AF17" i="65" s="1"/>
  <c r="AE66" i="105"/>
  <c r="AI26" i="105"/>
  <c r="H6" i="101"/>
  <c r="H10" i="101" s="1"/>
  <c r="G10" i="101"/>
  <c r="G27" i="101" s="1"/>
  <c r="K12" i="81"/>
  <c r="Z12" i="81" s="1"/>
  <c r="Y12" i="81"/>
  <c r="K56" i="81"/>
  <c r="Z56" i="81" s="1"/>
  <c r="Y56" i="81"/>
  <c r="K52" i="81"/>
  <c r="Z52" i="81" s="1"/>
  <c r="Y52" i="81"/>
  <c r="Y60" i="81"/>
  <c r="K60" i="81"/>
  <c r="Z60" i="81" s="1"/>
  <c r="K10" i="81"/>
  <c r="Y10" i="81"/>
  <c r="J116" i="81"/>
  <c r="X113" i="81"/>
  <c r="X116" i="81"/>
  <c r="AI60" i="105"/>
  <c r="AI43" i="105"/>
  <c r="C72" i="93"/>
  <c r="A73" i="93"/>
  <c r="D73" i="93"/>
  <c r="Y78" i="81"/>
  <c r="K78" i="81"/>
  <c r="Z78" i="81" s="1"/>
  <c r="K80" i="81"/>
  <c r="Z80" i="81" s="1"/>
  <c r="Y80" i="81"/>
  <c r="AI36" i="105"/>
  <c r="AI49" i="105"/>
  <c r="P89" i="81"/>
  <c r="Z89" i="81" s="1"/>
  <c r="Y89" i="81"/>
  <c r="AB35" i="65"/>
  <c r="AD33" i="65"/>
  <c r="L33" i="65"/>
  <c r="AF33" i="65" s="1"/>
  <c r="AE33" i="65"/>
  <c r="AG33" i="65" s="1"/>
  <c r="K22" i="81"/>
  <c r="Z22" i="81" s="1"/>
  <c r="Y22" i="81"/>
  <c r="K54" i="81"/>
  <c r="Z54" i="81" s="1"/>
  <c r="Y54" i="81"/>
  <c r="Z8" i="81"/>
  <c r="Y76" i="81"/>
  <c r="K76" i="81"/>
  <c r="Z76" i="81" s="1"/>
  <c r="L12" i="65"/>
  <c r="AD12" i="65"/>
  <c r="AE12" i="65"/>
  <c r="K35" i="65"/>
  <c r="AI12" i="105"/>
  <c r="M24" i="99"/>
  <c r="Q4" i="99" s="1"/>
  <c r="R4" i="99" s="1"/>
  <c r="Q3" i="99"/>
  <c r="K37" i="81"/>
  <c r="Z37" i="81" s="1"/>
  <c r="Y37" i="81"/>
  <c r="P108" i="81"/>
  <c r="Z108" i="81" s="1"/>
  <c r="Y108" i="81"/>
  <c r="AI19" i="105"/>
  <c r="U66" i="105"/>
  <c r="AI41" i="105"/>
  <c r="AE67" i="105"/>
  <c r="AI42" i="105"/>
  <c r="U69" i="105"/>
  <c r="Y93" i="81"/>
  <c r="K93" i="81"/>
  <c r="Z93" i="81" s="1"/>
  <c r="K32" i="81"/>
  <c r="Z32" i="81" s="1"/>
  <c r="Y32" i="81"/>
  <c r="O111" i="81"/>
  <c r="O118" i="81" s="1"/>
  <c r="N118" i="81"/>
  <c r="Z50" i="81"/>
  <c r="Y86" i="81"/>
  <c r="K86" i="81"/>
  <c r="Z86" i="81" s="1"/>
  <c r="Y18" i="81"/>
  <c r="K18" i="81"/>
  <c r="Z18" i="81" s="1"/>
  <c r="P12" i="65"/>
  <c r="P35" i="65" s="1"/>
  <c r="O35" i="65"/>
  <c r="P49" i="87"/>
  <c r="Q48" i="87"/>
  <c r="T35" i="65"/>
  <c r="O7" i="44"/>
  <c r="AI18" i="105"/>
  <c r="AJ82" i="105" s="1"/>
  <c r="AI20" i="105"/>
  <c r="AI23" i="105"/>
  <c r="AI58" i="105"/>
  <c r="P10" i="81"/>
  <c r="O113" i="81"/>
  <c r="O116" i="81"/>
  <c r="Y21" i="81"/>
  <c r="P21" i="81"/>
  <c r="Z21" i="81" s="1"/>
  <c r="AI45" i="105"/>
  <c r="AI54" i="105"/>
  <c r="AI17" i="105"/>
  <c r="AI30" i="105"/>
  <c r="AI59" i="105"/>
  <c r="AI39" i="105"/>
  <c r="AI31" i="105"/>
  <c r="AI38" i="105"/>
  <c r="U116" i="81"/>
  <c r="P97" i="81"/>
  <c r="Z97" i="81" s="1"/>
  <c r="Y97" i="81"/>
  <c r="K59" i="81"/>
  <c r="J117" i="81"/>
  <c r="Y59" i="81"/>
  <c r="K13" i="81"/>
  <c r="Z13" i="81" s="1"/>
  <c r="Y13" i="81"/>
  <c r="F2" i="81" s="1"/>
  <c r="Y50" i="81"/>
  <c r="K16" i="81"/>
  <c r="Z16" i="81" s="1"/>
  <c r="Y16" i="81"/>
  <c r="X35" i="65"/>
  <c r="BK14" i="87"/>
  <c r="BK7" i="87"/>
  <c r="BK22" i="87"/>
  <c r="BK30" i="87"/>
  <c r="BK38" i="87"/>
  <c r="BK31" i="87"/>
  <c r="AH4" i="90" l="1"/>
  <c r="S12" i="108"/>
  <c r="AX12" i="108"/>
  <c r="AF12" i="108"/>
  <c r="G12" i="108"/>
  <c r="AH12" i="108"/>
  <c r="BH12" i="108"/>
  <c r="L12" i="108"/>
  <c r="U12" i="108"/>
  <c r="X12" i="108"/>
  <c r="T12" i="108"/>
  <c r="AC12" i="108"/>
  <c r="AN12" i="108"/>
  <c r="BK12" i="108"/>
  <c r="BE12" i="108"/>
  <c r="AI12" i="108"/>
  <c r="O12" i="108"/>
  <c r="H12" i="108"/>
  <c r="W12" i="108"/>
  <c r="AA12" i="108"/>
  <c r="BA12" i="108"/>
  <c r="AP12" i="108"/>
  <c r="N12" i="108"/>
  <c r="AT12" i="108"/>
  <c r="AQ12" i="108"/>
  <c r="R12" i="108"/>
  <c r="AJ12" i="108"/>
  <c r="BL12" i="108"/>
  <c r="K12" i="108"/>
  <c r="AZ12" i="108"/>
  <c r="AK12" i="108"/>
  <c r="BB12" i="108"/>
  <c r="BD12" i="108"/>
  <c r="V12" i="108"/>
  <c r="AV12" i="108"/>
  <c r="J12" i="108"/>
  <c r="I12" i="108"/>
  <c r="BJ12" i="108"/>
  <c r="BN12" i="108"/>
  <c r="AD12" i="108"/>
  <c r="AU12" i="108"/>
  <c r="M12" i="108"/>
  <c r="AE12" i="108"/>
  <c r="AM12" i="108"/>
  <c r="AW12" i="108"/>
  <c r="P12" i="108"/>
  <c r="AG12" i="108"/>
  <c r="Y12" i="108"/>
  <c r="BI12" i="108"/>
  <c r="AL12" i="108"/>
  <c r="AS12" i="108"/>
  <c r="Z12" i="108"/>
  <c r="AY12" i="108"/>
  <c r="BG12" i="108"/>
  <c r="BF12" i="108"/>
  <c r="AB12" i="108"/>
  <c r="AO12" i="108"/>
  <c r="Q12" i="108"/>
  <c r="AR12" i="108"/>
  <c r="Z5" i="108"/>
  <c r="Y3" i="108"/>
  <c r="Y4" i="108"/>
  <c r="Z6" i="108"/>
  <c r="Y2" i="108"/>
  <c r="H2" i="44"/>
  <c r="I6" i="44"/>
  <c r="C33" i="44"/>
  <c r="G19" i="44"/>
  <c r="F20" i="44"/>
  <c r="AI69" i="105"/>
  <c r="P4" i="90"/>
  <c r="AB4" i="90"/>
  <c r="H27" i="101"/>
  <c r="K68" i="105"/>
  <c r="K72" i="105" s="1"/>
  <c r="K71" i="105"/>
  <c r="Z68" i="105"/>
  <c r="Z72" i="105" s="1"/>
  <c r="P68" i="105"/>
  <c r="P72" i="105" s="1"/>
  <c r="BL31" i="87"/>
  <c r="BL14" i="87"/>
  <c r="BL22" i="87"/>
  <c r="BL7" i="87"/>
  <c r="BL38" i="87"/>
  <c r="BL30" i="87"/>
  <c r="P7" i="44"/>
  <c r="R5" i="99"/>
  <c r="S4" i="99"/>
  <c r="K116" i="81"/>
  <c r="Y116" i="81"/>
  <c r="F16" i="97"/>
  <c r="G16" i="97"/>
  <c r="E16" i="97"/>
  <c r="D16" i="97"/>
  <c r="C16" i="97"/>
  <c r="AJ64" i="105"/>
  <c r="H18" i="44"/>
  <c r="Z59" i="81"/>
  <c r="Z117" i="81" s="1"/>
  <c r="K117" i="81"/>
  <c r="K11" i="90"/>
  <c r="K59" i="90" s="1"/>
  <c r="R48" i="87"/>
  <c r="Q49" i="87"/>
  <c r="AG12" i="65"/>
  <c r="AG35" i="65" s="1"/>
  <c r="AE35" i="65"/>
  <c r="L10" i="55"/>
  <c r="N10" i="55"/>
  <c r="AI67" i="105"/>
  <c r="P116" i="81"/>
  <c r="AI66" i="105"/>
  <c r="AF12" i="65"/>
  <c r="L35" i="65"/>
  <c r="U10" i="55"/>
  <c r="V9" i="55" s="1"/>
  <c r="V8" i="55"/>
  <c r="U71" i="105"/>
  <c r="U68" i="105"/>
  <c r="U72" i="105" s="1"/>
  <c r="Z104" i="81"/>
  <c r="K118" i="81"/>
  <c r="A72" i="93"/>
  <c r="C71" i="93"/>
  <c r="D72" i="93"/>
  <c r="Z10" i="81"/>
  <c r="Z116" i="81" s="1"/>
  <c r="AE71" i="105"/>
  <c r="AE68" i="105"/>
  <c r="AE72" i="105" s="1"/>
  <c r="I4" i="44"/>
  <c r="I3" i="44"/>
  <c r="J5" i="44"/>
  <c r="P118" i="81"/>
  <c r="Y117" i="81"/>
  <c r="F3" i="81"/>
  <c r="P111" i="81"/>
  <c r="Z111" i="81" s="1"/>
  <c r="Y111" i="81"/>
  <c r="F4" i="81" s="1"/>
  <c r="Q5" i="99"/>
  <c r="K113" i="81"/>
  <c r="AA5" i="108" l="1"/>
  <c r="Z4" i="108"/>
  <c r="Z3" i="108"/>
  <c r="Z2" i="108"/>
  <c r="AA6" i="108"/>
  <c r="G20" i="44"/>
  <c r="H19" i="44"/>
  <c r="J6" i="44"/>
  <c r="I2" i="44"/>
  <c r="K5" i="44"/>
  <c r="J3" i="44"/>
  <c r="J4" i="44"/>
  <c r="Y113" i="81"/>
  <c r="Z118" i="81"/>
  <c r="Z113" i="81"/>
  <c r="Y118" i="81"/>
  <c r="I18" i="44"/>
  <c r="Q7" i="44"/>
  <c r="D71" i="93"/>
  <c r="A71" i="93"/>
  <c r="C70" i="93"/>
  <c r="AF35" i="65"/>
  <c r="H2" i="65"/>
  <c r="S48" i="87"/>
  <c r="R49" i="87"/>
  <c r="S5" i="99"/>
  <c r="T4" i="99"/>
  <c r="AI74" i="105"/>
  <c r="AI68" i="105"/>
  <c r="AI71" i="105"/>
  <c r="G4" i="105"/>
  <c r="P113" i="81"/>
  <c r="G52" i="105" l="1"/>
  <c r="Q52" i="105" s="1"/>
  <c r="G56" i="105"/>
  <c r="G53" i="105"/>
  <c r="AL53" i="105" s="1"/>
  <c r="G51" i="105"/>
  <c r="G13" i="105"/>
  <c r="AF13" i="105" s="1"/>
  <c r="G29" i="105"/>
  <c r="G22" i="105"/>
  <c r="G37" i="105"/>
  <c r="E29" i="69" s="1"/>
  <c r="G18" i="105"/>
  <c r="E12" i="69" s="1"/>
  <c r="G14" i="105"/>
  <c r="E8" i="69" s="1"/>
  <c r="G15" i="105"/>
  <c r="E9" i="69" s="1"/>
  <c r="AA4" i="108"/>
  <c r="AB5" i="108"/>
  <c r="AA3" i="108"/>
  <c r="AA2" i="108"/>
  <c r="AB6" i="108"/>
  <c r="J2" i="44"/>
  <c r="K6" i="44"/>
  <c r="I19" i="44"/>
  <c r="H20" i="44"/>
  <c r="T5" i="99"/>
  <c r="V5" i="99" s="1"/>
  <c r="U4" i="99"/>
  <c r="U5" i="99" s="1"/>
  <c r="C69" i="93"/>
  <c r="A70" i="93"/>
  <c r="D70" i="93"/>
  <c r="R7" i="44"/>
  <c r="J18" i="44"/>
  <c r="S49" i="87"/>
  <c r="T48" i="87"/>
  <c r="AJ83" i="105"/>
  <c r="AI72" i="105"/>
  <c r="AJ80" i="105"/>
  <c r="K3" i="44"/>
  <c r="L5" i="44"/>
  <c r="K4" i="44"/>
  <c r="G41" i="105"/>
  <c r="E33" i="69" s="1"/>
  <c r="G42" i="105"/>
  <c r="E34" i="69" s="1"/>
  <c r="G34" i="105"/>
  <c r="E26" i="69" s="1"/>
  <c r="G35" i="105"/>
  <c r="E27" i="69" s="1"/>
  <c r="G25" i="105"/>
  <c r="E18" i="69" s="1"/>
  <c r="G26" i="105"/>
  <c r="E19" i="69" s="1"/>
  <c r="G20" i="105"/>
  <c r="E14" i="69" s="1"/>
  <c r="G60" i="105"/>
  <c r="E45" i="69" s="1"/>
  <c r="G19" i="105"/>
  <c r="E13" i="69" s="1"/>
  <c r="AI77" i="105"/>
  <c r="AI76" i="105" s="1"/>
  <c r="G32" i="105"/>
  <c r="E24" i="69" s="1"/>
  <c r="G16" i="105"/>
  <c r="E10" i="69" s="1"/>
  <c r="G27" i="105"/>
  <c r="E20" i="69" s="1"/>
  <c r="G40" i="105"/>
  <c r="E32" i="69" s="1"/>
  <c r="G38" i="105"/>
  <c r="E30" i="69" s="1"/>
  <c r="G33" i="105"/>
  <c r="E25" i="69" s="1"/>
  <c r="G28" i="105"/>
  <c r="E21" i="69" s="1"/>
  <c r="G21" i="105"/>
  <c r="E15" i="69" s="1"/>
  <c r="G54" i="105"/>
  <c r="E41" i="69" s="1"/>
  <c r="G46" i="105"/>
  <c r="E37" i="69" s="1"/>
  <c r="G12" i="105"/>
  <c r="E7" i="69" s="1"/>
  <c r="G61" i="105"/>
  <c r="E46" i="69" s="1"/>
  <c r="G49" i="105"/>
  <c r="E40" i="69" s="1"/>
  <c r="G48" i="105"/>
  <c r="E39" i="69" s="1"/>
  <c r="G62" i="105"/>
  <c r="E47" i="69" s="1"/>
  <c r="G45" i="105"/>
  <c r="E36" i="69" s="1"/>
  <c r="G23" i="105"/>
  <c r="E17" i="69" s="1"/>
  <c r="G17" i="105"/>
  <c r="E11" i="69" s="1"/>
  <c r="G47" i="105"/>
  <c r="E38" i="69" s="1"/>
  <c r="G39" i="105"/>
  <c r="E31" i="69" s="1"/>
  <c r="G59" i="105"/>
  <c r="E44" i="69" s="1"/>
  <c r="G30" i="105"/>
  <c r="E22" i="69" s="1"/>
  <c r="G58" i="105"/>
  <c r="E43" i="69" s="1"/>
  <c r="G36" i="105"/>
  <c r="E28" i="69" s="1"/>
  <c r="G43" i="105"/>
  <c r="E35" i="69" s="1"/>
  <c r="G31" i="105"/>
  <c r="E23" i="69" s="1"/>
  <c r="AF52" i="105" l="1"/>
  <c r="L52" i="105"/>
  <c r="AA52" i="105"/>
  <c r="AL52" i="105"/>
  <c r="V52" i="105"/>
  <c r="AL56" i="105"/>
  <c r="AA56" i="105"/>
  <c r="Q56" i="105"/>
  <c r="V56" i="105"/>
  <c r="AF56" i="105"/>
  <c r="L56" i="105"/>
  <c r="L53" i="105"/>
  <c r="AA53" i="105"/>
  <c r="Q53" i="105"/>
  <c r="AF53" i="105"/>
  <c r="V53" i="105"/>
  <c r="AL51" i="105"/>
  <c r="L51" i="105"/>
  <c r="AA51" i="105"/>
  <c r="AF51" i="105"/>
  <c r="Q51" i="105"/>
  <c r="V51" i="105"/>
  <c r="AA13" i="105"/>
  <c r="L13" i="105"/>
  <c r="V13" i="105"/>
  <c r="Q13" i="105"/>
  <c r="AL13" i="105"/>
  <c r="AL29" i="105"/>
  <c r="V29" i="105"/>
  <c r="L29" i="105"/>
  <c r="Q29" i="105"/>
  <c r="AA29" i="105"/>
  <c r="AF29" i="105"/>
  <c r="Q28" i="69"/>
  <c r="I28" i="69"/>
  <c r="M28" i="69"/>
  <c r="Y28" i="69"/>
  <c r="U28" i="69"/>
  <c r="M36" i="69"/>
  <c r="Q36" i="69"/>
  <c r="I36" i="69"/>
  <c r="Y36" i="69"/>
  <c r="U36" i="69"/>
  <c r="Q34" i="69"/>
  <c r="M34" i="69"/>
  <c r="I34" i="69"/>
  <c r="U34" i="69"/>
  <c r="Y34" i="69"/>
  <c r="U43" i="69"/>
  <c r="M43" i="69"/>
  <c r="I43" i="69"/>
  <c r="Q43" i="69"/>
  <c r="Y43" i="69"/>
  <c r="M47" i="69"/>
  <c r="I47" i="69"/>
  <c r="Q47" i="69"/>
  <c r="Y47" i="69"/>
  <c r="U47" i="69"/>
  <c r="U21" i="69"/>
  <c r="M21" i="69"/>
  <c r="Y21" i="69"/>
  <c r="I21" i="69"/>
  <c r="Q21" i="69"/>
  <c r="M33" i="69"/>
  <c r="U33" i="69"/>
  <c r="Y33" i="69"/>
  <c r="I33" i="69"/>
  <c r="Q33" i="69"/>
  <c r="Q35" i="69"/>
  <c r="Y35" i="69"/>
  <c r="M35" i="69"/>
  <c r="I35" i="69"/>
  <c r="U35" i="69"/>
  <c r="Q44" i="69"/>
  <c r="U44" i="69"/>
  <c r="M44" i="69"/>
  <c r="I44" i="69"/>
  <c r="Y44" i="69"/>
  <c r="Y17" i="69"/>
  <c r="U17" i="69"/>
  <c r="M17" i="69"/>
  <c r="I17" i="69"/>
  <c r="Q17" i="69"/>
  <c r="Q40" i="69"/>
  <c r="Y40" i="69"/>
  <c r="I40" i="69"/>
  <c r="U40" i="69"/>
  <c r="M40" i="69"/>
  <c r="I41" i="69"/>
  <c r="U41" i="69"/>
  <c r="M41" i="69"/>
  <c r="Q41" i="69"/>
  <c r="Y41" i="69"/>
  <c r="U30" i="69"/>
  <c r="Y30" i="69"/>
  <c r="I30" i="69"/>
  <c r="Q30" i="69"/>
  <c r="M30" i="69"/>
  <c r="U24" i="69"/>
  <c r="I24" i="69"/>
  <c r="Q24" i="69"/>
  <c r="Y24" i="69"/>
  <c r="M24" i="69"/>
  <c r="I26" i="69"/>
  <c r="Y26" i="69"/>
  <c r="Q26" i="69"/>
  <c r="U26" i="69"/>
  <c r="M26" i="69"/>
  <c r="M31" i="69"/>
  <c r="I31" i="69"/>
  <c r="Q31" i="69"/>
  <c r="Y31" i="69"/>
  <c r="U31" i="69"/>
  <c r="M46" i="69"/>
  <c r="I46" i="69"/>
  <c r="Q46" i="69"/>
  <c r="Y46" i="69"/>
  <c r="U46" i="69"/>
  <c r="U32" i="69"/>
  <c r="M32" i="69"/>
  <c r="Q32" i="69"/>
  <c r="Y32" i="69"/>
  <c r="I32" i="69"/>
  <c r="Y19" i="69"/>
  <c r="U19" i="69"/>
  <c r="I19" i="69"/>
  <c r="Q19" i="69"/>
  <c r="M19" i="69"/>
  <c r="I38" i="69"/>
  <c r="M38" i="69"/>
  <c r="U38" i="69"/>
  <c r="Y38" i="69"/>
  <c r="Q38" i="69"/>
  <c r="U20" i="69"/>
  <c r="Q20" i="69"/>
  <c r="Y20" i="69"/>
  <c r="M20" i="69"/>
  <c r="I20" i="69"/>
  <c r="U18" i="69"/>
  <c r="I18" i="69"/>
  <c r="M18" i="69"/>
  <c r="Y18" i="69"/>
  <c r="Q18" i="69"/>
  <c r="U29" i="69"/>
  <c r="I29" i="69"/>
  <c r="Y29" i="69"/>
  <c r="M29" i="69"/>
  <c r="Q29" i="69"/>
  <c r="I23" i="69"/>
  <c r="M23" i="69"/>
  <c r="Y23" i="69"/>
  <c r="Q23" i="69"/>
  <c r="U23" i="69"/>
  <c r="I22" i="69"/>
  <c r="Y22" i="69"/>
  <c r="Q22" i="69"/>
  <c r="U22" i="69"/>
  <c r="M22" i="69"/>
  <c r="Y39" i="69"/>
  <c r="M39" i="69"/>
  <c r="Q39" i="69"/>
  <c r="I39" i="69"/>
  <c r="U39" i="69"/>
  <c r="M37" i="69"/>
  <c r="U37" i="69"/>
  <c r="Q37" i="69"/>
  <c r="I37" i="69"/>
  <c r="Y37" i="69"/>
  <c r="I25" i="69"/>
  <c r="M25" i="69"/>
  <c r="U25" i="69"/>
  <c r="Q25" i="69"/>
  <c r="Y25" i="69"/>
  <c r="U45" i="69"/>
  <c r="M45" i="69"/>
  <c r="I45" i="69"/>
  <c r="Q45" i="69"/>
  <c r="Y45" i="69"/>
  <c r="Y27" i="69"/>
  <c r="M27" i="69"/>
  <c r="U27" i="69"/>
  <c r="I27" i="69"/>
  <c r="Q27" i="69"/>
  <c r="AA22" i="105"/>
  <c r="E16" i="69"/>
  <c r="V22" i="105"/>
  <c r="L22" i="105"/>
  <c r="AL22" i="105"/>
  <c r="C17" i="108" s="1"/>
  <c r="AF22" i="105"/>
  <c r="Q22" i="105"/>
  <c r="AA37" i="105"/>
  <c r="AL37" i="105"/>
  <c r="V37" i="105"/>
  <c r="AF37" i="105"/>
  <c r="L37" i="105"/>
  <c r="Q37" i="105"/>
  <c r="M14" i="69"/>
  <c r="U14" i="69"/>
  <c r="I14" i="69"/>
  <c r="Q14" i="69"/>
  <c r="Y14" i="69"/>
  <c r="Q12" i="69"/>
  <c r="M12" i="69"/>
  <c r="I12" i="69"/>
  <c r="Y12" i="69"/>
  <c r="U12" i="69"/>
  <c r="U8" i="69"/>
  <c r="Q8" i="69"/>
  <c r="M8" i="69"/>
  <c r="Y8" i="69"/>
  <c r="I8" i="69"/>
  <c r="Y11" i="69"/>
  <c r="I11" i="69"/>
  <c r="U11" i="69"/>
  <c r="Q11" i="69"/>
  <c r="M11" i="69"/>
  <c r="U10" i="69"/>
  <c r="Y10" i="69"/>
  <c r="Q10" i="69"/>
  <c r="M10" i="69"/>
  <c r="I10" i="69"/>
  <c r="Q15" i="69"/>
  <c r="M15" i="69"/>
  <c r="I15" i="69"/>
  <c r="U15" i="69"/>
  <c r="Y15" i="69"/>
  <c r="M13" i="69"/>
  <c r="U13" i="69"/>
  <c r="Q13" i="69"/>
  <c r="I13" i="69"/>
  <c r="Y13" i="69"/>
  <c r="Y9" i="69"/>
  <c r="U9" i="69"/>
  <c r="Q9" i="69"/>
  <c r="I9" i="69"/>
  <c r="M9" i="69"/>
  <c r="Y7" i="69"/>
  <c r="U7" i="69"/>
  <c r="Q7" i="69"/>
  <c r="M7" i="69"/>
  <c r="I7" i="69"/>
  <c r="AF18" i="105"/>
  <c r="V18" i="105"/>
  <c r="L18" i="105"/>
  <c r="Q18" i="105"/>
  <c r="AA18" i="105"/>
  <c r="AL18" i="105"/>
  <c r="C13" i="108" s="1"/>
  <c r="V15" i="105"/>
  <c r="AL15" i="105"/>
  <c r="C10" i="108" s="1"/>
  <c r="AF15" i="105"/>
  <c r="AA15" i="105"/>
  <c r="Q15" i="105"/>
  <c r="L15" i="105"/>
  <c r="V14" i="105"/>
  <c r="AL14" i="105"/>
  <c r="C9" i="108" s="1"/>
  <c r="AA14" i="105"/>
  <c r="Q14" i="105"/>
  <c r="L14" i="105"/>
  <c r="AF14" i="105"/>
  <c r="AB3" i="108"/>
  <c r="AC5" i="108"/>
  <c r="AB4" i="108"/>
  <c r="AB2" i="108"/>
  <c r="AC6" i="108"/>
  <c r="I20" i="44"/>
  <c r="J19" i="44"/>
  <c r="K2" i="44"/>
  <c r="L6" i="44"/>
  <c r="AL36" i="105"/>
  <c r="AF36" i="105"/>
  <c r="V36" i="105"/>
  <c r="Q36" i="105"/>
  <c r="AA36" i="105"/>
  <c r="L36" i="105"/>
  <c r="AL61" i="105"/>
  <c r="AF61" i="105"/>
  <c r="Q61" i="105"/>
  <c r="V61" i="105"/>
  <c r="L61" i="105"/>
  <c r="AA61" i="105"/>
  <c r="AL33" i="105"/>
  <c r="Q33" i="105"/>
  <c r="L33" i="105"/>
  <c r="AF33" i="105"/>
  <c r="V33" i="105"/>
  <c r="AA33" i="105"/>
  <c r="AL19" i="105"/>
  <c r="C14" i="108" s="1"/>
  <c r="AA19" i="105"/>
  <c r="V19" i="105"/>
  <c r="AF19" i="105"/>
  <c r="L19" i="105"/>
  <c r="Q19" i="105"/>
  <c r="AL34" i="105"/>
  <c r="L34" i="105"/>
  <c r="Q34" i="105"/>
  <c r="V34" i="105"/>
  <c r="AA34" i="105"/>
  <c r="AF34" i="105"/>
  <c r="A69" i="93"/>
  <c r="D69" i="93"/>
  <c r="C68" i="93"/>
  <c r="AL47" i="105"/>
  <c r="AF47" i="105"/>
  <c r="AA47" i="105"/>
  <c r="Q47" i="105"/>
  <c r="L47" i="105"/>
  <c r="V47" i="105"/>
  <c r="AL12" i="105"/>
  <c r="C8" i="108" s="1"/>
  <c r="V12" i="105"/>
  <c r="V69" i="105" s="1"/>
  <c r="Q12" i="105"/>
  <c r="L12" i="105"/>
  <c r="AA12" i="105"/>
  <c r="AF12" i="105"/>
  <c r="AL38" i="105"/>
  <c r="AA38" i="105"/>
  <c r="V38" i="105"/>
  <c r="AF38" i="105"/>
  <c r="L38" i="105"/>
  <c r="Q38" i="105"/>
  <c r="AL42" i="105"/>
  <c r="Q42" i="105"/>
  <c r="L42" i="105"/>
  <c r="AF42" i="105"/>
  <c r="AA42" i="105"/>
  <c r="V42" i="105"/>
  <c r="AL17" i="105"/>
  <c r="C12" i="108" s="1"/>
  <c r="AA17" i="105"/>
  <c r="AF17" i="105"/>
  <c r="L17" i="105"/>
  <c r="Q17" i="105"/>
  <c r="V17" i="105"/>
  <c r="AL46" i="105"/>
  <c r="AF46" i="105"/>
  <c r="V46" i="105"/>
  <c r="Q46" i="105"/>
  <c r="AA46" i="105"/>
  <c r="L46" i="105"/>
  <c r="AL40" i="105"/>
  <c r="L40" i="105"/>
  <c r="Q40" i="105"/>
  <c r="AA40" i="105"/>
  <c r="V40" i="105"/>
  <c r="AF40" i="105"/>
  <c r="AL41" i="105"/>
  <c r="AF41" i="105"/>
  <c r="V41" i="105"/>
  <c r="Q41" i="105"/>
  <c r="L41" i="105"/>
  <c r="AA41" i="105"/>
  <c r="AL30" i="105"/>
  <c r="C23" i="108" s="1"/>
  <c r="AF30" i="105"/>
  <c r="AA30" i="105"/>
  <c r="V30" i="105"/>
  <c r="Q30" i="105"/>
  <c r="L30" i="105"/>
  <c r="AL23" i="105"/>
  <c r="C18" i="108" s="1"/>
  <c r="AF23" i="105"/>
  <c r="AA23" i="105"/>
  <c r="L23" i="105"/>
  <c r="Q23" i="105"/>
  <c r="V23" i="105"/>
  <c r="AL27" i="105"/>
  <c r="C21" i="108" s="1"/>
  <c r="L27" i="105"/>
  <c r="Q27" i="105"/>
  <c r="AA27" i="105"/>
  <c r="AF27" i="105"/>
  <c r="V27" i="105"/>
  <c r="AL60" i="105"/>
  <c r="L60" i="105"/>
  <c r="AF60" i="105"/>
  <c r="V60" i="105"/>
  <c r="AA60" i="105"/>
  <c r="Q60" i="105"/>
  <c r="U48" i="87"/>
  <c r="T49" i="87"/>
  <c r="S7" i="44"/>
  <c r="AL58" i="105"/>
  <c r="AA58" i="105"/>
  <c r="Q58" i="105"/>
  <c r="L58" i="105"/>
  <c r="V58" i="105"/>
  <c r="AF58" i="105"/>
  <c r="AL45" i="105"/>
  <c r="Q45" i="105"/>
  <c r="V45" i="105"/>
  <c r="AA45" i="105"/>
  <c r="L45" i="105"/>
  <c r="AF45" i="105"/>
  <c r="AL54" i="105"/>
  <c r="AA54" i="105"/>
  <c r="AF54" i="105"/>
  <c r="Q54" i="105"/>
  <c r="V54" i="105"/>
  <c r="L54" i="105"/>
  <c r="AL16" i="105"/>
  <c r="C11" i="108" s="1"/>
  <c r="Q16" i="105"/>
  <c r="AF16" i="105"/>
  <c r="L16" i="105"/>
  <c r="V16" i="105"/>
  <c r="AA16" i="105"/>
  <c r="AL20" i="105"/>
  <c r="C15" i="108" s="1"/>
  <c r="Q20" i="105"/>
  <c r="V20" i="105"/>
  <c r="L20" i="105"/>
  <c r="AA20" i="105"/>
  <c r="AF20" i="105"/>
  <c r="L4" i="44"/>
  <c r="L3" i="44"/>
  <c r="M5" i="44"/>
  <c r="AL62" i="105"/>
  <c r="AF62" i="105"/>
  <c r="L62" i="105"/>
  <c r="AA62" i="105"/>
  <c r="V62" i="105"/>
  <c r="Q62" i="105"/>
  <c r="AF32" i="105"/>
  <c r="AL32" i="105"/>
  <c r="V32" i="105"/>
  <c r="Q32" i="105"/>
  <c r="L32" i="105"/>
  <c r="AA32" i="105"/>
  <c r="AL26" i="105"/>
  <c r="C20" i="108" s="1"/>
  <c r="AA26" i="105"/>
  <c r="Q26" i="105"/>
  <c r="L26" i="105"/>
  <c r="V26" i="105"/>
  <c r="AF26" i="105"/>
  <c r="K18" i="44"/>
  <c r="AF31" i="105"/>
  <c r="AL31" i="105"/>
  <c r="V31" i="105"/>
  <c r="AA31" i="105"/>
  <c r="L31" i="105"/>
  <c r="Q31" i="105"/>
  <c r="AL59" i="105"/>
  <c r="L59" i="105"/>
  <c r="AF59" i="105"/>
  <c r="AA59" i="105"/>
  <c r="V59" i="105"/>
  <c r="Q59" i="105"/>
  <c r="AA48" i="105"/>
  <c r="AL48" i="105"/>
  <c r="AF48" i="105"/>
  <c r="L48" i="105"/>
  <c r="V48" i="105"/>
  <c r="Q48" i="105"/>
  <c r="AL21" i="105"/>
  <c r="C16" i="108" s="1"/>
  <c r="V21" i="105"/>
  <c r="L21" i="105"/>
  <c r="Q21" i="105"/>
  <c r="AF21" i="105"/>
  <c r="AA21" i="105"/>
  <c r="AL25" i="105"/>
  <c r="C19" i="108" s="1"/>
  <c r="L25" i="105"/>
  <c r="AF25" i="105"/>
  <c r="Q25" i="105"/>
  <c r="AA25" i="105"/>
  <c r="V25" i="105"/>
  <c r="AL43" i="105"/>
  <c r="AF43" i="105"/>
  <c r="L43" i="105"/>
  <c r="Q43" i="105"/>
  <c r="V43" i="105"/>
  <c r="AA43" i="105"/>
  <c r="AL39" i="105"/>
  <c r="Q39" i="105"/>
  <c r="L39" i="105"/>
  <c r="AA39" i="105"/>
  <c r="AF39" i="105"/>
  <c r="V39" i="105"/>
  <c r="AL49" i="105"/>
  <c r="AF49" i="105"/>
  <c r="AA49" i="105"/>
  <c r="V49" i="105"/>
  <c r="Q49" i="105"/>
  <c r="L49" i="105"/>
  <c r="AL28" i="105"/>
  <c r="C22" i="108" s="1"/>
  <c r="AF28" i="105"/>
  <c r="AA28" i="105"/>
  <c r="L28" i="105"/>
  <c r="Q28" i="105"/>
  <c r="V28" i="105"/>
  <c r="AL35" i="105"/>
  <c r="AA35" i="105"/>
  <c r="L35" i="105"/>
  <c r="V35" i="105"/>
  <c r="AF35" i="105"/>
  <c r="Q35" i="105"/>
  <c r="AJ52" i="105" l="1"/>
  <c r="AJ56" i="105"/>
  <c r="AJ53" i="105"/>
  <c r="AJ51" i="105"/>
  <c r="AJ13" i="105"/>
  <c r="AJ29" i="105"/>
  <c r="AB29" i="69"/>
  <c r="AB44" i="69"/>
  <c r="AB36" i="69"/>
  <c r="AB25" i="69"/>
  <c r="AB23" i="69"/>
  <c r="AB38" i="69"/>
  <c r="AB41" i="69"/>
  <c r="AB45" i="69"/>
  <c r="AB18" i="69"/>
  <c r="AB26" i="69"/>
  <c r="AB24" i="69"/>
  <c r="AB30" i="69"/>
  <c r="AB35" i="69"/>
  <c r="AB37" i="69"/>
  <c r="AB32" i="69"/>
  <c r="AB46" i="69"/>
  <c r="AB33" i="69"/>
  <c r="AB47" i="69"/>
  <c r="AB43" i="69"/>
  <c r="AB28" i="69"/>
  <c r="AB27" i="69"/>
  <c r="AB39" i="69"/>
  <c r="AB22" i="69"/>
  <c r="AB20" i="69"/>
  <c r="AB19" i="69"/>
  <c r="AB31" i="69"/>
  <c r="AB40" i="69"/>
  <c r="AB17" i="69"/>
  <c r="AB21" i="69"/>
  <c r="AB34" i="69"/>
  <c r="Q16" i="69"/>
  <c r="Q53" i="69" s="1"/>
  <c r="Q55" i="69" s="1"/>
  <c r="U16" i="69"/>
  <c r="U53" i="69" s="1"/>
  <c r="U55" i="69" s="1"/>
  <c r="M16" i="69"/>
  <c r="M53" i="69" s="1"/>
  <c r="M57" i="69" s="1"/>
  <c r="I16" i="69"/>
  <c r="I53" i="69" s="1"/>
  <c r="I57" i="69" s="1"/>
  <c r="Y16" i="69"/>
  <c r="Y53" i="69" s="1"/>
  <c r="Y57" i="69" s="1"/>
  <c r="BM36" i="108"/>
  <c r="BI36" i="108"/>
  <c r="BE36" i="108"/>
  <c r="BA36" i="108"/>
  <c r="AW36" i="108"/>
  <c r="AS36" i="108"/>
  <c r="AO36" i="108"/>
  <c r="AK36" i="108"/>
  <c r="AG36" i="108"/>
  <c r="AC36" i="108"/>
  <c r="Y36" i="108"/>
  <c r="U36" i="108"/>
  <c r="Q36" i="108"/>
  <c r="M36" i="108"/>
  <c r="I36" i="108"/>
  <c r="BL36" i="108"/>
  <c r="BH36" i="108"/>
  <c r="BD36" i="108"/>
  <c r="AZ36" i="108"/>
  <c r="AV36" i="108"/>
  <c r="AR36" i="108"/>
  <c r="AN36" i="108"/>
  <c r="AJ36" i="108"/>
  <c r="AF36" i="108"/>
  <c r="AB36" i="108"/>
  <c r="X36" i="108"/>
  <c r="T36" i="108"/>
  <c r="P36" i="108"/>
  <c r="L36" i="108"/>
  <c r="H36" i="108"/>
  <c r="BJ36" i="108"/>
  <c r="BB36" i="108"/>
  <c r="AT36" i="108"/>
  <c r="AL36" i="108"/>
  <c r="AD36" i="108"/>
  <c r="V36" i="108"/>
  <c r="N36" i="108"/>
  <c r="BG36" i="108"/>
  <c r="AY36" i="108"/>
  <c r="AQ36" i="108"/>
  <c r="AI36" i="108"/>
  <c r="AA36" i="108"/>
  <c r="S36" i="108"/>
  <c r="K36" i="108"/>
  <c r="BN36" i="108"/>
  <c r="BF36" i="108"/>
  <c r="AX36" i="108"/>
  <c r="AP36" i="108"/>
  <c r="AH36" i="108"/>
  <c r="Z36" i="108"/>
  <c r="R36" i="108"/>
  <c r="J36" i="108"/>
  <c r="BK36" i="108"/>
  <c r="BC36" i="108"/>
  <c r="AU36" i="108"/>
  <c r="AM36" i="108"/>
  <c r="AE36" i="108"/>
  <c r="W36" i="108"/>
  <c r="O36" i="108"/>
  <c r="G36" i="108"/>
  <c r="BM34" i="108"/>
  <c r="BI34" i="108"/>
  <c r="BE34" i="108"/>
  <c r="BA34" i="108"/>
  <c r="AW34" i="108"/>
  <c r="AS34" i="108"/>
  <c r="AO34" i="108"/>
  <c r="AK34" i="108"/>
  <c r="AG34" i="108"/>
  <c r="AC34" i="108"/>
  <c r="Y34" i="108"/>
  <c r="U34" i="108"/>
  <c r="Q34" i="108"/>
  <c r="M34" i="108"/>
  <c r="I34" i="108"/>
  <c r="BL34" i="108"/>
  <c r="BH34" i="108"/>
  <c r="BD34" i="108"/>
  <c r="AZ34" i="108"/>
  <c r="AV34" i="108"/>
  <c r="AR34" i="108"/>
  <c r="AN34" i="108"/>
  <c r="AJ34" i="108"/>
  <c r="AF34" i="108"/>
  <c r="AB34" i="108"/>
  <c r="X34" i="108"/>
  <c r="T34" i="108"/>
  <c r="P34" i="108"/>
  <c r="L34" i="108"/>
  <c r="H34" i="108"/>
  <c r="BN34" i="108"/>
  <c r="BF34" i="108"/>
  <c r="AX34" i="108"/>
  <c r="AP34" i="108"/>
  <c r="AH34" i="108"/>
  <c r="Z34" i="108"/>
  <c r="R34" i="108"/>
  <c r="J34" i="108"/>
  <c r="BK34" i="108"/>
  <c r="BC34" i="108"/>
  <c r="AU34" i="108"/>
  <c r="AM34" i="108"/>
  <c r="AE34" i="108"/>
  <c r="W34" i="108"/>
  <c r="O34" i="108"/>
  <c r="G34" i="108"/>
  <c r="BJ34" i="108"/>
  <c r="BB34" i="108"/>
  <c r="AT34" i="108"/>
  <c r="AL34" i="108"/>
  <c r="AD34" i="108"/>
  <c r="V34" i="108"/>
  <c r="N34" i="108"/>
  <c r="BG34" i="108"/>
  <c r="AY34" i="108"/>
  <c r="AQ34" i="108"/>
  <c r="AI34" i="108"/>
  <c r="AA34" i="108"/>
  <c r="S34" i="108"/>
  <c r="K34" i="108"/>
  <c r="BK33" i="108"/>
  <c r="BG33" i="108"/>
  <c r="BC33" i="108"/>
  <c r="AY33" i="108"/>
  <c r="AU33" i="108"/>
  <c r="AQ33" i="108"/>
  <c r="AM33" i="108"/>
  <c r="AI33" i="108"/>
  <c r="AE33" i="108"/>
  <c r="AA33" i="108"/>
  <c r="W33" i="108"/>
  <c r="S33" i="108"/>
  <c r="O33" i="108"/>
  <c r="K33" i="108"/>
  <c r="G33" i="108"/>
  <c r="BN33" i="108"/>
  <c r="BJ33" i="108"/>
  <c r="BF33" i="108"/>
  <c r="BB33" i="108"/>
  <c r="AX33" i="108"/>
  <c r="AT33" i="108"/>
  <c r="AP33" i="108"/>
  <c r="AL33" i="108"/>
  <c r="AH33" i="108"/>
  <c r="AD33" i="108"/>
  <c r="Z33" i="108"/>
  <c r="V33" i="108"/>
  <c r="R33" i="108"/>
  <c r="N33" i="108"/>
  <c r="J33" i="108"/>
  <c r="BL33" i="108"/>
  <c r="BD33" i="108"/>
  <c r="AV33" i="108"/>
  <c r="AN33" i="108"/>
  <c r="AF33" i="108"/>
  <c r="X33" i="108"/>
  <c r="P33" i="108"/>
  <c r="H33" i="108"/>
  <c r="BI33" i="108"/>
  <c r="BA33" i="108"/>
  <c r="AS33" i="108"/>
  <c r="AK33" i="108"/>
  <c r="AC33" i="108"/>
  <c r="U33" i="108"/>
  <c r="M33" i="108"/>
  <c r="BH33" i="108"/>
  <c r="AZ33" i="108"/>
  <c r="AR33" i="108"/>
  <c r="AJ33" i="108"/>
  <c r="AB33" i="108"/>
  <c r="T33" i="108"/>
  <c r="L33" i="108"/>
  <c r="BM33" i="108"/>
  <c r="BE33" i="108"/>
  <c r="AW33" i="108"/>
  <c r="AO33" i="108"/>
  <c r="AG33" i="108"/>
  <c r="Y33" i="108"/>
  <c r="Q33" i="108"/>
  <c r="I33" i="108"/>
  <c r="BK41" i="108"/>
  <c r="BG41" i="108"/>
  <c r="BC41" i="108"/>
  <c r="AY41" i="108"/>
  <c r="AU41" i="108"/>
  <c r="AQ41" i="108"/>
  <c r="AM41" i="108"/>
  <c r="AI41" i="108"/>
  <c r="AE41" i="108"/>
  <c r="AA41" i="108"/>
  <c r="W41" i="108"/>
  <c r="S41" i="108"/>
  <c r="O41" i="108"/>
  <c r="K41" i="108"/>
  <c r="G41" i="108"/>
  <c r="BN41" i="108"/>
  <c r="BJ41" i="108"/>
  <c r="BF41" i="108"/>
  <c r="BB41" i="108"/>
  <c r="AX41" i="108"/>
  <c r="AT41" i="108"/>
  <c r="AP41" i="108"/>
  <c r="AL41" i="108"/>
  <c r="AH41" i="108"/>
  <c r="AD41" i="108"/>
  <c r="Z41" i="108"/>
  <c r="V41" i="108"/>
  <c r="R41" i="108"/>
  <c r="N41" i="108"/>
  <c r="J41" i="108"/>
  <c r="BM41" i="108"/>
  <c r="BI41" i="108"/>
  <c r="BE41" i="108"/>
  <c r="BA41" i="108"/>
  <c r="AW41" i="108"/>
  <c r="AS41" i="108"/>
  <c r="AO41" i="108"/>
  <c r="AK41" i="108"/>
  <c r="AG41" i="108"/>
  <c r="AC41" i="108"/>
  <c r="Y41" i="108"/>
  <c r="U41" i="108"/>
  <c r="Q41" i="108"/>
  <c r="M41" i="108"/>
  <c r="I41" i="108"/>
  <c r="BL41" i="108"/>
  <c r="BH41" i="108"/>
  <c r="BD41" i="108"/>
  <c r="AZ41" i="108"/>
  <c r="AV41" i="108"/>
  <c r="AR41" i="108"/>
  <c r="AN41" i="108"/>
  <c r="AJ41" i="108"/>
  <c r="AF41" i="108"/>
  <c r="AB41" i="108"/>
  <c r="X41" i="108"/>
  <c r="T41" i="108"/>
  <c r="P41" i="108"/>
  <c r="L41" i="108"/>
  <c r="H41" i="108"/>
  <c r="BM32" i="108"/>
  <c r="BI32" i="108"/>
  <c r="BE32" i="108"/>
  <c r="BA32" i="108"/>
  <c r="AW32" i="108"/>
  <c r="AS32" i="108"/>
  <c r="AO32" i="108"/>
  <c r="AK32" i="108"/>
  <c r="AG32" i="108"/>
  <c r="AC32" i="108"/>
  <c r="Y32" i="108"/>
  <c r="U32" i="108"/>
  <c r="Q32" i="108"/>
  <c r="M32" i="108"/>
  <c r="I32" i="108"/>
  <c r="BL32" i="108"/>
  <c r="BH32" i="108"/>
  <c r="BD32" i="108"/>
  <c r="AZ32" i="108"/>
  <c r="AV32" i="108"/>
  <c r="AR32" i="108"/>
  <c r="AN32" i="108"/>
  <c r="AJ32" i="108"/>
  <c r="AF32" i="108"/>
  <c r="AB32" i="108"/>
  <c r="X32" i="108"/>
  <c r="T32" i="108"/>
  <c r="P32" i="108"/>
  <c r="L32" i="108"/>
  <c r="H32" i="108"/>
  <c r="BJ32" i="108"/>
  <c r="BB32" i="108"/>
  <c r="AT32" i="108"/>
  <c r="AL32" i="108"/>
  <c r="AD32" i="108"/>
  <c r="V32" i="108"/>
  <c r="N32" i="108"/>
  <c r="BG32" i="108"/>
  <c r="AY32" i="108"/>
  <c r="AQ32" i="108"/>
  <c r="AI32" i="108"/>
  <c r="AA32" i="108"/>
  <c r="S32" i="108"/>
  <c r="K32" i="108"/>
  <c r="BN32" i="108"/>
  <c r="BF32" i="108"/>
  <c r="AX32" i="108"/>
  <c r="AP32" i="108"/>
  <c r="AH32" i="108"/>
  <c r="Z32" i="108"/>
  <c r="R32" i="108"/>
  <c r="J32" i="108"/>
  <c r="BK32" i="108"/>
  <c r="BC32" i="108"/>
  <c r="AU32" i="108"/>
  <c r="AM32" i="108"/>
  <c r="AE32" i="108"/>
  <c r="W32" i="108"/>
  <c r="O32" i="108"/>
  <c r="G32" i="108"/>
  <c r="BM38" i="108"/>
  <c r="BI38" i="108"/>
  <c r="BE38" i="108"/>
  <c r="BA38" i="108"/>
  <c r="AW38" i="108"/>
  <c r="AS38" i="108"/>
  <c r="AO38" i="108"/>
  <c r="AK38" i="108"/>
  <c r="AG38" i="108"/>
  <c r="AC38" i="108"/>
  <c r="Y38" i="108"/>
  <c r="U38" i="108"/>
  <c r="Q38" i="108"/>
  <c r="M38" i="108"/>
  <c r="I38" i="108"/>
  <c r="BL38" i="108"/>
  <c r="BH38" i="108"/>
  <c r="BD38" i="108"/>
  <c r="AZ38" i="108"/>
  <c r="AV38" i="108"/>
  <c r="AR38" i="108"/>
  <c r="AN38" i="108"/>
  <c r="AJ38" i="108"/>
  <c r="AF38" i="108"/>
  <c r="AB38" i="108"/>
  <c r="X38" i="108"/>
  <c r="T38" i="108"/>
  <c r="P38" i="108"/>
  <c r="L38" i="108"/>
  <c r="H38" i="108"/>
  <c r="BK38" i="108"/>
  <c r="BG38" i="108"/>
  <c r="BC38" i="108"/>
  <c r="AY38" i="108"/>
  <c r="AU38" i="108"/>
  <c r="AQ38" i="108"/>
  <c r="AM38" i="108"/>
  <c r="AI38" i="108"/>
  <c r="AE38" i="108"/>
  <c r="AA38" i="108"/>
  <c r="W38" i="108"/>
  <c r="S38" i="108"/>
  <c r="O38" i="108"/>
  <c r="K38" i="108"/>
  <c r="G38" i="108"/>
  <c r="BN38" i="108"/>
  <c r="BJ38" i="108"/>
  <c r="BF38" i="108"/>
  <c r="BB38" i="108"/>
  <c r="AX38" i="108"/>
  <c r="AT38" i="108"/>
  <c r="AP38" i="108"/>
  <c r="AL38" i="108"/>
  <c r="AH38" i="108"/>
  <c r="AD38" i="108"/>
  <c r="Z38" i="108"/>
  <c r="V38" i="108"/>
  <c r="R38" i="108"/>
  <c r="N38" i="108"/>
  <c r="J38" i="108"/>
  <c r="BK31" i="108"/>
  <c r="BG31" i="108"/>
  <c r="BN31" i="108"/>
  <c r="BJ31" i="108"/>
  <c r="BF31" i="108"/>
  <c r="BH31" i="108"/>
  <c r="BB31" i="108"/>
  <c r="AX31" i="108"/>
  <c r="AT31" i="108"/>
  <c r="AP31" i="108"/>
  <c r="AL31" i="108"/>
  <c r="AH31" i="108"/>
  <c r="AD31" i="108"/>
  <c r="Z31" i="108"/>
  <c r="V31" i="108"/>
  <c r="R31" i="108"/>
  <c r="N31" i="108"/>
  <c r="J31" i="108"/>
  <c r="BM31" i="108"/>
  <c r="BE31" i="108"/>
  <c r="BA31" i="108"/>
  <c r="AW31" i="108"/>
  <c r="AS31" i="108"/>
  <c r="AO31" i="108"/>
  <c r="AK31" i="108"/>
  <c r="AG31" i="108"/>
  <c r="AC31" i="108"/>
  <c r="Y31" i="108"/>
  <c r="U31" i="108"/>
  <c r="Q31" i="108"/>
  <c r="M31" i="108"/>
  <c r="I31" i="108"/>
  <c r="BL31" i="108"/>
  <c r="BD31" i="108"/>
  <c r="AZ31" i="108"/>
  <c r="AV31" i="108"/>
  <c r="AR31" i="108"/>
  <c r="AN31" i="108"/>
  <c r="AJ31" i="108"/>
  <c r="AF31" i="108"/>
  <c r="AB31" i="108"/>
  <c r="X31" i="108"/>
  <c r="T31" i="108"/>
  <c r="P31" i="108"/>
  <c r="L31" i="108"/>
  <c r="H31" i="108"/>
  <c r="BI31" i="108"/>
  <c r="BC31" i="108"/>
  <c r="AY31" i="108"/>
  <c r="AU31" i="108"/>
  <c r="AQ31" i="108"/>
  <c r="AM31" i="108"/>
  <c r="AI31" i="108"/>
  <c r="AE31" i="108"/>
  <c r="AA31" i="108"/>
  <c r="W31" i="108"/>
  <c r="S31" i="108"/>
  <c r="O31" i="108"/>
  <c r="K31" i="108"/>
  <c r="G31" i="108"/>
  <c r="BK37" i="108"/>
  <c r="BG37" i="108"/>
  <c r="BC37" i="108"/>
  <c r="AY37" i="108"/>
  <c r="AU37" i="108"/>
  <c r="AQ37" i="108"/>
  <c r="AM37" i="108"/>
  <c r="AI37" i="108"/>
  <c r="AE37" i="108"/>
  <c r="AA37" i="108"/>
  <c r="W37" i="108"/>
  <c r="S37" i="108"/>
  <c r="O37" i="108"/>
  <c r="BN37" i="108"/>
  <c r="BJ37" i="108"/>
  <c r="BF37" i="108"/>
  <c r="BB37" i="108"/>
  <c r="AX37" i="108"/>
  <c r="BM37" i="108"/>
  <c r="BI37" i="108"/>
  <c r="BE37" i="108"/>
  <c r="BA37" i="108"/>
  <c r="AW37" i="108"/>
  <c r="AS37" i="108"/>
  <c r="AO37" i="108"/>
  <c r="AK37" i="108"/>
  <c r="AG37" i="108"/>
  <c r="AC37" i="108"/>
  <c r="Y37" i="108"/>
  <c r="U37" i="108"/>
  <c r="Q37" i="108"/>
  <c r="M37" i="108"/>
  <c r="I37" i="108"/>
  <c r="BL37" i="108"/>
  <c r="BH37" i="108"/>
  <c r="BD37" i="108"/>
  <c r="AZ37" i="108"/>
  <c r="AV37" i="108"/>
  <c r="AR37" i="108"/>
  <c r="AN37" i="108"/>
  <c r="AJ37" i="108"/>
  <c r="AF37" i="108"/>
  <c r="AP37" i="108"/>
  <c r="AB37" i="108"/>
  <c r="T37" i="108"/>
  <c r="L37" i="108"/>
  <c r="G37" i="108"/>
  <c r="AL37" i="108"/>
  <c r="Z37" i="108"/>
  <c r="R37" i="108"/>
  <c r="K37" i="108"/>
  <c r="AT37" i="108"/>
  <c r="V37" i="108"/>
  <c r="H37" i="108"/>
  <c r="AH37" i="108"/>
  <c r="P37" i="108"/>
  <c r="AD37" i="108"/>
  <c r="N37" i="108"/>
  <c r="X37" i="108"/>
  <c r="J37" i="108"/>
  <c r="BM40" i="108"/>
  <c r="BI40" i="108"/>
  <c r="BE40" i="108"/>
  <c r="BA40" i="108"/>
  <c r="AW40" i="108"/>
  <c r="AS40" i="108"/>
  <c r="AO40" i="108"/>
  <c r="AK40" i="108"/>
  <c r="AG40" i="108"/>
  <c r="AC40" i="108"/>
  <c r="Y40" i="108"/>
  <c r="U40" i="108"/>
  <c r="Q40" i="108"/>
  <c r="M40" i="108"/>
  <c r="I40" i="108"/>
  <c r="BL40" i="108"/>
  <c r="BH40" i="108"/>
  <c r="BD40" i="108"/>
  <c r="AZ40" i="108"/>
  <c r="AV40" i="108"/>
  <c r="AR40" i="108"/>
  <c r="AN40" i="108"/>
  <c r="AJ40" i="108"/>
  <c r="AF40" i="108"/>
  <c r="AB40" i="108"/>
  <c r="X40" i="108"/>
  <c r="T40" i="108"/>
  <c r="P40" i="108"/>
  <c r="L40" i="108"/>
  <c r="H40" i="108"/>
  <c r="BK40" i="108"/>
  <c r="BG40" i="108"/>
  <c r="BC40" i="108"/>
  <c r="AY40" i="108"/>
  <c r="AU40" i="108"/>
  <c r="AQ40" i="108"/>
  <c r="AM40" i="108"/>
  <c r="AI40" i="108"/>
  <c r="AE40" i="108"/>
  <c r="AA40" i="108"/>
  <c r="W40" i="108"/>
  <c r="S40" i="108"/>
  <c r="O40" i="108"/>
  <c r="K40" i="108"/>
  <c r="G40" i="108"/>
  <c r="BN40" i="108"/>
  <c r="BJ40" i="108"/>
  <c r="BF40" i="108"/>
  <c r="BB40" i="108"/>
  <c r="AX40" i="108"/>
  <c r="AT40" i="108"/>
  <c r="AP40" i="108"/>
  <c r="AL40" i="108"/>
  <c r="AH40" i="108"/>
  <c r="AD40" i="108"/>
  <c r="Z40" i="108"/>
  <c r="V40" i="108"/>
  <c r="R40" i="108"/>
  <c r="N40" i="108"/>
  <c r="J40" i="108"/>
  <c r="BK43" i="108"/>
  <c r="BG43" i="108"/>
  <c r="BC43" i="108"/>
  <c r="AY43" i="108"/>
  <c r="AU43" i="108"/>
  <c r="AQ43" i="108"/>
  <c r="AM43" i="108"/>
  <c r="AI43" i="108"/>
  <c r="AE43" i="108"/>
  <c r="AA43" i="108"/>
  <c r="W43" i="108"/>
  <c r="S43" i="108"/>
  <c r="O43" i="108"/>
  <c r="K43" i="108"/>
  <c r="G43" i="108"/>
  <c r="BN43" i="108"/>
  <c r="BJ43" i="108"/>
  <c r="BF43" i="108"/>
  <c r="BB43" i="108"/>
  <c r="AX43" i="108"/>
  <c r="AT43" i="108"/>
  <c r="AP43" i="108"/>
  <c r="AL43" i="108"/>
  <c r="AH43" i="108"/>
  <c r="AD43" i="108"/>
  <c r="Z43" i="108"/>
  <c r="V43" i="108"/>
  <c r="R43" i="108"/>
  <c r="N43" i="108"/>
  <c r="BM43" i="108"/>
  <c r="BI43" i="108"/>
  <c r="BE43" i="108"/>
  <c r="BA43" i="108"/>
  <c r="AW43" i="108"/>
  <c r="AS43" i="108"/>
  <c r="AO43" i="108"/>
  <c r="AK43" i="108"/>
  <c r="AG43" i="108"/>
  <c r="AC43" i="108"/>
  <c r="Y43" i="108"/>
  <c r="U43" i="108"/>
  <c r="Q43" i="108"/>
  <c r="M43" i="108"/>
  <c r="BL43" i="108"/>
  <c r="BH43" i="108"/>
  <c r="BD43" i="108"/>
  <c r="AZ43" i="108"/>
  <c r="AV43" i="108"/>
  <c r="AR43" i="108"/>
  <c r="AN43" i="108"/>
  <c r="AJ43" i="108"/>
  <c r="AF43" i="108"/>
  <c r="AB43" i="108"/>
  <c r="X43" i="108"/>
  <c r="T43" i="108"/>
  <c r="P43" i="108"/>
  <c r="L43" i="108"/>
  <c r="H43" i="108"/>
  <c r="J43" i="108"/>
  <c r="I43" i="108"/>
  <c r="BM42" i="108"/>
  <c r="BI42" i="108"/>
  <c r="BE42" i="108"/>
  <c r="BA42" i="108"/>
  <c r="AW42" i="108"/>
  <c r="AS42" i="108"/>
  <c r="AO42" i="108"/>
  <c r="AK42" i="108"/>
  <c r="AG42" i="108"/>
  <c r="BN42" i="108"/>
  <c r="BH42" i="108"/>
  <c r="BC42" i="108"/>
  <c r="AX42" i="108"/>
  <c r="AR42" i="108"/>
  <c r="AM42" i="108"/>
  <c r="AH42" i="108"/>
  <c r="AC42" i="108"/>
  <c r="Y42" i="108"/>
  <c r="U42" i="108"/>
  <c r="Q42" i="108"/>
  <c r="M42" i="108"/>
  <c r="I42" i="108"/>
  <c r="BL42" i="108"/>
  <c r="BG42" i="108"/>
  <c r="BB42" i="108"/>
  <c r="AV42" i="108"/>
  <c r="AQ42" i="108"/>
  <c r="AL42" i="108"/>
  <c r="AF42" i="108"/>
  <c r="AB42" i="108"/>
  <c r="X42" i="108"/>
  <c r="T42" i="108"/>
  <c r="P42" i="108"/>
  <c r="L42" i="108"/>
  <c r="H42" i="108"/>
  <c r="BK42" i="108"/>
  <c r="BF42" i="108"/>
  <c r="AZ42" i="108"/>
  <c r="AU42" i="108"/>
  <c r="AP42" i="108"/>
  <c r="AJ42" i="108"/>
  <c r="AE42" i="108"/>
  <c r="AA42" i="108"/>
  <c r="W42" i="108"/>
  <c r="S42" i="108"/>
  <c r="O42" i="108"/>
  <c r="K42" i="108"/>
  <c r="G42" i="108"/>
  <c r="BJ42" i="108"/>
  <c r="BD42" i="108"/>
  <c r="AY42" i="108"/>
  <c r="AT42" i="108"/>
  <c r="AN42" i="108"/>
  <c r="AI42" i="108"/>
  <c r="AD42" i="108"/>
  <c r="Z42" i="108"/>
  <c r="V42" i="108"/>
  <c r="R42" i="108"/>
  <c r="N42" i="108"/>
  <c r="J42" i="108"/>
  <c r="BK39" i="108"/>
  <c r="BG39" i="108"/>
  <c r="BC39" i="108"/>
  <c r="AY39" i="108"/>
  <c r="AU39" i="108"/>
  <c r="AQ39" i="108"/>
  <c r="AM39" i="108"/>
  <c r="AI39" i="108"/>
  <c r="AE39" i="108"/>
  <c r="AA39" i="108"/>
  <c r="W39" i="108"/>
  <c r="S39" i="108"/>
  <c r="O39" i="108"/>
  <c r="K39" i="108"/>
  <c r="G39" i="108"/>
  <c r="BN39" i="108"/>
  <c r="BJ39" i="108"/>
  <c r="BF39" i="108"/>
  <c r="BB39" i="108"/>
  <c r="AX39" i="108"/>
  <c r="AT39" i="108"/>
  <c r="AP39" i="108"/>
  <c r="AL39" i="108"/>
  <c r="AH39" i="108"/>
  <c r="AD39" i="108"/>
  <c r="Z39" i="108"/>
  <c r="V39" i="108"/>
  <c r="R39" i="108"/>
  <c r="N39" i="108"/>
  <c r="J39" i="108"/>
  <c r="BM39" i="108"/>
  <c r="BI39" i="108"/>
  <c r="BE39" i="108"/>
  <c r="BA39" i="108"/>
  <c r="AW39" i="108"/>
  <c r="AS39" i="108"/>
  <c r="AO39" i="108"/>
  <c r="AK39" i="108"/>
  <c r="AG39" i="108"/>
  <c r="AC39" i="108"/>
  <c r="Y39" i="108"/>
  <c r="U39" i="108"/>
  <c r="Q39" i="108"/>
  <c r="M39" i="108"/>
  <c r="I39" i="108"/>
  <c r="BL39" i="108"/>
  <c r="BH39" i="108"/>
  <c r="BD39" i="108"/>
  <c r="AZ39" i="108"/>
  <c r="AV39" i="108"/>
  <c r="AR39" i="108"/>
  <c r="AN39" i="108"/>
  <c r="AJ39" i="108"/>
  <c r="AF39" i="108"/>
  <c r="AB39" i="108"/>
  <c r="X39" i="108"/>
  <c r="T39" i="108"/>
  <c r="P39" i="108"/>
  <c r="L39" i="108"/>
  <c r="H39" i="108"/>
  <c r="BK35" i="108"/>
  <c r="BG35" i="108"/>
  <c r="BC35" i="108"/>
  <c r="AY35" i="108"/>
  <c r="AU35" i="108"/>
  <c r="AQ35" i="108"/>
  <c r="AM35" i="108"/>
  <c r="AI35" i="108"/>
  <c r="AE35" i="108"/>
  <c r="AA35" i="108"/>
  <c r="W35" i="108"/>
  <c r="S35" i="108"/>
  <c r="O35" i="108"/>
  <c r="K35" i="108"/>
  <c r="G35" i="108"/>
  <c r="BN35" i="108"/>
  <c r="BJ35" i="108"/>
  <c r="BF35" i="108"/>
  <c r="BB35" i="108"/>
  <c r="AX35" i="108"/>
  <c r="AT35" i="108"/>
  <c r="AP35" i="108"/>
  <c r="AL35" i="108"/>
  <c r="AH35" i="108"/>
  <c r="AD35" i="108"/>
  <c r="Z35" i="108"/>
  <c r="V35" i="108"/>
  <c r="R35" i="108"/>
  <c r="N35" i="108"/>
  <c r="J35" i="108"/>
  <c r="BH35" i="108"/>
  <c r="AZ35" i="108"/>
  <c r="AR35" i="108"/>
  <c r="AJ35" i="108"/>
  <c r="AB35" i="108"/>
  <c r="T35" i="108"/>
  <c r="L35" i="108"/>
  <c r="BM35" i="108"/>
  <c r="BE35" i="108"/>
  <c r="AW35" i="108"/>
  <c r="AO35" i="108"/>
  <c r="AG35" i="108"/>
  <c r="Y35" i="108"/>
  <c r="Q35" i="108"/>
  <c r="I35" i="108"/>
  <c r="BL35" i="108"/>
  <c r="BD35" i="108"/>
  <c r="AV35" i="108"/>
  <c r="AN35" i="108"/>
  <c r="AF35" i="108"/>
  <c r="X35" i="108"/>
  <c r="P35" i="108"/>
  <c r="H35" i="108"/>
  <c r="BI35" i="108"/>
  <c r="BA35" i="108"/>
  <c r="AS35" i="108"/>
  <c r="AK35" i="108"/>
  <c r="AC35" i="108"/>
  <c r="U35" i="108"/>
  <c r="M35" i="108"/>
  <c r="BL30" i="108"/>
  <c r="BH30" i="108"/>
  <c r="BD30" i="108"/>
  <c r="AZ30" i="108"/>
  <c r="AV30" i="108"/>
  <c r="AR30" i="108"/>
  <c r="AN30" i="108"/>
  <c r="AJ30" i="108"/>
  <c r="AF30" i="108"/>
  <c r="AB30" i="108"/>
  <c r="X30" i="108"/>
  <c r="T30" i="108"/>
  <c r="P30" i="108"/>
  <c r="L30" i="108"/>
  <c r="H30" i="108"/>
  <c r="BK30" i="108"/>
  <c r="BG30" i="108"/>
  <c r="BC30" i="108"/>
  <c r="AY30" i="108"/>
  <c r="AU30" i="108"/>
  <c r="AQ30" i="108"/>
  <c r="AM30" i="108"/>
  <c r="AI30" i="108"/>
  <c r="AE30" i="108"/>
  <c r="AA30" i="108"/>
  <c r="W30" i="108"/>
  <c r="S30" i="108"/>
  <c r="O30" i="108"/>
  <c r="K30" i="108"/>
  <c r="G30" i="108"/>
  <c r="BN30" i="108"/>
  <c r="BJ30" i="108"/>
  <c r="BF30" i="108"/>
  <c r="BB30" i="108"/>
  <c r="AX30" i="108"/>
  <c r="AT30" i="108"/>
  <c r="AP30" i="108"/>
  <c r="AL30" i="108"/>
  <c r="AH30" i="108"/>
  <c r="AD30" i="108"/>
  <c r="Z30" i="108"/>
  <c r="V30" i="108"/>
  <c r="R30" i="108"/>
  <c r="N30" i="108"/>
  <c r="J30" i="108"/>
  <c r="BM30" i="108"/>
  <c r="BI30" i="108"/>
  <c r="BE30" i="108"/>
  <c r="BA30" i="108"/>
  <c r="AW30" i="108"/>
  <c r="AS30" i="108"/>
  <c r="AO30" i="108"/>
  <c r="AK30" i="108"/>
  <c r="AG30" i="108"/>
  <c r="AC30" i="108"/>
  <c r="Y30" i="108"/>
  <c r="U30" i="108"/>
  <c r="Q30" i="108"/>
  <c r="M30" i="108"/>
  <c r="I30" i="108"/>
  <c r="AJ22" i="105"/>
  <c r="AJ37" i="105"/>
  <c r="AB9" i="69"/>
  <c r="AB11" i="69"/>
  <c r="AB15" i="69"/>
  <c r="AB12" i="69"/>
  <c r="AB10" i="69"/>
  <c r="AB8" i="69"/>
  <c r="AB14" i="69"/>
  <c r="AB13" i="69"/>
  <c r="AB7" i="69"/>
  <c r="AJ18" i="105"/>
  <c r="AJ14" i="105"/>
  <c r="AJ15" i="105"/>
  <c r="BM28" i="108"/>
  <c r="BE28" i="108"/>
  <c r="AW28" i="108"/>
  <c r="AO28" i="108"/>
  <c r="AG28" i="108"/>
  <c r="Y28" i="108"/>
  <c r="Q28" i="108"/>
  <c r="I28" i="108"/>
  <c r="BL28" i="108"/>
  <c r="BD28" i="108"/>
  <c r="AV28" i="108"/>
  <c r="AN28" i="108"/>
  <c r="AF28" i="108"/>
  <c r="X28" i="108"/>
  <c r="P28" i="108"/>
  <c r="H28" i="108"/>
  <c r="BK28" i="108"/>
  <c r="BC28" i="108"/>
  <c r="AU28" i="108"/>
  <c r="AM28" i="108"/>
  <c r="AE28" i="108"/>
  <c r="W28" i="108"/>
  <c r="O28" i="108"/>
  <c r="BJ28" i="108"/>
  <c r="BB28" i="108"/>
  <c r="AT28" i="108"/>
  <c r="AL28" i="108"/>
  <c r="AD28" i="108"/>
  <c r="V28" i="108"/>
  <c r="N28" i="108"/>
  <c r="BI28" i="108"/>
  <c r="BA28" i="108"/>
  <c r="AS28" i="108"/>
  <c r="AK28" i="108"/>
  <c r="AC28" i="108"/>
  <c r="U28" i="108"/>
  <c r="M28" i="108"/>
  <c r="BH28" i="108"/>
  <c r="AZ28" i="108"/>
  <c r="AR28" i="108"/>
  <c r="AJ28" i="108"/>
  <c r="AB28" i="108"/>
  <c r="T28" i="108"/>
  <c r="L28" i="108"/>
  <c r="BG28" i="108"/>
  <c r="AY28" i="108"/>
  <c r="AQ28" i="108"/>
  <c r="AI28" i="108"/>
  <c r="AA28" i="108"/>
  <c r="S28" i="108"/>
  <c r="K28" i="108"/>
  <c r="BN28" i="108"/>
  <c r="AP28" i="108"/>
  <c r="R28" i="108"/>
  <c r="BF28" i="108"/>
  <c r="Z28" i="108"/>
  <c r="AX28" i="108"/>
  <c r="AH28" i="108"/>
  <c r="J28" i="108"/>
  <c r="BJ29" i="108"/>
  <c r="BB29" i="108"/>
  <c r="AT29" i="108"/>
  <c r="AL29" i="108"/>
  <c r="AD29" i="108"/>
  <c r="V29" i="108"/>
  <c r="N29" i="108"/>
  <c r="BI29" i="108"/>
  <c r="BA29" i="108"/>
  <c r="AS29" i="108"/>
  <c r="AK29" i="108"/>
  <c r="AC29" i="108"/>
  <c r="U29" i="108"/>
  <c r="M29" i="108"/>
  <c r="BH29" i="108"/>
  <c r="AZ29" i="108"/>
  <c r="AR29" i="108"/>
  <c r="AJ29" i="108"/>
  <c r="AB29" i="108"/>
  <c r="T29" i="108"/>
  <c r="L29" i="108"/>
  <c r="BG29" i="108"/>
  <c r="AY29" i="108"/>
  <c r="AQ29" i="108"/>
  <c r="AI29" i="108"/>
  <c r="AA29" i="108"/>
  <c r="S29" i="108"/>
  <c r="K29" i="108"/>
  <c r="BN29" i="108"/>
  <c r="BF29" i="108"/>
  <c r="AX29" i="108"/>
  <c r="AP29" i="108"/>
  <c r="AH29" i="108"/>
  <c r="Z29" i="108"/>
  <c r="R29" i="108"/>
  <c r="J29" i="108"/>
  <c r="BM29" i="108"/>
  <c r="BE29" i="108"/>
  <c r="AW29" i="108"/>
  <c r="AO29" i="108"/>
  <c r="AG29" i="108"/>
  <c r="Y29" i="108"/>
  <c r="Q29" i="108"/>
  <c r="I29" i="108"/>
  <c r="BL29" i="108"/>
  <c r="BD29" i="108"/>
  <c r="AV29" i="108"/>
  <c r="AN29" i="108"/>
  <c r="AF29" i="108"/>
  <c r="X29" i="108"/>
  <c r="P29" i="108"/>
  <c r="H29" i="108"/>
  <c r="AU29" i="108"/>
  <c r="O29" i="108"/>
  <c r="BK29" i="108"/>
  <c r="AM29" i="108"/>
  <c r="BC29" i="108"/>
  <c r="AE29" i="108"/>
  <c r="W29" i="108"/>
  <c r="G29" i="108"/>
  <c r="G28" i="108"/>
  <c r="BJ25" i="108"/>
  <c r="AC4" i="108"/>
  <c r="AD5" i="108"/>
  <c r="AC3" i="108"/>
  <c r="AC2" i="108"/>
  <c r="AD6" i="108"/>
  <c r="M6" i="44"/>
  <c r="L2" i="44"/>
  <c r="K19" i="44"/>
  <c r="J20" i="44"/>
  <c r="D33" i="44"/>
  <c r="AF69" i="105"/>
  <c r="AA69" i="105"/>
  <c r="L69" i="105"/>
  <c r="Q69" i="105"/>
  <c r="AJ21" i="105"/>
  <c r="AJ36" i="105"/>
  <c r="AJ30" i="105"/>
  <c r="AJ41" i="105"/>
  <c r="AJ34" i="105"/>
  <c r="AJ40" i="105"/>
  <c r="AJ60" i="105"/>
  <c r="AJ61" i="105"/>
  <c r="AJ35" i="105"/>
  <c r="AJ59" i="105"/>
  <c r="AJ20" i="105"/>
  <c r="AJ46" i="105"/>
  <c r="L18" i="44"/>
  <c r="AJ26" i="105"/>
  <c r="V48" i="87"/>
  <c r="U49" i="87"/>
  <c r="Q66" i="105"/>
  <c r="AJ16" i="105"/>
  <c r="AF67" i="105"/>
  <c r="V66" i="105"/>
  <c r="V67" i="105"/>
  <c r="A68" i="93"/>
  <c r="C67" i="93"/>
  <c r="D68" i="93"/>
  <c r="AJ58" i="105"/>
  <c r="L67" i="105"/>
  <c r="AJ23" i="105"/>
  <c r="AJ31" i="105"/>
  <c r="Q67" i="105"/>
  <c r="AJ17" i="105"/>
  <c r="AJ42" i="105"/>
  <c r="AJ39" i="105"/>
  <c r="M3" i="44"/>
  <c r="M4" i="44"/>
  <c r="N5" i="44"/>
  <c r="AJ54" i="105"/>
  <c r="AJ45" i="105"/>
  <c r="AA67" i="105"/>
  <c r="T7" i="44"/>
  <c r="AF66" i="105"/>
  <c r="AJ47" i="105"/>
  <c r="AJ43" i="105"/>
  <c r="AJ25" i="105"/>
  <c r="AJ32" i="105"/>
  <c r="AJ62" i="105"/>
  <c r="AA66" i="105"/>
  <c r="AJ19" i="105"/>
  <c r="AJ49" i="105"/>
  <c r="AJ28" i="105"/>
  <c r="AJ48" i="105"/>
  <c r="AJ27" i="105"/>
  <c r="AJ38" i="105"/>
  <c r="AJ12" i="105"/>
  <c r="L66" i="105"/>
  <c r="AJ33" i="105"/>
  <c r="AB16" i="69" l="1"/>
  <c r="AB53" i="69" s="1"/>
  <c r="AB57" i="69" s="1"/>
  <c r="H68" i="108"/>
  <c r="G68" i="108"/>
  <c r="K68" i="108"/>
  <c r="I68" i="108"/>
  <c r="J68" i="108"/>
  <c r="BM25" i="108"/>
  <c r="L25" i="108"/>
  <c r="BN25" i="108"/>
  <c r="AR25" i="108"/>
  <c r="BK25" i="108"/>
  <c r="AI25" i="108"/>
  <c r="U25" i="108"/>
  <c r="AG25" i="108"/>
  <c r="H25" i="108"/>
  <c r="AD25" i="108"/>
  <c r="AE25" i="108"/>
  <c r="AH25" i="108"/>
  <c r="AN25" i="108"/>
  <c r="BA25" i="108"/>
  <c r="O25" i="108"/>
  <c r="AU25" i="108"/>
  <c r="Q25" i="108"/>
  <c r="AW25" i="108"/>
  <c r="R25" i="108"/>
  <c r="AX25" i="108"/>
  <c r="S25" i="108"/>
  <c r="AY25" i="108"/>
  <c r="X25" i="108"/>
  <c r="BD25" i="108"/>
  <c r="AB25" i="108"/>
  <c r="BH25" i="108"/>
  <c r="AK25" i="108"/>
  <c r="N25" i="108"/>
  <c r="AT25" i="108"/>
  <c r="W25" i="108"/>
  <c r="BC25" i="108"/>
  <c r="Y25" i="108"/>
  <c r="BE25" i="108"/>
  <c r="Z25" i="108"/>
  <c r="BF25" i="108"/>
  <c r="AA25" i="108"/>
  <c r="BG25" i="108"/>
  <c r="AF25" i="108"/>
  <c r="BL25" i="108"/>
  <c r="AJ25" i="108"/>
  <c r="M25" i="108"/>
  <c r="AS25" i="108"/>
  <c r="V25" i="108"/>
  <c r="BB25" i="108"/>
  <c r="G25" i="108"/>
  <c r="AM25" i="108"/>
  <c r="I25" i="108"/>
  <c r="AO25" i="108"/>
  <c r="J25" i="108"/>
  <c r="AP25" i="108"/>
  <c r="K25" i="108"/>
  <c r="AQ25" i="108"/>
  <c r="P25" i="108"/>
  <c r="AV25" i="108"/>
  <c r="T25" i="108"/>
  <c r="AZ25" i="108"/>
  <c r="AC25" i="108"/>
  <c r="BI25" i="108"/>
  <c r="AL25" i="108"/>
  <c r="W47" i="108"/>
  <c r="BD47" i="108"/>
  <c r="AM47" i="108"/>
  <c r="H47" i="108"/>
  <c r="AK47" i="108"/>
  <c r="AF47" i="108"/>
  <c r="BB47" i="108"/>
  <c r="L47" i="108"/>
  <c r="P47" i="108"/>
  <c r="AQ47" i="108"/>
  <c r="Z47" i="108"/>
  <c r="AO47" i="108"/>
  <c r="K47" i="108"/>
  <c r="BN47" i="108"/>
  <c r="T47" i="108"/>
  <c r="O47" i="108"/>
  <c r="BJ47" i="108"/>
  <c r="S47" i="108"/>
  <c r="AW47" i="108"/>
  <c r="AH47" i="108"/>
  <c r="G47" i="108"/>
  <c r="AA47" i="108"/>
  <c r="AX47" i="108"/>
  <c r="AV47" i="108"/>
  <c r="AG47" i="108"/>
  <c r="X47" i="108"/>
  <c r="I47" i="108"/>
  <c r="BE47" i="108"/>
  <c r="AP47" i="108"/>
  <c r="AE47" i="108"/>
  <c r="M47" i="108"/>
  <c r="BI47" i="108"/>
  <c r="AS47" i="108"/>
  <c r="AN47" i="108"/>
  <c r="Q47" i="108"/>
  <c r="BK47" i="108"/>
  <c r="Y47" i="108"/>
  <c r="BC47" i="108"/>
  <c r="AU47" i="108"/>
  <c r="AD47" i="108"/>
  <c r="V47" i="108"/>
  <c r="BH47" i="108"/>
  <c r="AZ47" i="108"/>
  <c r="BL47" i="108"/>
  <c r="BG47" i="108"/>
  <c r="AT47" i="108"/>
  <c r="AL47" i="108"/>
  <c r="AC47" i="108"/>
  <c r="U47" i="108"/>
  <c r="AY47" i="108"/>
  <c r="N47" i="108"/>
  <c r="AJ47" i="108"/>
  <c r="AB47" i="108"/>
  <c r="AI47" i="108"/>
  <c r="R47" i="108"/>
  <c r="BA47" i="108"/>
  <c r="BM47" i="108"/>
  <c r="AR47" i="108"/>
  <c r="M55" i="69"/>
  <c r="Q57" i="69"/>
  <c r="Y55" i="69"/>
  <c r="U57" i="69"/>
  <c r="F26" i="102"/>
  <c r="F6" i="102" s="1"/>
  <c r="AJ69" i="105"/>
  <c r="F25" i="102"/>
  <c r="F5" i="102" s="1"/>
  <c r="F27" i="102"/>
  <c r="F7" i="102" s="1"/>
  <c r="BF47" i="108"/>
  <c r="AD4" i="108"/>
  <c r="AE5" i="108"/>
  <c r="AD3" i="108"/>
  <c r="AD2" i="108"/>
  <c r="AE6" i="108"/>
  <c r="L19" i="44"/>
  <c r="K20" i="44"/>
  <c r="N6" i="44"/>
  <c r="M2" i="44"/>
  <c r="F6" i="105"/>
  <c r="V71" i="105"/>
  <c r="V68" i="105"/>
  <c r="L68" i="105"/>
  <c r="L71" i="105"/>
  <c r="W48" i="87"/>
  <c r="V49" i="87"/>
  <c r="U7" i="44"/>
  <c r="F4" i="105"/>
  <c r="AJ66" i="105"/>
  <c r="AA71" i="105"/>
  <c r="AA68" i="105"/>
  <c r="F5" i="105"/>
  <c r="M18" i="44"/>
  <c r="AF68" i="105"/>
  <c r="AF71" i="105"/>
  <c r="O5" i="44"/>
  <c r="N3" i="44"/>
  <c r="N4" i="44"/>
  <c r="F7" i="105"/>
  <c r="AJ67" i="105"/>
  <c r="D67" i="93"/>
  <c r="A67" i="93"/>
  <c r="C66" i="93"/>
  <c r="Q71" i="105"/>
  <c r="Q68" i="105"/>
  <c r="J47" i="108" l="1"/>
  <c r="AB55" i="69"/>
  <c r="F14" i="102"/>
  <c r="AE3" i="108"/>
  <c r="AF5" i="108"/>
  <c r="AE4" i="108"/>
  <c r="AE2" i="108"/>
  <c r="AF6" i="108"/>
  <c r="Q72" i="105"/>
  <c r="B9" i="44"/>
  <c r="L72" i="105"/>
  <c r="B8" i="44"/>
  <c r="V72" i="105"/>
  <c r="B10" i="44"/>
  <c r="AF72" i="105"/>
  <c r="B12" i="44"/>
  <c r="AA72" i="105"/>
  <c r="B11" i="44"/>
  <c r="O6" i="44"/>
  <c r="N2" i="44"/>
  <c r="M19" i="44"/>
  <c r="L20" i="44"/>
  <c r="V7" i="44"/>
  <c r="A66" i="93"/>
  <c r="C65" i="93"/>
  <c r="D66" i="93"/>
  <c r="K18" i="90"/>
  <c r="P5" i="44"/>
  <c r="O3" i="44"/>
  <c r="O4" i="44"/>
  <c r="N18" i="44"/>
  <c r="X48" i="87"/>
  <c r="W49" i="87"/>
  <c r="AJ68" i="105"/>
  <c r="D13" i="101" s="1"/>
  <c r="AJ71" i="105"/>
  <c r="K17" i="90"/>
  <c r="I55" i="69"/>
  <c r="U12" i="44" l="1"/>
  <c r="C12" i="44"/>
  <c r="G12" i="44"/>
  <c r="D12" i="44"/>
  <c r="H12" i="44"/>
  <c r="E12" i="44"/>
  <c r="I12" i="44"/>
  <c r="F12" i="44"/>
  <c r="J12" i="44"/>
  <c r="C8" i="44"/>
  <c r="G8" i="44"/>
  <c r="D8" i="44"/>
  <c r="H8" i="44"/>
  <c r="E8" i="44"/>
  <c r="I8" i="44"/>
  <c r="F8" i="44"/>
  <c r="J8" i="44"/>
  <c r="U11" i="44"/>
  <c r="F11" i="44"/>
  <c r="J11" i="44"/>
  <c r="C11" i="44"/>
  <c r="G11" i="44"/>
  <c r="D11" i="44"/>
  <c r="H11" i="44"/>
  <c r="E11" i="44"/>
  <c r="I11" i="44"/>
  <c r="U10" i="44"/>
  <c r="E10" i="44"/>
  <c r="I10" i="44"/>
  <c r="F10" i="44"/>
  <c r="J10" i="44"/>
  <c r="C10" i="44"/>
  <c r="G10" i="44"/>
  <c r="D10" i="44"/>
  <c r="H10" i="44"/>
  <c r="D9" i="44"/>
  <c r="H9" i="44"/>
  <c r="E9" i="44"/>
  <c r="I9" i="44"/>
  <c r="F9" i="44"/>
  <c r="J9" i="44"/>
  <c r="C9" i="44"/>
  <c r="G9" i="44"/>
  <c r="U8" i="44"/>
  <c r="O8" i="44"/>
  <c r="U9" i="44"/>
  <c r="F20" i="102"/>
  <c r="F18" i="102"/>
  <c r="F21" i="102" s="1"/>
  <c r="AF4" i="108"/>
  <c r="AG5" i="108"/>
  <c r="AF3" i="108"/>
  <c r="AF2" i="108"/>
  <c r="AG6" i="108"/>
  <c r="AR10" i="44"/>
  <c r="AZ10" i="44"/>
  <c r="BH10" i="44"/>
  <c r="AS10" i="44"/>
  <c r="BA10" i="44"/>
  <c r="BI10" i="44"/>
  <c r="AT10" i="44"/>
  <c r="BB10" i="44"/>
  <c r="BJ10" i="44"/>
  <c r="AQ10" i="44"/>
  <c r="AM10" i="44"/>
  <c r="AU10" i="44"/>
  <c r="BC10" i="44"/>
  <c r="BG10" i="44"/>
  <c r="AN10" i="44"/>
  <c r="AV10" i="44"/>
  <c r="BD10" i="44"/>
  <c r="AO10" i="44"/>
  <c r="AW10" i="44"/>
  <c r="BE10" i="44"/>
  <c r="AP10" i="44"/>
  <c r="AX10" i="44"/>
  <c r="BF10" i="44"/>
  <c r="AY10" i="44"/>
  <c r="K10" i="44"/>
  <c r="L10" i="44"/>
  <c r="M10" i="44"/>
  <c r="N10" i="44"/>
  <c r="O10" i="44"/>
  <c r="P10" i="44"/>
  <c r="Q10" i="44"/>
  <c r="R10" i="44"/>
  <c r="S10" i="44"/>
  <c r="T10" i="44"/>
  <c r="AM8" i="44"/>
  <c r="AX8" i="44"/>
  <c r="BI8" i="44"/>
  <c r="AN8" i="44"/>
  <c r="AY8" i="44"/>
  <c r="AO8" i="44"/>
  <c r="AZ8" i="44"/>
  <c r="AP8" i="44"/>
  <c r="BD8" i="44"/>
  <c r="AQ8" i="44"/>
  <c r="BE8" i="44"/>
  <c r="AU8" i="44"/>
  <c r="BF8" i="44"/>
  <c r="AW8" i="44"/>
  <c r="AV8" i="44"/>
  <c r="BG8" i="44"/>
  <c r="BH8" i="44"/>
  <c r="N8" i="44"/>
  <c r="M8" i="44"/>
  <c r="K8" i="44"/>
  <c r="AT8" i="44"/>
  <c r="L8" i="44"/>
  <c r="BB8" i="44"/>
  <c r="BC8" i="44"/>
  <c r="BA8" i="44"/>
  <c r="BJ8" i="44"/>
  <c r="AS8" i="44"/>
  <c r="AR8" i="44"/>
  <c r="P8" i="44"/>
  <c r="Q8" i="44"/>
  <c r="R8" i="44"/>
  <c r="S8" i="44"/>
  <c r="T8" i="44"/>
  <c r="AN12" i="44"/>
  <c r="AS12" i="44"/>
  <c r="AW12" i="44"/>
  <c r="BA12" i="44"/>
  <c r="BC12" i="44"/>
  <c r="BF12" i="44"/>
  <c r="AM12" i="44"/>
  <c r="BD12" i="44"/>
  <c r="BI12" i="44"/>
  <c r="BB12" i="44"/>
  <c r="AU12" i="44"/>
  <c r="AQ12" i="44"/>
  <c r="BJ12" i="44"/>
  <c r="M12" i="44"/>
  <c r="L12" i="44"/>
  <c r="BH12" i="44"/>
  <c r="AY12" i="44"/>
  <c r="AR12" i="44"/>
  <c r="AP12" i="44"/>
  <c r="AZ12" i="44"/>
  <c r="BG12" i="44"/>
  <c r="BE12" i="44"/>
  <c r="AX12" i="44"/>
  <c r="AV12" i="44"/>
  <c r="K12" i="44"/>
  <c r="AO12" i="44"/>
  <c r="AT12" i="44"/>
  <c r="N12" i="44"/>
  <c r="O12" i="44"/>
  <c r="P12" i="44"/>
  <c r="Q12" i="44"/>
  <c r="R12" i="44"/>
  <c r="S12" i="44"/>
  <c r="T12" i="44"/>
  <c r="AM11" i="44"/>
  <c r="K11" i="44"/>
  <c r="BB11" i="44"/>
  <c r="AS11" i="44"/>
  <c r="BE11" i="44"/>
  <c r="M11" i="44"/>
  <c r="BF11" i="44"/>
  <c r="BA11" i="44"/>
  <c r="AW11" i="44"/>
  <c r="AY11" i="44"/>
  <c r="BI11" i="44"/>
  <c r="AN11" i="44"/>
  <c r="BC11" i="44"/>
  <c r="AP11" i="44"/>
  <c r="AT11" i="44"/>
  <c r="AX11" i="44"/>
  <c r="AV11" i="44"/>
  <c r="BJ11" i="44"/>
  <c r="AR11" i="44"/>
  <c r="N11" i="44"/>
  <c r="AZ11" i="44"/>
  <c r="BG11" i="44"/>
  <c r="AQ11" i="44"/>
  <c r="BH11" i="44"/>
  <c r="BD11" i="44"/>
  <c r="AO11" i="44"/>
  <c r="L11" i="44"/>
  <c r="AU11" i="44"/>
  <c r="O11" i="44"/>
  <c r="P11" i="44"/>
  <c r="Q11" i="44"/>
  <c r="R11" i="44"/>
  <c r="S11" i="44"/>
  <c r="T11" i="44"/>
  <c r="AS9" i="44"/>
  <c r="BB9" i="44"/>
  <c r="BA9" i="44"/>
  <c r="AT9" i="44"/>
  <c r="BC9" i="44"/>
  <c r="AU9" i="44"/>
  <c r="BE9" i="44"/>
  <c r="AM9" i="44"/>
  <c r="AW9" i="44"/>
  <c r="BF9" i="44"/>
  <c r="AR9" i="44"/>
  <c r="AO9" i="44"/>
  <c r="AX9" i="44"/>
  <c r="BG9" i="44"/>
  <c r="BJ9" i="44"/>
  <c r="AP9" i="44"/>
  <c r="AY9" i="44"/>
  <c r="BH9" i="44"/>
  <c r="AQ9" i="44"/>
  <c r="AZ9" i="44"/>
  <c r="BI9" i="44"/>
  <c r="L9" i="44"/>
  <c r="AN9" i="44"/>
  <c r="BD9" i="44"/>
  <c r="AV9" i="44"/>
  <c r="M9" i="44"/>
  <c r="K9" i="44"/>
  <c r="N9" i="44"/>
  <c r="O9" i="44"/>
  <c r="P9" i="44"/>
  <c r="Q9" i="44"/>
  <c r="R9" i="44"/>
  <c r="S9" i="44"/>
  <c r="T9" i="44"/>
  <c r="M20" i="44"/>
  <c r="N19" i="44"/>
  <c r="O2" i="44"/>
  <c r="P6" i="44"/>
  <c r="E13" i="101"/>
  <c r="D16" i="101"/>
  <c r="D65" i="93"/>
  <c r="C64" i="93"/>
  <c r="A65" i="93"/>
  <c r="O18" i="44"/>
  <c r="F8" i="105"/>
  <c r="A8" i="105"/>
  <c r="AJ73" i="105"/>
  <c r="AJ72" i="105"/>
  <c r="P1" i="90"/>
  <c r="K19" i="90"/>
  <c r="W7" i="44"/>
  <c r="V10" i="44"/>
  <c r="V9" i="44"/>
  <c r="V11" i="44"/>
  <c r="V12" i="44"/>
  <c r="V8" i="44"/>
  <c r="P4" i="44"/>
  <c r="Q5" i="44"/>
  <c r="P3" i="44"/>
  <c r="Y48" i="87"/>
  <c r="X49" i="87"/>
  <c r="U14" i="44" l="1"/>
  <c r="AG3" i="108"/>
  <c r="AG4" i="108"/>
  <c r="AH5" i="108"/>
  <c r="AH6" i="108"/>
  <c r="AG2" i="108"/>
  <c r="F24" i="44"/>
  <c r="E25" i="44"/>
  <c r="BD14" i="44"/>
  <c r="G24" i="44"/>
  <c r="G25" i="44"/>
  <c r="D24" i="44"/>
  <c r="F25" i="44"/>
  <c r="O14" i="44"/>
  <c r="N14" i="44"/>
  <c r="AY14" i="44"/>
  <c r="F23" i="44"/>
  <c r="E22" i="44"/>
  <c r="BH14" i="44"/>
  <c r="BE14" i="44"/>
  <c r="AV14" i="44"/>
  <c r="BF14" i="44"/>
  <c r="AR14" i="44"/>
  <c r="AN14" i="44"/>
  <c r="C38" i="44"/>
  <c r="P14" i="44"/>
  <c r="L14" i="44"/>
  <c r="F21" i="44"/>
  <c r="M14" i="44"/>
  <c r="AO14" i="44"/>
  <c r="D23" i="44"/>
  <c r="G14" i="44"/>
  <c r="AQ14" i="44"/>
  <c r="C14" i="44"/>
  <c r="C24" i="44"/>
  <c r="C37" i="44"/>
  <c r="AM14" i="44"/>
  <c r="AS14" i="44"/>
  <c r="J14" i="44"/>
  <c r="D25" i="44"/>
  <c r="F14" i="44"/>
  <c r="D21" i="44"/>
  <c r="C35" i="44"/>
  <c r="F22" i="44"/>
  <c r="C22" i="44"/>
  <c r="BG14" i="44"/>
  <c r="T14" i="44"/>
  <c r="BJ14" i="44"/>
  <c r="I14" i="44"/>
  <c r="E21" i="44"/>
  <c r="C36" i="44"/>
  <c r="D22" i="44"/>
  <c r="G22" i="44"/>
  <c r="S14" i="44"/>
  <c r="BA14" i="44"/>
  <c r="K14" i="44"/>
  <c r="AP14" i="44"/>
  <c r="BI14" i="44"/>
  <c r="AZ14" i="44"/>
  <c r="AT14" i="44"/>
  <c r="AU14" i="44"/>
  <c r="E24" i="44"/>
  <c r="AW14" i="44"/>
  <c r="C25" i="44"/>
  <c r="R14" i="44"/>
  <c r="BC14" i="44"/>
  <c r="D14" i="44"/>
  <c r="C21" i="44"/>
  <c r="C34" i="44"/>
  <c r="H14" i="44"/>
  <c r="AX14" i="44"/>
  <c r="Q14" i="44"/>
  <c r="BB14" i="44"/>
  <c r="E14" i="44"/>
  <c r="E23" i="44"/>
  <c r="C23" i="44"/>
  <c r="V14" i="44"/>
  <c r="Q6" i="44"/>
  <c r="P2" i="44"/>
  <c r="E33" i="44"/>
  <c r="O19" i="44"/>
  <c r="N20" i="44"/>
  <c r="D28" i="101"/>
  <c r="E16" i="101"/>
  <c r="F13" i="101"/>
  <c r="V1" i="90"/>
  <c r="R5" i="44"/>
  <c r="Q4" i="44"/>
  <c r="Q3" i="44"/>
  <c r="A64" i="93"/>
  <c r="C63" i="93"/>
  <c r="D64" i="93"/>
  <c r="X7" i="44"/>
  <c r="W10" i="44"/>
  <c r="W12" i="44"/>
  <c r="W9" i="44"/>
  <c r="W8" i="44"/>
  <c r="W11" i="44"/>
  <c r="Z48" i="87"/>
  <c r="Y49" i="87"/>
  <c r="P18" i="44"/>
  <c r="AB1" i="90"/>
  <c r="AH4" i="108" l="1"/>
  <c r="AH3" i="108"/>
  <c r="AI5" i="108"/>
  <c r="AH2" i="108"/>
  <c r="AI6" i="108"/>
  <c r="C40" i="44"/>
  <c r="C27" i="44"/>
  <c r="E27" i="44"/>
  <c r="D27" i="44"/>
  <c r="F27" i="44"/>
  <c r="W14" i="44"/>
  <c r="P19" i="44"/>
  <c r="F33" i="44"/>
  <c r="O20" i="44"/>
  <c r="R6" i="44"/>
  <c r="Q2" i="44"/>
  <c r="J13" i="101"/>
  <c r="G13" i="101"/>
  <c r="F16" i="101"/>
  <c r="J16" i="101" s="1"/>
  <c r="J18" i="101" s="1"/>
  <c r="J22" i="101" s="1"/>
  <c r="E28" i="101"/>
  <c r="AA48" i="87"/>
  <c r="Z49" i="87"/>
  <c r="A63" i="93"/>
  <c r="C62" i="93"/>
  <c r="D63" i="93"/>
  <c r="AH1" i="90"/>
  <c r="K20" i="90"/>
  <c r="Q18" i="44"/>
  <c r="X9" i="44"/>
  <c r="X8" i="44"/>
  <c r="Y7" i="44"/>
  <c r="X10" i="44"/>
  <c r="X12" i="44"/>
  <c r="X11" i="44"/>
  <c r="K21" i="90"/>
  <c r="R3" i="44"/>
  <c r="S5" i="44"/>
  <c r="R4" i="44"/>
  <c r="AJ5" i="108" l="1"/>
  <c r="AI3" i="108"/>
  <c r="AI4" i="108"/>
  <c r="AJ6" i="108"/>
  <c r="AI2" i="108"/>
  <c r="F28" i="44"/>
  <c r="X14" i="44"/>
  <c r="R2" i="44"/>
  <c r="S6" i="44"/>
  <c r="Q19" i="44"/>
  <c r="P20" i="44"/>
  <c r="G33" i="44"/>
  <c r="F28" i="101"/>
  <c r="H13" i="101"/>
  <c r="H16" i="101" s="1"/>
  <c r="G16" i="101"/>
  <c r="S4" i="44"/>
  <c r="T5" i="44"/>
  <c r="S3" i="44"/>
  <c r="A62" i="93"/>
  <c r="D62" i="93"/>
  <c r="C61" i="93"/>
  <c r="Y10" i="44"/>
  <c r="Y12" i="44"/>
  <c r="Y9" i="44"/>
  <c r="Y8" i="44"/>
  <c r="Z7" i="44"/>
  <c r="Y11" i="44"/>
  <c r="R18" i="44"/>
  <c r="K22" i="90"/>
  <c r="AB48" i="87"/>
  <c r="AA49" i="87"/>
  <c r="AJ4" i="108" l="1"/>
  <c r="AK5" i="108"/>
  <c r="AJ3" i="108"/>
  <c r="AJ2" i="108"/>
  <c r="AK6" i="108"/>
  <c r="Y14" i="44"/>
  <c r="Q20" i="44"/>
  <c r="R19" i="44"/>
  <c r="S2" i="44"/>
  <c r="T6" i="44"/>
  <c r="G28" i="101"/>
  <c r="H28" i="101" s="1"/>
  <c r="AA7" i="44"/>
  <c r="Z10" i="44"/>
  <c r="Z9" i="44"/>
  <c r="Z11" i="44"/>
  <c r="Z8" i="44"/>
  <c r="Z12" i="44"/>
  <c r="K23" i="90"/>
  <c r="A61" i="93"/>
  <c r="C60" i="93"/>
  <c r="D61" i="93"/>
  <c r="S18" i="44"/>
  <c r="T4" i="44"/>
  <c r="U5" i="44"/>
  <c r="T3" i="44"/>
  <c r="AC48" i="87"/>
  <c r="AB49" i="87"/>
  <c r="AK4" i="108" l="1"/>
  <c r="AL5" i="108"/>
  <c r="AK3" i="108"/>
  <c r="AL6" i="108"/>
  <c r="AK2" i="108"/>
  <c r="Z14" i="44"/>
  <c r="U6" i="44"/>
  <c r="T2" i="44"/>
  <c r="R20" i="44"/>
  <c r="S19" i="44"/>
  <c r="AD48" i="87"/>
  <c r="AC49" i="87"/>
  <c r="T18" i="44"/>
  <c r="A60" i="93"/>
  <c r="C59" i="93"/>
  <c r="D60" i="93"/>
  <c r="U4" i="44"/>
  <c r="U3" i="44"/>
  <c r="V5" i="44"/>
  <c r="K24" i="90"/>
  <c r="AB7" i="44"/>
  <c r="AA12" i="44"/>
  <c r="AA10" i="44"/>
  <c r="AA9" i="44"/>
  <c r="AA8" i="44"/>
  <c r="AA11" i="44"/>
  <c r="AL3" i="108" l="1"/>
  <c r="AL4" i="108"/>
  <c r="AM5" i="108"/>
  <c r="AM6" i="108"/>
  <c r="AL2" i="108"/>
  <c r="AA14" i="44"/>
  <c r="S20" i="44"/>
  <c r="T19" i="44"/>
  <c r="U2" i="44"/>
  <c r="V6" i="44"/>
  <c r="U18" i="44"/>
  <c r="AC7" i="44"/>
  <c r="AB12" i="44"/>
  <c r="AB10" i="44"/>
  <c r="AB11" i="44"/>
  <c r="AB8" i="44"/>
  <c r="AB9" i="44"/>
  <c r="A59" i="93"/>
  <c r="C58" i="93"/>
  <c r="D59" i="93"/>
  <c r="K25" i="90"/>
  <c r="W5" i="44"/>
  <c r="V4" i="44"/>
  <c r="V3" i="44"/>
  <c r="AE48" i="87"/>
  <c r="AD49" i="87"/>
  <c r="AM4" i="108" l="1"/>
  <c r="AN5" i="108"/>
  <c r="AM3" i="108"/>
  <c r="AM2" i="108"/>
  <c r="AN6" i="108"/>
  <c r="AB14" i="44"/>
  <c r="W6" i="44"/>
  <c r="V2" i="44"/>
  <c r="U19" i="44"/>
  <c r="T20" i="44"/>
  <c r="V18" i="44"/>
  <c r="AD7" i="44"/>
  <c r="AC10" i="44"/>
  <c r="AC12" i="44"/>
  <c r="AC9" i="44"/>
  <c r="AC8" i="44"/>
  <c r="AC11" i="44"/>
  <c r="AF48" i="87"/>
  <c r="AE49" i="87"/>
  <c r="W4" i="44"/>
  <c r="X5" i="44"/>
  <c r="W3" i="44"/>
  <c r="A58" i="93"/>
  <c r="D58" i="93"/>
  <c r="C57" i="93"/>
  <c r="K26" i="90"/>
  <c r="AO5" i="108" l="1"/>
  <c r="AN4" i="108"/>
  <c r="AN3" i="108"/>
  <c r="AN2" i="108"/>
  <c r="AO6" i="108"/>
  <c r="AC14" i="44"/>
  <c r="U20" i="44"/>
  <c r="V19" i="44"/>
  <c r="V20" i="44" s="1"/>
  <c r="W2" i="44"/>
  <c r="X6" i="44"/>
  <c r="K27" i="90"/>
  <c r="X3" i="44"/>
  <c r="X4" i="44"/>
  <c r="Y5" i="44"/>
  <c r="AG48" i="87"/>
  <c r="AF49" i="87"/>
  <c r="AE7" i="44"/>
  <c r="AD10" i="44"/>
  <c r="AD12" i="44"/>
  <c r="AD9" i="44"/>
  <c r="AD8" i="44"/>
  <c r="AD11" i="44"/>
  <c r="A57" i="93"/>
  <c r="C56" i="93"/>
  <c r="D57" i="93"/>
  <c r="AO3" i="108" l="1"/>
  <c r="AP5" i="108"/>
  <c r="AO4" i="108"/>
  <c r="AP6" i="108"/>
  <c r="AO2" i="108"/>
  <c r="AD14" i="44"/>
  <c r="X2" i="44"/>
  <c r="Y6" i="44"/>
  <c r="K28" i="90"/>
  <c r="A56" i="93"/>
  <c r="D56" i="93"/>
  <c r="C55" i="93"/>
  <c r="AF7" i="44"/>
  <c r="AE10" i="44"/>
  <c r="AE12" i="44"/>
  <c r="AE9" i="44"/>
  <c r="AE11" i="44"/>
  <c r="AE8" i="44"/>
  <c r="Y4" i="44"/>
  <c r="Y3" i="44"/>
  <c r="Z5" i="44"/>
  <c r="AG49" i="87"/>
  <c r="AH48" i="87"/>
  <c r="AQ5" i="108" l="1"/>
  <c r="AP4" i="108"/>
  <c r="AP3" i="108"/>
  <c r="AP2" i="108"/>
  <c r="AQ6" i="108"/>
  <c r="AE14" i="44"/>
  <c r="Y2" i="44"/>
  <c r="Z6" i="44"/>
  <c r="AI48" i="87"/>
  <c r="AH49" i="87"/>
  <c r="Z3" i="44"/>
  <c r="AA5" i="44"/>
  <c r="Z4" i="44"/>
  <c r="AG7" i="44"/>
  <c r="AF10" i="44"/>
  <c r="AF9" i="44"/>
  <c r="AF11" i="44"/>
  <c r="AF8" i="44"/>
  <c r="AF12" i="44"/>
  <c r="K29" i="90"/>
  <c r="J4" i="90" s="1"/>
  <c r="A55" i="93"/>
  <c r="C54" i="93"/>
  <c r="D55" i="93"/>
  <c r="AQ4" i="108" l="1"/>
  <c r="AQ3" i="108"/>
  <c r="AR5" i="108"/>
  <c r="AQ2" i="108"/>
  <c r="AR6" i="108"/>
  <c r="AF14" i="44"/>
  <c r="AA6" i="44"/>
  <c r="Z2" i="44"/>
  <c r="AH7" i="44"/>
  <c r="AG12" i="44"/>
  <c r="AG9" i="44"/>
  <c r="AG10" i="44"/>
  <c r="AG8" i="44"/>
  <c r="AG11" i="44"/>
  <c r="AJ48" i="87"/>
  <c r="AI49" i="87"/>
  <c r="A54" i="93"/>
  <c r="D54" i="93"/>
  <c r="C53" i="93"/>
  <c r="AA4" i="44"/>
  <c r="AB5" i="44"/>
  <c r="AA3" i="44"/>
  <c r="K30" i="90"/>
  <c r="AR4" i="108" l="1"/>
  <c r="AS5" i="108"/>
  <c r="AR3" i="108"/>
  <c r="AS6" i="108"/>
  <c r="AR2" i="108"/>
  <c r="AG14" i="44"/>
  <c r="AB6" i="44"/>
  <c r="AA2" i="44"/>
  <c r="AK48" i="87"/>
  <c r="AJ49" i="87"/>
  <c r="K31" i="90"/>
  <c r="AI7" i="44"/>
  <c r="AH10" i="44"/>
  <c r="AH12" i="44"/>
  <c r="AH8" i="44"/>
  <c r="AH9" i="44"/>
  <c r="AH11" i="44"/>
  <c r="AB4" i="44"/>
  <c r="AB3" i="44"/>
  <c r="AC5" i="44"/>
  <c r="A53" i="93"/>
  <c r="D53" i="93"/>
  <c r="C52" i="93"/>
  <c r="AS4" i="108" l="1"/>
  <c r="AT5" i="108"/>
  <c r="AS3" i="108"/>
  <c r="AS2" i="108"/>
  <c r="AT6" i="108"/>
  <c r="AH14" i="44"/>
  <c r="AC6" i="44"/>
  <c r="AB2" i="44"/>
  <c r="K32" i="90"/>
  <c r="AJ7" i="44"/>
  <c r="AI9" i="44"/>
  <c r="AI11" i="44"/>
  <c r="AI10" i="44"/>
  <c r="AI12" i="44"/>
  <c r="AI8" i="44"/>
  <c r="AC3" i="44"/>
  <c r="AD5" i="44"/>
  <c r="AC4" i="44"/>
  <c r="A52" i="93"/>
  <c r="C51" i="93"/>
  <c r="D52" i="93"/>
  <c r="AL48" i="87"/>
  <c r="AK49" i="87"/>
  <c r="AT4" i="108" l="1"/>
  <c r="AT3" i="108"/>
  <c r="AU5" i="108"/>
  <c r="AT2" i="108"/>
  <c r="AU6" i="108"/>
  <c r="AI14" i="44"/>
  <c r="AC2" i="44"/>
  <c r="AD6" i="44"/>
  <c r="AK7" i="44"/>
  <c r="AJ10" i="44"/>
  <c r="AJ12" i="44"/>
  <c r="AJ9" i="44"/>
  <c r="AJ8" i="44"/>
  <c r="AJ11" i="44"/>
  <c r="K33" i="90"/>
  <c r="A51" i="93"/>
  <c r="D51" i="93"/>
  <c r="C50" i="93"/>
  <c r="AE5" i="44"/>
  <c r="AD3" i="44"/>
  <c r="AD4" i="44"/>
  <c r="AL49" i="87"/>
  <c r="AM48" i="87"/>
  <c r="AU4" i="108" l="1"/>
  <c r="AU3" i="108"/>
  <c r="AV5" i="108"/>
  <c r="AU2" i="108"/>
  <c r="AV6" i="108"/>
  <c r="AJ14" i="44"/>
  <c r="AE6" i="44"/>
  <c r="AD2" i="44"/>
  <c r="AF5" i="44"/>
  <c r="AE3" i="44"/>
  <c r="AE4" i="44"/>
  <c r="K34" i="90"/>
  <c r="A50" i="93"/>
  <c r="D50" i="93"/>
  <c r="C49" i="93"/>
  <c r="AN48" i="87"/>
  <c r="AM49" i="87"/>
  <c r="AL7" i="44"/>
  <c r="AK9" i="44"/>
  <c r="AK8" i="44"/>
  <c r="AK10" i="44"/>
  <c r="AK12" i="44"/>
  <c r="AK11" i="44"/>
  <c r="AV3" i="108" l="1"/>
  <c r="AV4" i="108"/>
  <c r="AW5" i="108"/>
  <c r="AV2" i="108"/>
  <c r="AW6" i="108"/>
  <c r="AK14" i="44"/>
  <c r="AE2" i="44"/>
  <c r="AF6" i="44"/>
  <c r="A49" i="93"/>
  <c r="C48" i="93"/>
  <c r="D49" i="93"/>
  <c r="AL10" i="44"/>
  <c r="AL9" i="44"/>
  <c r="D35" i="44" s="1"/>
  <c r="AL11" i="44"/>
  <c r="D37" i="44" s="1"/>
  <c r="AL8" i="44"/>
  <c r="AL12" i="44"/>
  <c r="D38" i="44" s="1"/>
  <c r="AF3" i="44"/>
  <c r="AG5" i="44"/>
  <c r="AF4" i="44"/>
  <c r="AO48" i="87"/>
  <c r="AN49" i="87"/>
  <c r="K35" i="90"/>
  <c r="AX5" i="108" l="1"/>
  <c r="AW3" i="108"/>
  <c r="AW4" i="108"/>
  <c r="AX6" i="108"/>
  <c r="AW2" i="108"/>
  <c r="AL14" i="44"/>
  <c r="AF2" i="44"/>
  <c r="AG6" i="44"/>
  <c r="AG3" i="44"/>
  <c r="AH5" i="44"/>
  <c r="AG4" i="44"/>
  <c r="AP48" i="87"/>
  <c r="AO49" i="87"/>
  <c r="K36" i="90"/>
  <c r="A48" i="93"/>
  <c r="C47" i="93"/>
  <c r="D48" i="93"/>
  <c r="AY5" i="108" l="1"/>
  <c r="AX3" i="108"/>
  <c r="AX4" i="108"/>
  <c r="AY6" i="108"/>
  <c r="AX2" i="108"/>
  <c r="AG2" i="44"/>
  <c r="AH6" i="44"/>
  <c r="A47" i="93"/>
  <c r="D47" i="93"/>
  <c r="C46" i="93"/>
  <c r="AQ48" i="87"/>
  <c r="AP49" i="87"/>
  <c r="AH3" i="44"/>
  <c r="AI5" i="44"/>
  <c r="AH4" i="44"/>
  <c r="K37" i="90"/>
  <c r="AZ5" i="108" l="1"/>
  <c r="AY3" i="108"/>
  <c r="AY4" i="108"/>
  <c r="AY2" i="108"/>
  <c r="AZ6" i="108"/>
  <c r="AI6" i="44"/>
  <c r="AH2" i="44"/>
  <c r="K38" i="90"/>
  <c r="AR48" i="87"/>
  <c r="AQ49" i="87"/>
  <c r="A46" i="93"/>
  <c r="D46" i="93"/>
  <c r="C45" i="93"/>
  <c r="AI4" i="44"/>
  <c r="AJ5" i="44"/>
  <c r="AI3" i="44"/>
  <c r="BA5" i="108" l="1"/>
  <c r="AZ3" i="108"/>
  <c r="AZ4" i="108"/>
  <c r="BA6" i="108"/>
  <c r="AZ2" i="108"/>
  <c r="AI2" i="44"/>
  <c r="AJ6" i="44"/>
  <c r="A45" i="93"/>
  <c r="D45" i="93"/>
  <c r="C44" i="93"/>
  <c r="AJ3" i="44"/>
  <c r="AK5" i="44"/>
  <c r="AJ4" i="44"/>
  <c r="K39" i="90"/>
  <c r="AS48" i="87"/>
  <c r="AR49" i="87"/>
  <c r="BA4" i="108" l="1"/>
  <c r="BA3" i="108"/>
  <c r="BB5" i="108"/>
  <c r="BA2" i="108"/>
  <c r="BB6" i="108"/>
  <c r="AJ2" i="44"/>
  <c r="AK6" i="44"/>
  <c r="AK4" i="44"/>
  <c r="AL5" i="44"/>
  <c r="AK3" i="44"/>
  <c r="A44" i="93"/>
  <c r="D44" i="93"/>
  <c r="C43" i="93"/>
  <c r="AT48" i="87"/>
  <c r="AS49" i="87"/>
  <c r="K40" i="90"/>
  <c r="BB4" i="108" l="1"/>
  <c r="BB3" i="108"/>
  <c r="BC5" i="108"/>
  <c r="BB2" i="108"/>
  <c r="BC6" i="108"/>
  <c r="AL6" i="44"/>
  <c r="AK2" i="44"/>
  <c r="A43" i="93"/>
  <c r="C42" i="93"/>
  <c r="D43" i="93"/>
  <c r="AL4" i="44"/>
  <c r="AM5" i="44"/>
  <c r="AL3" i="44"/>
  <c r="AU48" i="87"/>
  <c r="AT49" i="87"/>
  <c r="K41" i="90"/>
  <c r="BC4" i="108" l="1"/>
  <c r="BD5" i="108"/>
  <c r="BC3" i="108"/>
  <c r="BC2" i="108"/>
  <c r="BD6" i="108"/>
  <c r="AM6" i="44"/>
  <c r="AL2" i="44"/>
  <c r="AN5" i="44"/>
  <c r="AM4" i="44"/>
  <c r="AM3" i="44"/>
  <c r="K42" i="90"/>
  <c r="A42" i="93"/>
  <c r="D42" i="93"/>
  <c r="C41" i="93"/>
  <c r="AV48" i="87"/>
  <c r="AU49" i="87"/>
  <c r="BD3" i="108" l="1"/>
  <c r="BE5" i="108"/>
  <c r="BD4" i="108"/>
  <c r="BD2" i="108"/>
  <c r="BE6" i="108"/>
  <c r="AM2" i="44"/>
  <c r="AN6" i="44"/>
  <c r="K43" i="90"/>
  <c r="A41" i="93"/>
  <c r="D41" i="93"/>
  <c r="C40" i="93"/>
  <c r="AV49" i="87"/>
  <c r="AW48" i="87"/>
  <c r="AN3" i="44"/>
  <c r="AN4" i="44"/>
  <c r="AO5" i="44"/>
  <c r="BE3" i="108" l="1"/>
  <c r="BE4" i="108"/>
  <c r="BF5" i="108"/>
  <c r="BF6" i="108"/>
  <c r="BE2" i="108"/>
  <c r="AO6" i="44"/>
  <c r="AN2" i="44"/>
  <c r="AX48" i="87"/>
  <c r="AW49" i="87"/>
  <c r="AO4" i="44"/>
  <c r="AO3" i="44"/>
  <c r="AP5" i="44"/>
  <c r="A40" i="93"/>
  <c r="C39" i="93"/>
  <c r="D40" i="93"/>
  <c r="BG5" i="108" l="1"/>
  <c r="BF3" i="108"/>
  <c r="BF4" i="108"/>
  <c r="BG6" i="108"/>
  <c r="BF2" i="108"/>
  <c r="AP6" i="44"/>
  <c r="AO2" i="44"/>
  <c r="AP3" i="44"/>
  <c r="AQ5" i="44"/>
  <c r="AP4" i="44"/>
  <c r="K45" i="90"/>
  <c r="A39" i="93"/>
  <c r="C38" i="93"/>
  <c r="D39" i="93"/>
  <c r="AX49" i="87"/>
  <c r="AY48" i="87"/>
  <c r="BG3" i="108" l="1"/>
  <c r="BH5" i="108"/>
  <c r="BG4" i="108"/>
  <c r="BH6" i="108"/>
  <c r="BG2" i="108"/>
  <c r="AQ6" i="44"/>
  <c r="AP2" i="44"/>
  <c r="A38" i="93"/>
  <c r="D38" i="93"/>
  <c r="C37" i="93"/>
  <c r="AZ48" i="87"/>
  <c r="AY49" i="87"/>
  <c r="AQ4" i="44"/>
  <c r="AR5" i="44"/>
  <c r="AQ3" i="44"/>
  <c r="K46" i="90"/>
  <c r="BH3" i="108" l="1"/>
  <c r="BI5" i="108"/>
  <c r="BH4" i="108"/>
  <c r="BI6" i="108"/>
  <c r="BH2" i="108"/>
  <c r="AQ2" i="44"/>
  <c r="AR6" i="44"/>
  <c r="BA48" i="87"/>
  <c r="AZ49" i="87"/>
  <c r="A37" i="93"/>
  <c r="C36" i="93"/>
  <c r="D37" i="93"/>
  <c r="AR4" i="44"/>
  <c r="AS5" i="44"/>
  <c r="AR3" i="44"/>
  <c r="BJ5" i="108" l="1"/>
  <c r="BI4" i="108"/>
  <c r="BI3" i="108"/>
  <c r="BI2" i="108"/>
  <c r="BJ6" i="108"/>
  <c r="AS6" i="44"/>
  <c r="AR2" i="44"/>
  <c r="BB48" i="87"/>
  <c r="BB49" i="87" s="1"/>
  <c r="BA49" i="87"/>
  <c r="AS4" i="44"/>
  <c r="AS3" i="44"/>
  <c r="AT5" i="44"/>
  <c r="A36" i="93"/>
  <c r="C35" i="93"/>
  <c r="D36" i="93"/>
  <c r="K48" i="90"/>
  <c r="BJ4" i="108" l="1"/>
  <c r="BJ3" i="108"/>
  <c r="BK5" i="108"/>
  <c r="BJ2" i="108"/>
  <c r="BK6" i="108"/>
  <c r="AS2" i="44"/>
  <c r="AT6" i="44"/>
  <c r="AH55" i="90"/>
  <c r="AH57" i="90" s="1"/>
  <c r="V55" i="90"/>
  <c r="V57" i="90" s="1"/>
  <c r="AU5" i="44"/>
  <c r="AT4" i="44"/>
  <c r="AT3" i="44"/>
  <c r="P55" i="90"/>
  <c r="P57" i="90" s="1"/>
  <c r="AB55" i="90"/>
  <c r="AB57" i="90" s="1"/>
  <c r="A35" i="93"/>
  <c r="C34" i="93"/>
  <c r="D35" i="93"/>
  <c r="BK4" i="108" l="1"/>
  <c r="BK3" i="108"/>
  <c r="BL5" i="108"/>
  <c r="BK2" i="108"/>
  <c r="BL6" i="108"/>
  <c r="AT2" i="44"/>
  <c r="AU6" i="44"/>
  <c r="K49" i="90"/>
  <c r="J55" i="90"/>
  <c r="J57" i="90" s="1"/>
  <c r="AU3" i="44"/>
  <c r="AU4" i="44"/>
  <c r="AV5" i="44"/>
  <c r="A34" i="93"/>
  <c r="D34" i="93"/>
  <c r="C33" i="93"/>
  <c r="W55" i="90"/>
  <c r="W57" i="90" s="1"/>
  <c r="V2" i="90"/>
  <c r="V3" i="90"/>
  <c r="Q55" i="90"/>
  <c r="P2" i="90"/>
  <c r="P3" i="90"/>
  <c r="AC55" i="90"/>
  <c r="AC57" i="90" s="1"/>
  <c r="AB2" i="90"/>
  <c r="AB3" i="90"/>
  <c r="AI55" i="90"/>
  <c r="AI57" i="90" s="1"/>
  <c r="AH2" i="90"/>
  <c r="AH3" i="90"/>
  <c r="BL4" i="108" l="1"/>
  <c r="BM5" i="108"/>
  <c r="BL3" i="108"/>
  <c r="BL2" i="108"/>
  <c r="BM6" i="108"/>
  <c r="Q57" i="90"/>
  <c r="Q61" i="90"/>
  <c r="AU2" i="44"/>
  <c r="AV6" i="44"/>
  <c r="A33" i="93"/>
  <c r="D33" i="93"/>
  <c r="C32" i="93"/>
  <c r="AV3" i="44"/>
  <c r="AV4" i="44"/>
  <c r="AW5" i="44"/>
  <c r="J1" i="90"/>
  <c r="K55" i="90"/>
  <c r="J2" i="90"/>
  <c r="J3" i="90"/>
  <c r="BM4" i="108" l="1"/>
  <c r="BM3" i="108"/>
  <c r="BN5" i="108"/>
  <c r="BN6" i="108"/>
  <c r="BN2" i="108" s="1"/>
  <c r="BM2" i="108"/>
  <c r="K57" i="90"/>
  <c r="K61" i="90"/>
  <c r="AW6" i="44"/>
  <c r="AV2" i="44"/>
  <c r="A32" i="93"/>
  <c r="D32" i="93"/>
  <c r="C31" i="93"/>
  <c r="AW3" i="44"/>
  <c r="AW4" i="44"/>
  <c r="AX5" i="44"/>
  <c r="L83" i="108" l="1"/>
  <c r="L76" i="108"/>
  <c r="K82" i="108"/>
  <c r="H83" i="108"/>
  <c r="L79" i="108"/>
  <c r="H82" i="108"/>
  <c r="I82" i="108"/>
  <c r="L77" i="108"/>
  <c r="L81" i="108"/>
  <c r="G82" i="108"/>
  <c r="J81" i="108"/>
  <c r="L80" i="108"/>
  <c r="J83" i="108"/>
  <c r="G83" i="108"/>
  <c r="L78" i="108"/>
  <c r="I83" i="108"/>
  <c r="H81" i="108"/>
  <c r="I81" i="108"/>
  <c r="J82" i="108"/>
  <c r="G81" i="108"/>
  <c r="L82" i="108"/>
  <c r="K83" i="108"/>
  <c r="K81" i="108"/>
  <c r="I76" i="108"/>
  <c r="J76" i="108"/>
  <c r="H80" i="108"/>
  <c r="J78" i="108"/>
  <c r="K76" i="108"/>
  <c r="G79" i="108"/>
  <c r="J79" i="108"/>
  <c r="I80" i="108"/>
  <c r="H77" i="108"/>
  <c r="I78" i="108"/>
  <c r="K77" i="108"/>
  <c r="I77" i="108"/>
  <c r="H78" i="108"/>
  <c r="K80" i="108"/>
  <c r="H79" i="108"/>
  <c r="J80" i="108"/>
  <c r="G76" i="108"/>
  <c r="I79" i="108"/>
  <c r="G80" i="108"/>
  <c r="K79" i="108"/>
  <c r="H76" i="108"/>
  <c r="K78" i="108"/>
  <c r="G78" i="108"/>
  <c r="G77" i="108"/>
  <c r="J77" i="108"/>
  <c r="BN3" i="108"/>
  <c r="BN4" i="108"/>
  <c r="AX6" i="44"/>
  <c r="AW2" i="44"/>
  <c r="AX4" i="44"/>
  <c r="AY5" i="44"/>
  <c r="AX3" i="44"/>
  <c r="A31" i="93"/>
  <c r="C30" i="93"/>
  <c r="D31" i="93"/>
  <c r="H61" i="108" l="1"/>
  <c r="H66" i="108"/>
  <c r="H59" i="108"/>
  <c r="H60" i="108"/>
  <c r="H56" i="108"/>
  <c r="H55" i="108"/>
  <c r="H57" i="108"/>
  <c r="H54" i="108"/>
  <c r="I57" i="108"/>
  <c r="I55" i="108"/>
  <c r="H62" i="108"/>
  <c r="I54" i="108"/>
  <c r="I59" i="108"/>
  <c r="I65" i="108"/>
  <c r="H65" i="108"/>
  <c r="I64" i="108"/>
  <c r="I56" i="108"/>
  <c r="H67" i="108"/>
  <c r="I66" i="108"/>
  <c r="I67" i="108"/>
  <c r="H63" i="108"/>
  <c r="H64" i="108"/>
  <c r="I63" i="108"/>
  <c r="I62" i="108"/>
  <c r="H58" i="108"/>
  <c r="I60" i="108"/>
  <c r="I61" i="108"/>
  <c r="I58" i="108"/>
  <c r="J54" i="108"/>
  <c r="J65" i="108"/>
  <c r="J60" i="108"/>
  <c r="J66" i="108"/>
  <c r="J63" i="108"/>
  <c r="K56" i="108"/>
  <c r="J59" i="108"/>
  <c r="J61" i="108"/>
  <c r="J67" i="108"/>
  <c r="J58" i="108"/>
  <c r="J64" i="108"/>
  <c r="J57" i="108"/>
  <c r="J62" i="108"/>
  <c r="J55" i="108"/>
  <c r="J56" i="108"/>
  <c r="K63" i="108"/>
  <c r="K64" i="108"/>
  <c r="K59" i="108"/>
  <c r="K58" i="108"/>
  <c r="K60" i="108"/>
  <c r="K66" i="108"/>
  <c r="K62" i="108"/>
  <c r="K55" i="108"/>
  <c r="K67" i="108"/>
  <c r="K57" i="108"/>
  <c r="K54" i="108"/>
  <c r="K65" i="108"/>
  <c r="K61" i="108"/>
  <c r="G67" i="108"/>
  <c r="G63" i="108"/>
  <c r="G61" i="108"/>
  <c r="G66" i="108"/>
  <c r="G65" i="108"/>
  <c r="G62" i="108"/>
  <c r="G60" i="108"/>
  <c r="G58" i="108"/>
  <c r="G55" i="108"/>
  <c r="G56" i="108"/>
  <c r="G64" i="108"/>
  <c r="G57" i="108"/>
  <c r="G59" i="108"/>
  <c r="G54" i="108"/>
  <c r="L85" i="108"/>
  <c r="G53" i="108"/>
  <c r="K53" i="108"/>
  <c r="J53" i="108"/>
  <c r="I53" i="108"/>
  <c r="H53" i="108"/>
  <c r="G85" i="108"/>
  <c r="I85" i="108"/>
  <c r="H85" i="108"/>
  <c r="K85" i="108"/>
  <c r="J85" i="108"/>
  <c r="AY6" i="44"/>
  <c r="AX2" i="44"/>
  <c r="A30" i="93"/>
  <c r="D30" i="93"/>
  <c r="C29" i="93"/>
  <c r="AY4" i="44"/>
  <c r="AY3" i="44"/>
  <c r="AZ5" i="44"/>
  <c r="H70" i="108" l="1"/>
  <c r="G70" i="108"/>
  <c r="K70" i="108"/>
  <c r="I70" i="108"/>
  <c r="J70" i="108"/>
  <c r="AZ6" i="44"/>
  <c r="AY2" i="44"/>
  <c r="AZ3" i="44"/>
  <c r="AZ4" i="44"/>
  <c r="BA5" i="44"/>
  <c r="A29" i="93"/>
  <c r="C28" i="93"/>
  <c r="D29" i="93"/>
  <c r="BA6" i="44" l="1"/>
  <c r="AZ2" i="44"/>
  <c r="A28" i="93"/>
  <c r="D28" i="93"/>
  <c r="C27" i="93"/>
  <c r="BA4" i="44"/>
  <c r="BA3" i="44"/>
  <c r="BB5" i="44"/>
  <c r="BB6" i="44" l="1"/>
  <c r="BA2" i="44"/>
  <c r="BB4" i="44"/>
  <c r="BC5" i="44"/>
  <c r="BB3" i="44"/>
  <c r="A27" i="93"/>
  <c r="C26" i="93"/>
  <c r="D27" i="93"/>
  <c r="BC6" i="44" l="1"/>
  <c r="BB2" i="44"/>
  <c r="A26" i="93"/>
  <c r="D26" i="93"/>
  <c r="C25" i="93"/>
  <c r="BC3" i="44"/>
  <c r="BC4" i="44"/>
  <c r="BD5" i="44"/>
  <c r="BD6" i="44" l="1"/>
  <c r="BC2" i="44"/>
  <c r="BD4" i="44"/>
  <c r="BD3" i="44"/>
  <c r="BE5" i="44"/>
  <c r="A25" i="93"/>
  <c r="C24" i="93"/>
  <c r="D25" i="93"/>
  <c r="BE6" i="44" l="1"/>
  <c r="BD2" i="44"/>
  <c r="BE3" i="44"/>
  <c r="BE4" i="44"/>
  <c r="BF5" i="44"/>
  <c r="A24" i="93"/>
  <c r="C23" i="93"/>
  <c r="D24" i="93"/>
  <c r="BE2" i="44" l="1"/>
  <c r="BF6" i="44"/>
  <c r="A23" i="93"/>
  <c r="C22" i="93"/>
  <c r="D23" i="93"/>
  <c r="BG5" i="44"/>
  <c r="BF4" i="44"/>
  <c r="BF3" i="44"/>
  <c r="BG6" i="44" l="1"/>
  <c r="BF2" i="44"/>
  <c r="BG4" i="44"/>
  <c r="BH5" i="44"/>
  <c r="BG3" i="44"/>
  <c r="A22" i="93"/>
  <c r="D22" i="93"/>
  <c r="C21" i="93"/>
  <c r="BG2" i="44" l="1"/>
  <c r="BH6" i="44"/>
  <c r="A21" i="93"/>
  <c r="C20" i="93"/>
  <c r="D21" i="93"/>
  <c r="BH3" i="44"/>
  <c r="BI5" i="44"/>
  <c r="BH4" i="44"/>
  <c r="BI6" i="44" l="1"/>
  <c r="BH2" i="44"/>
  <c r="BJ5" i="44"/>
  <c r="BI3" i="44"/>
  <c r="BI4" i="44"/>
  <c r="A20" i="93"/>
  <c r="C19" i="93"/>
  <c r="D20" i="93"/>
  <c r="BJ6" i="44" l="1"/>
  <c r="BJ2" i="44" s="1"/>
  <c r="BI2" i="44"/>
  <c r="F46" i="44" s="1"/>
  <c r="A19" i="93"/>
  <c r="C18" i="93"/>
  <c r="D19" i="93"/>
  <c r="BJ3" i="44"/>
  <c r="BJ4" i="44"/>
  <c r="E47" i="44" l="1"/>
  <c r="E48" i="44"/>
  <c r="F50" i="44"/>
  <c r="G49" i="44"/>
  <c r="D48" i="44"/>
  <c r="D49" i="44"/>
  <c r="C50" i="44"/>
  <c r="C49" i="44"/>
  <c r="C46" i="44"/>
  <c r="D46" i="44"/>
  <c r="D47" i="44"/>
  <c r="D50" i="44"/>
  <c r="C47" i="44"/>
  <c r="C48" i="44"/>
  <c r="G46" i="44"/>
  <c r="F49" i="44"/>
  <c r="G48" i="44"/>
  <c r="G50" i="44"/>
  <c r="E49" i="44"/>
  <c r="E46" i="44"/>
  <c r="E50" i="44"/>
  <c r="F47" i="44"/>
  <c r="G47" i="44"/>
  <c r="F48" i="44"/>
  <c r="G21" i="44"/>
  <c r="G23" i="44"/>
  <c r="H25" i="44"/>
  <c r="I24" i="44"/>
  <c r="H21" i="44"/>
  <c r="I23" i="44"/>
  <c r="H24" i="44"/>
  <c r="I22" i="44"/>
  <c r="I25" i="44"/>
  <c r="H22" i="44"/>
  <c r="J23" i="44"/>
  <c r="H23" i="44"/>
  <c r="K21" i="44"/>
  <c r="K23" i="44"/>
  <c r="K25" i="44"/>
  <c r="I21" i="44"/>
  <c r="J25" i="44"/>
  <c r="J22" i="44"/>
  <c r="J24" i="44"/>
  <c r="K24" i="44"/>
  <c r="K22" i="44"/>
  <c r="L23" i="44"/>
  <c r="J21" i="44"/>
  <c r="M24" i="44"/>
  <c r="M25" i="44"/>
  <c r="L21" i="44"/>
  <c r="N25" i="44"/>
  <c r="L24" i="44"/>
  <c r="P24" i="44"/>
  <c r="N21" i="44"/>
  <c r="L25" i="44"/>
  <c r="L22" i="44"/>
  <c r="M23" i="44"/>
  <c r="N23" i="44"/>
  <c r="M22" i="44"/>
  <c r="N24" i="44"/>
  <c r="N22" i="44"/>
  <c r="M21" i="44"/>
  <c r="Q23" i="44"/>
  <c r="O23" i="44"/>
  <c r="O21" i="44"/>
  <c r="O25" i="44"/>
  <c r="O22" i="44"/>
  <c r="P25" i="44"/>
  <c r="Q21" i="44"/>
  <c r="O24" i="44"/>
  <c r="S24" i="44"/>
  <c r="R23" i="44"/>
  <c r="P21" i="44"/>
  <c r="P23" i="44"/>
  <c r="Q22" i="44"/>
  <c r="Q25" i="44"/>
  <c r="Q24" i="44"/>
  <c r="P22" i="44"/>
  <c r="R21" i="44"/>
  <c r="T21" i="44"/>
  <c r="S25" i="44"/>
  <c r="S23" i="44"/>
  <c r="R22" i="44"/>
  <c r="R25" i="44"/>
  <c r="U23" i="44"/>
  <c r="S21" i="44"/>
  <c r="S22" i="44"/>
  <c r="T22" i="44"/>
  <c r="R24" i="44"/>
  <c r="T23" i="44"/>
  <c r="V25" i="44"/>
  <c r="T25" i="44"/>
  <c r="U21" i="44"/>
  <c r="T24" i="44"/>
  <c r="U22" i="44"/>
  <c r="U24" i="44"/>
  <c r="U25" i="44"/>
  <c r="V22" i="44"/>
  <c r="V23" i="44"/>
  <c r="V21" i="44"/>
  <c r="V24" i="44"/>
  <c r="F38" i="44"/>
  <c r="E34" i="44"/>
  <c r="D36" i="44"/>
  <c r="D34" i="44"/>
  <c r="G35" i="44"/>
  <c r="F34" i="44"/>
  <c r="G34" i="44"/>
  <c r="F35" i="44"/>
  <c r="E35" i="44"/>
  <c r="G38" i="44"/>
  <c r="G37" i="44"/>
  <c r="E36" i="44"/>
  <c r="F36" i="44"/>
  <c r="E37" i="44"/>
  <c r="E38" i="44"/>
  <c r="F37" i="44"/>
  <c r="G36" i="44"/>
  <c r="A18" i="93"/>
  <c r="D18" i="93"/>
  <c r="C17" i="93"/>
  <c r="D52" i="44" l="1"/>
  <c r="F52" i="44"/>
  <c r="C52" i="44"/>
  <c r="G52" i="44"/>
  <c r="E52" i="44"/>
  <c r="F40" i="44"/>
  <c r="D40" i="44"/>
  <c r="G27" i="44"/>
  <c r="E40" i="44"/>
  <c r="R27" i="44"/>
  <c r="J27" i="44"/>
  <c r="T27" i="44"/>
  <c r="S27" i="44"/>
  <c r="M27" i="44"/>
  <c r="N27" i="44"/>
  <c r="I27" i="44"/>
  <c r="U27" i="44"/>
  <c r="Q27" i="44"/>
  <c r="K27" i="44"/>
  <c r="H27" i="44"/>
  <c r="G40" i="44"/>
  <c r="V27" i="44"/>
  <c r="L27" i="44"/>
  <c r="P27" i="44"/>
  <c r="O27" i="44"/>
  <c r="A17" i="93"/>
  <c r="D17" i="93"/>
  <c r="C16" i="93"/>
  <c r="N28" i="44" l="1"/>
  <c r="V28" i="44"/>
  <c r="R28" i="44"/>
  <c r="J28" i="44"/>
  <c r="A16" i="93"/>
  <c r="D16" i="93"/>
  <c r="C15" i="93"/>
  <c r="A15" i="93" l="1"/>
  <c r="C14" i="93"/>
  <c r="D15" i="93"/>
  <c r="A14" i="93" l="1"/>
  <c r="D14" i="93"/>
  <c r="C13" i="93"/>
  <c r="A13" i="93" l="1"/>
  <c r="V53" i="92"/>
  <c r="U53" i="92" s="1"/>
  <c r="Y53" i="92" s="1"/>
  <c r="V41" i="92"/>
  <c r="U41" i="92" s="1"/>
  <c r="Y41" i="92" s="1"/>
  <c r="V50" i="92"/>
  <c r="U50" i="92" s="1"/>
  <c r="Y50" i="92" s="1"/>
  <c r="W52" i="92"/>
  <c r="W36" i="92"/>
  <c r="W20" i="92"/>
  <c r="W61" i="92"/>
  <c r="W45" i="92"/>
  <c r="W29" i="92"/>
  <c r="W13" i="92"/>
  <c r="W48" i="92"/>
  <c r="W30" i="92"/>
  <c r="W12" i="92"/>
  <c r="W51" i="92"/>
  <c r="W33" i="92"/>
  <c r="W15" i="92"/>
  <c r="D13" i="93"/>
  <c r="W46" i="92"/>
  <c r="W28" i="92"/>
  <c r="W10" i="92"/>
  <c r="W49" i="92"/>
  <c r="W31" i="92"/>
  <c r="W11" i="92"/>
  <c r="W62" i="92"/>
  <c r="W44" i="92"/>
  <c r="W26" i="92"/>
  <c r="W8" i="92"/>
  <c r="W47" i="92"/>
  <c r="W27" i="92"/>
  <c r="W9" i="92"/>
  <c r="W60" i="92"/>
  <c r="W42" i="92"/>
  <c r="W24" i="92"/>
  <c r="W63" i="92"/>
  <c r="W43" i="92"/>
  <c r="W25" i="92"/>
  <c r="W7" i="92"/>
  <c r="W58" i="92"/>
  <c r="W40" i="92"/>
  <c r="W22" i="92"/>
  <c r="W59" i="92"/>
  <c r="W41" i="92"/>
  <c r="W23" i="92"/>
  <c r="W54" i="92"/>
  <c r="W34" i="92"/>
  <c r="W16" i="92"/>
  <c r="W55" i="92"/>
  <c r="W37" i="92"/>
  <c r="W19" i="92"/>
  <c r="W50" i="92"/>
  <c r="W32" i="92"/>
  <c r="W14" i="92"/>
  <c r="W53" i="92"/>
  <c r="W35" i="92"/>
  <c r="W17" i="92"/>
  <c r="W57" i="92"/>
  <c r="W39" i="92"/>
  <c r="W21" i="92"/>
  <c r="W56" i="92"/>
  <c r="W38" i="92"/>
  <c r="W18" i="92"/>
  <c r="V5" i="92"/>
  <c r="U5" i="92" s="1"/>
  <c r="Y5" i="92" s="1"/>
  <c r="V63" i="92"/>
  <c r="U63" i="92" s="1"/>
  <c r="Y63" i="92" s="1"/>
  <c r="V21" i="92"/>
  <c r="U21" i="92" s="1"/>
  <c r="Y21" i="92" s="1"/>
  <c r="V61" i="92"/>
  <c r="U61" i="92" s="1"/>
  <c r="Y61" i="92" s="1"/>
  <c r="V44" i="92"/>
  <c r="U44" i="92" s="1"/>
  <c r="Y44" i="92" s="1"/>
  <c r="V59" i="92"/>
  <c r="U59" i="92" s="1"/>
  <c r="Y59" i="92" s="1"/>
  <c r="V7" i="92"/>
  <c r="U7" i="92" s="1"/>
  <c r="V48" i="92"/>
  <c r="U48" i="92" s="1"/>
  <c r="Y48" i="92" s="1"/>
  <c r="V4" i="92"/>
  <c r="U4" i="92" s="1"/>
  <c r="Y4" i="92" s="1"/>
  <c r="V52" i="92"/>
  <c r="U52" i="92" s="1"/>
  <c r="Y52" i="92" s="1"/>
  <c r="V8" i="92"/>
  <c r="U8" i="92" s="1"/>
  <c r="Y8" i="92" s="1"/>
  <c r="V6" i="92"/>
  <c r="U6" i="92" s="1"/>
  <c r="Y6" i="92" s="1"/>
  <c r="V3" i="92"/>
  <c r="U3" i="92" s="1"/>
  <c r="Y3" i="92" s="1"/>
  <c r="V34" i="92"/>
  <c r="U34" i="92" s="1"/>
  <c r="Y34" i="92" s="1"/>
  <c r="V46" i="92"/>
  <c r="U46" i="92" s="1"/>
  <c r="Y46" i="92" s="1"/>
  <c r="V58" i="92"/>
  <c r="U58" i="92" s="1"/>
  <c r="Y58" i="92" s="1"/>
  <c r="V28" i="92"/>
  <c r="U28" i="92" s="1"/>
  <c r="Y28" i="92" s="1"/>
  <c r="V38" i="92"/>
  <c r="U38" i="92" s="1"/>
  <c r="Y38" i="92" s="1"/>
  <c r="V60" i="92"/>
  <c r="U60" i="92" s="1"/>
  <c r="Y60" i="92" s="1"/>
  <c r="V18" i="92"/>
  <c r="U18" i="92" s="1"/>
  <c r="Y18" i="92" s="1"/>
  <c r="V54" i="92"/>
  <c r="U54" i="92" s="1"/>
  <c r="Y54" i="92" s="1"/>
  <c r="V35" i="92"/>
  <c r="U35" i="92" s="1"/>
  <c r="Y35" i="92" s="1"/>
  <c r="V9" i="92"/>
  <c r="U9" i="92" s="1"/>
  <c r="Y9" i="92" s="1"/>
  <c r="V40" i="92"/>
  <c r="U40" i="92" s="1"/>
  <c r="Y40" i="92" s="1"/>
  <c r="V15" i="92"/>
  <c r="U15" i="92" s="1"/>
  <c r="Y15" i="92" s="1"/>
  <c r="V23" i="92"/>
  <c r="U23" i="92" s="1"/>
  <c r="Y23" i="92" s="1"/>
  <c r="V51" i="92"/>
  <c r="U51" i="92" s="1"/>
  <c r="Y51" i="92" s="1"/>
  <c r="V43" i="92"/>
  <c r="U43" i="92" s="1"/>
  <c r="Y43" i="92" s="1"/>
  <c r="V14" i="92"/>
  <c r="U14" i="92" s="1"/>
  <c r="Y14" i="92" s="1"/>
  <c r="V55" i="92"/>
  <c r="U55" i="92" s="1"/>
  <c r="Y55" i="92" s="1"/>
  <c r="V39" i="92"/>
  <c r="U39" i="92" s="1"/>
  <c r="Y39" i="92" s="1"/>
  <c r="V45" i="92"/>
  <c r="U45" i="92" s="1"/>
  <c r="Y45" i="92" s="1"/>
  <c r="V62" i="92"/>
  <c r="U62" i="92" s="1"/>
  <c r="Y62" i="92" s="1"/>
  <c r="V42" i="92"/>
  <c r="U42" i="92" s="1"/>
  <c r="Y42" i="92" s="1"/>
  <c r="V24" i="92"/>
  <c r="U24" i="92" s="1"/>
  <c r="Y24" i="92" s="1"/>
  <c r="V56" i="92"/>
  <c r="U56" i="92" s="1"/>
  <c r="Y56" i="92" s="1"/>
  <c r="X53" i="92" l="1"/>
  <c r="X40" i="92"/>
  <c r="X8" i="92"/>
  <c r="X47" i="92"/>
  <c r="X15" i="92"/>
  <c r="X50" i="92"/>
  <c r="X18" i="92"/>
  <c r="X17" i="92"/>
  <c r="X33" i="92"/>
  <c r="X32" i="92"/>
  <c r="X21" i="92"/>
  <c r="X31" i="92"/>
  <c r="X62" i="92"/>
  <c r="X26" i="92"/>
  <c r="X49" i="92"/>
  <c r="X9" i="92"/>
  <c r="X28" i="92"/>
  <c r="X63" i="92"/>
  <c r="X27" i="92"/>
  <c r="X58" i="92"/>
  <c r="X22" i="92"/>
  <c r="X60" i="92"/>
  <c r="X24" i="92"/>
  <c r="X59" i="92"/>
  <c r="X23" i="92"/>
  <c r="X54" i="92"/>
  <c r="X14" i="92"/>
  <c r="X56" i="92"/>
  <c r="X20" i="92"/>
  <c r="X55" i="92"/>
  <c r="X19" i="92"/>
  <c r="X46" i="92"/>
  <c r="X10" i="92"/>
  <c r="X52" i="92"/>
  <c r="X16" i="92"/>
  <c r="X51" i="92"/>
  <c r="X11" i="92"/>
  <c r="X42" i="92"/>
  <c r="X61" i="92"/>
  <c r="X44" i="92"/>
  <c r="X57" i="92"/>
  <c r="X39" i="92"/>
  <c r="X45" i="92"/>
  <c r="X34" i="92"/>
  <c r="X25" i="92"/>
  <c r="X36" i="92"/>
  <c r="X37" i="92"/>
  <c r="X35" i="92"/>
  <c r="X29" i="92"/>
  <c r="X30" i="92"/>
  <c r="X13" i="92"/>
  <c r="X38" i="92"/>
  <c r="X41" i="92"/>
  <c r="X48" i="92"/>
  <c r="X12" i="92"/>
  <c r="X43" i="92"/>
  <c r="X7" i="92"/>
  <c r="V49" i="92"/>
  <c r="U49" i="92" s="1"/>
  <c r="Y49" i="92" s="1"/>
  <c r="V25" i="92"/>
  <c r="U25" i="92" s="1"/>
  <c r="Y25" i="92" s="1"/>
  <c r="V10" i="92"/>
  <c r="U10" i="92" s="1"/>
  <c r="Y10" i="92" s="1"/>
  <c r="V11" i="92"/>
  <c r="U11" i="92" s="1"/>
  <c r="Y11" i="92" s="1"/>
  <c r="V29" i="92"/>
  <c r="U29" i="92" s="1"/>
  <c r="Y29" i="92" s="1"/>
  <c r="V37" i="92"/>
  <c r="U37" i="92" s="1"/>
  <c r="Y37" i="92" s="1"/>
  <c r="V20" i="92"/>
  <c r="U20" i="92" s="1"/>
  <c r="Y20" i="92" s="1"/>
  <c r="V12" i="92"/>
  <c r="U12" i="92" s="1"/>
  <c r="Y12" i="92" s="1"/>
  <c r="V36" i="92"/>
  <c r="U36" i="92" s="1"/>
  <c r="Y36" i="92" s="1"/>
  <c r="V30" i="92"/>
  <c r="U30" i="92" s="1"/>
  <c r="Y30" i="92" s="1"/>
  <c r="V27" i="92"/>
  <c r="U27" i="92" s="1"/>
  <c r="Y27" i="92" s="1"/>
  <c r="V32" i="92"/>
  <c r="U32" i="92" s="1"/>
  <c r="Y32" i="92" s="1"/>
  <c r="Y7" i="92"/>
  <c r="V57" i="92"/>
  <c r="U57" i="92" s="1"/>
  <c r="Y57" i="92" s="1"/>
  <c r="V47" i="92"/>
  <c r="U47" i="92" s="1"/>
  <c r="Y47" i="92" s="1"/>
  <c r="V22" i="92"/>
  <c r="U22" i="92" s="1"/>
  <c r="Y22" i="92" s="1"/>
  <c r="V33" i="92"/>
  <c r="U33" i="92" s="1"/>
  <c r="Y33" i="92" s="1"/>
  <c r="V17" i="92"/>
  <c r="U17" i="92" s="1"/>
  <c r="Y17" i="92" s="1"/>
  <c r="V13" i="92"/>
  <c r="U13" i="92" s="1"/>
  <c r="Y13" i="92" s="1"/>
  <c r="V26" i="92"/>
  <c r="U26" i="92" s="1"/>
  <c r="Y26" i="92" s="1"/>
  <c r="V16" i="92"/>
  <c r="U16" i="92" s="1"/>
  <c r="Y16" i="92" s="1"/>
  <c r="V31" i="92"/>
  <c r="U31" i="92" s="1"/>
  <c r="Y31" i="92" s="1"/>
  <c r="V19" i="92"/>
  <c r="U19" i="92" s="1"/>
  <c r="Y19" i="92" s="1"/>
  <c r="U69" i="9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dmazeiti</author>
  </authors>
  <commentList>
    <comment ref="A3" authorId="0" shapeId="0" xr:uid="{EBF31ED5-3E25-4716-A5BE-814B8DB0B124}">
      <text>
        <r>
          <rPr>
            <b/>
            <sz val="9"/>
            <color rgb="FF000000"/>
            <rFont val="Tahoma"/>
            <family val="2"/>
          </rPr>
          <t>dmazeiti:</t>
        </r>
        <r>
          <rPr>
            <sz val="9"/>
            <color rgb="FF000000"/>
            <rFont val="Tahoma"/>
            <family val="2"/>
          </rPr>
          <t xml:space="preserve">
</t>
        </r>
        <r>
          <rPr>
            <sz val="9"/>
            <color rgb="FF000000"/>
            <rFont val="Tahoma"/>
            <family val="2"/>
          </rPr>
          <t>Monthly, Annual, or PAYG</t>
        </r>
      </text>
    </comment>
    <comment ref="G4" authorId="0" shapeId="0" xr:uid="{30ECBE40-D42B-4819-A383-CCFDE4163E89}">
      <text>
        <r>
          <rPr>
            <b/>
            <sz val="9"/>
            <color indexed="81"/>
            <rFont val="Tahoma"/>
            <family val="2"/>
          </rPr>
          <t>dmazeiti:</t>
        </r>
        <r>
          <rPr>
            <sz val="9"/>
            <color indexed="81"/>
            <rFont val="Tahoma"/>
            <family val="2"/>
          </rPr>
          <t xml:space="preserve">
Standard discount based on term and list price</t>
        </r>
      </text>
    </comment>
    <comment ref="A6" authorId="0" shapeId="0" xr:uid="{C6C93E99-03EB-4BF7-A3A8-DC7E9D723D0A}">
      <text>
        <r>
          <rPr>
            <b/>
            <sz val="9"/>
            <color rgb="FF000000"/>
            <rFont val="Tahoma"/>
            <family val="2"/>
          </rPr>
          <t>dmazeiti:</t>
        </r>
        <r>
          <rPr>
            <sz val="9"/>
            <color rgb="FF000000"/>
            <rFont val="Tahoma"/>
            <family val="2"/>
          </rPr>
          <t xml:space="preserve">
</t>
        </r>
        <r>
          <rPr>
            <sz val="9"/>
            <color rgb="FF000000"/>
            <rFont val="Tahoma"/>
            <family val="2"/>
          </rPr>
          <t xml:space="preserve">Automatically entered based on commit level.  Monthly,PAYG=744 hours
</t>
        </r>
        <r>
          <rPr>
            <sz val="9"/>
            <color rgb="FF000000"/>
            <rFont val="Tahoma"/>
            <family val="2"/>
          </rPr>
          <t xml:space="preserve">Annual=730 hours
</t>
        </r>
        <r>
          <rPr>
            <sz val="9"/>
            <color rgb="FF000000"/>
            <rFont val="Tahoma"/>
            <family val="2"/>
          </rPr>
          <t>Can be overridden</t>
        </r>
      </text>
    </comment>
    <comment ref="I8" authorId="0" shapeId="0" xr:uid="{851B4C31-6E99-4A07-8B9E-09A722C5C9AC}">
      <text>
        <r>
          <rPr>
            <b/>
            <sz val="9"/>
            <color rgb="FF000000"/>
            <rFont val="Tahoma"/>
            <family val="2"/>
          </rPr>
          <t>dmazeiti:</t>
        </r>
        <r>
          <rPr>
            <sz val="9"/>
            <color rgb="FF000000"/>
            <rFont val="Tahoma"/>
            <family val="2"/>
          </rPr>
          <t xml:space="preserve">
</t>
        </r>
        <r>
          <rPr>
            <sz val="9"/>
            <color rgb="FF000000"/>
            <rFont val="Tahoma"/>
            <family val="2"/>
          </rPr>
          <t>Set Include flag to N to remove environment from totals</t>
        </r>
      </text>
    </comment>
    <comment ref="A10" authorId="0" shapeId="0" xr:uid="{AE386A8C-EB08-4ACC-9F06-8BEFFFE46177}">
      <text>
        <r>
          <rPr>
            <b/>
            <sz val="9"/>
            <color rgb="FF000000"/>
            <rFont val="Tahoma"/>
            <family val="2"/>
          </rPr>
          <t>dmazeiti:</t>
        </r>
        <r>
          <rPr>
            <sz val="9"/>
            <color rgb="FF000000"/>
            <rFont val="Tahoma"/>
            <family val="2"/>
          </rPr>
          <t xml:space="preserve">
</t>
        </r>
        <r>
          <rPr>
            <sz val="9"/>
            <color rgb="FF000000"/>
            <rFont val="Tahoma"/>
            <family val="2"/>
          </rPr>
          <t>Enter Prod # from Price List and all product fields will be populated</t>
        </r>
      </text>
    </comment>
    <comment ref="J10" authorId="0" shapeId="0" xr:uid="{7563C171-C982-49C2-B23D-6E639D2D9222}">
      <text>
        <r>
          <rPr>
            <b/>
            <sz val="9"/>
            <color rgb="FF000000"/>
            <rFont val="Tahoma"/>
            <family val="2"/>
          </rPr>
          <t>dmazeiti:</t>
        </r>
        <r>
          <rPr>
            <sz val="9"/>
            <color rgb="FF000000"/>
            <rFont val="Tahoma"/>
            <family val="2"/>
          </rPr>
          <t xml:space="preserve">
</t>
        </r>
        <r>
          <rPr>
            <sz val="9"/>
            <color rgb="FF000000"/>
            <rFont val="Tahoma"/>
            <family val="2"/>
          </rPr>
          <t xml:space="preserve">Leave blank unless value is different from global value in cell D5
</t>
        </r>
      </text>
    </comment>
    <comment ref="O10" authorId="0" shapeId="0" xr:uid="{8BE0C153-022F-4A35-9CEE-C548383C8F3B}">
      <text>
        <r>
          <rPr>
            <b/>
            <sz val="9"/>
            <color rgb="FF000000"/>
            <rFont val="Tahoma"/>
            <family val="2"/>
          </rPr>
          <t>dmazeiti:</t>
        </r>
        <r>
          <rPr>
            <sz val="9"/>
            <color rgb="FF000000"/>
            <rFont val="Tahoma"/>
            <family val="2"/>
          </rPr>
          <t xml:space="preserve">
</t>
        </r>
        <r>
          <rPr>
            <sz val="9"/>
            <color rgb="FF000000"/>
            <rFont val="Tahoma"/>
            <family val="2"/>
          </rPr>
          <t xml:space="preserve">Leave blank unless value is different from global value in cell D5
</t>
        </r>
      </text>
    </comment>
    <comment ref="T10" authorId="0" shapeId="0" xr:uid="{DA7B429C-44C7-45A9-B965-AD1780E009AA}">
      <text>
        <r>
          <rPr>
            <b/>
            <sz val="9"/>
            <color indexed="81"/>
            <rFont val="Tahoma"/>
            <family val="2"/>
          </rPr>
          <t>dmazeiti:</t>
        </r>
        <r>
          <rPr>
            <sz val="9"/>
            <color indexed="81"/>
            <rFont val="Tahoma"/>
            <family val="2"/>
          </rPr>
          <t xml:space="preserve">
Leave blank unless value is different from global value in cell D5
</t>
        </r>
      </text>
    </comment>
    <comment ref="Y10" authorId="0" shapeId="0" xr:uid="{8947BF68-2CBC-4A74-9D39-40A684F36E34}">
      <text>
        <r>
          <rPr>
            <b/>
            <sz val="9"/>
            <color indexed="81"/>
            <rFont val="Tahoma"/>
            <family val="2"/>
          </rPr>
          <t>dmazeiti:</t>
        </r>
        <r>
          <rPr>
            <sz val="9"/>
            <color indexed="81"/>
            <rFont val="Tahoma"/>
            <family val="2"/>
          </rPr>
          <t xml:space="preserve">
Leave blank unless value is different from global value in cell D5
</t>
        </r>
      </text>
    </comment>
    <comment ref="AD10" authorId="0" shapeId="0" xr:uid="{DAC6E876-34C3-49EB-AB9F-0405B4F908C5}">
      <text>
        <r>
          <rPr>
            <b/>
            <sz val="9"/>
            <color rgb="FF000000"/>
            <rFont val="Tahoma"/>
            <family val="2"/>
          </rPr>
          <t>dmazeiti:</t>
        </r>
        <r>
          <rPr>
            <sz val="9"/>
            <color rgb="FF000000"/>
            <rFont val="Tahoma"/>
            <family val="2"/>
          </rPr>
          <t xml:space="preserve">
</t>
        </r>
        <r>
          <rPr>
            <sz val="9"/>
            <color rgb="FF000000"/>
            <rFont val="Tahoma"/>
            <family val="2"/>
          </rPr>
          <t xml:space="preserve">Leave blank unless value is different from global value in cell D5
</t>
        </r>
      </text>
    </comment>
    <comment ref="AH10" authorId="0" shapeId="0" xr:uid="{DE69CA07-EF12-4ECB-AA1B-AF887EAF8614}">
      <text>
        <r>
          <rPr>
            <b/>
            <sz val="9"/>
            <color indexed="81"/>
            <rFont val="Tahoma"/>
            <family val="2"/>
          </rPr>
          <t>dmazeiti:</t>
        </r>
        <r>
          <rPr>
            <sz val="9"/>
            <color indexed="81"/>
            <rFont val="Tahoma"/>
            <family val="2"/>
          </rPr>
          <t xml:space="preserve">
Autofilter to hide blank rows</t>
        </r>
      </text>
    </comment>
    <comment ref="AI76" authorId="0" shapeId="0" xr:uid="{26D51A39-1110-4934-827A-12EB1ABC9C68}">
      <text>
        <r>
          <rPr>
            <b/>
            <sz val="9"/>
            <color indexed="81"/>
            <rFont val="Tahoma"/>
            <family val="2"/>
          </rPr>
          <t>dmazeiti:</t>
        </r>
        <r>
          <rPr>
            <sz val="9"/>
            <color indexed="81"/>
            <rFont val="Tahoma"/>
            <family val="2"/>
          </rPr>
          <t xml:space="preserve">
Monthly Commit required to get to the next discount.  Enter additional credits on UC product line (B88206).</t>
        </r>
      </text>
    </comment>
    <comment ref="AJ79" authorId="0" shapeId="0" xr:uid="{BF590512-C37D-4DCC-9BFC-491264B20485}">
      <text>
        <r>
          <rPr>
            <b/>
            <sz val="9"/>
            <color indexed="81"/>
            <rFont val="Tahoma"/>
            <family val="2"/>
          </rPr>
          <t>dmazeiti:</t>
        </r>
        <r>
          <rPr>
            <sz val="9"/>
            <color indexed="81"/>
            <rFont val="Tahoma"/>
            <family val="2"/>
          </rPr>
          <t xml:space="preserve">
Calculates discount required to meet a target price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dmazeiti</author>
  </authors>
  <commentList>
    <comment ref="C5" authorId="0" shapeId="0" xr:uid="{00000000-0006-0000-0600-000001000000}">
      <text>
        <r>
          <rPr>
            <b/>
            <sz val="9"/>
            <color indexed="81"/>
            <rFont val="Tahoma"/>
            <family val="2"/>
          </rPr>
          <t>dmazeiti:</t>
        </r>
        <r>
          <rPr>
            <sz val="9"/>
            <color indexed="81"/>
            <rFont val="Tahoma"/>
            <family val="2"/>
          </rPr>
          <t xml:space="preserve">
Hide this column after ensuring you have HR in the appropriate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dmazeiti</author>
  </authors>
  <commentList>
    <comment ref="A6" authorId="0" shapeId="0" xr:uid="{E7C054D9-78C8-4F3C-800D-7B9440A0F708}">
      <text>
        <r>
          <rPr>
            <b/>
            <sz val="9"/>
            <color indexed="81"/>
            <rFont val="Tahoma"/>
            <family val="2"/>
          </rPr>
          <t>dmazeiti:</t>
        </r>
        <r>
          <rPr>
            <sz val="9"/>
            <color indexed="81"/>
            <rFont val="Tahoma"/>
            <family val="2"/>
          </rPr>
          <t xml:space="preserve">
Enter Prod # from Price List and all product fields will be populated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dmazeiti</author>
  </authors>
  <commentList>
    <comment ref="H5" authorId="0" shapeId="0" xr:uid="{9DB39F92-E178-4047-9795-A81A741AAC24}">
      <text>
        <r>
          <rPr>
            <b/>
            <sz val="9"/>
            <color indexed="81"/>
            <rFont val="Tahoma"/>
            <family val="2"/>
          </rPr>
          <t>dmazeiti:</t>
        </r>
        <r>
          <rPr>
            <sz val="9"/>
            <color indexed="81"/>
            <rFont val="Tahoma"/>
            <family val="2"/>
          </rPr>
          <t xml:space="preserve">
Set Include flag to N to remove environment from totals</t>
        </r>
      </text>
    </comment>
    <comment ref="A7" authorId="0" shapeId="0" xr:uid="{C79F6716-2C5E-45C0-840F-43750EB1F7BB}">
      <text>
        <r>
          <rPr>
            <b/>
            <sz val="9"/>
            <color indexed="81"/>
            <rFont val="Tahoma"/>
            <family val="2"/>
          </rPr>
          <t>dmazeiti:</t>
        </r>
        <r>
          <rPr>
            <sz val="9"/>
            <color indexed="81"/>
            <rFont val="Tahoma"/>
            <family val="2"/>
          </rPr>
          <t xml:space="preserve">
Enter Prod # from Price List and all product fields will be populated</t>
        </r>
      </text>
    </comment>
    <comment ref="I7" authorId="0" shapeId="0" xr:uid="{C2BF0B19-98C9-40C1-8EE0-8A1D653354D8}">
      <text>
        <r>
          <rPr>
            <b/>
            <sz val="9"/>
            <color indexed="81"/>
            <rFont val="Tahoma"/>
            <family val="2"/>
          </rPr>
          <t>dmazeiti:</t>
        </r>
        <r>
          <rPr>
            <sz val="9"/>
            <color indexed="81"/>
            <rFont val="Tahoma"/>
            <family val="2"/>
          </rPr>
          <t xml:space="preserve">
Leave blank unless value is different from global value in cell D5
</t>
        </r>
      </text>
    </comment>
    <comment ref="O7" authorId="0" shapeId="0" xr:uid="{59493BCE-473A-4FF9-82B9-8495E8477AB8}">
      <text>
        <r>
          <rPr>
            <b/>
            <sz val="9"/>
            <color indexed="81"/>
            <rFont val="Tahoma"/>
            <family val="2"/>
          </rPr>
          <t>dmazeiti:</t>
        </r>
        <r>
          <rPr>
            <sz val="9"/>
            <color indexed="81"/>
            <rFont val="Tahoma"/>
            <family val="2"/>
          </rPr>
          <t xml:space="preserve">
Leave blank unless value is different from global value in cell D5
</t>
        </r>
      </text>
    </comment>
    <comment ref="U7" authorId="0" shapeId="0" xr:uid="{A06550CA-2FAE-4ED8-93F5-642491601FF6}">
      <text>
        <r>
          <rPr>
            <b/>
            <sz val="9"/>
            <color indexed="81"/>
            <rFont val="Tahoma"/>
            <family val="2"/>
          </rPr>
          <t>dmazeiti:</t>
        </r>
        <r>
          <rPr>
            <sz val="9"/>
            <color indexed="81"/>
            <rFont val="Tahoma"/>
            <family val="2"/>
          </rPr>
          <t xml:space="preserve">
Leave blank unless value is different from global value in cell D5
</t>
        </r>
      </text>
    </comment>
    <comment ref="AA7" authorId="0" shapeId="0" xr:uid="{21B165C2-336C-4C28-A64F-65B95EA1FC0B}">
      <text>
        <r>
          <rPr>
            <b/>
            <sz val="9"/>
            <color indexed="81"/>
            <rFont val="Tahoma"/>
            <family val="2"/>
          </rPr>
          <t>dmazeiti:</t>
        </r>
        <r>
          <rPr>
            <sz val="9"/>
            <color indexed="81"/>
            <rFont val="Tahoma"/>
            <family val="2"/>
          </rPr>
          <t xml:space="preserve">
Leave blank unless value is different from global value in cell D5
</t>
        </r>
      </text>
    </comment>
    <comment ref="AG7" authorId="0" shapeId="0" xr:uid="{A212E5D1-CBBF-4E3B-9090-B11761B097C5}">
      <text>
        <r>
          <rPr>
            <b/>
            <sz val="9"/>
            <color indexed="81"/>
            <rFont val="Tahoma"/>
            <family val="2"/>
          </rPr>
          <t>dmazeiti:</t>
        </r>
        <r>
          <rPr>
            <sz val="9"/>
            <color indexed="81"/>
            <rFont val="Tahoma"/>
            <family val="2"/>
          </rPr>
          <t xml:space="preserve">
Leave blank unless value is different from global value in cell D5
</t>
        </r>
      </text>
    </comment>
    <comment ref="AK7" authorId="0" shapeId="0" xr:uid="{64D90986-6536-42E4-85B8-56AB470521AE}">
      <text>
        <r>
          <rPr>
            <b/>
            <sz val="9"/>
            <color indexed="81"/>
            <rFont val="Tahoma"/>
            <family val="2"/>
          </rPr>
          <t>dmazeiti:</t>
        </r>
        <r>
          <rPr>
            <sz val="9"/>
            <color indexed="81"/>
            <rFont val="Tahoma"/>
            <family val="2"/>
          </rPr>
          <t xml:space="preserve">
Autofilter to hide blank rows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dmazeiti</author>
  </authors>
  <commentList>
    <comment ref="I2" authorId="0" shapeId="0" xr:uid="{40E95DBC-7AE0-4204-A38A-6D9253EF9F6A}">
      <text>
        <r>
          <rPr>
            <b/>
            <sz val="9"/>
            <color indexed="81"/>
            <rFont val="Tahoma"/>
            <family val="2"/>
          </rPr>
          <t>1 Proc = 2 OCPUs
25 NUPS = 2 OCPUs</t>
        </r>
      </text>
    </comment>
  </commentList>
</comments>
</file>

<file path=xl/sharedStrings.xml><?xml version="1.0" encoding="utf-8"?>
<sst xmlns="http://schemas.openxmlformats.org/spreadsheetml/2006/main" count="17926" uniqueCount="3228">
  <si>
    <t>Qty</t>
  </si>
  <si>
    <t>Discount</t>
  </si>
  <si>
    <t>B85643</t>
  </si>
  <si>
    <t>B83455</t>
  </si>
  <si>
    <t>B83456</t>
  </si>
  <si>
    <t>B83534</t>
  </si>
  <si>
    <t>B83496</t>
  </si>
  <si>
    <t>Oracle Network Cloud Service - VPN for Engineered Systems - Non-metered</t>
  </si>
  <si>
    <t>B85685</t>
  </si>
  <si>
    <t>Oracle Database Cloud Service - Enterprise Edition Extreme Performance - High Memory - Non-metered</t>
  </si>
  <si>
    <t>B83542</t>
  </si>
  <si>
    <t>Test</t>
  </si>
  <si>
    <t>Unit Cost</t>
  </si>
  <si>
    <t>Prod #</t>
  </si>
  <si>
    <t>Type</t>
  </si>
  <si>
    <t>B87064</t>
  </si>
  <si>
    <t>B87065</t>
  </si>
  <si>
    <t>B86076</t>
  </si>
  <si>
    <t>B86078</t>
  </si>
  <si>
    <t>B87674</t>
  </si>
  <si>
    <t>B86080</t>
  </si>
  <si>
    <t>B87060</t>
  </si>
  <si>
    <t>B87061</t>
  </si>
  <si>
    <t>B87783</t>
  </si>
  <si>
    <t>Hrs</t>
  </si>
  <si>
    <t>B87195</t>
  </si>
  <si>
    <t>B86079</t>
  </si>
  <si>
    <t>B87191</t>
  </si>
  <si>
    <t>Metric</t>
  </si>
  <si>
    <t>Price</t>
  </si>
  <si>
    <t>B84706</t>
  </si>
  <si>
    <t>B84705</t>
  </si>
  <si>
    <t>B85314</t>
  </si>
  <si>
    <t>B85315</t>
  </si>
  <si>
    <t xml:space="preserve">Total  </t>
  </si>
  <si>
    <t>B88328</t>
  </si>
  <si>
    <t>B88330</t>
  </si>
  <si>
    <t>B88329</t>
  </si>
  <si>
    <t>B88514</t>
  </si>
  <si>
    <t>B88319</t>
  </si>
  <si>
    <t>B88318</t>
  </si>
  <si>
    <t>B88325</t>
  </si>
  <si>
    <t>B88322</t>
  </si>
  <si>
    <t>B88162</t>
  </si>
  <si>
    <t>Oracle Cloud Infrastructure - Object Storage Classic - GET and all other Requests</t>
  </si>
  <si>
    <t>B88295</t>
  </si>
  <si>
    <t>B88161</t>
  </si>
  <si>
    <t>B88296</t>
  </si>
  <si>
    <t>Oracle Cloud Infrastructure - Compute - Windows OS</t>
  </si>
  <si>
    <t>OCPU Per Hour</t>
  </si>
  <si>
    <t>Oracle Cloud Infrastructure - 100 Mbps Load Balancer</t>
  </si>
  <si>
    <t>Oracle Cloud Infrastructure - Block Volume</t>
  </si>
  <si>
    <t>B88164</t>
  </si>
  <si>
    <t>B88308</t>
  </si>
  <si>
    <t>B88513</t>
  </si>
  <si>
    <t>Oracle Cloud Infrastructure - Compute - Bare Metal Standard - X7</t>
  </si>
  <si>
    <t>Oracle Cloud Infrastructure - Compute - Virtual Machine Standard - X7</t>
  </si>
  <si>
    <t>B88320</t>
  </si>
  <si>
    <t>Oracle Cloud Infrastructure - 400 Mbps Load Balancer</t>
  </si>
  <si>
    <t>B88306</t>
  </si>
  <si>
    <t>B88515</t>
  </si>
  <si>
    <t>Oracle Cloud Infrastructure - Compute - Bare Metal Dense I/O - X7</t>
  </si>
  <si>
    <t>B88516</t>
  </si>
  <si>
    <t>Oracle Cloud Infrastructure - Compute - Virtual Machine Dense I/O - X7</t>
  </si>
  <si>
    <t>B88307</t>
  </si>
  <si>
    <t>Oracle Cloud Infrastructure - FastConnect 1 Gbps</t>
  </si>
  <si>
    <t>B88398</t>
  </si>
  <si>
    <t>B88400</t>
  </si>
  <si>
    <t>B88405</t>
  </si>
  <si>
    <t>B88406</t>
  </si>
  <si>
    <t>B88407</t>
  </si>
  <si>
    <t>Oracle SOA Suite Cloud Service - BYOL</t>
  </si>
  <si>
    <t>B88404</t>
  </si>
  <si>
    <t>B88846</t>
  </si>
  <si>
    <t>Oracle Cloud Infrastructure - Database All Editions - Additional Capacity - BYOL</t>
  </si>
  <si>
    <t>B88408</t>
  </si>
  <si>
    <t>Oracle Database Exadata Express Cloud Service - X20</t>
  </si>
  <si>
    <t>B88461</t>
  </si>
  <si>
    <t>B88293</t>
  </si>
  <si>
    <t>B88331</t>
  </si>
  <si>
    <t>Oracle Cloud Infrastructure - Database Standard Edition - Additional Capacity</t>
  </si>
  <si>
    <t>B88847</t>
  </si>
  <si>
    <t>B88287</t>
  </si>
  <si>
    <t>B88288</t>
  </si>
  <si>
    <t>B88290</t>
  </si>
  <si>
    <t>Oracle Cloud Infrastructure - Database Enterprise Edition - Additional Capacity</t>
  </si>
  <si>
    <t>B88409</t>
  </si>
  <si>
    <t>B88160</t>
  </si>
  <si>
    <t>B88523</t>
  </si>
  <si>
    <t>B88525</t>
  </si>
  <si>
    <t>B88289</t>
  </si>
  <si>
    <t>B88298</t>
  </si>
  <si>
    <t>B88299</t>
  </si>
  <si>
    <t>B88310</t>
  </si>
  <si>
    <t>B88460</t>
  </si>
  <si>
    <t>Oracle SOA Suite Cloud Service</t>
  </si>
  <si>
    <t>B87820</t>
  </si>
  <si>
    <t>B88326</t>
  </si>
  <si>
    <t>Oracle Cloud Infrastructure - FastConnect 10 Gbps</t>
  </si>
  <si>
    <t>B88517</t>
  </si>
  <si>
    <t>Oracle Cloud Infrastructure - Compute - Bare Metal GPU Standard - X7</t>
  </si>
  <si>
    <t>B88518</t>
  </si>
  <si>
    <t>Oracle Cloud Infrastructure - Compute - Virtual Machine GPU Standard - X7</t>
  </si>
  <si>
    <t>B88410</t>
  </si>
  <si>
    <t>B88292</t>
  </si>
  <si>
    <t>Oracle Cloud Infrastructure - Database Enterprise Edition High Performance - Additional Capacity</t>
  </si>
  <si>
    <t>Oracle API Platform Cloud Service</t>
  </si>
  <si>
    <t>B88321</t>
  </si>
  <si>
    <t>Oracle Cloud Infrastructure - 8000 Mbps Load Balancer</t>
  </si>
  <si>
    <t>B88291</t>
  </si>
  <si>
    <t>Oracle Cloud Infrastructure - Database Enterprise Edition Extreme Performance- Additional Capacity</t>
  </si>
  <si>
    <t>B88592</t>
  </si>
  <si>
    <t>B88163</t>
  </si>
  <si>
    <t>B88411</t>
  </si>
  <si>
    <t>B88165</t>
  </si>
  <si>
    <t>B88412</t>
  </si>
  <si>
    <t>B88650</t>
  </si>
  <si>
    <t>B88651</t>
  </si>
  <si>
    <t>B88856</t>
  </si>
  <si>
    <t>Oracle Cloud Infrastructure - Database Exadata Quarter Rack - X6 - BYOL</t>
  </si>
  <si>
    <t>B88593</t>
  </si>
  <si>
    <t>Oracle Cloud Infrastructure - Database Exadata Quarter Rack - X6</t>
  </si>
  <si>
    <t>B88855</t>
  </si>
  <si>
    <t>Oracle Cloud Infrastructure - Database Exadata Half Rack - X6 - BYOL</t>
  </si>
  <si>
    <t>B88594</t>
  </si>
  <si>
    <t>Oracle Cloud Infrastructure - Database Exadata Half Rack - X6</t>
  </si>
  <si>
    <t>B88854</t>
  </si>
  <si>
    <t>Oracle Cloud Infrastructure - Database Exadata Full Rack - X6 - BYOL</t>
  </si>
  <si>
    <t>B88595</t>
  </si>
  <si>
    <t>Oracle Cloud Infrastructure - Database Exadata Full Rack - X6</t>
  </si>
  <si>
    <t>B87418</t>
  </si>
  <si>
    <t>B77077</t>
  </si>
  <si>
    <t>Oracle IaaS Public Cloud Services</t>
  </si>
  <si>
    <t>-</t>
  </si>
  <si>
    <t>B77078</t>
  </si>
  <si>
    <t>B77079</t>
  </si>
  <si>
    <t>Oracle Database Backup Service - Storage Capacity</t>
  </si>
  <si>
    <t>B77326</t>
  </si>
  <si>
    <t>Oracle Database Public Cloud Services</t>
  </si>
  <si>
    <t>B77473</t>
  </si>
  <si>
    <t>B77474</t>
  </si>
  <si>
    <t>PUT, COPY, POST or LIST Requests</t>
  </si>
  <si>
    <t>B77475</t>
  </si>
  <si>
    <t>GET and all other Requests</t>
  </si>
  <si>
    <t>B77476</t>
  </si>
  <si>
    <t>Oracle Database Backup Service - Outbound Data Transfer</t>
  </si>
  <si>
    <t>B77477</t>
  </si>
  <si>
    <t>B77478</t>
  </si>
  <si>
    <t>B78388</t>
  </si>
  <si>
    <t>B78516</t>
  </si>
  <si>
    <t>B78517</t>
  </si>
  <si>
    <t>B78518</t>
  </si>
  <si>
    <t>B78519</t>
  </si>
  <si>
    <t>B78520</t>
  </si>
  <si>
    <t>B78521</t>
  </si>
  <si>
    <t>Oracle Database Cloud Service - Standard Edition One - Virtual Image - General Purpose</t>
  </si>
  <si>
    <t>B78522</t>
  </si>
  <si>
    <t>B78523</t>
  </si>
  <si>
    <t>Oracle Database Cloud Service - Enterprise Edition - Virtual Image - General Purpose</t>
  </si>
  <si>
    <t>B78524</t>
  </si>
  <si>
    <t>B78525</t>
  </si>
  <si>
    <t>Oracle Database Cloud Service - Enterprise Edition High Performance - Virtual Image - General Purpose</t>
  </si>
  <si>
    <t>B78526</t>
  </si>
  <si>
    <t>B78527</t>
  </si>
  <si>
    <t>Oracle Database Cloud Service - Enterprise Edition Extreme Performance - Virtual Image - General Purpose</t>
  </si>
  <si>
    <t>B78528</t>
  </si>
  <si>
    <t>B78529</t>
  </si>
  <si>
    <t>Oracle Database Cloud Service - Standard Edition One - General Purpose</t>
  </si>
  <si>
    <t>B78530</t>
  </si>
  <si>
    <t>B78531</t>
  </si>
  <si>
    <t>Oracle Database Cloud Service - Enterprise Edition - General Purpose</t>
  </si>
  <si>
    <t>B78532</t>
  </si>
  <si>
    <t>B78533</t>
  </si>
  <si>
    <t>Oracle Database Cloud Service - Enterprise Edition High Performance - General Purpose</t>
  </si>
  <si>
    <t>B78534</t>
  </si>
  <si>
    <t>B78535</t>
  </si>
  <si>
    <t>B78536</t>
  </si>
  <si>
    <t>B78537</t>
  </si>
  <si>
    <t>Oracle Database Cloud Service - Standard Edition One - Virtual Image - High Memory</t>
  </si>
  <si>
    <t>B78538</t>
  </si>
  <si>
    <t>B78539</t>
  </si>
  <si>
    <t>Oracle Database Cloud Service - Enterprise Edition - Virtual Image - High Memory</t>
  </si>
  <si>
    <t>B78540</t>
  </si>
  <si>
    <t>B78541</t>
  </si>
  <si>
    <t>B78542</t>
  </si>
  <si>
    <t>B78543</t>
  </si>
  <si>
    <t>Oracle Database Cloud Service - Enterprise Edition Extreme  Performance - Virtual Image - High Memory</t>
  </si>
  <si>
    <t>B78544</t>
  </si>
  <si>
    <t>B78545</t>
  </si>
  <si>
    <t>Oracle Database Cloud Service - Standard Edition One - High Memory</t>
  </si>
  <si>
    <t>B78546</t>
  </si>
  <si>
    <t>B78547</t>
  </si>
  <si>
    <t>Oracle Database Cloud Service - Enterprise Edition - High Memory</t>
  </si>
  <si>
    <t>B78548</t>
  </si>
  <si>
    <t>B78549</t>
  </si>
  <si>
    <t>Oracle Database Cloud Service - Enterprise Edition High Performance - High Memory</t>
  </si>
  <si>
    <t>B78550</t>
  </si>
  <si>
    <t>B78551</t>
  </si>
  <si>
    <t>Oracle Database Cloud Service - Enterprise Edition Extreme  Performance - High Memory</t>
  </si>
  <si>
    <t>B78552</t>
  </si>
  <si>
    <t>B78553</t>
  </si>
  <si>
    <t>Oracle Java Cloud Service - Standard Edition - Virtual Image - General Purpose</t>
  </si>
  <si>
    <t>B78554</t>
  </si>
  <si>
    <t>B78555</t>
  </si>
  <si>
    <t>Oracle Java Cloud Service -  Enterprise Edition - Virtual Image - General Purpose</t>
  </si>
  <si>
    <t>B78556</t>
  </si>
  <si>
    <t>B78557</t>
  </si>
  <si>
    <t>Oracle Java Cloud Service -  Suite - Virtual Image - General Purpose</t>
  </si>
  <si>
    <t>B78558</t>
  </si>
  <si>
    <t>B78559</t>
  </si>
  <si>
    <t>Oracle Java Cloud Service -  Standard Edition - General Purpose</t>
  </si>
  <si>
    <t>B78560</t>
  </si>
  <si>
    <t>B78561</t>
  </si>
  <si>
    <t>Oracle Java Cloud Service -  Enterprise Edition - General Purpose</t>
  </si>
  <si>
    <t>B78562</t>
  </si>
  <si>
    <t>B78563</t>
  </si>
  <si>
    <t>Oracle Java Cloud Service -  Suite - General Purpose</t>
  </si>
  <si>
    <t>B78564</t>
  </si>
  <si>
    <t>B78565</t>
  </si>
  <si>
    <t>Oracle Java Cloud Service - Standard Edition - Virtual Image - High Memory</t>
  </si>
  <si>
    <t>B78566</t>
  </si>
  <si>
    <t>B78567</t>
  </si>
  <si>
    <t>Oracle Java Cloud Service -  Enterprise Edition - Virtual Image - High Memory</t>
  </si>
  <si>
    <t>B78568</t>
  </si>
  <si>
    <t>B78569</t>
  </si>
  <si>
    <t>Oracle Java Cloud Service -  Suite - Virtual Image - High Memory</t>
  </si>
  <si>
    <t>B78570</t>
  </si>
  <si>
    <t>B78571</t>
  </si>
  <si>
    <t>Oracle Java Cloud Service -  Standard Edition - High Memory</t>
  </si>
  <si>
    <t>B78572</t>
  </si>
  <si>
    <t>B78573</t>
  </si>
  <si>
    <t>Oracle Java Cloud Service -  Enterprise Edition - High Memory</t>
  </si>
  <si>
    <t>B78574</t>
  </si>
  <si>
    <t>B78575</t>
  </si>
  <si>
    <t>Oracle Java Cloud Service -  Suite - High Memory</t>
  </si>
  <si>
    <t>B78576</t>
  </si>
  <si>
    <t>B82623</t>
  </si>
  <si>
    <t>B82624</t>
  </si>
  <si>
    <t>B82626</t>
  </si>
  <si>
    <t>B82629</t>
  </si>
  <si>
    <t>B82630</t>
  </si>
  <si>
    <t>Processor</t>
  </si>
  <si>
    <t>B83461</t>
  </si>
  <si>
    <t>B83462</t>
  </si>
  <si>
    <t>Oracle API Manager Cloud Service</t>
  </si>
  <si>
    <t>B83463</t>
  </si>
  <si>
    <t>Oracle Managed File Transfer Cloud Service - Metered</t>
  </si>
  <si>
    <t>B83493</t>
  </si>
  <si>
    <t>Oracle Database Cloud Service - Standard Edition - Virtual Image - General Purpose - Non-metered</t>
  </si>
  <si>
    <t>B83494</t>
  </si>
  <si>
    <t>Oracle Database Cloud Service - Enterprise Edition - Virtual Image - General Purpose - Non-metered</t>
  </si>
  <si>
    <t>B83495</t>
  </si>
  <si>
    <t>Oracle Java Cloud Service -  Standard Edition - General Purpose - Non-metered</t>
  </si>
  <si>
    <t>Oracle Java Cloud Service -  Enterprise Edition - General Purpose - Non-metered</t>
  </si>
  <si>
    <t>B83529</t>
  </si>
  <si>
    <t>Oracle Database Cloud Service - Enterprise Edition High Performance - Virtual Image - General Purpose - Non-metered</t>
  </si>
  <si>
    <t>B83530</t>
  </si>
  <si>
    <t>Oracle Database Cloud Service - Enterprise Edition Extreme Performance - Virtual Image - General Purpose - Non-metered</t>
  </si>
  <si>
    <t>B83531</t>
  </si>
  <si>
    <t>Oracle Database Cloud Service - Standard Edition - General Purpose - Non-metered</t>
  </si>
  <si>
    <t>B83532</t>
  </si>
  <si>
    <t>Oracle Database Cloud Service - Enterprise Edition - General Purpose - Non-metered</t>
  </si>
  <si>
    <t>B83533</t>
  </si>
  <si>
    <t>Oracle Database Cloud Service - Enterprise Edition High Performance - General Purpose - Non-metered</t>
  </si>
  <si>
    <t>B83535</t>
  </si>
  <si>
    <t>Oracle Database Cloud Service - Standard Edition - Virtual Image - High Memory - Non-metered</t>
  </si>
  <si>
    <t>B83536</t>
  </si>
  <si>
    <t>Oracle Database Cloud Service - Enterprise Edition - Virtual Image - High Memory - Non-metered</t>
  </si>
  <si>
    <t>B83537</t>
  </si>
  <si>
    <t>Oracle Database Cloud Service - Enterprise Edition High Performance - Virtual Image - High Memory - Non-metered</t>
  </si>
  <si>
    <t>B83538</t>
  </si>
  <si>
    <t>Oracle Database Cloud Service - Enterprise Edition Extreme Performance - Virtual Image - High Memory - Non-metered</t>
  </si>
  <si>
    <t>B83539</t>
  </si>
  <si>
    <t>Oracle Database Cloud Service - Standard Edition - High Memory - Non-metered</t>
  </si>
  <si>
    <t>B83540</t>
  </si>
  <si>
    <t>Oracle Database Cloud Service - Enterprise Edition - High Memory - Non-metered</t>
  </si>
  <si>
    <t>B83541</t>
  </si>
  <si>
    <t>Oracle Database Cloud Service - Enterprise Edition High Performance - High Memory - Non-metered</t>
  </si>
  <si>
    <t>B83543</t>
  </si>
  <si>
    <t>Oracle Database Backup Service - Non-metered</t>
  </si>
  <si>
    <t>B83544</t>
  </si>
  <si>
    <t>Oracle Java Cloud Service - Standard Edition - Virtual Image - General Purpose - Non-metered</t>
  </si>
  <si>
    <t>B83545</t>
  </si>
  <si>
    <t>Oracle Java Cloud Service - Enterprise Edition - Virtual Image - General Purpose - Non-metered</t>
  </si>
  <si>
    <t>B83546</t>
  </si>
  <si>
    <t>Oracle Java Cloud Service -  Suite - Virtual Image - General Purpose - Non-metered</t>
  </si>
  <si>
    <t>B83549</t>
  </si>
  <si>
    <t>Oracle Java Cloud Service -  Suite - General Purpose - Non-metered</t>
  </si>
  <si>
    <t>B83550</t>
  </si>
  <si>
    <t>Oracle Java Cloud Service - Standard Edition - Virtual Image - High Memory - Non-metered</t>
  </si>
  <si>
    <t>B83551</t>
  </si>
  <si>
    <t>Oracle Java Cloud Service -  Enterprise Edition - Virtual Image - High Memory - Non-metered</t>
  </si>
  <si>
    <t>B83552</t>
  </si>
  <si>
    <t>Oracle Java Cloud Service -  Suite - Virtual Image - High Memory - Non-metered</t>
  </si>
  <si>
    <t>B83553</t>
  </si>
  <si>
    <t>Oracle Java Cloud Service -  Standard Edition - High Memory - Non-metered</t>
  </si>
  <si>
    <t>B83554</t>
  </si>
  <si>
    <t>Oracle Java Cloud Service -  Enterprise Edition - High Memory - Non-metered</t>
  </si>
  <si>
    <t>B83555</t>
  </si>
  <si>
    <t>Oracle Java Cloud Service -  Suite - High Memory - Non-metered</t>
  </si>
  <si>
    <t>B83823</t>
  </si>
  <si>
    <t>B83824</t>
  </si>
  <si>
    <t>Oracle Application Container Cloud Service - Metered</t>
  </si>
  <si>
    <t>B84702</t>
  </si>
  <si>
    <t>Oracle Mobile Cloud Service - Metered</t>
  </si>
  <si>
    <t>B84703</t>
  </si>
  <si>
    <t>Oracle Mobile Cloud Service - Additional API Calls - Metered</t>
  </si>
  <si>
    <t>B84704</t>
  </si>
  <si>
    <t>Oracle Mobile Cloud Service - Additional Storage - Metered</t>
  </si>
  <si>
    <t>Oracle Process Cloud Service - Metered</t>
  </si>
  <si>
    <t>Oracle Integration Cloud Service - Metered</t>
  </si>
  <si>
    <t>B84707</t>
  </si>
  <si>
    <t>Oracle Database Exadata Cloud Service - Quarter Rack - X5 - Metered</t>
  </si>
  <si>
    <t>B84708</t>
  </si>
  <si>
    <t>Oracle Database Exadata Cloud Service - Half Rack - X5 - Metered</t>
  </si>
  <si>
    <t>B84709</t>
  </si>
  <si>
    <t>Oracle Database Exadata Cloud Service - Full Rack - X5 - Metered</t>
  </si>
  <si>
    <t>B84710</t>
  </si>
  <si>
    <t>Oracle Database Exadata Cloud Service - Additional OCPU's - Metered</t>
  </si>
  <si>
    <t>B85270</t>
  </si>
  <si>
    <t>Oracle Internet of Things Cloud Service for Wearable Devices - Metered</t>
  </si>
  <si>
    <t>B85271</t>
  </si>
  <si>
    <t>Oracle Internet of Things Cloud Service for Consumer Devices - Metered</t>
  </si>
  <si>
    <t>B85272</t>
  </si>
  <si>
    <t>Oracle Internet of Things Cloud Service for Telematic Devices - Metered</t>
  </si>
  <si>
    <t>B85273</t>
  </si>
  <si>
    <t>Oracle Internet of Things Cloud Service for Commercial and Industrial Devices - Metered</t>
  </si>
  <si>
    <t>B85274</t>
  </si>
  <si>
    <t>Oracle Internet of Things Cloud Service - Additional Messages - Metered</t>
  </si>
  <si>
    <t>B85275</t>
  </si>
  <si>
    <t>Oracle Sites Cloud Service - Additional Interactions - Metered</t>
  </si>
  <si>
    <t>B85276</t>
  </si>
  <si>
    <t>Oracle Documents Cloud Service - Metered</t>
  </si>
  <si>
    <t>B85277</t>
  </si>
  <si>
    <t>Oracle Documents Cloud Service - Additional Storage - Metered</t>
  </si>
  <si>
    <t>B85281</t>
  </si>
  <si>
    <t>Oracle Messaging Cloud Service - Metered</t>
  </si>
  <si>
    <t>B85282</t>
  </si>
  <si>
    <t>Oracle Managed File Transfer Cloud Service - Non-metered</t>
  </si>
  <si>
    <t>B85285</t>
  </si>
  <si>
    <t>Oracle SOA Suite Cloud Service - Non-metered</t>
  </si>
  <si>
    <t>B85306</t>
  </si>
  <si>
    <t>Oracle Big Data Public Cloud Services</t>
  </si>
  <si>
    <t>B85311</t>
  </si>
  <si>
    <t>Oracle Big Data Preparation Cloud Service - Metered</t>
  </si>
  <si>
    <t>Oracle Process Cloud Service - Participant User - Metered</t>
  </si>
  <si>
    <t>Oracle Process Cloud Service - Invocation User - Metered</t>
  </si>
  <si>
    <t>B85644</t>
  </si>
  <si>
    <t>B86387</t>
  </si>
  <si>
    <t>Oracle MySQL Cloud Service - Metered</t>
  </si>
  <si>
    <t>B86396</t>
  </si>
  <si>
    <t>Oracle Application Container Cloud Service - Non-metered</t>
  </si>
  <si>
    <t>B86664</t>
  </si>
  <si>
    <t>B86670</t>
  </si>
  <si>
    <t>Oracle Big Data Cloud Service - Additional OCPU's - Metered</t>
  </si>
  <si>
    <t>B86815</t>
  </si>
  <si>
    <t>B86816</t>
  </si>
  <si>
    <t>B86817</t>
  </si>
  <si>
    <t>B86818</t>
  </si>
  <si>
    <t>B86819</t>
  </si>
  <si>
    <t>B86820</t>
  </si>
  <si>
    <t>B86821</t>
  </si>
  <si>
    <t>B86822</t>
  </si>
  <si>
    <t>B86823</t>
  </si>
  <si>
    <t>B86824</t>
  </si>
  <si>
    <t>B86825</t>
  </si>
  <si>
    <t>B86826</t>
  </si>
  <si>
    <t>B86827</t>
  </si>
  <si>
    <t>B86828</t>
  </si>
  <si>
    <t>B86829</t>
  </si>
  <si>
    <t>B86830</t>
  </si>
  <si>
    <t>B86964</t>
  </si>
  <si>
    <t>B86969</t>
  </si>
  <si>
    <t>B86971</t>
  </si>
  <si>
    <t>Oracle Data Integrator Cloud Service - Metered</t>
  </si>
  <si>
    <t>Oracle WebCenter Portal Cloud Service - Metered</t>
  </si>
  <si>
    <t>B87062</t>
  </si>
  <si>
    <t>B87066</t>
  </si>
  <si>
    <t>B87079</t>
  </si>
  <si>
    <t>Oracle Big Data Cloud Service - Compute Edition - Compute Capacity - Metered</t>
  </si>
  <si>
    <t>B87080</t>
  </si>
  <si>
    <t>Oracle Big Data Cloud Service - Compute Edition - Storage Capacity - Metered</t>
  </si>
  <si>
    <t>B87081</t>
  </si>
  <si>
    <t>B87082</t>
  </si>
  <si>
    <t>B87178</t>
  </si>
  <si>
    <t>Oracle Internet of Things Cloud - Enterprise - Metered</t>
  </si>
  <si>
    <t>B87179</t>
  </si>
  <si>
    <t>B87188</t>
  </si>
  <si>
    <t>B87189</t>
  </si>
  <si>
    <t>B87190</t>
  </si>
  <si>
    <t>B87192</t>
  </si>
  <si>
    <t>B87193</t>
  </si>
  <si>
    <t>B87194</t>
  </si>
  <si>
    <t>Oracle Big Data Cloud Service - Starter Pack - 3 Nodes - Metered</t>
  </si>
  <si>
    <t>B87339</t>
  </si>
  <si>
    <t>Oracle Event Hub Cloud Service Dedicated - Compute Capacity - Metered</t>
  </si>
  <si>
    <t>B87406</t>
  </si>
  <si>
    <t>Oracle Analytics Cloud - Standard - Metered</t>
  </si>
  <si>
    <t>B87407</t>
  </si>
  <si>
    <t>B87408</t>
  </si>
  <si>
    <t>Oracle Analytics Cloud - Enterprise - Metered</t>
  </si>
  <si>
    <t>B87409</t>
  </si>
  <si>
    <t>B87411</t>
  </si>
  <si>
    <t>Oracle Analytics Public Cloud Services</t>
  </si>
  <si>
    <t>B87417</t>
  </si>
  <si>
    <t>Oracle GoldenGate Cloud Service - Enterprise - Metered</t>
  </si>
  <si>
    <t>B87567</t>
  </si>
  <si>
    <t>Oracle Database Exadata Cloud Service - Quarter Rack - X6 - Metered</t>
  </si>
  <si>
    <t>B87568</t>
  </si>
  <si>
    <t>Oracle Database Exadata Cloud Service - Half Rack - X6 - Metered</t>
  </si>
  <si>
    <t>B87569</t>
  </si>
  <si>
    <t>Oracle Database Exadata Cloud Service - Full Rack - X6 - Metered</t>
  </si>
  <si>
    <t>B87608</t>
  </si>
  <si>
    <t>B87782</t>
  </si>
  <si>
    <t>B87786</t>
  </si>
  <si>
    <t>B87795</t>
  </si>
  <si>
    <t>Oracle Big Data Cloud Service - Compute Edition - High Performance Storage Capacity - Metered</t>
  </si>
  <si>
    <t>B87824</t>
  </si>
  <si>
    <t>B87826</t>
  </si>
  <si>
    <t>B87867</t>
  </si>
  <si>
    <t>B87868</t>
  </si>
  <si>
    <t>B87869</t>
  </si>
  <si>
    <t>B87870</t>
  </si>
  <si>
    <t>B87915</t>
  </si>
  <si>
    <t>B87917</t>
  </si>
  <si>
    <t>B87918</t>
  </si>
  <si>
    <t>B87919</t>
  </si>
  <si>
    <t>B88206</t>
  </si>
  <si>
    <t>Oracle PaaS and IaaS Universal Credits</t>
  </si>
  <si>
    <t>Oracle Cloud Infrastructure - Object Storage Classic - Outbound Data Transfer</t>
  </si>
  <si>
    <t>Oracle Cloud Infrastructure - Object Storage Classic</t>
  </si>
  <si>
    <t>B88294</t>
  </si>
  <si>
    <t>B88297</t>
  </si>
  <si>
    <t>B88327</t>
  </si>
  <si>
    <t>Oracle Cloud Infrastructure - Outbound Data Transfer</t>
  </si>
  <si>
    <t>B88778</t>
  </si>
  <si>
    <t>Oracle Application Container Cloud Service - Government</t>
  </si>
  <si>
    <t>B88781</t>
  </si>
  <si>
    <t>B88783</t>
  </si>
  <si>
    <t>Oracle Cloud Infrastructure - Compute Classic - Compute Capacity - Government</t>
  </si>
  <si>
    <t>B88784</t>
  </si>
  <si>
    <t>Oracle Cloud Infrastructure - Compute Classic - High I/O Compute Capacity - Government</t>
  </si>
  <si>
    <t>B88785</t>
  </si>
  <si>
    <t>Oracle Cloud Infrastructure - Load Balancer Classic - Government</t>
  </si>
  <si>
    <t>B88786</t>
  </si>
  <si>
    <t>Oracle Cloud Infrastructure - Load Balancer Classic - Data Processed - Government</t>
  </si>
  <si>
    <t>B88787</t>
  </si>
  <si>
    <t>B88788</t>
  </si>
  <si>
    <t>B88790</t>
  </si>
  <si>
    <t>Oracle Cloud Infrastructure - Archive Storage Classic - Government</t>
  </si>
  <si>
    <t>B88796</t>
  </si>
  <si>
    <t>Oracle Cloud Infrastructure - Object Storage Classic - Government</t>
  </si>
  <si>
    <t>B88797</t>
  </si>
  <si>
    <t>Oracle Analytics Cloud - Enterprise - Government</t>
  </si>
  <si>
    <t>B88798</t>
  </si>
  <si>
    <t>B88800</t>
  </si>
  <si>
    <t>Oracle Java Cloud Service - Enterprise Edition - Government</t>
  </si>
  <si>
    <t>B88801</t>
  </si>
  <si>
    <t>Oracle Java Cloud Service - High Performance - Government</t>
  </si>
  <si>
    <t>B88803</t>
  </si>
  <si>
    <t>Oracle Big Data Cloud Service - Compute Edition - Compute Capacity - Government</t>
  </si>
  <si>
    <t>B88804</t>
  </si>
  <si>
    <t>Oracle Event Hub Cloud Service Dedicated - Compute Capacity - Government</t>
  </si>
  <si>
    <t>B88807</t>
  </si>
  <si>
    <t>Oracle Database Backup  Service - Storage Capacity - Government</t>
  </si>
  <si>
    <t>B88808</t>
  </si>
  <si>
    <t>Oracle Database Cloud Service - Enterprise Edition - General Purpose - Government</t>
  </si>
  <si>
    <t>B88809</t>
  </si>
  <si>
    <t>Oracle Database Cloud Service - Enterprise Edition Extreme Performance - General Purpose - Government</t>
  </si>
  <si>
    <t>B88814</t>
  </si>
  <si>
    <t>Oracle Database Exadata Cloud Service - Additional OCPU's - Government</t>
  </si>
  <si>
    <t>B88815</t>
  </si>
  <si>
    <t>Oracle Database Exadata Cloud Service - Quarter Rack - X6 - Government</t>
  </si>
  <si>
    <t>B88816</t>
  </si>
  <si>
    <t>Oracle Database Exadata Cloud Service - Half Rack - X6 - Government</t>
  </si>
  <si>
    <t>B88817</t>
  </si>
  <si>
    <t>Oracle Database Exadata Cloud Service - Full Rack - X6 - Government</t>
  </si>
  <si>
    <t>B88822</t>
  </si>
  <si>
    <t>B88823</t>
  </si>
  <si>
    <t>B88824</t>
  </si>
  <si>
    <t>B88833</t>
  </si>
  <si>
    <t>Monthly</t>
  </si>
  <si>
    <t>Hours</t>
  </si>
  <si>
    <t>DR</t>
  </si>
  <si>
    <t>PAYG</t>
  </si>
  <si>
    <t>Annual</t>
  </si>
  <si>
    <t>CP</t>
  </si>
  <si>
    <t>Commit level</t>
  </si>
  <si>
    <t>Dev</t>
  </si>
  <si>
    <t>Prod</t>
  </si>
  <si>
    <t>Monthly Total</t>
  </si>
  <si>
    <t>Quarterly</t>
  </si>
  <si>
    <t>Quarterly Total</t>
  </si>
  <si>
    <t>Annual Total</t>
  </si>
  <si>
    <t>Year</t>
  </si>
  <si>
    <t>Quarter</t>
  </si>
  <si>
    <t>Month</t>
  </si>
  <si>
    <t>Part
Number</t>
  </si>
  <si>
    <t>Desc</t>
  </si>
  <si>
    <t>Oracle Cloud Infrastructure - Object Storage Classic - PUT, COPY, POST or LIST Requests</t>
  </si>
  <si>
    <t>Oracle Middleware Public Cloud Services</t>
  </si>
  <si>
    <t>Oracle Cloud Infrastructure - Compute Classic- Virtual Outbound Data Transfer</t>
  </si>
  <si>
    <t>Oracle Cloud Infrastructure - Compute Classic - Virtual Compute Additional Static IP</t>
  </si>
  <si>
    <t>Oracle Cloud Infrastructure - Compute Classic - Virtual Compute Unassociated Static IP</t>
  </si>
  <si>
    <t>Oracle Cloud Infrastructure - Block Storage Classic - Metered</t>
  </si>
  <si>
    <t>Oracle Cloud Infrastructure - Block Storage Classic - I/O Requests - Metered</t>
  </si>
  <si>
    <t>Oracle Cloud Infrastructure - Archive Storage Classic - Metered</t>
  </si>
  <si>
    <t>Oracle Cloud Infrastructure - Archive Storage Classic - Data Retrieval - Metered</t>
  </si>
  <si>
    <t>Oracle Cloud Infrastructure - Archive Storage Classic - Intra-region Data Transfer</t>
  </si>
  <si>
    <t>Oracle Cloud Infrastructure - Archive Storage Classic - Deleting objects earlier than 90 days fee</t>
  </si>
  <si>
    <t>Oracle Cloud Infrastructure - Archive Storage Classic - Small reads and write fee</t>
  </si>
  <si>
    <t>Oracle Cloud Infrastructure - Block Storage Classic - Non-metered</t>
  </si>
  <si>
    <t>Oracle Cloud Infrastructure - Object Storage Classic - Non-metered</t>
  </si>
  <si>
    <t>Oracle Cloud Infrastructure - Compute Classic - Virtual Compute - Metered</t>
  </si>
  <si>
    <t>Oracle Cloud Infrastructure - Compute - Bare Metal Standard - X5 - Metered</t>
  </si>
  <si>
    <t>Oracle Cloud Infrastructure - Compute - Bare Metal Dense I/O - X5 - Metered</t>
  </si>
  <si>
    <t>Oracle Cloud Infrastructure - Compute - Virtual Machine Standard - X5 - Metered</t>
  </si>
  <si>
    <t>Oracle Cloud Infrastructure - Object Storage - Storage - Metered</t>
  </si>
  <si>
    <t>Oracle Cloud Infrastructure – Ravello Service – Compute Capacity – R1 – Cost Optimized – Advanced – Metered</t>
  </si>
  <si>
    <t>Oracle Cloud Infrastructure – Ravello Service – Compute Capacity – R2 – Cost Optimized – Advanced – Metered</t>
  </si>
  <si>
    <t>Oracle Cloud Infrastructure – Ravello Service – Compute Capacity – M – Cost Optimized – Advanced – Metered</t>
  </si>
  <si>
    <t>Oracle Cloud Infrastructure – Ravello Service – Compute Capacity – R1 – Cost Optimized – Enterprise – Metered</t>
  </si>
  <si>
    <t>Oracle Cloud Infrastructure – Ravello Service – Compute Capacity – R2 – Cost Optimized – Enterprise – Metered</t>
  </si>
  <si>
    <t>Oracle Cloud Infrastructure – Ravello Service – Compute Capacity – M – Cost Optimized – Enterprise – Metered</t>
  </si>
  <si>
    <t>Oracle Cloud Infrastructure – Ravello Service – Compute Capacity – R1 – Performance Optimized – Advanced – Metered</t>
  </si>
  <si>
    <t>Oracle Cloud Infrastructure – Ravello Service – Compute Capacity – R2 – Performance Optimized – Advanced – Metered</t>
  </si>
  <si>
    <t>Oracle Cloud Infrastructure – Ravello Service – Compute Capacity – M – Performance Optimized – Advanced – Metered</t>
  </si>
  <si>
    <t>Oracle Cloud Infrastructure – Ravello Service – Compute Capacity – R1 – Performance Optimized – Enterprise – Metered</t>
  </si>
  <si>
    <t>Oracle Cloud Infrastructure – Ravello Service – Compute Capacity – R2 – Performance Optimized – Enterprise – Metered</t>
  </si>
  <si>
    <t>Oracle Cloud Infrastructure – Ravello Service – Compute Capacity – M – Performance Optimized – Enterprise – Metered</t>
  </si>
  <si>
    <t xml:space="preserve">Oracle Cloud Infrastructure – Ravello Service – Volume Storage – Metered </t>
  </si>
  <si>
    <t>Oracle Cloud Infrastructure – Ravello Service – Library Storage – Metered</t>
  </si>
  <si>
    <t xml:space="preserve">Oracle Cloud Infrastructure – Ravello Service – Network Outbound Data Transfer – Metered </t>
  </si>
  <si>
    <t xml:space="preserve">Oracle Cloud Infrastructure – Ravello Service – Virtual Machine IP – Metered </t>
  </si>
  <si>
    <t>Oracle Cloud Infrastructure - Container Service Classic - Metered</t>
  </si>
  <si>
    <t>Oracle Cloud Infrastructure - Object Storage - Requests - Metered</t>
  </si>
  <si>
    <t>Oracle Cloud Infrastructure - Block Volume - Metered</t>
  </si>
  <si>
    <t>Oracle Cloud Infrastructure - Outbound Data Transfer - Metered</t>
  </si>
  <si>
    <t>Oracle Cloud Infrastructure - 100 Mbps Load Balancer - Metered</t>
  </si>
  <si>
    <t>Oracle Cloud Infrastructure - 400 Mbps Load Balancer - Metered</t>
  </si>
  <si>
    <t>Oracle Cloud Infrastructure - 8000 Mbps Load Balancer - Metered</t>
  </si>
  <si>
    <t>Oracle Cloud Infrastructure - Compute Classic - Virtual GPU Standard - Metered</t>
  </si>
  <si>
    <t>Oracle Cloud Infrastructure - Compute Classic - Virtual High I/O - Metered</t>
  </si>
  <si>
    <t>Oracle Cloud Infrastructure - Database Standard Edition - Dense I/O - Metered</t>
  </si>
  <si>
    <t>Oracle Cloud Infrastructure - Database Enterprise High Performance Edition - Dense I/O - Metered</t>
  </si>
  <si>
    <t>Oracle Cloud Infrastructure - Database Enterprise Extreme Performance Edition - Dense I/O - Metered</t>
  </si>
  <si>
    <t>Oracle Cloud Infrastructure - Database Standard Edition - Additional Capacity - Metered</t>
  </si>
  <si>
    <t>Oracle Cloud Infrastructure - Database Enterprise Edition - Additional Capacity - Metered</t>
  </si>
  <si>
    <t>Oracle Cloud Infrastructure - Database Enterprise Edition High Performance - Additional Capacity - Metered</t>
  </si>
  <si>
    <t>Oracle Cloud Infrastructure - Database Enterprise Edition Extreme Performance - Additional Capacity - Metered</t>
  </si>
  <si>
    <t>Oracle Cloud Infrastructure - Block Storage Classic - High I/O - Metered</t>
  </si>
  <si>
    <t>Oracle Cloud Infrastructure - Compute - Windows OS - Metered</t>
  </si>
  <si>
    <t>Oracle Cloud Infrastructure - FastConnect 10 Gbps - Metered</t>
  </si>
  <si>
    <t>Oracle Cloud Infrastructure - Compute - Virtual Machine Dense I/O - X5 - Metered</t>
  </si>
  <si>
    <t>Oracle Cloud Infrastructure - Database Exadata Quarter Rack - X6 - Metered</t>
  </si>
  <si>
    <t>Oracle Cloud Infrastructure - Database Exadata Half Rack - X6 - Metered</t>
  </si>
  <si>
    <t>Oracle Cloud Infrastructure - Database Exadata Full Rack - X6 - Metered</t>
  </si>
  <si>
    <t>Oracle Cloud Infrastructure - Database Exadata Additional OCPU's - X6 - Metered</t>
  </si>
  <si>
    <t>B88399</t>
  </si>
  <si>
    <t>B88844</t>
  </si>
  <si>
    <t>Years</t>
  </si>
  <si>
    <t>Minimum</t>
  </si>
  <si>
    <t>Oracle Cloud Infrastructure - Compute Classic - Compute Capacity - Non-metered</t>
  </si>
  <si>
    <t>Commit term</t>
  </si>
  <si>
    <t>Pricing term</t>
  </si>
  <si>
    <t>Oracle Cloud Infrastructure - DNS</t>
  </si>
  <si>
    <t xml:space="preserve"> </t>
  </si>
  <si>
    <t>Pay as You Go</t>
  </si>
  <si>
    <t>Totals</t>
  </si>
  <si>
    <t>Post discount</t>
  </si>
  <si>
    <t>Staging table 1</t>
  </si>
  <si>
    <t>Staging table 2</t>
  </si>
  <si>
    <t>Lookup table</t>
  </si>
  <si>
    <t>List  
Price</t>
  </si>
  <si>
    <t>Disc  
Price</t>
  </si>
  <si>
    <t>Total
Qty</t>
  </si>
  <si>
    <t>Next discount level</t>
  </si>
  <si>
    <t>Max</t>
  </si>
  <si>
    <t>Oracle Apiary Cloud Service - Standard</t>
  </si>
  <si>
    <t>Oracle Apiary Cloud Service - Professional</t>
  </si>
  <si>
    <t>Back</t>
  </si>
  <si>
    <t>Support</t>
  </si>
  <si>
    <t>Oracle Cloud Infrastructure - Email Delivery</t>
  </si>
  <si>
    <t>B88575</t>
  </si>
  <si>
    <t>Oracle Cloud Infrastructure - Private Pool and Vanity Nameserver – Non-Metered</t>
  </si>
  <si>
    <t>B88799</t>
  </si>
  <si>
    <t>Other</t>
  </si>
  <si>
    <t>Include</t>
  </si>
  <si>
    <t>Y</t>
  </si>
  <si>
    <t>y</t>
  </si>
  <si>
    <t>B89039</t>
  </si>
  <si>
    <t>B89040</t>
  </si>
  <si>
    <t>B89041</t>
  </si>
  <si>
    <t>B89016</t>
  </si>
  <si>
    <t>Oracle HIPAA for IaaS and PaaS</t>
  </si>
  <si>
    <t>B89137</t>
  </si>
  <si>
    <t>Oracle Cloud Infrastructure - Compute - Bare Metal Standard - X7 - Metered</t>
  </si>
  <si>
    <t>B89138</t>
  </si>
  <si>
    <t>Oracle Cloud Infrastructure - Compute - Virtual Machine Standard - X7 - Metered</t>
  </si>
  <si>
    <t>B89139</t>
  </si>
  <si>
    <t>Oracle Cloud Infrastructure - Compute - Bare Metal Dense I/O - X7 - Metered</t>
  </si>
  <si>
    <t>B89140</t>
  </si>
  <si>
    <t>Oracle Cloud Infrastructure - Compute - Virtual Machine Dense I/O - X7 - Metered</t>
  </si>
  <si>
    <t>B89141</t>
  </si>
  <si>
    <t>Oracle Cloud Infrastructure - Compute - Bare Metal GPU Standard - X7 - Metered</t>
  </si>
  <si>
    <t>B89143</t>
  </si>
  <si>
    <t xml:space="preserve">Oracle Cloud Infrastructure - DNS - Metered </t>
  </si>
  <si>
    <t>B89144</t>
  </si>
  <si>
    <t>Oracle Cloud Infrastructure Email Delivery - Metered</t>
  </si>
  <si>
    <t>B89145</t>
  </si>
  <si>
    <t xml:space="preserve">Oracle Cloud Infrastructure - Archive Storage - Metered </t>
  </si>
  <si>
    <t>Oracle Technology Global Price List</t>
  </si>
  <si>
    <t>Section I</t>
  </si>
  <si>
    <t>Processor
License</t>
  </si>
  <si>
    <t>Notes</t>
  </si>
  <si>
    <t>32, 48, 95</t>
  </si>
  <si>
    <t>6, 48</t>
  </si>
  <si>
    <t>7, 32</t>
  </si>
  <si>
    <t>2, 48</t>
  </si>
  <si>
    <t xml:space="preserve">Database Enterprise Management </t>
  </si>
  <si>
    <t>Stream</t>
  </si>
  <si>
    <t>Per Wireless Handset</t>
  </si>
  <si>
    <t>Other Products</t>
  </si>
  <si>
    <t>Per Server</t>
  </si>
  <si>
    <t>Per Disk Drive</t>
  </si>
  <si>
    <t>Computer License</t>
  </si>
  <si>
    <t>Integration Products</t>
  </si>
  <si>
    <t>Rdb Products</t>
  </si>
  <si>
    <t>Rdb Server Products</t>
  </si>
  <si>
    <t>TRACE</t>
  </si>
  <si>
    <t>18, 19</t>
  </si>
  <si>
    <t>Programmer for Rdb</t>
  </si>
  <si>
    <t>CDD/R Runtime</t>
  </si>
  <si>
    <t>Section II</t>
  </si>
  <si>
    <t>Oracle Fusion Middleware</t>
  </si>
  <si>
    <t>Application Server Products</t>
  </si>
  <si>
    <t>1, 13</t>
  </si>
  <si>
    <t>1, 32, 43, 48</t>
  </si>
  <si>
    <t>1, 48</t>
  </si>
  <si>
    <t>1, 15, 48</t>
  </si>
  <si>
    <t>1, 10</t>
  </si>
  <si>
    <t>Mobile Suite Technology</t>
  </si>
  <si>
    <t>Named User Plus</t>
  </si>
  <si>
    <t>83</t>
  </si>
  <si>
    <t>Application Developed</t>
  </si>
  <si>
    <t>10, 62, 90</t>
  </si>
  <si>
    <t>6, 10</t>
  </si>
  <si>
    <t>6, 100</t>
  </si>
  <si>
    <t xml:space="preserve">Named User Plus </t>
  </si>
  <si>
    <t>Software Update License &amp; Support</t>
  </si>
  <si>
    <t>Software            Updates</t>
  </si>
  <si>
    <t>Product              Support</t>
  </si>
  <si>
    <t>1, 3, 10</t>
  </si>
  <si>
    <t>1, 86</t>
  </si>
  <si>
    <t>1, 85, 86</t>
  </si>
  <si>
    <t>25, 32</t>
  </si>
  <si>
    <t>10, 92</t>
  </si>
  <si>
    <t>35, 36</t>
  </si>
  <si>
    <t>WebCenter Sites Options</t>
  </si>
  <si>
    <t>1, 80</t>
  </si>
  <si>
    <t>10, 58</t>
  </si>
  <si>
    <t>10, 28</t>
  </si>
  <si>
    <t>Identity Management Products</t>
  </si>
  <si>
    <t>Connector Pack</t>
  </si>
  <si>
    <t>Section III</t>
  </si>
  <si>
    <t>Applications and Systems Management</t>
  </si>
  <si>
    <t>Database Enterprise Management</t>
  </si>
  <si>
    <t>Other Infrastructure Management</t>
  </si>
  <si>
    <t>Section IV</t>
  </si>
  <si>
    <t>Oracle Application Specific Technology Products</t>
  </si>
  <si>
    <t>1, 53, 56, 57</t>
  </si>
  <si>
    <t>1, 56, 57, 63</t>
  </si>
  <si>
    <t>11, 54, 56, 57</t>
  </si>
  <si>
    <t>11, 56, 57, 64</t>
  </si>
  <si>
    <t>11, 56, 57, 76</t>
  </si>
  <si>
    <t>57, 70</t>
  </si>
  <si>
    <t>1, 56, 57, 66</t>
  </si>
  <si>
    <t>1, 56, 57, 67</t>
  </si>
  <si>
    <t>56, 57, 65</t>
  </si>
  <si>
    <t>56, 57</t>
  </si>
  <si>
    <t>26, 56, 57</t>
  </si>
  <si>
    <t>6, 56, 57, 60</t>
  </si>
  <si>
    <t>6, 10, 56, 57, 87</t>
  </si>
  <si>
    <t>Prices in USA (Dollar)</t>
  </si>
  <si>
    <t>Oracle Database</t>
  </si>
  <si>
    <t>Database Products</t>
  </si>
  <si>
    <t>Standard Edition 2</t>
  </si>
  <si>
    <t>Enterprise Edition</t>
  </si>
  <si>
    <t>Personal Edition</t>
  </si>
  <si>
    <t>Mobile Server</t>
  </si>
  <si>
    <t>NoSQL Database Enterprise Edition</t>
  </si>
  <si>
    <t>Enterprise Edition Options:</t>
  </si>
  <si>
    <t>Multitenant</t>
  </si>
  <si>
    <t>Real Application Clusters</t>
  </si>
  <si>
    <t>Real Application Clusters One Node</t>
  </si>
  <si>
    <t>Active Data Guard</t>
  </si>
  <si>
    <t>Partitioning</t>
  </si>
  <si>
    <t>Real Application Testing</t>
  </si>
  <si>
    <t>Advanced Compression</t>
  </si>
  <si>
    <t>Advanced Security</t>
  </si>
  <si>
    <t>Label Security</t>
  </si>
  <si>
    <t xml:space="preserve">Database Vault </t>
  </si>
  <si>
    <t>OLAP</t>
  </si>
  <si>
    <t>TimesTen Application-Tier Database Cache</t>
  </si>
  <si>
    <t>Database In-Memory</t>
  </si>
  <si>
    <t>Diagnostics Pack</t>
  </si>
  <si>
    <t>Tuning Pack</t>
  </si>
  <si>
    <t>Database Lifecycle Management Pack</t>
  </si>
  <si>
    <t>Data Masking and Subsetting Pack</t>
  </si>
  <si>
    <t>Cloud Management Pack for Oracle Database</t>
  </si>
  <si>
    <t>License Price</t>
  </si>
  <si>
    <t>Licensing Metric</t>
  </si>
  <si>
    <t>Secure Backup</t>
  </si>
  <si>
    <t xml:space="preserve"> -</t>
  </si>
  <si>
    <t>TimesTen</t>
  </si>
  <si>
    <t xml:space="preserve">TimesTen In-Memory Database </t>
  </si>
  <si>
    <t>Berkeley Database</t>
  </si>
  <si>
    <t>Berkeley DB - High Availability</t>
  </si>
  <si>
    <t xml:space="preserve">Berkeley DB - Transactional Data Store </t>
  </si>
  <si>
    <t>Berkeley DB - Concurrent Data Store</t>
  </si>
  <si>
    <t xml:space="preserve">Berkeley DB - Data Store </t>
  </si>
  <si>
    <t>Berkeley DB - Transactional Data Store</t>
  </si>
  <si>
    <t>Berkeley DB Java Edition - High Availability</t>
  </si>
  <si>
    <t xml:space="preserve">Berkeley DB Java Edition - Transactional Data Store </t>
  </si>
  <si>
    <t xml:space="preserve">Berkeley DB Java Edition - Concurrent Data Store </t>
  </si>
  <si>
    <t>Berkeley DB XML - High Availability</t>
  </si>
  <si>
    <t xml:space="preserve">Berkeley DB XML - Transactional Data Store </t>
  </si>
  <si>
    <t>Berkeley DB XML - Concurrent Data Store</t>
  </si>
  <si>
    <t xml:space="preserve">Berkeley DB XML - Data Store </t>
  </si>
  <si>
    <t>Audit Vault and Database Firewall</t>
  </si>
  <si>
    <t>Big Data Connectors</t>
  </si>
  <si>
    <t>Big Data Spatial and Graph</t>
  </si>
  <si>
    <t>Key Vault</t>
  </si>
  <si>
    <t>Big Data SQL</t>
  </si>
  <si>
    <t>Database Gateway for Sybase</t>
  </si>
  <si>
    <t>Database Gateway for SQL Server</t>
  </si>
  <si>
    <t>Database Gateway for Informix</t>
  </si>
  <si>
    <t>Database Gateway for Teradata</t>
  </si>
  <si>
    <t xml:space="preserve">Database Gateway for DRDA </t>
  </si>
  <si>
    <t xml:space="preserve">Database Gateway for APPC </t>
  </si>
  <si>
    <t xml:space="preserve">Database Gateway for WebSphere MQ </t>
  </si>
  <si>
    <t>Rdb Enterprise Edition</t>
  </si>
  <si>
    <t>CODASYL DBMS</t>
  </si>
  <si>
    <t>Rdb Server Options:</t>
  </si>
  <si>
    <t>Rdb Development, Query and Reporting Tools</t>
  </si>
  <si>
    <t>CDD/ Repository</t>
  </si>
  <si>
    <t>TopLink and Application Development Framework</t>
  </si>
  <si>
    <t>WebLogic Server Standard Edition</t>
  </si>
  <si>
    <t>WebLogic Server Enterprise Edition</t>
  </si>
  <si>
    <t>WebLogic Suite</t>
  </si>
  <si>
    <t>Web Tier</t>
  </si>
  <si>
    <t>Internet Application Server Enterprise Edition</t>
  </si>
  <si>
    <t>GlassFish Server</t>
  </si>
  <si>
    <t>Coherence Standard Edition One</t>
  </si>
  <si>
    <t>Coherence Enterprise Edition</t>
  </si>
  <si>
    <t>Coherence Grid Edition</t>
  </si>
  <si>
    <t>BPEL Process Manager</t>
  </si>
  <si>
    <t>WebLogic Integration</t>
  </si>
  <si>
    <t>SOA Suite for Non Oracle Middleware</t>
  </si>
  <si>
    <t>Unified Business Process Management Suite for Non Oracle Middleware</t>
  </si>
  <si>
    <t>Managed File Transfer</t>
  </si>
  <si>
    <t>Stream Analytics</t>
  </si>
  <si>
    <t>Forms and Reports</t>
  </si>
  <si>
    <t>Mobile Suite</t>
  </si>
  <si>
    <t>Mobile Suite Client Runtime</t>
  </si>
  <si>
    <t>Data Integration Technology</t>
  </si>
  <si>
    <t>Data Integrator Enterprise Edition</t>
  </si>
  <si>
    <t>Data Integrator for Big Data</t>
  </si>
  <si>
    <t>Enterprise Metadata Management</t>
  </si>
  <si>
    <t>Enterprise Data Quality Profiling for Data Integration</t>
  </si>
  <si>
    <t>Enterprise Data Quality Audit and Dashboard for Data Integration</t>
  </si>
  <si>
    <t>Enterprise Data Quality Real-Time Processing for Data Integration</t>
  </si>
  <si>
    <t>Enterprise Data Quality Batch Processing for Data Integration</t>
  </si>
  <si>
    <t>Enterprise Data Quality Address Verification Server for Data Integration</t>
  </si>
  <si>
    <t>Data Integration Suite</t>
  </si>
  <si>
    <t>GoldenGate</t>
  </si>
  <si>
    <t>GoldenGate for Non Oracle Database</t>
  </si>
  <si>
    <t>GoldenGate for Mainframe</t>
  </si>
  <si>
    <t>GoldenGate Veridata</t>
  </si>
  <si>
    <t>GoldenGate for Teradata Replication Services</t>
  </si>
  <si>
    <t>GoldenGate for Big Data</t>
  </si>
  <si>
    <t>GoldenGate Foundation Suite</t>
  </si>
  <si>
    <t>WebLogic Suite Options:</t>
  </si>
  <si>
    <t>BPEL Process Manager Option</t>
  </si>
  <si>
    <t>Service Bus</t>
  </si>
  <si>
    <t>SOA Suite for Oracle Middleware</t>
  </si>
  <si>
    <t>Unified Business Process Management Suite</t>
  </si>
  <si>
    <t>WebLogic Coherence Grid Edition Option</t>
  </si>
  <si>
    <t>WebLogic Server Enterprise Edition and WebLogic Suite Options:</t>
  </si>
  <si>
    <t>WebLogic Server Multitenant</t>
  </si>
  <si>
    <t>WebLogic Server Continuous Availability</t>
  </si>
  <si>
    <t>SOA Suite for Oracle Middleware Options:</t>
  </si>
  <si>
    <t>Integration Continuous Availability</t>
  </si>
  <si>
    <t>Real-Time Integration Business Insight</t>
  </si>
  <si>
    <t>Application Server Enterprise Management</t>
  </si>
  <si>
    <t>WebLogic Server Management Pack Enterprise Edition</t>
  </si>
  <si>
    <t>SOA Management Pack Enterprise Edition</t>
  </si>
  <si>
    <t>Management Pack for Oracle Coherence</t>
  </si>
  <si>
    <t>Management Pack for Oracle GoldenGate</t>
  </si>
  <si>
    <t>Cloud Management Pack for Oracle Fusion Middleware</t>
  </si>
  <si>
    <t>Management Pack for Oracle Data Integrator</t>
  </si>
  <si>
    <t>Fusion Middleware Adapters:</t>
  </si>
  <si>
    <t>Application Adapters</t>
  </si>
  <si>
    <t>Oracle E-Business Suite Adapter</t>
  </si>
  <si>
    <t>Integration Adapter for SAP R/3</t>
  </si>
  <si>
    <t>Integration Adapter for JD Edwards World</t>
  </si>
  <si>
    <t>Integration Adapter for Siebel</t>
  </si>
  <si>
    <t>Cloud Adapters</t>
  </si>
  <si>
    <t>Mainframe and TP-Monitor Adapters</t>
  </si>
  <si>
    <t>Changed Data Capture Adapters</t>
  </si>
  <si>
    <t>Application Adapters for Data Integration</t>
  </si>
  <si>
    <t>GoldenGate Application Adapters</t>
  </si>
  <si>
    <t>Application Adapters for Warehouse Builder</t>
  </si>
  <si>
    <t>B2B for RosettaNet</t>
  </si>
  <si>
    <t>B2B for EDI</t>
  </si>
  <si>
    <t>B2B for ebXML</t>
  </si>
  <si>
    <t>Tuxedo and Adapters</t>
  </si>
  <si>
    <t>Tuxedo</t>
  </si>
  <si>
    <t>Tuxedo Advanced Performance Pack</t>
  </si>
  <si>
    <t>Tuxedo Jolt</t>
  </si>
  <si>
    <t>Service Architecture Leveraging Tuxedo (SALT)</t>
  </si>
  <si>
    <t>Tuxedo System and Applications Monitor Plus (TSAM Plus)</t>
  </si>
  <si>
    <t>Tuxedo Mainframe Adapter for SNA</t>
  </si>
  <si>
    <t>Tuxedo Mainframe Adapter for TCP</t>
  </si>
  <si>
    <t>Tuxedo JCA Adapter</t>
  </si>
  <si>
    <t>Tuxedo Application Runtime for CICS and Batch</t>
  </si>
  <si>
    <t>Tuxedo Application Runtime for Batch</t>
  </si>
  <si>
    <t>Tuxedo Application Runtime for IMS</t>
  </si>
  <si>
    <t>Tuxedo Application Rehosting Workbench</t>
  </si>
  <si>
    <t>Tuxedo Application Rehosting Test Manager</t>
  </si>
  <si>
    <t>Tuxedo Message Queue</t>
  </si>
  <si>
    <t>MessageQ</t>
  </si>
  <si>
    <t>Application Integration Architecture</t>
  </si>
  <si>
    <t>Application Integration Architecture Foundation Pack</t>
  </si>
  <si>
    <t>Business Intelligence Management Pack</t>
  </si>
  <si>
    <t xml:space="preserve">Business Intelligence Data Integration Technology </t>
  </si>
  <si>
    <t xml:space="preserve">Data Integrator for Oracle Business Intelligence               </t>
  </si>
  <si>
    <t xml:space="preserve">Informatica PowerCenter and PowerConnect Adapters                             </t>
  </si>
  <si>
    <t xml:space="preserve">Metadata Management for Oracle Business Intelligence              </t>
  </si>
  <si>
    <t>Real-Time Decision (RTD) Technology</t>
  </si>
  <si>
    <t xml:space="preserve">Real-Time Decision Server </t>
  </si>
  <si>
    <t>Hyperion Business Intelligence Technology</t>
  </si>
  <si>
    <t>Essbase Plus</t>
  </si>
  <si>
    <t>Hyperion Financial Reporting</t>
  </si>
  <si>
    <t>WebCenter Products</t>
  </si>
  <si>
    <t>WebCenter Suite Plus</t>
  </si>
  <si>
    <t>WebCenter Portal</t>
  </si>
  <si>
    <t>WebCenter Content</t>
  </si>
  <si>
    <t>WebCenter Sites</t>
  </si>
  <si>
    <t>WebCenter Sites Satellite Server</t>
  </si>
  <si>
    <t>WebCenter Universal Content Management</t>
  </si>
  <si>
    <t>WebCenter Imaging</t>
  </si>
  <si>
    <t>WebCenter Forms Recognition</t>
  </si>
  <si>
    <t>WebCenter Enterprise Capture</t>
  </si>
  <si>
    <t>WebCenter Enterprise Capture Standard Edition</t>
  </si>
  <si>
    <t>WebCenter Real-Time Collaboration</t>
  </si>
  <si>
    <t>WebCenter Sites Mobile Option</t>
  </si>
  <si>
    <t>WebCenter Sites Mobility Server</t>
  </si>
  <si>
    <t>Server</t>
  </si>
  <si>
    <t>WebCenter Adapters:</t>
  </si>
  <si>
    <t>WebCenter Applications Adapter</t>
  </si>
  <si>
    <t>WebCenter Adapter Framework</t>
  </si>
  <si>
    <t>WebCenter Management</t>
  </si>
  <si>
    <t>Management Pack for WebCenter</t>
  </si>
  <si>
    <t>Enterprise Identity Services Suite</t>
  </si>
  <si>
    <t>Identity Governance Suite</t>
  </si>
  <si>
    <t>Directory Services Plus</t>
  </si>
  <si>
    <t>Employee User</t>
  </si>
  <si>
    <t>Non Employee User - External</t>
  </si>
  <si>
    <t>Access Management Suite Plus</t>
  </si>
  <si>
    <t>Enterprise Single Sign-On Suite Plus</t>
  </si>
  <si>
    <t>Identity and Access Management Suite Plus</t>
  </si>
  <si>
    <t>Access Manager</t>
  </si>
  <si>
    <t>Identity Federation</t>
  </si>
  <si>
    <t xml:space="preserve">Entitlements Server </t>
  </si>
  <si>
    <t>Entitlements Server Security Module</t>
  </si>
  <si>
    <t>Identity Manager</t>
  </si>
  <si>
    <t>Identity Manager Connectors Pack</t>
  </si>
  <si>
    <t>Identity Manager Connector</t>
  </si>
  <si>
    <t>Connector</t>
  </si>
  <si>
    <t>Identity Management Enterprise Management</t>
  </si>
  <si>
    <t>Management Pack Plus for Identity Management</t>
  </si>
  <si>
    <t>Secure Global Desktop Software</t>
  </si>
  <si>
    <t>Secure Global Desktop for Microsoft Windows, AS/400, Solaris, Unix and Mainframe</t>
  </si>
  <si>
    <t>Secure Global Desktop for Microsoft Windows only</t>
  </si>
  <si>
    <t>Business Intelligence Management</t>
  </si>
  <si>
    <t>Tools</t>
  </si>
  <si>
    <t>Programmer</t>
  </si>
  <si>
    <t>Internet Developer Suite</t>
  </si>
  <si>
    <t>Configuration Management Pack for Applications</t>
  </si>
  <si>
    <t>Per Processor</t>
  </si>
  <si>
    <t>Per Named User Plus</t>
  </si>
  <si>
    <t>System Monitoring Plug-in for Non Oracle Databases</t>
  </si>
  <si>
    <t>System Monitoring Plug-in for Non Oracle Middleware</t>
  </si>
  <si>
    <t>Management Pack for Non-Oracle Middleware</t>
  </si>
  <si>
    <t>Service Management</t>
  </si>
  <si>
    <t>Real User Experience Insight</t>
  </si>
  <si>
    <t>Application Testing</t>
  </si>
  <si>
    <t>Load Testing Developer Edition</t>
  </si>
  <si>
    <t>Load Testing Controller</t>
  </si>
  <si>
    <t>Load Testing</t>
  </si>
  <si>
    <t xml:space="preserve">Load Testing Accelerator for Web Services </t>
  </si>
  <si>
    <t>Application Replay Pack</t>
  </si>
  <si>
    <t>Load Testing Accelerator for Oracle Database</t>
  </si>
  <si>
    <t>Functional Testing</t>
  </si>
  <si>
    <t xml:space="preserve">Functional Testing Accelerator for Web Services </t>
  </si>
  <si>
    <t>Test Manager</t>
  </si>
  <si>
    <t>Cloud Management Pack for Testing</t>
  </si>
  <si>
    <t>Employee 
    for HCM 59</t>
  </si>
  <si>
    <t>WebLogic Suite for Oracle Applications</t>
  </si>
  <si>
    <t>Coherence Enterprise Edition for Oracle Applications</t>
  </si>
  <si>
    <t>WebLogic Suite Options for Oracle Applications:</t>
  </si>
  <si>
    <t>BPEL Process Manager Option for Oracle Applications</t>
  </si>
  <si>
    <t>SOA Suite for Oracle Middleware for Oracle Applications</t>
  </si>
  <si>
    <t>Unified Business Process Management Suite for Oracle Applications</t>
  </si>
  <si>
    <t>Application Management</t>
  </si>
  <si>
    <t>Application Management Pack for Oracle Fusion Applications</t>
  </si>
  <si>
    <t>WebCenter Portal for Oracle Applications</t>
  </si>
  <si>
    <t>WebCenter Imaging for Oracle Applications</t>
  </si>
  <si>
    <t>Identity Management Product</t>
  </si>
  <si>
    <t>Identity and Access Management Suite Plus for Oracle Applications</t>
  </si>
  <si>
    <t>Business Intelligence Suite Foundation Edition for Oracle Applications</t>
  </si>
  <si>
    <t>Data Integration Technology Product</t>
  </si>
  <si>
    <t>Data Integrator Enterprise Edition for Oracle Applications</t>
  </si>
  <si>
    <t>GoldenGate for Oracle Applications</t>
  </si>
  <si>
    <t>Berkeley DB – High Availability for Oracle Applications</t>
  </si>
  <si>
    <t>Berkeley DB – Transactional Data Store for Oracle Applications</t>
  </si>
  <si>
    <t>Berkeley DB Java Edition – High Availability for Oracle Applications</t>
  </si>
  <si>
    <t>Berkeley DB Java Edition – Transactional Data Store for Oracle Applications</t>
  </si>
  <si>
    <t>Oracle Database Exadata Cloud at Customer X7 - Additional OCPUs - BYOL - Non-Metered</t>
  </si>
  <si>
    <t>Oracle Database Exadata Cloud at Customer X7 - Additional OCPUs - BYOL - Metered</t>
  </si>
  <si>
    <t>Oracle Database Exadata Cloud at Customer X7 - Additional OCPUs - Partner Hardware - BYOL - Non-Metered</t>
  </si>
  <si>
    <t>Oracle Database Exadata Cloud at Customer X7 - Additional OCPUs - Partner Hardware - BYOL - Metered</t>
  </si>
  <si>
    <t>Oracle Database Exadata Cloud at Customer X7 - Additional OCPUs - Non-Metered</t>
  </si>
  <si>
    <t>Oracle Database Exadata Cloud at Customer X7 - Additional OCPUs - Metered</t>
  </si>
  <si>
    <t>Oracle Database Exadata Cloud at Customer X7 - Additional OCPUs - Partner Hardware - Non-Metered</t>
  </si>
  <si>
    <t>B89125</t>
  </si>
  <si>
    <t>Oracle Database Exadata Cloud at Customer X7 - Additional OCPUs - Partner Hardware - Metered</t>
  </si>
  <si>
    <t>Oracle Cloud Services</t>
  </si>
  <si>
    <t>Oracle Products</t>
  </si>
  <si>
    <t>NUP</t>
  </si>
  <si>
    <t>PROC</t>
  </si>
  <si>
    <t>Pillar</t>
  </si>
  <si>
    <t>Total</t>
  </si>
  <si>
    <t>n</t>
  </si>
  <si>
    <t>Product Description</t>
  </si>
  <si>
    <t>Unit Price</t>
  </si>
  <si>
    <t>Hardware</t>
  </si>
  <si>
    <t>Machine</t>
  </si>
  <si>
    <t>DB Server</t>
  </si>
  <si>
    <t>Software</t>
  </si>
  <si>
    <t>Services</t>
  </si>
  <si>
    <t>Exadata Installation</t>
  </si>
  <si>
    <t>Exadata Configuration Service</t>
  </si>
  <si>
    <t>Standard System Installation Service-Group I</t>
  </si>
  <si>
    <t>Standard System Installation Service-Group II</t>
  </si>
  <si>
    <t>ACS T&amp;E (estimated)</t>
  </si>
  <si>
    <t>Freight (estimated)</t>
  </si>
  <si>
    <t>Standard System Installation Service-Group III</t>
  </si>
  <si>
    <t>HW</t>
  </si>
  <si>
    <t>Sub-total by type</t>
  </si>
  <si>
    <t>DISK</t>
  </si>
  <si>
    <t>Pillar Totals</t>
  </si>
  <si>
    <t>Database Edition</t>
  </si>
  <si>
    <t>Standard Edition</t>
  </si>
  <si>
    <t>Enterprise Edition High Performance</t>
  </si>
  <si>
    <t>Enterprise Edition Extreme Performance</t>
  </si>
  <si>
    <t>Oracle Cloud Infrastructure - FastConnect Classic - Port Speed 10Gbps</t>
  </si>
  <si>
    <t>Oracle Cloud Infrastructure - Compute Classic - Unassociated Status IP - Government</t>
  </si>
  <si>
    <t>Oracle Cloud Infrastructure - Block Storage Classic - Government</t>
  </si>
  <si>
    <t>B88827</t>
  </si>
  <si>
    <t>Oracle CASB for SaaS - Enterprise User - Government</t>
  </si>
  <si>
    <t>B88828</t>
  </si>
  <si>
    <t>Oracle CASB for SaaS - Non-Enterprise User - Government</t>
  </si>
  <si>
    <t>B88829</t>
  </si>
  <si>
    <t>Oracle CASB for IaaS - Government</t>
  </si>
  <si>
    <t>B88830</t>
  </si>
  <si>
    <t>Oracle CASB for IaaS - Additional Capacity - Government</t>
  </si>
  <si>
    <t>Oracle Cloud Infrastructure - Database Enterprise Edition - Dense I/O - Metered</t>
  </si>
  <si>
    <t>B89057</t>
  </si>
  <si>
    <t>Oracle Cloud Infrastructure - File Storage</t>
  </si>
  <si>
    <t>B89421</t>
  </si>
  <si>
    <t>B89422</t>
  </si>
  <si>
    <t>B89423</t>
  </si>
  <si>
    <t>B89424</t>
  </si>
  <si>
    <t>B89425</t>
  </si>
  <si>
    <t>B89426</t>
  </si>
  <si>
    <t>B89427</t>
  </si>
  <si>
    <t>B89428</t>
  </si>
  <si>
    <t>B89429</t>
  </si>
  <si>
    <t>B89430</t>
  </si>
  <si>
    <t>B89431</t>
  </si>
  <si>
    <t>B89432</t>
  </si>
  <si>
    <t>B89433</t>
  </si>
  <si>
    <t>B89434</t>
  </si>
  <si>
    <t>B89435</t>
  </si>
  <si>
    <t>B89436</t>
  </si>
  <si>
    <t>B89437</t>
  </si>
  <si>
    <t>B89438</t>
  </si>
  <si>
    <t>B89439</t>
  </si>
  <si>
    <t>B89621</t>
  </si>
  <si>
    <t>Oracle Cloud Infrastructure - Database Standard Edition - Dense I/O - X7</t>
  </si>
  <si>
    <t>B89622</t>
  </si>
  <si>
    <t>Oracle Cloud Infrastructure - Database Enterprise Edition - Dense I/O - X7</t>
  </si>
  <si>
    <t>B89623</t>
  </si>
  <si>
    <t>Oracle Cloud Infrastructure - Database Enterprise High Performance Edition - Dense I/O - X7</t>
  </si>
  <si>
    <t>B89624</t>
  </si>
  <si>
    <t>Oracle Cloud Infrastructure - Database Enterprise Extreme Performance Edition - Dense I/O - X7</t>
  </si>
  <si>
    <t>B89625</t>
  </si>
  <si>
    <t>Oracle Cloud Infrastructure - Database All Editions - Dense I/O - X7 - BYOL</t>
  </si>
  <si>
    <t>B89639</t>
  </si>
  <si>
    <t>B89640</t>
  </si>
  <si>
    <t>B89643</t>
  </si>
  <si>
    <t>B89644</t>
  </si>
  <si>
    <t>B89646</t>
  </si>
  <si>
    <t>Oracle Management Cloud – Enterprise Edition - Government</t>
  </si>
  <si>
    <t>Oracle Management Cloud – Log Analytics Edition - Government</t>
  </si>
  <si>
    <t>B89161</t>
  </si>
  <si>
    <t>B89162</t>
  </si>
  <si>
    <t>B89163</t>
  </si>
  <si>
    <t>B89336</t>
  </si>
  <si>
    <t>Oracle Cloud Infrastructure - File Storage - Metered</t>
  </si>
  <si>
    <t>Oracle Cloud Infrastructure - Compute - Bare Metal Standard - X7 - Government</t>
  </si>
  <si>
    <t>Oracle Cloud Infrastructure - Compute - Virtual Machine Standard - X7 - Government</t>
  </si>
  <si>
    <t>Oracle Cloud Infrastructure - Compute - Bare Metal Dense I/O - X7 - Government</t>
  </si>
  <si>
    <t>Oracle Cloud Infrastructure - Compute - Virtual Machine Dense I/O - X7 - Government</t>
  </si>
  <si>
    <t>Oracle Cloud Infrastructure - Compute - Bare Metal GPU Standard - X7 - Government</t>
  </si>
  <si>
    <t>Oracle Cloud Infrastructure - Compute - Windows OS - Government</t>
  </si>
  <si>
    <t>Oracle Cloud Infrastructure - 100 Mbps Load Balancer - Government</t>
  </si>
  <si>
    <t>Oracle Cloud Infrastructure - 400 Mbps Load Balancer - Government</t>
  </si>
  <si>
    <t>Oracle Cloud Infrastructure - 8000 Mbps Load Balancer - Government</t>
  </si>
  <si>
    <t>Oracle Cloud Infrastructure - FastConnect 1 Gbps - Government</t>
  </si>
  <si>
    <t>Oracle Cloud Infrastructure - FastConnect 10 Gbps - Government</t>
  </si>
  <si>
    <t>Oracle Cloud Infrastructure - Outbound Data Transfer - Government</t>
  </si>
  <si>
    <t>Oracle Cloud Infrastructure - Block Volume - Government</t>
  </si>
  <si>
    <t>Oracle Cloud Infrastructure - Object Storage - Storage - Government</t>
  </si>
  <si>
    <t>Oracle Cloud Infrastructure - Archive Storage - Government</t>
  </si>
  <si>
    <t>Oracle Cloud Infrastructure - File Storage - Government</t>
  </si>
  <si>
    <t>B89708</t>
  </si>
  <si>
    <t xml:space="preserve">Oracle Cloud Infrastructure - FastConnect Classic - Port Speed 10 Gbps - Government </t>
  </si>
  <si>
    <t>B89709</t>
  </si>
  <si>
    <t xml:space="preserve">Oracle Cloud Infrastructure - FastConnect Classic - Port Speed 1 Gbps - Government </t>
  </si>
  <si>
    <t>B89734</t>
  </si>
  <si>
    <t>Oracle Cloud Infrastructure - Compute - GPU Standard - V2</t>
  </si>
  <si>
    <t>B89735</t>
  </si>
  <si>
    <t xml:space="preserve">Oracle Cloud Infrastructure - Compute - GPU Standard - V2 - Metered </t>
  </si>
  <si>
    <t>Calendar year</t>
  </si>
  <si>
    <t>Annual - Calendar Year</t>
  </si>
  <si>
    <t>Annual - Contract Year</t>
  </si>
  <si>
    <t>Oracle Big Data Cloud at Customer - Starter Pack - 3 Nodes - Non-metered</t>
  </si>
  <si>
    <t>Oracle Big Data Cloud at Customer - Additional Nodes - Non-metered</t>
  </si>
  <si>
    <t>B89720</t>
  </si>
  <si>
    <t>B89736</t>
  </si>
  <si>
    <t>B89980</t>
  </si>
  <si>
    <t>B89981</t>
  </si>
  <si>
    <t>B90022</t>
  </si>
  <si>
    <t>B90023</t>
  </si>
  <si>
    <t>B90025</t>
  </si>
  <si>
    <t>Oracle GoldenGate Cloud Service - Enterprise - Government</t>
  </si>
  <si>
    <t>Required Discount</t>
  </si>
  <si>
    <t>Target Price</t>
  </si>
  <si>
    <t>→</t>
  </si>
  <si>
    <t>B90203</t>
  </si>
  <si>
    <t>Oracle Cloud at Customer X6 Compute - Non-metered</t>
  </si>
  <si>
    <t>Oracle Cloud at Customer X6 Object Storage - Non-metered</t>
  </si>
  <si>
    <t>Oracle Cloud at Customer X6 Compute - Partner Hardware - Non-metered</t>
  </si>
  <si>
    <t>Oracle Cloud at Customer X6 Object Storage - Partner Hardware - Non-metered</t>
  </si>
  <si>
    <t>B89818</t>
  </si>
  <si>
    <t>B89999</t>
  </si>
  <si>
    <t>B90000</t>
  </si>
  <si>
    <t>B90001</t>
  </si>
  <si>
    <t>B90019</t>
  </si>
  <si>
    <t>Oracle Cloud Infrastructure - Compute - GPU Standard - V2 - Government</t>
  </si>
  <si>
    <t>Oracle CASB for Data Protection - Data Loss Prevention - Government</t>
  </si>
  <si>
    <t>B90021</t>
  </si>
  <si>
    <t>Oracle CASB for Data Protection - Data Loss Prevention - Retroactive Scan - Government</t>
  </si>
  <si>
    <t>Oracle SOA Suite Cloud Service - Government</t>
  </si>
  <si>
    <t>Oracle SOA Suite Cloud Service - B2B Adapter for EDI - Government</t>
  </si>
  <si>
    <t>B90024</t>
  </si>
  <si>
    <t>Oracle SOA Suite Cloud Service - BYOL - Government</t>
  </si>
  <si>
    <t>B90026</t>
  </si>
  <si>
    <t>Oracle GoldenGate Cloud Service - Enterprise - BYOL - Government</t>
  </si>
  <si>
    <t>B90027</t>
  </si>
  <si>
    <t>B90031</t>
  </si>
  <si>
    <t>Oracle Java Cloud Service - Enterprise Edition - BYOL - Government</t>
  </si>
  <si>
    <t>B90032</t>
  </si>
  <si>
    <t>Oracle Java Cloud Service - High Performance - BYOL - Government</t>
  </si>
  <si>
    <t>B90033</t>
  </si>
  <si>
    <t>Oracle Database Cloud Service - All Editions - BYOL - Government</t>
  </si>
  <si>
    <t>B90034</t>
  </si>
  <si>
    <t>Oracle Analytics Cloud - Standard - BYOL - Government</t>
  </si>
  <si>
    <t>B90036</t>
  </si>
  <si>
    <t>Oracle Analytics Cloud - Enterprise - BYOL - Government</t>
  </si>
  <si>
    <t>B90149</t>
  </si>
  <si>
    <t>Oracle Database Cloud Service - Enterprise Edition Extreme Performance RAC - BYOL - Government</t>
  </si>
  <si>
    <t>B88887</t>
  </si>
  <si>
    <t>B90176</t>
  </si>
  <si>
    <t>Oracle Cloud Infrastructure - Data Transfer Appliance - Non-Metered</t>
  </si>
  <si>
    <t>B90230</t>
  </si>
  <si>
    <t>B90231</t>
  </si>
  <si>
    <t>Term</t>
  </si>
  <si>
    <t>PERP</t>
  </si>
  <si>
    <t>Term License</t>
  </si>
  <si>
    <t>NONE</t>
  </si>
  <si>
    <t>B88831</t>
  </si>
  <si>
    <t>Oracle CASB for Custom Apps - Government</t>
  </si>
  <si>
    <t>B89476</t>
  </si>
  <si>
    <t>B89737</t>
  </si>
  <si>
    <t>B89738</t>
  </si>
  <si>
    <t>B89739</t>
  </si>
  <si>
    <t>B90260</t>
  </si>
  <si>
    <t>B90268</t>
  </si>
  <si>
    <t>B90269</t>
  </si>
  <si>
    <t>B90270</t>
  </si>
  <si>
    <t>B90271</t>
  </si>
  <si>
    <t>B90281</t>
  </si>
  <si>
    <t>B90284</t>
  </si>
  <si>
    <t>B90285</t>
  </si>
  <si>
    <t>B90287</t>
  </si>
  <si>
    <t>B90288</t>
  </si>
  <si>
    <t>B90290</t>
  </si>
  <si>
    <t>B90291</t>
  </si>
  <si>
    <t>B90292</t>
  </si>
  <si>
    <t>B90299</t>
  </si>
  <si>
    <t>Oracle HIPAA for IaaS and PaaS - Government</t>
  </si>
  <si>
    <t>B90304</t>
  </si>
  <si>
    <t>B90306</t>
  </si>
  <si>
    <t>B90453</t>
  </si>
  <si>
    <t>Oracle Autonomous Transaction Processing</t>
  </si>
  <si>
    <t>B90454</t>
  </si>
  <si>
    <t>Oracle Autonomous Transaction Processing - BYOL</t>
  </si>
  <si>
    <t>B90455</t>
  </si>
  <si>
    <t>Commit</t>
  </si>
  <si>
    <t>Oracle Autonomous Data Warehouse</t>
  </si>
  <si>
    <t>Oracle Autonomous Data Warehouse - Exadata Storage</t>
  </si>
  <si>
    <t>B89816</t>
  </si>
  <si>
    <t>Oracle Autonomous Data Warehouse - Government</t>
  </si>
  <si>
    <t>B89817</t>
  </si>
  <si>
    <t>Oracle Autonomous Data Warehouse - Exadata Storage - Government</t>
  </si>
  <si>
    <t>B90028</t>
  </si>
  <si>
    <t>Oracle Autonomous Data Warehouse - BYOL - Government</t>
  </si>
  <si>
    <t>B90328</t>
  </si>
  <si>
    <t xml:space="preserve">Oracle Cloud Infrastructure - Key Management </t>
  </si>
  <si>
    <t>B90344</t>
  </si>
  <si>
    <t>Oracle Cloud Infrastructure - Key Management - Government</t>
  </si>
  <si>
    <t>B90353</t>
  </si>
  <si>
    <t>B90484</t>
  </si>
  <si>
    <t>Oracle Cloud Infrastructure - Database Exadata Infrastructure - Quarter Rack - X7 - Government</t>
  </si>
  <si>
    <t>B90485</t>
  </si>
  <si>
    <t>Oracle Cloud Infrastructure - Database Exadata Infrastructure - Half Rack - X7 - Government</t>
  </si>
  <si>
    <t>B90486</t>
  </si>
  <si>
    <t>Oracle Cloud Infrastructure - Database Exadata Infrastructure - Full Rack - X7 - Government</t>
  </si>
  <si>
    <t>B90487</t>
  </si>
  <si>
    <t>B90488</t>
  </si>
  <si>
    <t>Each</t>
  </si>
  <si>
    <t>SW</t>
  </si>
  <si>
    <t>SVC</t>
  </si>
  <si>
    <t>Non-Prod</t>
  </si>
  <si>
    <t>Installation &amp; Config</t>
  </si>
  <si>
    <t>Term licensing available for all Oracle products. The list price for a term license is based on a specific percentage of the perpetual license price. Annual terms licenses are available from 1 to 5 years: 1 year - 20% of list; 2 year - 35% of list, 3 year - 50% of list, 4 year 60% of list and 5 year 70% of list.</t>
  </si>
  <si>
    <t>The list support price for term licenses is 22% of the list perpetual license fee, as listed in the price list. The term license percentages are not applied to the list support price. E-Business discount, and any approved discount, is applied to the list support price.</t>
  </si>
  <si>
    <t xml:space="preserve">Example : </t>
  </si>
  <si>
    <t>For a perpetual license for one Processor of Database Enterprise Edition, the list license price is $47,500 and the list annual support price is $10,450.</t>
  </si>
  <si>
    <t>For a one year term license of Database Enterprise Edition, the list license price is 20% of $47,500 = $9,500. The list annual support price remains $10,450, and is not affected by the 20% term multiplier.</t>
  </si>
  <si>
    <t>If this was part of a larger contract which qualified for a 10% E-Business discount, the one year term net license price would be $8,550, and the net annual support price would be $9,405.</t>
  </si>
  <si>
    <t>Oracle Autonomous Data Warehouse - BYOL</t>
  </si>
  <si>
    <t>B90232</t>
  </si>
  <si>
    <t>Oracle Database Backup Cloud - Object Storage - Government</t>
  </si>
  <si>
    <t>B90233</t>
  </si>
  <si>
    <t>Oracle Database Backup Cloud - Archive Storage - Government</t>
  </si>
  <si>
    <t>B90398</t>
  </si>
  <si>
    <t>Oracle Cloud Infrastructure - Compute - HPC - X7</t>
  </si>
  <si>
    <t>B90399</t>
  </si>
  <si>
    <t>B90425</t>
  </si>
  <si>
    <t>Oracle Cloud Infrastructure - Compute - Standard - E2</t>
  </si>
  <si>
    <t>B90426</t>
  </si>
  <si>
    <t>Oracle Cloud Infrastructure - Compute - Standard - E2 - Government</t>
  </si>
  <si>
    <t>B90499</t>
  </si>
  <si>
    <t>Oracle Autonomous Transaction Processing - Government</t>
  </si>
  <si>
    <t>B90500</t>
  </si>
  <si>
    <t>B90501</t>
  </si>
  <si>
    <t>Oracle Autonomous Transaction Processing - BYOL - Government</t>
  </si>
  <si>
    <t>B90559</t>
  </si>
  <si>
    <t>Oracle Cloud Infrastructure - Database Cloud Service - Enterprise Edition - Government</t>
  </si>
  <si>
    <t>B90560</t>
  </si>
  <si>
    <t>Oracle Cloud Infrastructure - Database Cloud Service - Enterprise Edition Extreme Performance - Government</t>
  </si>
  <si>
    <t>B90561</t>
  </si>
  <si>
    <t>Oracle Cloud Infrastructure - Database Cloud Service - All Editions - BYOL - Government</t>
  </si>
  <si>
    <t>B90569</t>
  </si>
  <si>
    <t>B90570</t>
  </si>
  <si>
    <t>B90571</t>
  </si>
  <si>
    <t>B90572</t>
  </si>
  <si>
    <t>B90573</t>
  </si>
  <si>
    <t>Oracle Cloud Infrastructure - Database Cloud Service - All Editions - BYOL</t>
  </si>
  <si>
    <t>Oracle Cloud Infrastructure - Compute - HPC - X7 - Government</t>
  </si>
  <si>
    <t>B90407</t>
  </si>
  <si>
    <t xml:space="preserve">Oracle Cloud Infrastructure Ravello - Compute - Standard - Metered </t>
  </si>
  <si>
    <t>B90408</t>
  </si>
  <si>
    <t>Oracle Cloud Infrastructure Ravello - Compute - Enterprise - Metered</t>
  </si>
  <si>
    <t>B90409</t>
  </si>
  <si>
    <t>Oracle Cloud Infrastructure Ravello - Compute - Metal - Metered</t>
  </si>
  <si>
    <t>B90410</t>
  </si>
  <si>
    <t>Oracle Cloud Infrastructure - Ravello - Volume Storage - Metered</t>
  </si>
  <si>
    <t>B90411</t>
  </si>
  <si>
    <t xml:space="preserve">Oracle Cloud Infrastructure - Ravello - Library Storage - Metered </t>
  </si>
  <si>
    <t>B90412</t>
  </si>
  <si>
    <t xml:space="preserve">Oracle Cloud Infrastructure - Ravello - Outbound Data Transfer - Metered </t>
  </si>
  <si>
    <t>B90413</t>
  </si>
  <si>
    <t>Oracle Cloud Infrastructure - Ravello - Virtual Machine IP - Metered</t>
  </si>
  <si>
    <t>B90414</t>
  </si>
  <si>
    <t>Ravello Service on 3rd Party Cloud - Compute - Standard - Metered</t>
  </si>
  <si>
    <t>B90415</t>
  </si>
  <si>
    <t xml:space="preserve">Ravello Service on 3rd Party Cloud - Compute - Enterprise - Metered </t>
  </si>
  <si>
    <t>B90416</t>
  </si>
  <si>
    <t xml:space="preserve">Ravello Service on 3rd Party Cloud - Volume Storage - Metered </t>
  </si>
  <si>
    <t>B90417</t>
  </si>
  <si>
    <t>Ravello Service on 3rd Party Cloud - Outbound Data Transfer - Metered</t>
  </si>
  <si>
    <t>B90418</t>
  </si>
  <si>
    <t xml:space="preserve">Ravello Service on 3rd Party Cloud - Virtual Machine IP - Metered </t>
  </si>
  <si>
    <t>B90513</t>
  </si>
  <si>
    <t>Oracle CASB for Discovery - Government</t>
  </si>
  <si>
    <t>B90814</t>
  </si>
  <si>
    <t>B90815</t>
  </si>
  <si>
    <t>B90816</t>
  </si>
  <si>
    <t>B90830</t>
  </si>
  <si>
    <t>B90832</t>
  </si>
  <si>
    <t>Current</t>
  </si>
  <si>
    <t>Oracle Visual Builder Cloud Service - Classic - Government</t>
  </si>
  <si>
    <t>Oracle Integration Cloud - Enterprise - Classic - Government</t>
  </si>
  <si>
    <t>Oracle Analytics Cloud - Enterprise - Classic - Government</t>
  </si>
  <si>
    <t>Oracle Analytics Cloud - Standard - Classic - Government</t>
  </si>
  <si>
    <t>Oracle API Platform Cloud Service - Classic - Government</t>
  </si>
  <si>
    <t>Oracle Data Integration Platform Cloud Service - Enterprise - Classic - Government</t>
  </si>
  <si>
    <t>Oracle Blockchain Platform Cloud Service</t>
  </si>
  <si>
    <t>Oracle Integration Cloud Service - Standard</t>
  </si>
  <si>
    <t>Oracle Integration Cloud Service - Enterprise</t>
  </si>
  <si>
    <t>Oracle Integration Cloud Service - Standard - BYOL</t>
  </si>
  <si>
    <t>Oracle Integration Cloud Service - Enterprise - BYOL</t>
  </si>
  <si>
    <t>Oracle Visual Builder Cloud Service</t>
  </si>
  <si>
    <t>Oracle NoSQL Database Cloud - Write</t>
  </si>
  <si>
    <t>Oracle NoSQL Database Cloud - Read</t>
  </si>
  <si>
    <t>Oracle NoSQL Database Cloud - Storage</t>
  </si>
  <si>
    <t>Oracle Data Integration Platform Cloud Service - Governance - Classic - Government</t>
  </si>
  <si>
    <t>Oracle Integration Cloud Service - Enterprise - Classic - BYOL - Government</t>
  </si>
  <si>
    <t>Oracle Analytics Cloud - Standard - Classic - BYOL - Government</t>
  </si>
  <si>
    <t>Oracle Analytics Cloud - Enterprise - Classic - BYOL - Government</t>
  </si>
  <si>
    <t xml:space="preserve">Oracle Digital Assistant Cloud Service </t>
  </si>
  <si>
    <t>Oracle Data Integration Platform Cloud Service - Enterprise - Government</t>
  </si>
  <si>
    <t>Oracle Data Integration Platform Cloud Service - Governance - Government</t>
  </si>
  <si>
    <t>Oracle Data Integration Platform Cloud Service - Enterprise - BYOL - Government</t>
  </si>
  <si>
    <t>Oracle Data Integration Platform Cloud Service - Governance - BYOL - Government</t>
  </si>
  <si>
    <t>Oracle Mobile Hub Cloud Service - Government</t>
  </si>
  <si>
    <t xml:space="preserve">Oracle Integration Cloud Service - Enterprise - Government </t>
  </si>
  <si>
    <t>Oracle Integration Cloud Service - Enterprise - BYOL - Government</t>
  </si>
  <si>
    <t>Oracle Visual Builder Cloud Service - Government</t>
  </si>
  <si>
    <t>Oracle Digital Assistant Cloud Service - Government</t>
  </si>
  <si>
    <t>Oracle Blockchain Platform Cloud Service - Government</t>
  </si>
  <si>
    <t>Oracle Private Cloud at Customer - X5-2 Base Rack Subscription</t>
  </si>
  <si>
    <t>Oracle Private Cloud at Customer - X7-2 Server Subscription</t>
  </si>
  <si>
    <t>B90824</t>
  </si>
  <si>
    <t>B90828</t>
  </si>
  <si>
    <t>Oracle Analytics Cloud - Enterprise - Subscription</t>
  </si>
  <si>
    <t>B90323</t>
  </si>
  <si>
    <t>Oracle Cloud Infrastructure - Health Checks - Basic</t>
  </si>
  <si>
    <t>B90325</t>
  </si>
  <si>
    <t>Oracle Cloud Infrastructure - Health Checks - Premium</t>
  </si>
  <si>
    <t>B90327</t>
  </si>
  <si>
    <t>Oracle Cloud Infrastructure - DNS Traffic Management</t>
  </si>
  <si>
    <t>B90329</t>
  </si>
  <si>
    <t>Oracle Cloud Infrastructure - Web Application Firewall - Requests</t>
  </si>
  <si>
    <t>B90330</t>
  </si>
  <si>
    <t>Oracle Cloud Infrastructure - Web Application Firewall - Good Traffic</t>
  </si>
  <si>
    <t>B90332</t>
  </si>
  <si>
    <t>Oracle Cloud Infrastructure - Web Application Firewall - Bot Management</t>
  </si>
  <si>
    <t>B90555</t>
  </si>
  <si>
    <t>B90556</t>
  </si>
  <si>
    <t>B90557</t>
  </si>
  <si>
    <t>B90558</t>
  </si>
  <si>
    <t>B90565</t>
  </si>
  <si>
    <t>B90566</t>
  </si>
  <si>
    <t>B90567</t>
  </si>
  <si>
    <t>B90568</t>
  </si>
  <si>
    <t>B90936</t>
  </si>
  <si>
    <t>B90937</t>
  </si>
  <si>
    <t>Oracle Cloud Service</t>
  </si>
  <si>
    <t>Tags</t>
  </si>
  <si>
    <t>BOM</t>
  </si>
  <si>
    <t>price list</t>
  </si>
  <si>
    <t>bill of materials</t>
  </si>
  <si>
    <t>pricing</t>
  </si>
  <si>
    <t>uc</t>
  </si>
  <si>
    <t>universal credits</t>
  </si>
  <si>
    <t>drew</t>
  </si>
  <si>
    <t>Oracle Database (continued)</t>
  </si>
  <si>
    <t>10, 40</t>
  </si>
  <si>
    <t>10, 46</t>
  </si>
  <si>
    <t>10, 41, 42</t>
  </si>
  <si>
    <t>10, 42</t>
  </si>
  <si>
    <t>List</t>
  </si>
  <si>
    <t>B87635</t>
  </si>
  <si>
    <t>Oracle Public Cloud Machine - Disconnected Mode 24x7 - Base Fee</t>
  </si>
  <si>
    <t>B87636</t>
  </si>
  <si>
    <t>Oracle Public Cloud Machine - Disconnected Mode - Add-On Fee for Eighth or Quarter Rack</t>
  </si>
  <si>
    <t>B87637</t>
  </si>
  <si>
    <t>B87638</t>
  </si>
  <si>
    <t>Oracle Public Cloud Machine - Disconnected Mode - Add-On Fee for Full Rack</t>
  </si>
  <si>
    <t>B88034</t>
  </si>
  <si>
    <t>Oracle Public Cloud Machine - Disconnected Mode 8x5 - Base Fee</t>
  </si>
  <si>
    <t>B88036</t>
  </si>
  <si>
    <t>Oracle Public Cloud Machine - Disconnected Mode - Add-On Fee for X6 Compute</t>
  </si>
  <si>
    <t>B88037</t>
  </si>
  <si>
    <t>B88038</t>
  </si>
  <si>
    <t>Oracle Public Cloud Machine - Disconnected Mode - Add-On Fee for X6 Object Storage</t>
  </si>
  <si>
    <t>B88135</t>
  </si>
  <si>
    <t>Oracle Public Cloud Machine - Semi-Connected Mode - Add-On Fee for X6 Compute</t>
  </si>
  <si>
    <t>B88136</t>
  </si>
  <si>
    <t>B88137</t>
  </si>
  <si>
    <t>Oracle Public Cloud Machine - Semi-Connected Mode - Add-On Fee for X6 Object Storage</t>
  </si>
  <si>
    <t>B88238</t>
  </si>
  <si>
    <t>Oracle Public Cloud Machine - Semi-Connected Mode - Add-on Fee for Exadata Cloud Machine - Quarter Rack</t>
  </si>
  <si>
    <t>B88239</t>
  </si>
  <si>
    <t>Oracle Public Cloud Machine - Semi-Connected Mode - Add-on Fee for Exadata Cloud Machine - Half Rack</t>
  </si>
  <si>
    <t>B88240</t>
  </si>
  <si>
    <t>B88584</t>
  </si>
  <si>
    <t>Oracle Public Cloud Machine - Disconnected Mode - Add-on Fee for Exadata Cloud Machine - Eighth or Quarter Rack</t>
  </si>
  <si>
    <t>B88585</t>
  </si>
  <si>
    <t>Oracle Public Cloud Machine - Disconnected Mode - Add-on Fee for Exadata Cloud Machine - Half Rack</t>
  </si>
  <si>
    <t>B88766</t>
  </si>
  <si>
    <t>Oracle Public Cloud Machine - Disconnected Mode - Add-on Fee for Exadata Cloud Machine - Full Rack</t>
  </si>
  <si>
    <t>B90777</t>
  </si>
  <si>
    <t>B90925</t>
  </si>
  <si>
    <t>B90926</t>
  </si>
  <si>
    <t>B90938</t>
  </si>
  <si>
    <t>Oracle Cloud Infrastructure - Streaming - PUT or GET</t>
  </si>
  <si>
    <t>B90939</t>
  </si>
  <si>
    <t>Oracle Cloud Infrastructure - Streaming - Storage</t>
  </si>
  <si>
    <t>B90940</t>
  </si>
  <si>
    <t>B90941</t>
  </si>
  <si>
    <t>BYOL</t>
  </si>
  <si>
    <t>Oracle Cloud Infrastructure - DNS - Government</t>
  </si>
  <si>
    <t>Oracle Cloud Infrastructure - Email Delivery - Government</t>
  </si>
  <si>
    <t>B90338</t>
  </si>
  <si>
    <t>Oracle Cloud Infrastructure - Health Checks - Basic - Government</t>
  </si>
  <si>
    <t>B90340</t>
  </si>
  <si>
    <t>Oracle Cloud Infrastructure - Health Checks - Premium - Government</t>
  </si>
  <si>
    <t>B90342</t>
  </si>
  <si>
    <t>Oracle Cloud Infrastructure - DNS Traffic Management - Government</t>
  </si>
  <si>
    <t>B90345</t>
  </si>
  <si>
    <t>Oracle Cloud Infrastructure - Web Application Firewall - Requests - Government</t>
  </si>
  <si>
    <t>B90346</t>
  </si>
  <si>
    <t>Oracle Cloud Infrastructure - Web Application Firewall - Good Traffic - Government</t>
  </si>
  <si>
    <t>B90348</t>
  </si>
  <si>
    <t>Oracle Cloud Infrastructure - Web Application Firewall - Bot Management - Government</t>
  </si>
  <si>
    <t>B90825</t>
  </si>
  <si>
    <t>B90829</t>
  </si>
  <si>
    <t>N</t>
  </si>
  <si>
    <t>B90267</t>
  </si>
  <si>
    <t>Oracle API Platform Cloud Service - Government</t>
  </si>
  <si>
    <t>Discounted Rate</t>
  </si>
  <si>
    <t>Oracle Mobile Hub Cloud Service</t>
  </si>
  <si>
    <t>B90819</t>
  </si>
  <si>
    <t>B90820</t>
  </si>
  <si>
    <t>B90880</t>
  </si>
  <si>
    <t>B90881</t>
  </si>
  <si>
    <t>B91109</t>
  </si>
  <si>
    <t>Oracle Integration Cloud Service for Oracle SaaS - Standard</t>
  </si>
  <si>
    <t>B91110</t>
  </si>
  <si>
    <t>Oracle Integration Cloud Service for Oracle SaaS - Enterprise</t>
  </si>
  <si>
    <t>B91119</t>
  </si>
  <si>
    <t>Oracle Cloud Infrastructure - Compute - Bare Metal Standard - B1</t>
  </si>
  <si>
    <t>Oracle Database Exadata Cloud at Customer - Database OCPU</t>
  </si>
  <si>
    <t>Oracle Database Exadata Cloud at Customer - Database OCPU - BYOL</t>
  </si>
  <si>
    <t>Oracle Cloud Infrastructure - Database Exadata Infrastructure - Base System</t>
  </si>
  <si>
    <t>B90778</t>
  </si>
  <si>
    <t>Oracle Cloud Infrastructure - Database Exadata Infrastructure - Base System - Government</t>
  </si>
  <si>
    <t>B91102</t>
  </si>
  <si>
    <t>Oracle Cloud Infrastructure - Notifications - HTTPS Delivery - Government</t>
  </si>
  <si>
    <t>B91103</t>
  </si>
  <si>
    <t>Oracle Cloud Infrastructure - Notifications - Email Delivery - Government</t>
  </si>
  <si>
    <t>B91104</t>
  </si>
  <si>
    <t>Oracle Cloud Infrastructure - Streaming - PUT or GET - Government</t>
  </si>
  <si>
    <t>B91105</t>
  </si>
  <si>
    <t>Oracle Cloud Infrastructure - Streaming - Storage - Government</t>
  </si>
  <si>
    <t>B91106</t>
  </si>
  <si>
    <t>Oracle Cloud Infrastructure - Monitoring - Ingestion - Government</t>
  </si>
  <si>
    <t>B91107</t>
  </si>
  <si>
    <t>Oracle Cloud Infrastructure - Monitoring - Retrieval - Government</t>
  </si>
  <si>
    <t>B91120</t>
  </si>
  <si>
    <t>Oracle Cloud Infrastructure - Compute - Virtual Machine Standard - B1</t>
  </si>
  <si>
    <t>B88315</t>
  </si>
  <si>
    <t>Oracle Cloud Infrastructure - Compute - Bare Metal Standard - X5</t>
  </si>
  <si>
    <t>B88317</t>
  </si>
  <si>
    <t>Oracle Cloud Infrastructure - Compute - Virtual Machine Standard - X5</t>
  </si>
  <si>
    <t>B90617</t>
  </si>
  <si>
    <t>B90618</t>
  </si>
  <si>
    <t>B91355</t>
  </si>
  <si>
    <t>Oracle Functions - Execution Time - Government</t>
  </si>
  <si>
    <t>B91356</t>
  </si>
  <si>
    <t>Oracle Functions - Invocations - Government</t>
  </si>
  <si>
    <t>NON UC</t>
  </si>
  <si>
    <t xml:space="preserve">Oracle Go Live Support for Oracle Cloud </t>
  </si>
  <si>
    <t>B85996</t>
  </si>
  <si>
    <t>B85997</t>
  </si>
  <si>
    <t>B86221</t>
  </si>
  <si>
    <t>B86222</t>
  </si>
  <si>
    <t>B87499</t>
  </si>
  <si>
    <t>B87500</t>
  </si>
  <si>
    <t>B87501</t>
  </si>
  <si>
    <t>B87502</t>
  </si>
  <si>
    <t>B87511</t>
  </si>
  <si>
    <t>B87512</t>
  </si>
  <si>
    <t>B87706</t>
  </si>
  <si>
    <t>Oracle ACS Supplemental Resource for Oracle Cloud - Technical Account Manager I - Day</t>
  </si>
  <si>
    <t>B87707</t>
  </si>
  <si>
    <t>Oracle ACS Supplemental Resource for Oracle Cloud - Technical Account Manager II - Day</t>
  </si>
  <si>
    <t>B87708</t>
  </si>
  <si>
    <t>Oracle ACS Supplemental Resource for Oracle Cloud - Advanced Support Engineer - Day</t>
  </si>
  <si>
    <t>B87709</t>
  </si>
  <si>
    <t>Oracle ACS Supplemental Resource for Oracle Cloud - Senior Advanced Support Engineer - Day</t>
  </si>
  <si>
    <t>B87736</t>
  </si>
  <si>
    <t xml:space="preserve">Oracle Standard Software Installation &amp; Configuration for Oracle Public Cloud Machine: Oracle Enterprise Manager </t>
  </si>
  <si>
    <t>B87737</t>
  </si>
  <si>
    <t xml:space="preserve">Oracle Standard Software Installation &amp; Configuration for Oracle Cloud: Base Fee </t>
  </si>
  <si>
    <t>B87738</t>
  </si>
  <si>
    <t xml:space="preserve">Oracle Advanced Support Knowledge Workshop for Oracle Cloud </t>
  </si>
  <si>
    <t>B88607</t>
  </si>
  <si>
    <t>Oracle Cloud Priority Support for PaaS and IaaS Universal Credits: Base Fee</t>
  </si>
  <si>
    <t>B88608</t>
  </si>
  <si>
    <t>Oracle Cloud Priority Support for PaaS and IaaS Universal Credits</t>
  </si>
  <si>
    <t>B88612</t>
  </si>
  <si>
    <t>Oracle Supplemental Resource for Oracle Cloud Universal Credits - Advanced Support Engineer</t>
  </si>
  <si>
    <t>B88613</t>
  </si>
  <si>
    <t>Oracle Supplemental Resource for Oracle Cloud Universal Credits - Senior Advanced Support Engineer</t>
  </si>
  <si>
    <t>B88614</t>
  </si>
  <si>
    <t>Oracle Supplemental Resource for Oracle Cloud Universal Credits - Technical Account Manager I</t>
  </si>
  <si>
    <t>B88615</t>
  </si>
  <si>
    <t>Oracle Supplemental Resource for Oracle Cloud Universal Credits - Technical Account Manager II</t>
  </si>
  <si>
    <t>B88772</t>
  </si>
  <si>
    <t>Oracle Standard Software Installation &amp; Configuration for Oracle Management Cloud</t>
  </si>
  <si>
    <t>B88863</t>
  </si>
  <si>
    <t>Oracle Management Cloud Rapid Troubleshooting</t>
  </si>
  <si>
    <t>B88864</t>
  </si>
  <si>
    <t>Oracle Management Cloud IT Operation Health Check</t>
  </si>
  <si>
    <t>B88865</t>
  </si>
  <si>
    <t>Oracle Management Cloud Performance Analytics</t>
  </si>
  <si>
    <t>B88938</t>
  </si>
  <si>
    <t>Oracle Advanced Support Engineer for Expert Assistance (Standard Business Hours) Prepaid – Day</t>
  </si>
  <si>
    <t>B88939</t>
  </si>
  <si>
    <t>Oracle Advanced Support Engineer for Expert Assistance (Extended Business Hours) Prepaid – Day</t>
  </si>
  <si>
    <t>B88940</t>
  </si>
  <si>
    <t>Oracle Advanced Support Engineer for Expert Assistance (Weekend/Holiday Hours) Prepaid - Day</t>
  </si>
  <si>
    <t>B88941</t>
  </si>
  <si>
    <t>Oracle Sr. Advanced Support Engineer for Specialized Expert Assistance (Standard Business Hours) Prepaid - Day</t>
  </si>
  <si>
    <t>B88942</t>
  </si>
  <si>
    <t>Oracle Sr. Advanced Support Engineer for Specialized Expert Assistance (Extended Business Hours) Prepaid - Day</t>
  </si>
  <si>
    <t>B88943</t>
  </si>
  <si>
    <t>Oracle Sr. Advanced Support Engineer for Specialized Expert Assistance (Weekend/Holiday Hours) Prepaid - Day</t>
  </si>
  <si>
    <t>B88944</t>
  </si>
  <si>
    <t>Oracle Technical Account Manager I for Service Delivery Management (Standard Business Hours) Prepaid - Day</t>
  </si>
  <si>
    <t>B88945</t>
  </si>
  <si>
    <t>Oracle Technical Account Manager I for Service Delivery Management (Extended Business Hours) Prepaid - Day</t>
  </si>
  <si>
    <t>B88946</t>
  </si>
  <si>
    <t>Oracle Technical Account Manager I for Service Delivery Management (Weekend/Holiday Hours) Prepaid - Day</t>
  </si>
  <si>
    <t>B88947</t>
  </si>
  <si>
    <t>Oracle Technical Account Manager II for Expert Lifecycle Advisory (Standard Business Hours) Prepaid - Day</t>
  </si>
  <si>
    <t>B88948</t>
  </si>
  <si>
    <t>Oracle Technical Account Manager II for Expert Lifecycle Advisory (Extended Business Hours) Prepaid - Day</t>
  </si>
  <si>
    <t>B88949</t>
  </si>
  <si>
    <t>Oracle Technical Account Manager II for Expert Lifecycle Advisory (Weekend/Holiday Hours) Prepaid - Day</t>
  </si>
  <si>
    <t>B88950</t>
  </si>
  <si>
    <t>Oracle Advanced Support Engineer for Expert Assistance (Standard Business Hours) – Day</t>
  </si>
  <si>
    <t>B88951</t>
  </si>
  <si>
    <t>Oracle Advanced Support Engineer for Expert Assistance  (Extended Business Hours) – Day</t>
  </si>
  <si>
    <t>B88952</t>
  </si>
  <si>
    <t>Oracle Advanced Support Engineer for Expert Assistance (Weekend/Holiday Hours) - Day</t>
  </si>
  <si>
    <t>B88953</t>
  </si>
  <si>
    <t>Oracle Sr. Advanced Support Engineer for Specialized Expert Assistance (Standard Business Hours) - Day</t>
  </si>
  <si>
    <t>B88954</t>
  </si>
  <si>
    <t>Oracle Sr. Advanced Support Engineer for Specialized Expert Assistance (Extended Business Hours) - Day</t>
  </si>
  <si>
    <t>B88955</t>
  </si>
  <si>
    <t>Oracle Sr. Advanced Support Engineer for Specialized Expert Assistance (Weekend/Holiday Hours) - Day</t>
  </si>
  <si>
    <t>B88956</t>
  </si>
  <si>
    <t>Oracle Technical Account Manager I for Service Delivery Management (Standard Business Hours) - Day</t>
  </si>
  <si>
    <t>B88957</t>
  </si>
  <si>
    <t>Oracle Technical Account Manager I for Service Delivery Management (Extended Business Hours) - Day</t>
  </si>
  <si>
    <t>B88958</t>
  </si>
  <si>
    <t>Oracle Technical Account Manager I for Service Delivery Management (Weekend/Holiday Hours) - Day</t>
  </si>
  <si>
    <t>B88959</t>
  </si>
  <si>
    <t>Oracle Technical Account Manager II for Expert Lifecycle Advisory (Standard Business Hours) - Day</t>
  </si>
  <si>
    <t>B88960</t>
  </si>
  <si>
    <t>Oracle Technical Account Manager II for Expert Lifecycle Advisory (Extended Business Hours) - Day</t>
  </si>
  <si>
    <t>B88961</t>
  </si>
  <si>
    <t>Oracle Technical Account Manager II for Expert Lifecycle Advisory (Weekend/Holiday Hours) - Day</t>
  </si>
  <si>
    <t>B89081</t>
  </si>
  <si>
    <t>Oracle Performance Review &amp; Recommendations for Oracle Cloud: Base</t>
  </si>
  <si>
    <t>B89082</t>
  </si>
  <si>
    <t>Oracle Performance Review &amp; Recommendations for Oracle Cloud: Middleware Technologies - Tier 1</t>
  </si>
  <si>
    <t>B89083</t>
  </si>
  <si>
    <t>Oracle Performance Review &amp; Recommendations for Oracle Cloud: Applications Technologies - Tier 1</t>
  </si>
  <si>
    <t>B89084</t>
  </si>
  <si>
    <t>Oracle Performance Review &amp; Recommendations for Oracle Cloud: Database Technologies - Tier 2</t>
  </si>
  <si>
    <t>B89085</t>
  </si>
  <si>
    <t>Oracle Performance Review &amp; Recommendations for Oracle Cloud: Middleware Technologies - Tier 2</t>
  </si>
  <si>
    <t>B89086</t>
  </si>
  <si>
    <t>Oracle Performance Review &amp; Recommendations for Oracle Cloud: Applications Technologies - Tier 2</t>
  </si>
  <si>
    <t>B89087</t>
  </si>
  <si>
    <t>Oracle Performance Review &amp; Recommendations for Oracle Cloud: Database Technologies - Tier 3</t>
  </si>
  <si>
    <t>B89088</t>
  </si>
  <si>
    <t>Oracle Performance Review &amp; Recommendations for Oracle Cloud: Middleware Technologies - Tier 3</t>
  </si>
  <si>
    <t>B89089</t>
  </si>
  <si>
    <t>Oracle Performance Review &amp; Recommendations for Oracle Cloud: Applications Technologies - Tier 3</t>
  </si>
  <si>
    <t>B89090</t>
  </si>
  <si>
    <t>Oracle Performance Review &amp; Recommendations for Oracle Cloud: Database Technologies - Tier 4</t>
  </si>
  <si>
    <t>B89091</t>
  </si>
  <si>
    <t>Oracle Performance Review &amp; Recommendations for Oracle Cloud: Middleware Technologies - Tier 4</t>
  </si>
  <si>
    <t>B89092</t>
  </si>
  <si>
    <t>Oracle Configuration Review &amp; Recommendations for Oracle Cloud: Base</t>
  </si>
  <si>
    <t>B89093</t>
  </si>
  <si>
    <t>Oracle Configuration Review &amp; Recommendations for Oracle Cloud: Middleware Technologies - Tier 1</t>
  </si>
  <si>
    <t>B89094</t>
  </si>
  <si>
    <t>Oracle Configuration Review &amp; Recommendations for Oracle Cloud: Applications Technologies - Tier 1</t>
  </si>
  <si>
    <t>B89095</t>
  </si>
  <si>
    <t>Oracle Configuration Review &amp; Recommendations for Oracle Cloud: Database Technologies - Tier 2</t>
  </si>
  <si>
    <t>B89096</t>
  </si>
  <si>
    <t>Oracle Configuration Review &amp; Recommendations for Oracle Cloud: Middleware Technologies - Tier 2</t>
  </si>
  <si>
    <t>B89097</t>
  </si>
  <si>
    <t>Oracle Configuration Review &amp; Recommendations for Oracle Cloud: Applications Technologies - Tier 2</t>
  </si>
  <si>
    <t>B89098</t>
  </si>
  <si>
    <t>Oracle Configuration Review &amp; Recommendations for Oracle Cloud: Database Technologies - Tier 3</t>
  </si>
  <si>
    <t>B89099</t>
  </si>
  <si>
    <t>Oracle Configuration Review &amp; Recommendations for Oracle Cloud: Middleware Technologies - Tier 3</t>
  </si>
  <si>
    <t>B89100</t>
  </si>
  <si>
    <t>Oracle Configuration Review &amp; Recommendations for Oracle Cloud: Applications Technologies - Tier 3</t>
  </si>
  <si>
    <t>B89101</t>
  </si>
  <si>
    <t>Oracle Configuration Review &amp; Recommendations for Oracle Cloud: Database Technologies - Tier 4</t>
  </si>
  <si>
    <t>B89102</t>
  </si>
  <si>
    <t>Oracle Configuration Review &amp; Recommendations for Oracle Cloud: Middleware Technologies - Tier 4</t>
  </si>
  <si>
    <t>B89103</t>
  </si>
  <si>
    <t>Oracle Customer Data and Device Retention for Oracle Cloud at Customer: Base - Initialization - IaaS</t>
  </si>
  <si>
    <t>B89104</t>
  </si>
  <si>
    <t>Oracle Customer Data and Device Retention for Oracle Cloud at Customer: Base - Initialization - PaaS</t>
  </si>
  <si>
    <t>B89105</t>
  </si>
  <si>
    <t>Oracle Customer Data and Device Retention for Oracle Cloud at Customer: Storage - Initialization - IaaS</t>
  </si>
  <si>
    <t>B89106</t>
  </si>
  <si>
    <t>Oracle Customer Data and Device Retention for Oracle Cloud at Customer: Compute - Initialization - IaaS</t>
  </si>
  <si>
    <t>B89107</t>
  </si>
  <si>
    <t>Oracle Customer Data and Device Retention for Oracle Cloud at Customer: Compute - Initialization - PaaS</t>
  </si>
  <si>
    <t>B89108</t>
  </si>
  <si>
    <t xml:space="preserve"> Oracle Customer Data and Device Retention for Oracle Cloud at Customer: Base - IaaS</t>
  </si>
  <si>
    <t>B89109</t>
  </si>
  <si>
    <t>Oracle Customer Data and Device Retention for Oracle Cloud at Customer: Base - PaaS</t>
  </si>
  <si>
    <t>B89110</t>
  </si>
  <si>
    <t>Oracle Customer Data and Device Retention for Oracle Cloud at Customer: Storage - IaaS</t>
  </si>
  <si>
    <t>B89111</t>
  </si>
  <si>
    <t>Oracle Customer Data and Device Retention for Oracle Cloud at Customer: Compute - IaaS</t>
  </si>
  <si>
    <t>B89112</t>
  </si>
  <si>
    <t>Oracle Customer Data and Device Retention for Oracle Cloud at Customer: Compute - PaaS</t>
  </si>
  <si>
    <t>B89716</t>
  </si>
  <si>
    <t>Oracle Security Review and Recommendations for Oracle Cloud: Base</t>
  </si>
  <si>
    <t>B89717</t>
  </si>
  <si>
    <t>Oracle Security Review and Recommendations for Oracle Cloud: Database Technologies - Tier 2</t>
  </si>
  <si>
    <t>B89718</t>
  </si>
  <si>
    <t>Oracle Security Review and Recommendations for Oracle Cloud: Database Technologies - Tier 3</t>
  </si>
  <si>
    <t>B89719</t>
  </si>
  <si>
    <t>Oracle Security Review and Recommendations for Oracle Cloud: Database Technologies - Tier 4</t>
  </si>
  <si>
    <t>B90296</t>
  </si>
  <si>
    <t>Oracle National Security Group Cloud Expert Services - 160</t>
  </si>
  <si>
    <t>B90297</t>
  </si>
  <si>
    <t>Oracle National Security Group Cloud Expert Services - 417</t>
  </si>
  <si>
    <t>B90298</t>
  </si>
  <si>
    <t>Oracle National Security Group Cloud Expert Services - 1920</t>
  </si>
  <si>
    <t>B90362</t>
  </si>
  <si>
    <t>Oracle DevOps Starter Pack</t>
  </si>
  <si>
    <t>B90393</t>
  </si>
  <si>
    <t>Oracle Build and Deploy DevOps Platform Service - Small</t>
  </si>
  <si>
    <t>B90394</t>
  </si>
  <si>
    <t>Oracle Build and Deploy DevOps Platform Service - Medium</t>
  </si>
  <si>
    <t>B90395</t>
  </si>
  <si>
    <t>Oracle Build and Deploy DevOps Platform Service - Large</t>
  </si>
  <si>
    <t xml:space="preserve">Oracle Cloud Infrastructure - Database Exadata OCPU - Government </t>
  </si>
  <si>
    <t xml:space="preserve">Oracle Cloud Infrastructure - Database Exadata OCPU - BYOL - Government </t>
  </si>
  <si>
    <t>B90795</t>
  </si>
  <si>
    <t>Oracle Solution Support Center for PaaS and IaaS: Base Fee</t>
  </si>
  <si>
    <t>B90796</t>
  </si>
  <si>
    <t>Oracle Solution Support Center for PaaS and IaaS</t>
  </si>
  <si>
    <t>Oracle Database Exadata Cloud at Customer Storage Server X7 - Non-metered</t>
  </si>
  <si>
    <t>Oracle Database Exadata Cloud at Customer Base System Storage Server X7 - Non-metered</t>
  </si>
  <si>
    <t>B90821</t>
  </si>
  <si>
    <t>Oracle Database Exadata Cloud at Customer Storage Server X7 - Partner Hardware - Non-metered</t>
  </si>
  <si>
    <t>B90822</t>
  </si>
  <si>
    <t>Oracle Database Exadata Cloud at Customer Base System Storage Server X7 - Partner Hardware - Non-metered</t>
  </si>
  <si>
    <t>Oracle Database Exadata Cloud at Customer Database Server Infrastructure X7 - Non-metered</t>
  </si>
  <si>
    <t>Oracle Database Exadata Cloud at Customer Base System Database Server Infrastructure X7 - Non-metered</t>
  </si>
  <si>
    <t>B90882</t>
  </si>
  <si>
    <t xml:space="preserve">Oracle Database Exadata Cloud at Customer Database Server X7 - Non-metered </t>
  </si>
  <si>
    <t>B90883</t>
  </si>
  <si>
    <t xml:space="preserve">Oracle Database Exadata Cloud at Customer Base System Database Server X7 - Non-metered </t>
  </si>
  <si>
    <t>B90884</t>
  </si>
  <si>
    <t xml:space="preserve">Oracle Database Exadata Cloud at Customer Database Server X7 - BYOL - Non-metered </t>
  </si>
  <si>
    <t>B90885</t>
  </si>
  <si>
    <t xml:space="preserve">Oracle Database Exadata Cloud at Customer Base System Database Server X7 - BYOL - Non-metered </t>
  </si>
  <si>
    <t>B90886</t>
  </si>
  <si>
    <t>Oracle Database Exadata Cloud at Customer Database Server Infrastructure X7 - Partner Hardware - Non-metered</t>
  </si>
  <si>
    <t>B90887</t>
  </si>
  <si>
    <t>Oracle Database Exadata Cloud at Customer Base System Database Server Infrastructure X7 - Partner Hardware - Non-metered</t>
  </si>
  <si>
    <t>B90888</t>
  </si>
  <si>
    <t xml:space="preserve">Oracle Database Exadata Cloud at Customer Database Server X7 - Partner Hardware - Non-metered </t>
  </si>
  <si>
    <t>B90889</t>
  </si>
  <si>
    <t>Oracle Database Exadata Cloud at Customer Base System Database Server X7 - Partner Hardware - Non-metered</t>
  </si>
  <si>
    <t>B90890</t>
  </si>
  <si>
    <t xml:space="preserve">Oracle Database Exadata Cloud at Customer Database Server X7 - Partner Hardware - BYOL - Non-metered </t>
  </si>
  <si>
    <t>B90891</t>
  </si>
  <si>
    <t xml:space="preserve">Oracle Database Exadata Cloud at Customer Base System Database Server X7 - Partner Hardware - BYOL - Non-metered </t>
  </si>
  <si>
    <t>B90985</t>
  </si>
  <si>
    <t>Oracle Transition Service: Virtual Machines (VMs) to PCI</t>
  </si>
  <si>
    <t>B91150</t>
  </si>
  <si>
    <t>Oracle Analytics for Fusion ERP</t>
  </si>
  <si>
    <t>B91372</t>
  </si>
  <si>
    <t>B91373</t>
  </si>
  <si>
    <t>B91375</t>
  </si>
  <si>
    <t xml:space="preserve">Oracle Private Cloud at Customer - X8-2 Base Rack Subscription </t>
  </si>
  <si>
    <t xml:space="preserve">Oracle Private Cloud at Customer - X8-2 Server Subscription </t>
  </si>
  <si>
    <t>B91377</t>
  </si>
  <si>
    <t>Oracle Private Cloud at Customer - High Capacity Storage Subscription</t>
  </si>
  <si>
    <t>B91378</t>
  </si>
  <si>
    <t>Oracle Private Cloud at Customer - High Performance Storage Subscription</t>
  </si>
  <si>
    <t>Oracle Cloud Infrastructure - Database Exadata OCPU</t>
  </si>
  <si>
    <t>Oracle Cloud Infrastructure - Database Exadata OCPU - BYOL</t>
  </si>
  <si>
    <t>B91210</t>
  </si>
  <si>
    <t>B91211</t>
  </si>
  <si>
    <t>Blockchain Platform</t>
  </si>
  <si>
    <t>Blockchain Platform Enterprise Edition</t>
  </si>
  <si>
    <t>10, 34</t>
  </si>
  <si>
    <t>Exadata Storage Software - Disk</t>
  </si>
  <si>
    <t>Exadata Storage Software - Flash</t>
  </si>
  <si>
    <t>SERVICES</t>
  </si>
  <si>
    <t>UC</t>
  </si>
  <si>
    <t>SRV</t>
  </si>
  <si>
    <t>Category</t>
  </si>
  <si>
    <t>B83899</t>
  </si>
  <si>
    <t>Oracle Cloud Architecture Blueprint and Roadmap Service</t>
  </si>
  <si>
    <t>B85635</t>
  </si>
  <si>
    <t>Oracle Consulting Rapid Start for Oracle Integration Cloud Service</t>
  </si>
  <si>
    <t>B89020</t>
  </si>
  <si>
    <t xml:space="preserve">Oracle Consulting Implementation for Oracle Cloud Access Security Broker Cloud Service
</t>
  </si>
  <si>
    <t>B89335</t>
  </si>
  <si>
    <t xml:space="preserve">Oracle Consulting Add-on Technology Guidance Pack
</t>
  </si>
  <si>
    <t>B89337</t>
  </si>
  <si>
    <t xml:space="preserve">Oracle Consulting Rapid Start for Oracle Cloud Platform and Cloud Infrastructure
</t>
  </si>
  <si>
    <t>B89340</t>
  </si>
  <si>
    <t xml:space="preserve">Oracle Consulting Rapid Start for Cloud Security
</t>
  </si>
  <si>
    <t>B89342</t>
  </si>
  <si>
    <t xml:space="preserve">Oracle Consulting Rapid Start for Analytics in Oracle Cloud
</t>
  </si>
  <si>
    <t>B89343</t>
  </si>
  <si>
    <t xml:space="preserve">Oracle Consulting Rapid Start for Application Development Prototyping in Oracle Cloud
</t>
  </si>
  <si>
    <t>B89344</t>
  </si>
  <si>
    <t>Oracle Consulting Rapid Start for Back Up &amp; Disaster Recovery in Oracle Cloud</t>
  </si>
  <si>
    <t>B89346</t>
  </si>
  <si>
    <t>Oracle Consulting Rapid Start for Migration of Non-Oracle Workloads to Oracle Cloud</t>
  </si>
  <si>
    <t>B89397</t>
  </si>
  <si>
    <t>Oracle Consulting Application Development Prototyping in Oracle Cloud</t>
  </si>
  <si>
    <t>B89689</t>
  </si>
  <si>
    <t xml:space="preserve">Oracle Consulting Startup Pack for Oracle Cloud at Customer
</t>
  </si>
  <si>
    <t>B89690</t>
  </si>
  <si>
    <t>Oracle Consulting Rapid Start Service for Oracle Autonomous Data Warehouse Cloud</t>
  </si>
  <si>
    <t>B91892</t>
  </si>
  <si>
    <t xml:space="preserve">Oracle Consulting Rapid Start for Autonomous Transactional Processing Database
</t>
  </si>
  <si>
    <t>Oracle Analytics Cloud - Professional - Government</t>
  </si>
  <si>
    <t>Oracle Autonomous Transaction Processing - Exadata Storage</t>
  </si>
  <si>
    <t>Oracle Autonomous Transaction Processing - Exadata Storage - Government</t>
  </si>
  <si>
    <t>Oracle Analytics Cloud - Professional - Subscription</t>
  </si>
  <si>
    <t>B91121</t>
  </si>
  <si>
    <t>B91123</t>
  </si>
  <si>
    <t>B91124</t>
  </si>
  <si>
    <t>B91125</t>
  </si>
  <si>
    <t>B91126</t>
  </si>
  <si>
    <t>B91128</t>
  </si>
  <si>
    <t>B91129</t>
  </si>
  <si>
    <t>B91130</t>
  </si>
  <si>
    <t>Oracle Content and Experience Cloud Service - Outbound Data Transfer</t>
  </si>
  <si>
    <t>B91363</t>
  </si>
  <si>
    <t>Oracle Cloud Infrastructure - Exadata Cloud at Customer - Database OCPU</t>
  </si>
  <si>
    <t>B91364</t>
  </si>
  <si>
    <t>Oracle Cloud Infrastructure - Exadata Cloud at Customer - Database OCPU - BYOL</t>
  </si>
  <si>
    <t>B91390</t>
  </si>
  <si>
    <t>B91391</t>
  </si>
  <si>
    <t>Oracle Autonomous Data Warehouse - Free</t>
  </si>
  <si>
    <t>B91392</t>
  </si>
  <si>
    <t>Oracle Autonomous Data Warehouse - Exadata Storage - Free</t>
  </si>
  <si>
    <t>B91393</t>
  </si>
  <si>
    <t>Oracle Autonomous Transaction Processing - Free</t>
  </si>
  <si>
    <t>B91394</t>
  </si>
  <si>
    <t xml:space="preserve">Oracle Autonomous Transaction Processing - Exadata Storage - Free </t>
  </si>
  <si>
    <t>B91444</t>
  </si>
  <si>
    <t>Oracle Cloud Infrastructure - Compute - Virtual Machine Standard - E2 Micro - Free</t>
  </si>
  <si>
    <t>B91445</t>
  </si>
  <si>
    <t>Oracle Cloud Infrastructure - Block Volume - Free</t>
  </si>
  <si>
    <t>B91446</t>
  </si>
  <si>
    <t>Oracle Cloud Infrastructure - 10 Mbps Load Balancer - Free</t>
  </si>
  <si>
    <t>B91627</t>
  </si>
  <si>
    <t>B91628</t>
  </si>
  <si>
    <t>B91631</t>
  </si>
  <si>
    <t>B91633</t>
  </si>
  <si>
    <t>B91893</t>
  </si>
  <si>
    <t xml:space="preserve">Oracle Cloud at Customer Foundation Service
</t>
  </si>
  <si>
    <t>Number Of DB Servers</t>
  </si>
  <si>
    <t>Cores Per DB Servers</t>
  </si>
  <si>
    <t>RAM Per DB Server</t>
  </si>
  <si>
    <t>Total Cores</t>
  </si>
  <si>
    <t>Total RAM</t>
  </si>
  <si>
    <t>Total FLASH</t>
  </si>
  <si>
    <t>Total Usable Storage</t>
  </si>
  <si>
    <t>Max DB Size With Local Backup</t>
  </si>
  <si>
    <t>Max DB Size NO Backup</t>
  </si>
  <si>
    <t>DATADG NoBackup NoSparse 80%</t>
  </si>
  <si>
    <t>DATADG Backup NoSparse 40%</t>
  </si>
  <si>
    <t>DATADG NoBackup Sparse 60%</t>
  </si>
  <si>
    <t>DATADG Backup Sparse 35%</t>
  </si>
  <si>
    <t>RECODG NoBackup NoSparse 20%</t>
  </si>
  <si>
    <t>RECODG Backup NoSparse 60%</t>
  </si>
  <si>
    <t>RECODG NoBackup Sparse 20%</t>
  </si>
  <si>
    <t>RECODG Backup Sparse 50%</t>
  </si>
  <si>
    <t>SPARSE NoBackup NoSparse 0%</t>
  </si>
  <si>
    <t>SPARSE Backup NoSparse 0%</t>
  </si>
  <si>
    <t>SPARSE NoBackup Sparse 20%</t>
  </si>
  <si>
    <t>SPARSE Backup Sparse 15%</t>
  </si>
  <si>
    <t>X7 Quarter</t>
  </si>
  <si>
    <t>X7 Half</t>
  </si>
  <si>
    <t>X7 Full</t>
  </si>
  <si>
    <t>X8 Quarter</t>
  </si>
  <si>
    <t>X8 Half</t>
  </si>
  <si>
    <t>X8 Full</t>
  </si>
  <si>
    <t>Year 1 Total</t>
  </si>
  <si>
    <t>Services Total</t>
  </si>
  <si>
    <t>B91053</t>
  </si>
  <si>
    <t>B91054</t>
  </si>
  <si>
    <t>Exadata Database Machine X3-2 Eighth Rack to Quarter Rack Database Server Upgrade</t>
  </si>
  <si>
    <t>Exadata Database Machine X3-2 Eighth Rack to Quarter Rack Storage Server Upgrade</t>
  </si>
  <si>
    <t>Exadata Database Machine X4-2 Eighth Rack to Quarter Rack Database Server Upgrade</t>
  </si>
  <si>
    <t>Exadata Database Machine X4-2 Eighth Rack to Quarter Rack Storage Server Upgrade</t>
  </si>
  <si>
    <t>Exadata Database Machine X5-2 Eighth Rack to Quarter Rack Database Server Upgrade</t>
  </si>
  <si>
    <t>Exadata Database Machine X5-2 Eighth Rack to Quarter Rack Storage Server Upgrade</t>
  </si>
  <si>
    <t>Exadata Database Machine X6-2 Eighth Rack to Quarter Rack Database Server Upgrade</t>
  </si>
  <si>
    <t>Exadata Database Machine X6-2 Extreme Flash (EF) Eighth Rack to Quarter Rack Storage Server Upgrade</t>
  </si>
  <si>
    <t>Exadata Database Machine X7-2 Eighth Rack to Quarter Rack Database Server Upgrade</t>
  </si>
  <si>
    <t>Exadata Database Machine X7-2 Extreme Flash (EF) Eighth Rack to Quarter Rack Storage Server Upgrade</t>
  </si>
  <si>
    <t>Exadata Database Machine X8-2 Eighth Rack to Quarter Rack Database Server Upgrade (X8M-2)</t>
  </si>
  <si>
    <t>Exadata Database Machine X8-2 Extreme Flash (EF) Eighth Rack</t>
  </si>
  <si>
    <t>Exadata Database Machine X8-2 Extreme Flash (EF) Quarter Rack (384 GB per Database Server)</t>
  </si>
  <si>
    <t>Exadata Database Machine X8-2 Extreme Flash (EF) Quarter Rack (768 GB per Database Server)</t>
  </si>
  <si>
    <t>Exadata Database Machine X8-2 High Capacity (HC) Eighth Rack</t>
  </si>
  <si>
    <t>Exadata Database Machine X8-2 High Capacity (HC) Quarter Rack (384 GB per Database Server)</t>
  </si>
  <si>
    <t>Exadata Database Machine X8-2 High Capacity (HC) Quarter Rack (768 GB per Database Server)</t>
  </si>
  <si>
    <t>Exadata Database Machine X8-8 Extreme Flash (EF) Half Rack</t>
  </si>
  <si>
    <t>Exadata Database Machine X8-8 High Capacity (HC) Half Rack</t>
  </si>
  <si>
    <t>Exadata Database Machine X8M-2 Extreme Flash (EF) Eighth Rack</t>
  </si>
  <si>
    <t>Exadata Database Machine X8M-2 Extreme Flash (EF) Quarter Rack (384 GB per Database Server)</t>
  </si>
  <si>
    <t>Exadata Database Machine X8M-2 Extreme Flash (EF) Quarter Rack (768 GB per Database Server)</t>
  </si>
  <si>
    <t>Exadata Database Machine X8M-2 High Capacity (HC) Eighth Rack</t>
  </si>
  <si>
    <t>Exadata Database Machine X8M-2 High Capacity (HC) Quarter Rack (384 GB per Database Server)</t>
  </si>
  <si>
    <t>Exadata Database Machine X8M-2 High Capacity (HC) Quarter Rack (768 GB per Database Server)</t>
  </si>
  <si>
    <t>Exadata Database Machine X8M-8 Extreme Flash (EF) Half Rack</t>
  </si>
  <si>
    <t>Exadata Database Machine X8M-8 High Capacity (HC) Half Rack</t>
  </si>
  <si>
    <t>Exadata Database Server X8-2 (384 GB per Database Server) plus Infiniband Infrastructure</t>
  </si>
  <si>
    <t>Exadata Database Server X8-2 (768 GB per Database Server) plus Infiniband Infrastructure</t>
  </si>
  <si>
    <t>Exadata Database Server X8-8 plus InfiniBand Infrastructure</t>
  </si>
  <si>
    <t>Exadata Database Server X8M-2 (384 GB per Database Server) plus Network Fabric</t>
  </si>
  <si>
    <t>Exadata Database Server X8M-2 (768 GB per Database Server) plus Network Fabric</t>
  </si>
  <si>
    <t>Exadata Database Server X8M-8 plus Network Fabric</t>
  </si>
  <si>
    <t>Exadata Eighth Rack Storage Server X8-2 High Capacity (HC) plus InfiniBand Infrastructure</t>
  </si>
  <si>
    <t>Exadata Eighth Rack Storage Server X8M-2 High Capacity (HC) plus Network Fabric</t>
  </si>
  <si>
    <t>Exadata Storage Expansion X8-2 Extreme Flash (EF) Quarter Rack</t>
  </si>
  <si>
    <t>Exadata Storage Expansion X8-2 High Capacity (HC) Quarter Rack</t>
  </si>
  <si>
    <t>Exadata Storage Expansion X8M-2 Extreme Flash (EF) Quarter Rack</t>
  </si>
  <si>
    <t>Exadata Storage Expansion X8M-2 High Capacity (HC) Quarter Rack</t>
  </si>
  <si>
    <t>Exadata Storage Server Software - Disk Drive</t>
  </si>
  <si>
    <t>Exadata Storage Server Software - Flash Drive</t>
  </si>
  <si>
    <t>Exadata Storage Server X8-2 Extended (XT) plus InfiniBand Infrastructure</t>
  </si>
  <si>
    <t>Exadata Storage Server X8-2 Extreme Flash (EF) plus InfiniBand Infrastructure</t>
  </si>
  <si>
    <t>Exadata Storage Server X8-2 High Capacity (HC) plus InfiniBand Infrastructure</t>
  </si>
  <si>
    <t>Exadata Storage Server X8M-2 Extended (XT) plus Network Fabric</t>
  </si>
  <si>
    <t>Exadata Storage Server X8M-2 Extreme Flash (EF) plus Network Fabric</t>
  </si>
  <si>
    <t>Exadata Storage Server X8M-2 High Capacity (HC) plus Network Fabric</t>
  </si>
  <si>
    <t>Memory Expansion Kit - Six 32 GB DIMMS (X7, X8 only)</t>
  </si>
  <si>
    <t>Memory Expansion Kit - Twelve 64 GB DDR4 DIMMS (X7, X8 only)</t>
  </si>
  <si>
    <t>Oracle Exadata Implementation Rapid Start Service (ONLY available in USA)</t>
  </si>
  <si>
    <t>Big Data Appliance X7-2 Full Rack</t>
  </si>
  <si>
    <t>Big Data Appliance X7-2 High Capacity (HC) Node Plus InfiniBand Infrastructure</t>
  </si>
  <si>
    <t>Big Data Appliance X7-2 Starter Rack</t>
  </si>
  <si>
    <t>Eighteen 14 TB HDDs for Oracle Database Appliance X8-2-HA</t>
  </si>
  <si>
    <t>Fifteen 10TB HDDs for Oracle Database Appliance X7-2-HA</t>
  </si>
  <si>
    <t>Five 3.2 TB SAS SSDs for Oracle Database Appliance X7-2-HA</t>
  </si>
  <si>
    <t>Oracle Database Appliance X8-2-HA</t>
  </si>
  <si>
    <t>Oracle Database Appliance X8-2-HA Storage Expansion - Six 7.68 TB SSDs and Eighteen 14 TB HDDs</t>
  </si>
  <si>
    <t>Oracle Database Appliance X8-2-HA Storage Expansion - Twenty-four 7.68 TB SSDs</t>
  </si>
  <si>
    <t>Oracle Database Appliance X8-2M</t>
  </si>
  <si>
    <t>Oracle Database Appliance X8-2S</t>
  </si>
  <si>
    <t>Oracle Private Cloud Appliance - performance storage expansion (for field installation)</t>
  </si>
  <si>
    <t>Oracle Private Cloud Appliance X7-2 Server with 1.5TB GB memory</t>
  </si>
  <si>
    <t>Oracle Private Cloud Appliance X7-2 Server with 384 GB memory</t>
  </si>
  <si>
    <t>Oracle Private Cloud Appliance X7-2 Server with 768 GB memory</t>
  </si>
  <si>
    <t>Oracle Private Cloud Appliance X8-2 Server with 1.5TB GB memory</t>
  </si>
  <si>
    <t>Oracle Private Cloud Appliance X8-2 Server with 384 GB memory</t>
  </si>
  <si>
    <t>Oracle Private Cloud Appliance X8-2 Server with 768 GB memory</t>
  </si>
  <si>
    <t>Oracle Private Cloud Appliance: capacity storage expansion (for field installation)</t>
  </si>
  <si>
    <t>Oracle SuperCluster M7 InfiniBand Switch</t>
  </si>
  <si>
    <t>Oracle SuperCluster M7 Server Upgrade</t>
  </si>
  <si>
    <t>Oracle SuperCluster M7 Storage Server EF</t>
  </si>
  <si>
    <t>Oracle SuperCluster M7 Storage Server HC</t>
  </si>
  <si>
    <t>Oracle SuperCluster M8 InfiniBand Switch</t>
  </si>
  <si>
    <t>Oracle SuperCluster M8 Server Upgrade</t>
  </si>
  <si>
    <t>Oracle SuperCluster M8 Storage Server EF</t>
  </si>
  <si>
    <t>Oracle SuperCluster M8 Storage Server HC</t>
  </si>
  <si>
    <t>Private Cloud Appliance X5-2 Base Rack</t>
  </si>
  <si>
    <t>Private Cloud Appliance X8-2 Base Rack</t>
  </si>
  <si>
    <t>Six 7.68 TB SAS SSDs for Oracle Database Appliance X8-2-HA</t>
  </si>
  <si>
    <t>Three NVMe SSDs for Oracle Database Appliance X7-2M</t>
  </si>
  <si>
    <t>Two 6.4 TB NVMe SSDs for Oracle Database Appliance X8-2M</t>
  </si>
  <si>
    <t>Zero Data Loss Recovery Appliance Software</t>
  </si>
  <si>
    <t>Zero Data Loss Recovery Appliance X8 Base Rack</t>
  </si>
  <si>
    <t>Zero Data Loss Recovery Appliance X8 Storage Server</t>
  </si>
  <si>
    <t>Zero Data Loss Recovery Appliance X8M Base Rack</t>
  </si>
  <si>
    <t>Zero Data Loss Recovery Appliance X8M Storage Server</t>
  </si>
  <si>
    <t>ZFS Storage System for Private Cloud Appliance X5-2</t>
  </si>
  <si>
    <t>ZFS Storage System for Private Cloud Appliance X8-2</t>
  </si>
  <si>
    <t>OTHER</t>
  </si>
  <si>
    <t>EXADATA</t>
  </si>
  <si>
    <t>EXADATA EXPANSION</t>
  </si>
  <si>
    <t>Oracle Cloud</t>
  </si>
  <si>
    <t>Oracle Cloud Infrastructure - Object Storage - Requests - Over 50,000 Requests Per Month</t>
  </si>
  <si>
    <t>Oracle Cloud Infrastructure - Object Storage - Storage - Over 10 Gigabytes Storage Capacity Per Month</t>
  </si>
  <si>
    <t>Oracle Cloud Infrastructure - Archive Storage - Over 10 Gigabytes Storage Capacity Per Month</t>
  </si>
  <si>
    <t>Total Contract Value (TCV)</t>
  </si>
  <si>
    <t>Storage Servers</t>
  </si>
  <si>
    <t>Disks</t>
  </si>
  <si>
    <t>Compute</t>
  </si>
  <si>
    <t>ADW</t>
  </si>
  <si>
    <t>ATP</t>
  </si>
  <si>
    <t>ExaCS</t>
  </si>
  <si>
    <t>Analytics</t>
  </si>
  <si>
    <t>Storage</t>
  </si>
  <si>
    <t xml:space="preserve"> Oracle Cloud Infrastructure - Object Storage - Requests</t>
  </si>
  <si>
    <t>B91961</t>
  </si>
  <si>
    <t xml:space="preserve">Oracle Cloud Infrastructure - Block Volume Storage </t>
  </si>
  <si>
    <t>B91962</t>
  </si>
  <si>
    <t>Oracle Cloud Infrastructure - Block Volume Performance</t>
  </si>
  <si>
    <t>B91963</t>
  </si>
  <si>
    <t xml:space="preserve">Oracle Cloud Infrastructure - Block Volume Storage - Government </t>
  </si>
  <si>
    <t>B91964</t>
  </si>
  <si>
    <t>Oracle Cloud Infrastructure - Block Volume Performance Units - Government</t>
  </si>
  <si>
    <t>B92035</t>
  </si>
  <si>
    <t>B88316</t>
  </si>
  <si>
    <t>B88324</t>
  </si>
  <si>
    <t>Data Center</t>
  </si>
  <si>
    <t>Sku</t>
  </si>
  <si>
    <t>Product Name</t>
  </si>
  <si>
    <t>User Defined</t>
  </si>
  <si>
    <t>https://www.oracle.com/cloud/storage/pricing.html</t>
  </si>
  <si>
    <t>Block Volume Storage</t>
  </si>
  <si>
    <t>GB Storage Capacity / Month</t>
  </si>
  <si>
    <t>Block Volume Performance Units</t>
  </si>
  <si>
    <t>0 VPUs at $0 for Lower Cost</t>
  </si>
  <si>
    <t>10 VPUs at $0.017 for Balanced</t>
  </si>
  <si>
    <t>20 VPUs at $0.034 for Higher Performance</t>
  </si>
  <si>
    <t>Free</t>
  </si>
  <si>
    <t>Networking</t>
  </si>
  <si>
    <t>Outbound Data Transfer - First 10 TB / Month</t>
  </si>
  <si>
    <t>Outbound Data Transfer - Over 10 TB / Month</t>
  </si>
  <si>
    <t>Inbound Data Transfer</t>
  </si>
  <si>
    <t>https://www.oracle.com/database/vm-cloud-pricing.html</t>
  </si>
  <si>
    <t>https://www.oracle.com/cloud/products.html</t>
  </si>
  <si>
    <t>Products</t>
  </si>
  <si>
    <t>Oracle Database Cloud Service - Enterprise Edition Extreme Performance - General Purpose -
Non-metered</t>
  </si>
  <si>
    <t xml:space="preserve">Oracle Public Cloud Machine - Disconnected Mode - Add-On Fee for Half Rack
</t>
  </si>
  <si>
    <t xml:space="preserve">Oracle Public Cloud Machine - Disconnected Mode - Add-On Fee for ZS5 Block Storage
</t>
  </si>
  <si>
    <t xml:space="preserve">Oracle Public Cloud Machine - Semi-Connected Mode - Add-On Fee for ZS5 Block Storage
</t>
  </si>
  <si>
    <t>Oracle SOA Suite Cloud Service - B2B Adapter for EDI*
(*Limited Availability: See Note 10)</t>
  </si>
  <si>
    <t>Oracle CASB for SaaS - Enterprise User*
(*Limited Availability: See Note 10)</t>
  </si>
  <si>
    <t>Oracle CASB for SaaS - Non-Enterprise User*
(*Limited Availability: See Note 10)</t>
  </si>
  <si>
    <t>Oracle CASB for IaaS*
(*Limited Availability: See Note 10)</t>
  </si>
  <si>
    <t>Oracle CASB for IaaS - Additional Capacity*
(*Limited Availability: See Note 10)</t>
  </si>
  <si>
    <t>Oracle CASB for Custom Apps*
(*Limited Availability: See Note 10)</t>
  </si>
  <si>
    <t xml:space="preserve">Oracle Public Cloud Machine - Semi-Connected Mode - Add-on Fee for Exadata Cloud Machine - Full Rack
</t>
  </si>
  <si>
    <t>Oracle Java Cloud Service - Enterprise*
(*Limited Availability: See Note 10)</t>
  </si>
  <si>
    <t>Oracle Java Cloud Service - Standard*
(*Limited Availability: See Note 10)</t>
  </si>
  <si>
    <t>Oracle Java Cloud Service - High Performance*
(*Limited Availability: See Note 10)</t>
  </si>
  <si>
    <t>Oracle Database Cloud Service - Enterprise Edition**
(**Limited Availability: See Note 11)</t>
  </si>
  <si>
    <t>Oracle Database Cloud Service - Enterprise Edition Extreme Performance**
(**Limited Availability: See Note 11)</t>
  </si>
  <si>
    <t>Oracle Database Cloud Service - Enterprise Edition High Performance**
(**Limited Availability: See Note 11)</t>
  </si>
  <si>
    <t>Oracle Database Cloud Service - Standard Edition**
(**Limited Availability: See Note 11)</t>
  </si>
  <si>
    <t>Oracle Database Backup Service - Outbound Data Transfer*
(*Limited Availability: See Note 10)</t>
  </si>
  <si>
    <t>Oracle Database Backup Service - GET and all other Requests*
(*Limited Availability: See Note 10)</t>
  </si>
  <si>
    <t>Oracle Database Backup Service - PUT, COPY, POST or LIST Requests*
(*Limited Availability: See Note 10)</t>
  </si>
  <si>
    <t>Oracle WebCenter Portal Cloud Service*
(*Limited Availability: See Note 10)</t>
  </si>
  <si>
    <t>Oracle Data Integrator Cloud Service*
(*Limited Availability: See Note 10)</t>
  </si>
  <si>
    <t>Oracle Big Data Cloud Service - Compute Edition - High Performance Storage Capacity*
(*Limited Availability: See Note 10)</t>
  </si>
  <si>
    <t>Oracle Big Data Cloud Enterprise - Compute Capacity*
(*Limited Availability: See Note 10)</t>
  </si>
  <si>
    <t>Oracle Big Data Cloud Service - Compute Edition - Storage Capacity*
(*Limited Availability: See Note 10)</t>
  </si>
  <si>
    <t>Oracle GoldenGate Cloud Service - Enterprise - BYOL*
(*Limited Availability: See Note 10)</t>
  </si>
  <si>
    <t>Oracle Java Cloud Service - Enterprise - BYOL*
(*Limited Availability: See Note 10)</t>
  </si>
  <si>
    <t>Oracle Java Cloud Service - High Performance - BYOL*
(*Limited Availability: See Note 10)</t>
  </si>
  <si>
    <t xml:space="preserve">Oracle Database Cloud Service - Enterprise Edition Extreme Performance RAC - BYOL**
(**Limited Availability: See Note 11) </t>
  </si>
  <si>
    <t>Oracle Database Cloud Service - All Editions - BYOL**
(**Limited Availability: See Note 11)</t>
  </si>
  <si>
    <t>Oracle WebCenter Portal Cloud Service - BYOL*
(*Limited Availability: See Note 10)</t>
  </si>
  <si>
    <t>Oracle Data Integrator Cloud Service - BYOL*
(*Limited Availability: See Note 10)</t>
  </si>
  <si>
    <t>Oracle Database Exadata Express Cloud Service - X250*
(*Limited Availability: See Note 10)</t>
  </si>
  <si>
    <t>Oracle Database Exadata Express Cloud Service - X500*
(*Limited Availability: See Note 10)</t>
  </si>
  <si>
    <t>Oracle Database Exadata Express Cloud Service - X1000*
(*Limited Availability: See Note 10)</t>
  </si>
  <si>
    <t>Oracle Database Exadata Express Cloud Service - X1000IM*
(*Limited Availability: See Note 10)</t>
  </si>
  <si>
    <t>Oracle Messaging Cloud Service*
(*Limited Availability: See Note 10)</t>
  </si>
  <si>
    <t>Oracle Java Cloud Service - Standard - BYOL*
(*Limited Availability: See Note 10)</t>
  </si>
  <si>
    <t>Oracle Management Cloud  – Standard Edition*
(*Limited Availability: See Note 10)</t>
  </si>
  <si>
    <t>Oracle Management Cloud  – Enterprise Edition*
(*Limited Availability: See Note 10)</t>
  </si>
  <si>
    <t>Oracle Management Cloud  – Log Analytics Edition*
(*Limited Availability: See Note 10)</t>
  </si>
  <si>
    <t>Oracle CASB for Discovery*
(*Limited Availability: See Note 10)</t>
  </si>
  <si>
    <t>Oracle CASB for Data Protection - Data Loss Prevention*
(*Limited Availability: See Note 10)</t>
  </si>
  <si>
    <t>Oracle CASB for Data Protection - Data Loss Prevention - Retroactive Scan*
(*Limited Availability: See Note 10)</t>
  </si>
  <si>
    <t>B89630</t>
  </si>
  <si>
    <t>Oracle Analytics Cloud - Professional</t>
  </si>
  <si>
    <t>B89631</t>
  </si>
  <si>
    <t>Oracle Analytics Cloud - Enterprise</t>
  </si>
  <si>
    <t>B89636</t>
  </si>
  <si>
    <t>Oracle Analytics Cloud - Professional - BYOL*
(*Limited Availability: See Note 10)</t>
  </si>
  <si>
    <t>B89637</t>
  </si>
  <si>
    <t>Oracle Analytics Cloud - Enterprise - BYOL*
(*Limited Availability: See Note 10)</t>
  </si>
  <si>
    <t xml:space="preserve">Oracle Cloud at Customer ZS5 Block Storage High I/O - Non-Metered
</t>
  </si>
  <si>
    <t xml:space="preserve">Oracle Cloud at Customer ZS5 Block Storage High I/O - Partner Hardware - Non-Metered
</t>
  </si>
  <si>
    <t>Oracle Database Backup Cloud - Object Storage*
(*Limited Availability: See Note 10)</t>
  </si>
  <si>
    <t>Oracle Database Backup Cloud - Archive Storage*
(*Limited Availability: See Note 10)</t>
  </si>
  <si>
    <t xml:space="preserve">Oracle Identity Cloud Service - Enterprise User
</t>
  </si>
  <si>
    <t xml:space="preserve">Oracle Identity Cloud Service - Consumer User
</t>
  </si>
  <si>
    <t xml:space="preserve">Oracle Identity Cloud Service - Enterprise User - BYOL
</t>
  </si>
  <si>
    <t xml:space="preserve">Oracle Identity Cloud Service - Consumer User - BYOL
</t>
  </si>
  <si>
    <t xml:space="preserve">Oracle Identity Cloud Service - Enterprise User - Government
</t>
  </si>
  <si>
    <t xml:space="preserve">Oracle Identity Cloud Service - Consumer User - Government
</t>
  </si>
  <si>
    <t xml:space="preserve">Oracle Identity Cloud Service - Enterprise User - Government - BYOL
</t>
  </si>
  <si>
    <t xml:space="preserve">Oracle Identity Cloud Service - Consumer User - Government - BYOL
</t>
  </si>
  <si>
    <t>Oracle Cloud Infrastructure - Database Cloud Service - 
Standard Edition</t>
  </si>
  <si>
    <t>Oracle Cloud Infrastructure - Database Cloud Service - 
Enterprise Edition</t>
  </si>
  <si>
    <t>Oracle Cloud Infrastructure - Database Cloud Service - 
Enterprise Edition High Performance</t>
  </si>
  <si>
    <t>Oracle Cloud Infrastructure - Database Cloud Service - 
Enterprise Edition Extreme Performance</t>
  </si>
  <si>
    <t xml:space="preserve">Oracle Private Cloud at Customer - ZS7-2 Storage Subscription 
</t>
  </si>
  <si>
    <t>Oracle Private Cloud at Customer - X5-2 Base Rack Subscription - Partner Hardware  
(Priced in Advance of Availability)</t>
  </si>
  <si>
    <t xml:space="preserve">Oracle Private Cloud at Customer - X7-2 Server Subscription - Partner Hardware  
(Priced in Advance of Availability) </t>
  </si>
  <si>
    <t xml:space="preserve">Oracle Private Cloud at Customer - ZS7-2 Storage Subscription - Partner Hardware  
(Priced in Advance of Availability) 
</t>
  </si>
  <si>
    <t xml:space="preserve">Oracle Identity Foundation Cloud Service
</t>
  </si>
  <si>
    <t xml:space="preserve">Oracle Identity Foundation Cloud Service - Government
</t>
  </si>
  <si>
    <t>Oracle Cloud Infrastructure - Exadata Cloud at Customer Database OCPU - Government</t>
  </si>
  <si>
    <t>Oracle Cloud Infrastructure - Exadata Cloud at Customer Database OCPU - Government - BYOL</t>
  </si>
  <si>
    <t xml:space="preserve">Gen 2 Exadata Cloud at Customer Installation and Activation Service
</t>
  </si>
  <si>
    <t>B91535</t>
  </si>
  <si>
    <t>B91536</t>
  </si>
  <si>
    <t>B91537</t>
  </si>
  <si>
    <t>Oracle Cloud Infrastructure - Data Safe for Database Cloud Service - Audit Record Collection Over 1 Million Records
(over 1 million audit records per target per month)</t>
  </si>
  <si>
    <t>Oracle Cloud Infrastructure - Data Safe for Database Cloud Service
(first 1 million audit records per target per month)</t>
  </si>
  <si>
    <t>Option 1</t>
  </si>
  <si>
    <t>Option 2</t>
  </si>
  <si>
    <t>Option 3</t>
  </si>
  <si>
    <t>Option 4</t>
  </si>
  <si>
    <t>B88313</t>
  </si>
  <si>
    <t>Max OCPUs</t>
  </si>
  <si>
    <t>On Prem</t>
  </si>
  <si>
    <t>Storage Server</t>
  </si>
  <si>
    <t>Cores Per DB Server</t>
  </si>
  <si>
    <t>Object Storage - Storage - Gigabyte Storage Capacity per Month</t>
  </si>
  <si>
    <t>Compute - Bare Metal Dense I/O - X5 - OCPU Per Hour</t>
  </si>
  <si>
    <t>Compute - Virtual Machine Dense I/O - X5 - OCPU Per Hour</t>
  </si>
  <si>
    <t>Oracle Cloud SQL - Compute Capacity</t>
  </si>
  <si>
    <t>Oracle Big Data Service - Compute - Standard</t>
  </si>
  <si>
    <t>Oracle Big Data Service - Compute - Dense I/O</t>
  </si>
  <si>
    <t>Oracle Big Data Service - Compute - HPC</t>
  </si>
  <si>
    <t>B91212</t>
  </si>
  <si>
    <t xml:space="preserve">Oracle Content and Experience Cloud Service - Government </t>
  </si>
  <si>
    <t>B91213</t>
  </si>
  <si>
    <t>Oracle Content and Experience Cloud Service - Outbound Data Transfer - Government</t>
  </si>
  <si>
    <t>Oracle Cloud Infrastructure - Database Exadata Infrastructure - Quarter Rack - X8 - Government</t>
  </si>
  <si>
    <t>B91540</t>
  </si>
  <si>
    <t>Oracle Cloud Infrastructure - Database Exadata Infrastructure - Half Rack - X8 - Government</t>
  </si>
  <si>
    <t>B91541</t>
  </si>
  <si>
    <t>Oracle Cloud Infrastructure - Database Exadata Infrastructure - Full Rack - X8 - Government</t>
  </si>
  <si>
    <t>B92072</t>
  </si>
  <si>
    <t>Oracle Cloud Infrastructure - API Gateway - 1,000,000 API Calls</t>
  </si>
  <si>
    <t>B92073</t>
  </si>
  <si>
    <t>Oracle Cloud Infrastructure - API Gateway - 1,000,000 API Calls - Government</t>
  </si>
  <si>
    <t>https://esource.oraclecorp.com/sites/eSource/ContentAsset_1534953218538</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</si>
  <si>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</si>
  <si>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</si>
  <si>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</si>
  <si>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</si>
  <si>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</si>
  <si>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</si>
  <si>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</si>
  <si>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</si>
  <si>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</si>
  <si>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</si>
  <si>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</si>
  <si>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</si>
  <si>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</si>
  <si>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</si>
  <si>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</si>
  <si>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</si>
  <si>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</si>
  <si>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</si>
  <si>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</si>
  <si>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</si>
  <si>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</si>
  <si>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</si>
  <si>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</si>
  <si>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</si>
  <si>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</si>
  <si>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</si>
  <si>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</si>
  <si>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</si>
  <si>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</si>
  <si>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</si>
  <si>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</si>
  <si>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Jan-20</t>
  </si>
  <si>
    <t>Feb-20</t>
  </si>
  <si>
    <t>Mar-20</t>
  </si>
  <si>
    <t>Apr-20</t>
  </si>
  <si>
    <t>May-20</t>
  </si>
  <si>
    <t>B92092</t>
  </si>
  <si>
    <t>B92093</t>
  </si>
  <si>
    <t>Oracle Cloud Infrastructure - KMS Vault - Key Versions - Government</t>
  </si>
  <si>
    <t>Disc</t>
  </si>
  <si>
    <t>Hourly Qty</t>
  </si>
  <si>
    <t>List Unit</t>
  </si>
  <si>
    <t>Disc Unit</t>
  </si>
  <si>
    <t>Usage</t>
  </si>
  <si>
    <t>Overage</t>
  </si>
  <si>
    <t>B88269</t>
  </si>
  <si>
    <t>OCI - Compute Classic - Compute Capacity - OCPU Per Hour</t>
  </si>
  <si>
    <t>B88274</t>
  </si>
  <si>
    <t>OCI - Block Storage Classic - Gigabyte Storage Capacity per Month</t>
  </si>
  <si>
    <t>B88275</t>
  </si>
  <si>
    <t>OCI - Block Storage Classic - High I/O - Gigabyte Storage Capacity Per Month</t>
  </si>
  <si>
    <t>B88285</t>
  </si>
  <si>
    <t>OCI - Object Storage Classic - Gigabyte Storage Capacity per Month</t>
  </si>
  <si>
    <t>B88370</t>
  </si>
  <si>
    <t>OCI - Load Balancer Classic - Load Balancer Hour</t>
  </si>
  <si>
    <t>Server  Inventory (customer to complete)</t>
  </si>
  <si>
    <t>Host Name</t>
  </si>
  <si>
    <t>Env</t>
  </si>
  <si>
    <t>Tier</t>
  </si>
  <si>
    <t>Application</t>
  </si>
  <si>
    <t>Version</t>
  </si>
  <si>
    <t>OS</t>
  </si>
  <si>
    <t>Memory (GB)</t>
  </si>
  <si>
    <t>Description</t>
  </si>
  <si>
    <t>Physical or 
Virtual (P/V)</t>
  </si>
  <si>
    <t>Cores per Socket</t>
  </si>
  <si>
    <t>Total 
Cores</t>
  </si>
  <si>
    <t>CPU Shape</t>
  </si>
  <si>
    <t>Memory Shape</t>
  </si>
  <si>
    <t>Shape</t>
  </si>
  <si>
    <t>ebsdbprod</t>
  </si>
  <si>
    <t>PROD</t>
  </si>
  <si>
    <t>Database</t>
  </si>
  <si>
    <t>EBS</t>
  </si>
  <si>
    <t>DBEE 12.1.0.2.0</t>
  </si>
  <si>
    <t>RHEL 6.7 64 bit</t>
  </si>
  <si>
    <t>example</t>
  </si>
  <si>
    <t>P</t>
  </si>
  <si>
    <t>Dell R630</t>
  </si>
  <si>
    <t>ebsappprod</t>
  </si>
  <si>
    <t>EBS 12.1.3</t>
  </si>
  <si>
    <t>ebsdbtest</t>
  </si>
  <si>
    <t>TEST</t>
  </si>
  <si>
    <t>V</t>
  </si>
  <si>
    <t>ebsapptest</t>
  </si>
  <si>
    <t>OCPU</t>
  </si>
  <si>
    <t>Local Storage (TB)</t>
  </si>
  <si>
    <t>Gen</t>
  </si>
  <si>
    <t>Proc</t>
  </si>
  <si>
    <t>GPU</t>
  </si>
  <si>
    <t>Graphics Processor</t>
  </si>
  <si>
    <t>Sort</t>
  </si>
  <si>
    <t>BM.Standard2.52</t>
  </si>
  <si>
    <t>Intel</t>
  </si>
  <si>
    <t>VM.Standard2.24</t>
  </si>
  <si>
    <t>Standard</t>
  </si>
  <si>
    <t>2.0 GHz Intel® Xeon® Platinum 8167M</t>
  </si>
  <si>
    <t>VM.Standard2.16</t>
  </si>
  <si>
    <t>VM.Standard2.8</t>
  </si>
  <si>
    <t>VM.Standard2.4</t>
  </si>
  <si>
    <t>VM.Standard2.2</t>
  </si>
  <si>
    <t>VM.Standard2.1</t>
  </si>
  <si>
    <t>BM.Standard.E2.64</t>
  </si>
  <si>
    <t>AMD</t>
  </si>
  <si>
    <t>2.0 GHz AMD EPYC 7551</t>
  </si>
  <si>
    <t>VM.Standard.E2.8</t>
  </si>
  <si>
    <t>VM.Standard.E2.4</t>
  </si>
  <si>
    <t>VM.Standard.E2.2</t>
  </si>
  <si>
    <t>VM.Standard.E2.1</t>
  </si>
  <si>
    <t>BM.DenseIO2.52</t>
  </si>
  <si>
    <t>VM.DenseIO2.24</t>
  </si>
  <si>
    <t>Dense</t>
  </si>
  <si>
    <t>VM.DenseIO2.16</t>
  </si>
  <si>
    <t>VM.DenseIO2.8</t>
  </si>
  <si>
    <t>BM.GPU3.8</t>
  </si>
  <si>
    <t>NVIDIA Tesla V100</t>
  </si>
  <si>
    <t>BM.GPU2.2</t>
  </si>
  <si>
    <t>NVIDIA Tesla P100</t>
  </si>
  <si>
    <t>VM.GPU3.4</t>
  </si>
  <si>
    <t>VM.GPU3.2</t>
  </si>
  <si>
    <t>VM.GPU2.1</t>
  </si>
  <si>
    <t>VM.GPU3.1</t>
  </si>
  <si>
    <t>BM.HPC2.36</t>
  </si>
  <si>
    <t>HPC</t>
  </si>
  <si>
    <t>3.0 GHz Gold 6154</t>
  </si>
  <si>
    <t>BM.Standard.B2.44</t>
  </si>
  <si>
    <t>2.2 GHz Intel Xeon E5-2699 v4</t>
  </si>
  <si>
    <t>BM.DenseIO1.36</t>
  </si>
  <si>
    <t>2.3 GHz E5-2699 v3</t>
  </si>
  <si>
    <t>BM.Standard1.36</t>
  </si>
  <si>
    <t>2.3 GHz Intel Xeon E5-2699 v3</t>
  </si>
  <si>
    <t>VM.DenseIO1.16</t>
  </si>
  <si>
    <t>VM.Standard.B1.16</t>
  </si>
  <si>
    <t>2.2 GHz Intel® Xeon® E5-2699 v4</t>
  </si>
  <si>
    <t>VM.Standard1.16</t>
  </si>
  <si>
    <t>2.3 GHz Intel® Xeon® E5-2699 v3</t>
  </si>
  <si>
    <t>VM.DenseIO1.8</t>
  </si>
  <si>
    <t>VM.Standard.B1.8</t>
  </si>
  <si>
    <t>VM.Standard1.8</t>
  </si>
  <si>
    <t>VM.DenseIO1.4</t>
  </si>
  <si>
    <t>VM.Standard.B1.4</t>
  </si>
  <si>
    <t>VM.Standard1.4</t>
  </si>
  <si>
    <t>VM.Standard.B1.2</t>
  </si>
  <si>
    <t>VM.Standard1.2</t>
  </si>
  <si>
    <t>VM.Standard.B1.1</t>
  </si>
  <si>
    <t>VM.Standard1.1</t>
  </si>
  <si>
    <t>Servers</t>
  </si>
  <si>
    <t>Exa Storage</t>
  </si>
  <si>
    <t>B91346</t>
  </si>
  <si>
    <t>B91347</t>
  </si>
  <si>
    <t>B91033</t>
  </si>
  <si>
    <t>Oracle Database Exadata Cloud at Customer Storage Server X8 - Non-metered</t>
  </si>
  <si>
    <t>B91034</t>
  </si>
  <si>
    <t>Oracle Database Exadata Cloud at Customer Base System Storage Server - Non-metered</t>
  </si>
  <si>
    <t>B91041</t>
  </si>
  <si>
    <t>Oracle Database Exadata Cloud at Customer Storage Server X8 - Partner Hardware - Non-metered</t>
  </si>
  <si>
    <t>B91042</t>
  </si>
  <si>
    <t>Oracle Database Exadata Cloud at Customer Base System Storage Server - Partner Hardware - Non-metered</t>
  </si>
  <si>
    <t xml:space="preserve">Oracle Cloud Infrastructure - Compute - Microsoft SQL Enterprise*
(*Available on the Oracle Cloud Marketplace:  See Note 15) </t>
  </si>
  <si>
    <t xml:space="preserve">Oracle Cloud Infrastructure - Compute - Microsoft SQL Standard*
(*Available on the Oracle Cloud Marketplace:  See Note 15) </t>
  </si>
  <si>
    <t>B92181</t>
  </si>
  <si>
    <t>Oracle Autonomous Transaction Processing - Dedicated</t>
  </si>
  <si>
    <t>B92182</t>
  </si>
  <si>
    <t>Oracle Autonomous Data Warehouse - Dedicated</t>
  </si>
  <si>
    <t>B92183</t>
  </si>
  <si>
    <t>Oracle Autonomous Transaction Processing - Dedicated - BYOL</t>
  </si>
  <si>
    <t>B92184</t>
  </si>
  <si>
    <t>Oracle Autonomous Data Warehouse - Dedicated - BYOL</t>
  </si>
  <si>
    <t>B92335</t>
  </si>
  <si>
    <t>Essbase for Oracle Cloud Infrastructure*
(*Available on the Oracle Cloud Marketplace:  See Note 15)</t>
  </si>
  <si>
    <t>B92354</t>
  </si>
  <si>
    <t>Oracle Analytics for Fusion HCM</t>
  </si>
  <si>
    <t>SKU</t>
  </si>
  <si>
    <t>IAAS</t>
  </si>
  <si>
    <t>PAAS</t>
  </si>
  <si>
    <t>CC</t>
  </si>
  <si>
    <t>HR</t>
  </si>
  <si>
    <t>GB</t>
  </si>
  <si>
    <t>1,000 Requests per Month</t>
  </si>
  <si>
    <t>10,000 Requests per Month</t>
  </si>
  <si>
    <t>Static IP Per Hour</t>
  </si>
  <si>
    <t>Gigabyte Storage Capacity per Month</t>
  </si>
  <si>
    <t>One Million IO Requests Per Month</t>
  </si>
  <si>
    <t>OCPU Per Month</t>
  </si>
  <si>
    <t>Gigabyte Outbound Data Transfer per Month</t>
  </si>
  <si>
    <t>TB of Storage Capacity</t>
  </si>
  <si>
    <t>Hosted Environment</t>
  </si>
  <si>
    <t>Gigabyte Memory Per Hour</t>
  </si>
  <si>
    <t>Gigabyte Memory Per Month</t>
  </si>
  <si>
    <t>10,000 API Calls Per Month</t>
  </si>
  <si>
    <t>Gigabyte Storage Capacity Per Month</t>
  </si>
  <si>
    <t>Hosted Named User Per Month</t>
  </si>
  <si>
    <t>Hosted Connection Per Month</t>
  </si>
  <si>
    <t>Hosted Environment Per Month</t>
  </si>
  <si>
    <t>Device Per Month</t>
  </si>
  <si>
    <t>1,000 Messages Per Month</t>
  </si>
  <si>
    <t>Interactions Per Month</t>
  </si>
  <si>
    <t>Storage Pack Per Month</t>
  </si>
  <si>
    <t>1,000,000 API Calls Per Month</t>
  </si>
  <si>
    <t>VPN Connection</t>
  </si>
  <si>
    <t>Gigabyte Memory</t>
  </si>
  <si>
    <t>Ravello Compute Hour</t>
  </si>
  <si>
    <t>Gigabyte Outbound Data Transfer Per Month</t>
  </si>
  <si>
    <t>Virtual Machine IP Per Hour</t>
  </si>
  <si>
    <t>10,000 Requests Per Month</t>
  </si>
  <si>
    <t>Load Balancer Hour</t>
  </si>
  <si>
    <t>GPU Per Hour</t>
  </si>
  <si>
    <t>Hosted Environment Per Hour</t>
  </si>
  <si>
    <t>Port Hour</t>
  </si>
  <si>
    <t>Hosted Nodes</t>
  </si>
  <si>
    <t>Monitored Service User Per Hour</t>
  </si>
  <si>
    <t>Monitored Account Per Hour</t>
  </si>
  <si>
    <t>Gigabyte Data Capacity Per Hour</t>
  </si>
  <si>
    <t>Monitored App Per Hour</t>
  </si>
  <si>
    <t>1,000 Requests Per Month</t>
  </si>
  <si>
    <t>1,000 Emails Sent</t>
  </si>
  <si>
    <t>1,000,000 Queries</t>
  </si>
  <si>
    <t>Private Pool</t>
  </si>
  <si>
    <t>User Per Month</t>
  </si>
  <si>
    <t>GB of Data Processed</t>
  </si>
  <si>
    <t>Gateway Per Hour</t>
  </si>
  <si>
    <t>100 Entities Per Hour</t>
  </si>
  <si>
    <t>300 Gigabytes Per Hour</t>
  </si>
  <si>
    <t>500 Transactions Per Hour</t>
  </si>
  <si>
    <t>Terabyte Storage Capacity Per Month</t>
  </si>
  <si>
    <t>5K Messages Per Hour</t>
  </si>
  <si>
    <t>20K Messages Per Hour</t>
  </si>
  <si>
    <t>Gigabyte of Data Processed Per Hour</t>
  </si>
  <si>
    <t>Write Unit Per Month</t>
  </si>
  <si>
    <t>Read Unit Per Month</t>
  </si>
  <si>
    <t xml:space="preserve">Oracle Cloud Infrastructure - Database Exadata Infrastructure - Quarter Rack - X7
</t>
  </si>
  <si>
    <t>Request</t>
  </si>
  <si>
    <t>Endpoints Per Month</t>
  </si>
  <si>
    <t>1,000,000 DNS Traffic Management Queries</t>
  </si>
  <si>
    <t>Virtual Private Vault Per Hour</t>
  </si>
  <si>
    <t>1,000,000 Incoming Requests Per Month</t>
  </si>
  <si>
    <t>Gigabyte of Good Traffic Per Month</t>
  </si>
  <si>
    <t>1,000,000 Incoming Requests</t>
  </si>
  <si>
    <t xml:space="preserve">Gigabyte Of Good Traffic
</t>
  </si>
  <si>
    <t>vCPU Per Hour</t>
  </si>
  <si>
    <t>Gigabytes of Data Transferred</t>
  </si>
  <si>
    <t>Gigabytes Per Hour</t>
  </si>
  <si>
    <t>1 Million Messages</t>
  </si>
  <si>
    <t>5,000 Assets Per Month</t>
  </si>
  <si>
    <t xml:space="preserve">10,000 Gigabyte Memory-Seconds
</t>
  </si>
  <si>
    <t xml:space="preserve">1,000,000 Function Invocations
</t>
  </si>
  <si>
    <t xml:space="preserve">Oracle Cloud Infrastructure - Database Exadata Infrastructure - Quarter Rack - X8
</t>
  </si>
  <si>
    <t>10,000 Audit Records Per Target Per Month</t>
  </si>
  <si>
    <t>Performance Units Per Gigabyte Per Month</t>
  </si>
  <si>
    <t>Key Version Per Month</t>
  </si>
  <si>
    <t>Hosted Employee Per Month</t>
  </si>
  <si>
    <t>Disc
Type</t>
  </si>
  <si>
    <t>Rate 
Type</t>
  </si>
  <si>
    <t>CC OCPU</t>
  </si>
  <si>
    <t>B89124</t>
  </si>
  <si>
    <t>Rounded Qty</t>
  </si>
  <si>
    <t>Performance Level</t>
  </si>
  <si>
    <t>IOPS/GB</t>
  </si>
  <si>
    <t>Max IOPS/Volume</t>
  </si>
  <si>
    <t>Throughput/GB</t>
  </si>
  <si>
    <t>Max Throughput/Volume</t>
  </si>
  <si>
    <t>VPUs/GB1</t>
  </si>
  <si>
    <t>Lower Cost</t>
  </si>
  <si>
    <t>Up to 480</t>
  </si>
  <si>
    <t>Balanced</t>
  </si>
  <si>
    <t>Higher Performance</t>
  </si>
  <si>
    <t>https://docs.cloud.oracle.com/en-us/iaas/Content/Block/Concepts/blockvolumeelasticperformance.htm</t>
  </si>
  <si>
    <t>https://docs.cloud.oracle.com/en-us/</t>
  </si>
  <si>
    <t>Product detail</t>
  </si>
  <si>
    <r>
      <t>Standard Edition</t>
    </r>
    <r>
      <rPr>
        <sz val="11"/>
        <rFont val="Calibri"/>
        <family val="2"/>
        <scheme val="minor"/>
      </rPr>
      <t> provisions an instance of Oracle Database Standard Edition 2 and requires you Bring Your Own License (BYOL) of either Oracle Database Standard Edition, Oracle Database Standard Edition One or Oracle Database Standard Edition 2.</t>
    </r>
  </si>
  <si>
    <r>
      <t>Enterprise, High Performance &amp; Extreme Performance</t>
    </r>
    <r>
      <rPr>
        <sz val="11"/>
        <rFont val="Calibri"/>
        <family val="2"/>
        <scheme val="minor"/>
      </rPr>
      <t> packages require you BYOL of Oracle Database Enterprise Edition as well as any Oracle Database Enterprise Edition option utilized within the respective services, excluding Data Masking and Subsetting Pack, Diagnostics and Tuning Packs, and Real Application Testing which are included license free when bringing an Oracle Database Enterprise Edition License to the Oracle Cloud.</t>
    </r>
  </si>
  <si>
    <t>MONTH</t>
  </si>
  <si>
    <t>HOURS</t>
  </si>
  <si>
    <t>B86970</t>
  </si>
  <si>
    <t>B86972</t>
  </si>
  <si>
    <t>B87287</t>
  </si>
  <si>
    <t>B88402</t>
  </si>
  <si>
    <t>B89031</t>
  </si>
  <si>
    <t>B89032</t>
  </si>
  <si>
    <t>B89037</t>
  </si>
  <si>
    <t>B89038</t>
  </si>
  <si>
    <t>B89118</t>
  </si>
  <si>
    <t>B89119</t>
  </si>
  <si>
    <t>B89480</t>
  </si>
  <si>
    <t>B89481</t>
  </si>
  <si>
    <t>B89652</t>
  </si>
  <si>
    <t>B90020</t>
  </si>
  <si>
    <t>Cost</t>
  </si>
  <si>
    <t>Oracle Visual Builder Studio - Additional Storage</t>
  </si>
  <si>
    <t xml:space="preserve">Oracle Visual Builder Studio - Government
</t>
  </si>
  <si>
    <t>B92217</t>
  </si>
  <si>
    <t>Oracle Content and Experience Cloud Service Advanced Video Management</t>
  </si>
  <si>
    <t>250 Video Assets per Month</t>
  </si>
  <si>
    <t>B92226</t>
  </si>
  <si>
    <t>Oracle Content and Experience Cloud Service Advanced Video Management - Government</t>
  </si>
  <si>
    <t>B92306</t>
  </si>
  <si>
    <t>Oracle Cloud Infrastructure - Compute - Standard - E3</t>
  </si>
  <si>
    <t>B92307</t>
  </si>
  <si>
    <t>Oracle Cloud Infrastructure - Compute - Standard - E3 - Memory</t>
  </si>
  <si>
    <t>B92386</t>
  </si>
  <si>
    <t>B92425</t>
  </si>
  <si>
    <t>MySQL Database - Standard - E2</t>
  </si>
  <si>
    <t>B92426</t>
  </si>
  <si>
    <t>MySQL Database - Storage</t>
  </si>
  <si>
    <t>No 
disc</t>
  </si>
  <si>
    <t/>
  </si>
  <si>
    <t xml:space="preserve">Oracle GoldenGate Cloud Service - Enterprise*
(*Limited Availability: See Note 11)
</t>
  </si>
  <si>
    <t>Oracle WebLogic Server Enterprise Edition for Oracle Cloud Infrastructure*
(*Available on the Oracle Cloud Marketplace:  See Note 15)</t>
  </si>
  <si>
    <t>Oracle WebLogic Suite for Oracle Cloud Infrastructure
(*Available on the Oracle Cloud Marketplace:  See Note 15)</t>
  </si>
  <si>
    <t>Gigabyte Per Hour</t>
  </si>
  <si>
    <t>B92432</t>
  </si>
  <si>
    <t>B90831</t>
  </si>
  <si>
    <t>Physical 
Server Type 
(optional)</t>
  </si>
  <si>
    <t>Storage 
Used (GB)</t>
  </si>
  <si>
    <t>CPU 
Sockets</t>
  </si>
  <si>
    <t>Cores</t>
  </si>
  <si>
    <t>Oracle</t>
  </si>
  <si>
    <t>Filter</t>
  </si>
  <si>
    <t>Total Monthly UC</t>
  </si>
  <si>
    <t>Total UC</t>
  </si>
  <si>
    <t>Total Non-UC</t>
  </si>
  <si>
    <t>Total Annual</t>
  </si>
  <si>
    <t>Total Services (one-time cost)</t>
  </si>
  <si>
    <t>Total Monthly</t>
  </si>
  <si>
    <t>DBaaS</t>
  </si>
  <si>
    <t>ExaCC</t>
  </si>
  <si>
    <t>VM.Standard.E3.Flex</t>
  </si>
  <si>
    <t>AMD EPYC 7742. Base frequency 2.25 GHz, max boost frequency 3.4 GHz.</t>
  </si>
  <si>
    <t>Network</t>
  </si>
  <si>
    <t>1 GBPS / OCPU</t>
  </si>
  <si>
    <t>Transceivers</t>
  </si>
  <si>
    <t>Advanced Support Gateway</t>
  </si>
  <si>
    <t>Gateway Installation</t>
  </si>
  <si>
    <t>CPU Performance</t>
  </si>
  <si>
    <t>AMD EPYC 7551</t>
  </si>
  <si>
    <t>AMD EPYC 7742</t>
  </si>
  <si>
    <t>Intel Xeon Platinum 8167M</t>
  </si>
  <si>
    <t>E2</t>
  </si>
  <si>
    <t>E3</t>
  </si>
  <si>
    <t>https://www.cpubenchmark.net/compare/AMD-EPYC-7742-vs-Intel-Xeon-Platinum-8168/3547vs3111</t>
  </si>
  <si>
    <t>https://www.cpubenchmark.net/compare/Intel-Xeon-Platinum-8168-vs-AMD-EPYC-7551P/3111vs3215</t>
  </si>
  <si>
    <t>https://www.oc-blog.com/2020/04/24/new-powerful-cpu-shape-e3/</t>
  </si>
  <si>
    <t>S2</t>
  </si>
  <si>
    <t>Oracle Cloud VMware Solution</t>
  </si>
  <si>
    <t>B92418</t>
  </si>
  <si>
    <t>Exadata Cloud at Customer - Autonomous Transaction Processing - Database OCPU</t>
  </si>
  <si>
    <t>B92419</t>
  </si>
  <si>
    <t>Exadata Cloud at Customer - Autonomous Data Warehouse - Database OCPU</t>
  </si>
  <si>
    <t>B92420</t>
  </si>
  <si>
    <t>Exadata Cloud at Customer - Autonomous Transaction Processing - Database OCPU - BYOL</t>
  </si>
  <si>
    <t>B92421</t>
  </si>
  <si>
    <t>Oracle Cloud Infrastructure - KMS Vault - Key Versions - Next 20 Key Versions Per Month</t>
  </si>
  <si>
    <t xml:space="preserve">Oracle Cloud Infrastructure - Database Exadata Infrastructure - Half Rack - X7
</t>
  </si>
  <si>
    <t xml:space="preserve">Oracle Cloud Infrastructure - Database Exadata Infrastructure - Full Rack - X7
</t>
  </si>
  <si>
    <t>Oracle Functions - Execution Time - Over 400,000 Gigabyte Memory-Seconds Per Month (i.e., over 40 blocks of 10,000 Gigabyte Memory-Seconds Per Month)</t>
  </si>
  <si>
    <t>10,000 Gigabyte Memory-Seconds</t>
  </si>
  <si>
    <t>Oracle Functions - Invocations - Over 2,000,000 Function Invocations Per Month (i.e., over 2 blocks of 1,000,000 Function Invocations Per Month)</t>
  </si>
  <si>
    <t>1,000,000 Function Invocations</t>
  </si>
  <si>
    <t>Oracle Cloud Infrastructure - Monitoring - Ingestion - Over 500 Million Datapoints</t>
  </si>
  <si>
    <t>Million Datapoints</t>
  </si>
  <si>
    <t>Oracle Cloud Infrastructure - Monitoring - Retrieval - Over 1 Billion Datapoints</t>
  </si>
  <si>
    <t>Oracle Cloud Infrastructure - Notifications - HTTPS Delivery - Over 1 Million Delivery Options Per Month</t>
  </si>
  <si>
    <t>Million Delivery Options</t>
  </si>
  <si>
    <t>Oracle Cloud Infrastructure - Notifications - Email Delivery - Over 1,000 Emails Sent Per Month</t>
  </si>
  <si>
    <t>Oracle Cloud SQL - Compute Capacity - Government</t>
  </si>
  <si>
    <t>Oracle Big Data Service - Compute - Standard - Government</t>
  </si>
  <si>
    <t>Oracle Big Data Service - Compute - Dense I/O - Government</t>
  </si>
  <si>
    <t>Oracle Big Data Service - Compute - HPC - Government</t>
  </si>
  <si>
    <t>Oracle Content and Experience Cloud Service - First 5,000 Assets Per Month</t>
  </si>
  <si>
    <t xml:space="preserve">Oracle Cloud Infrastructure - Database Exadata Infrastructure - Half Rack - X8
</t>
  </si>
  <si>
    <t xml:space="preserve">Oracle Cloud Infrastructure - Database Exadata Infrastructure - Full Rack - X8
</t>
  </si>
  <si>
    <t>B92340</t>
  </si>
  <si>
    <t>Oracle Cloud Infrastructure - Compute - Standard - E3 - Government</t>
  </si>
  <si>
    <t>B92341</t>
  </si>
  <si>
    <t>Oracle Cloud Infrastructure - Compute - Standard - E3 - Memory - Government</t>
  </si>
  <si>
    <t>Oracle Cloud VMware Solution - Government</t>
  </si>
  <si>
    <t>B92450</t>
  </si>
  <si>
    <t>Oracle SOA Suite for Oracle Cloud Infrastructure*
(*Available on the Oracle Cloud Marketplace:  See Note 15)</t>
  </si>
  <si>
    <t>B92451</t>
  </si>
  <si>
    <t>B92593</t>
  </si>
  <si>
    <t>Oracle Cloud Infrastructure - Logging - Storage - Over 10 Gigabytes Log Storage Per Month</t>
  </si>
  <si>
    <t>Gigabyte Log Storage Per Month</t>
  </si>
  <si>
    <t>B92595</t>
  </si>
  <si>
    <t>Oracle Cloud Infrastructure - Logging - Storage - Government</t>
  </si>
  <si>
    <t>B92598</t>
  </si>
  <si>
    <t>Workspace Usage Per Hour</t>
  </si>
  <si>
    <t>B92599</t>
  </si>
  <si>
    <t>May-21</t>
  </si>
  <si>
    <t>Jun-20</t>
  </si>
  <si>
    <t>Jul-20</t>
  </si>
  <si>
    <t>Aug-20</t>
  </si>
  <si>
    <t>Sep-20</t>
  </si>
  <si>
    <t>Oct-20</t>
  </si>
  <si>
    <t>Nov-20</t>
  </si>
  <si>
    <t>Dec-20</t>
  </si>
  <si>
    <t>Jan-21</t>
  </si>
  <si>
    <t>Feb-21</t>
  </si>
  <si>
    <t>Mar-21</t>
  </si>
  <si>
    <t>Apr-21</t>
  </si>
  <si>
    <t>Oracle Database Backup  Service - Storage Capacity*
(*Limited Availability: See Note 10)</t>
  </si>
  <si>
    <t>Oracle SOA Suite Cloud Service*
(*Limited Availability: See Note 10)</t>
  </si>
  <si>
    <t>Oracle SOA Suite for Oracle Cloud Infrastructure - with B2B Adapter for EDI*
(*Available on the Oracle Cloud Marketplace:  See Note 15)</t>
  </si>
  <si>
    <t>Oracle Cloud Infrastructure - Data Integration - Workspace</t>
  </si>
  <si>
    <t>Oracle Cloud Infrastructure - Data Integration</t>
  </si>
  <si>
    <t>B88272</t>
  </si>
  <si>
    <t>OCI - Compute Classic - Unassociated Static IP</t>
  </si>
  <si>
    <t>Integration</t>
  </si>
  <si>
    <t>Platform</t>
  </si>
  <si>
    <t>Deprecated</t>
  </si>
  <si>
    <t>UNIT</t>
  </si>
  <si>
    <t>REQ</t>
  </si>
  <si>
    <t>Classic</t>
  </si>
  <si>
    <t>EA</t>
  </si>
  <si>
    <t>UC0</t>
  </si>
  <si>
    <t>Service</t>
  </si>
  <si>
    <t>Government</t>
  </si>
  <si>
    <t>TB</t>
  </si>
  <si>
    <t>List
Price</t>
  </si>
  <si>
    <t>Annual Commit</t>
  </si>
  <si>
    <t>Increase</t>
  </si>
  <si>
    <t>Additional annual commit list required to get to next discount</t>
  </si>
  <si>
    <t>Next list break point</t>
  </si>
  <si>
    <t xml:space="preserve">B87866 </t>
  </si>
  <si>
    <t>Minimum Annual Flex spend in Universal Credits to be eligible for Universal Credits model</t>
  </si>
  <si>
    <t xml:space="preserve">B91376 </t>
  </si>
  <si>
    <t xml:space="preserve">B91539 </t>
  </si>
  <si>
    <t xml:space="preserve">B91632 </t>
  </si>
  <si>
    <t>B92406</t>
  </si>
  <si>
    <t>Gen 2 Exadata Cloud at Customer Infrastructure - XM - Base System - Non-metered</t>
  </si>
  <si>
    <t>B92407</t>
  </si>
  <si>
    <t>Gen 2 Exadata Cloud at Customer Infrastructure - X8M - Quarter Rack - Non-metered</t>
  </si>
  <si>
    <t>B92408</t>
  </si>
  <si>
    <t>B92409</t>
  </si>
  <si>
    <t>Gen 2 Exadata Cloud at Customer Infrastructure - X8M - Full Rack - Non-metered</t>
  </si>
  <si>
    <t>B92412</t>
  </si>
  <si>
    <t>B92413</t>
  </si>
  <si>
    <t>Gen 2 Exadata Cloud at Customer Infrastructure - X8M - Quarter Rack - Partner Hardware - Non-metered</t>
  </si>
  <si>
    <t>B92414</t>
  </si>
  <si>
    <t>B92415</t>
  </si>
  <si>
    <t>Gen 2 Exadata Cloud at Customer Infrastructure - X8M - Full Rack - Partner Hardware - Non-metered</t>
  </si>
  <si>
    <t>Gen 2 Exadata Cloud at Customer Storage Server - X8M - Non-metered</t>
  </si>
  <si>
    <t>Gen 2 Exadata Cloud at Customer Storage Server - X8M - Partner Hardware - Non-metered</t>
  </si>
  <si>
    <t>B92410</t>
  </si>
  <si>
    <t>B92411</t>
  </si>
  <si>
    <t>B92416</t>
  </si>
  <si>
    <t>B92417</t>
  </si>
  <si>
    <t>Exadata Cloud at Customer - Autonomous Data Warehouse - Database OCPU - BYOL</t>
  </si>
  <si>
    <t>B92387</t>
  </si>
  <si>
    <t>B92388</t>
  </si>
  <si>
    <t>B92389</t>
  </si>
  <si>
    <t>B92390</t>
  </si>
  <si>
    <t>B92302</t>
  </si>
  <si>
    <t>Oracle Cloud Infrastructure - Blockchain Platform Cloud Service - Standard</t>
  </si>
  <si>
    <t>B92303</t>
  </si>
  <si>
    <t>Oracle Cloud Infrastructure - Blockchain Platform Cloud Service - Enterprise</t>
  </si>
  <si>
    <t>B92304</t>
  </si>
  <si>
    <t>Oracle Cloud Infrastructure - Blockchain Platform Cloud Service - Storage</t>
  </si>
  <si>
    <t>B92305</t>
  </si>
  <si>
    <t>Oracle Cloud Infrastructure - Blockchain Platform Cloud Service - Enterprise - BYOL</t>
  </si>
  <si>
    <t>Exadata Cloud at Customer - Autonomous Transaction Processing - Database OCPU - Government</t>
  </si>
  <si>
    <t>Exadata Cloud at Customer - Autonomous Transaction Processing - Database OCPU - BYOL - Government</t>
  </si>
  <si>
    <t>Exadata Cloud at Customer - Autonomous Data Warehouse - Database OCPU - Government</t>
  </si>
  <si>
    <t>Exadata Cloud at Customer - Autonomous Data Warehouse - Database OCPU - BYOL - Government</t>
  </si>
  <si>
    <t>Gen 2 Exadata Cloud at Customer Infrastructure - X8M - Half Rack - Non-metered</t>
  </si>
  <si>
    <t>Gen 2 Exadata Cloud at Customer Infrastructure - XM - Base System - Partner Hardware - Non-metered</t>
  </si>
  <si>
    <t>Gen 2 Exadata Cloud at Customer Infrastructure - X8M - Half Rack - Partner Hardware - Non-metered</t>
  </si>
  <si>
    <t>Gen 2 Exadata Cloud at Customer Base System Storage Server - XM - Partner Hardware - Non-metered</t>
  </si>
  <si>
    <t>B92483</t>
  </si>
  <si>
    <t>MySQL Database - Backup Storage</t>
  </si>
  <si>
    <t>B89654</t>
  </si>
  <si>
    <t>Oracle Data Integration Platform Cloud Service - Standard</t>
  </si>
  <si>
    <t>B89655</t>
  </si>
  <si>
    <t>Oracle Data Integration Platform Cloud Service - Enterprise</t>
  </si>
  <si>
    <t>B89656</t>
  </si>
  <si>
    <t>Oracle Data Integration Platform Cloud Service - Governance</t>
  </si>
  <si>
    <t>B89660</t>
  </si>
  <si>
    <t>Oracle Data Integration Platform Cloud Service - Standard - BYOL</t>
  </si>
  <si>
    <t>B89661</t>
  </si>
  <si>
    <t>Oracle Data Integration Platform Cloud Service - Enterprise - BYOL</t>
  </si>
  <si>
    <t>B89662</t>
  </si>
  <si>
    <t>Oracle Data Integration Platform Cloud Service - Governance - BYOL</t>
  </si>
  <si>
    <t>B91029</t>
  </si>
  <si>
    <t>Gen 2 Exadata Cloud at Customer Infrastructure - Base System - Non-metered</t>
  </si>
  <si>
    <t>B91030</t>
  </si>
  <si>
    <t>Gen 2 Exadata Cloud at Customer Infrastructure - X8 - Quarter Rack - Non-metered</t>
  </si>
  <si>
    <t>B91031</t>
  </si>
  <si>
    <t>Gen 2 Exadata Cloud at Customer Infrastructure - X8 - Half Rack - Non-metered</t>
  </si>
  <si>
    <t>B91032</t>
  </si>
  <si>
    <t>Gen 2 Exadata Cloud at Customer Infrastructure - X8 - Full Rack - Non-metered</t>
  </si>
  <si>
    <t>B91037</t>
  </si>
  <si>
    <t>Gen 2 Exadata Cloud at Customer Infrastructure - Base System - Partner Hardware - Non-metered</t>
  </si>
  <si>
    <t>B91038</t>
  </si>
  <si>
    <t>Gen 2 Exadata Cloud at Customer Infrastructure - X8 - Quarter Rack - Partner Hardware - Non-metered</t>
  </si>
  <si>
    <t>B91039</t>
  </si>
  <si>
    <t>Gen 2 Exadata Cloud at Customer Infrastructure - X8 - Half Rack - Partner Hardware - Non-metered</t>
  </si>
  <si>
    <t>B91040</t>
  </si>
  <si>
    <t>Gen 2 Exadata Cloud at Customer Infrastructure - X8 - Full Rack - Partner Hardware - Non-metered</t>
  </si>
  <si>
    <t>Exadata Cloud at Customer - Autonomous Data Warehouse - Database OCPU - BYOL - OCPU Per Hour</t>
  </si>
  <si>
    <t>Removed from list</t>
  </si>
  <si>
    <t>Minimum Monthly Flex spend in Universal Credits to be eligible for Universal Credits model</t>
  </si>
  <si>
    <t>B88606</t>
  </si>
  <si>
    <t>Oracle Big Data SQL Cloud Service*  (Priced in Advance of Availability)
(*Limited Availability: See Note 10)</t>
  </si>
  <si>
    <t>New</t>
  </si>
  <si>
    <t>X8M Quarter</t>
  </si>
  <si>
    <t>X8M Half</t>
  </si>
  <si>
    <t>X8M Full</t>
  </si>
  <si>
    <t>https://www.oracle.com/a/ocom/docs/engineered-systems/exadata/gen2-exacc-ds.pdf</t>
  </si>
  <si>
    <t>X8 Eighth</t>
  </si>
  <si>
    <t>X8M Eighth</t>
  </si>
  <si>
    <t>https://esource.oraclecorp.com/sites/eSource/ContentAsset_1530207473194</t>
  </si>
  <si>
    <t>Licenses Valued</t>
  </si>
  <si>
    <t>US Unit
Price</t>
  </si>
  <si>
    <t>Disc Price</t>
  </si>
  <si>
    <t>Total for included software</t>
  </si>
  <si>
    <t>Annual Support</t>
  </si>
  <si>
    <t>Parameters</t>
  </si>
  <si>
    <t>Average Annual Loaded Salary</t>
  </si>
  <si>
    <t>Required Labor</t>
  </si>
  <si>
    <t>Functional Area</t>
  </si>
  <si>
    <t>FTE's</t>
  </si>
  <si>
    <t>Cloud</t>
  </si>
  <si>
    <t>Reduction</t>
  </si>
  <si>
    <t>Developer</t>
  </si>
  <si>
    <t>YR1</t>
  </si>
  <si>
    <t>YR2</t>
  </si>
  <si>
    <t>YR3</t>
  </si>
  <si>
    <t>YR4</t>
  </si>
  <si>
    <t>YR5</t>
  </si>
  <si>
    <t>Ramp</t>
  </si>
  <si>
    <t>Workload 
Reduction</t>
  </si>
  <si>
    <t>Oracle Cloud Priority Support for PaaS: Base Fee</t>
  </si>
  <si>
    <t>Oracle Cloud Priority Support for PaaS</t>
  </si>
  <si>
    <t>Oracle Cloud Priority Support for IaaS: Base Fee</t>
  </si>
  <si>
    <t>Oracle Cloud Priority Support for IaaS</t>
  </si>
  <si>
    <t xml:space="preserve">Oracle Supplemental Resource for Oracle Cloud - Technical Account Manager I - IaaS </t>
  </si>
  <si>
    <t>Day</t>
  </si>
  <si>
    <t xml:space="preserve">Oracle Supplemental Resource for Oracle Cloud - Technical Account Manager II - IaaS
</t>
  </si>
  <si>
    <t xml:space="preserve">Oracle  Supplemental Resource  for Oracle Cloud - Advanced Support Engineer - IaaS
</t>
  </si>
  <si>
    <t>Oracle Supplemental Resource for Oracle Cloud - Senior Advanced Support Engineer - IaaS</t>
  </si>
  <si>
    <t xml:space="preserve">Oracle Supplemental Resource for Oracle Cloud - Technical Account Manager I - PaaS
</t>
  </si>
  <si>
    <t xml:space="preserve">Oracle Supplemental Resource for Oracle Cloud - Technical Account Manager II - PaaS
</t>
  </si>
  <si>
    <t xml:space="preserve">Oracle Supplemental Resource for Oracle Cloud - Advanced Support Engineer - PaaS
</t>
  </si>
  <si>
    <t>Oracle Supplemental Resource for Oracle Cloud - Senior Advanced Support Engineer - PaaS</t>
  </si>
  <si>
    <t>B90169</t>
  </si>
  <si>
    <t>Oracle Standard Software Installation &amp; Configuration for Oracle Management Cloud: Small</t>
  </si>
  <si>
    <t>B90170</t>
  </si>
  <si>
    <t>Oracle Standard Software Installation &amp; Configuration for Oracle Management Cloud: Small - Agent Installation</t>
  </si>
  <si>
    <t>B90171</t>
  </si>
  <si>
    <t>Oracle Standard Software Installation &amp; Configuration for Oracle Management Cloud: Medium</t>
  </si>
  <si>
    <t>B90172</t>
  </si>
  <si>
    <t>Oracle Standard Software Installation &amp; Configuration for Oracle Management Cloud: Medium - Agent Installation</t>
  </si>
  <si>
    <t>B90173</t>
  </si>
  <si>
    <t>Oracle Standard Software Installation &amp; Configuration for Oracle Management Cloud: Large</t>
  </si>
  <si>
    <t>B90174</t>
  </si>
  <si>
    <t>Oracle Standard Software Installation &amp; Configuration for Oracle Management Cloud: Large - Agent Installation</t>
  </si>
  <si>
    <t>B90254</t>
  </si>
  <si>
    <t>Oracle Standard Software Installation &amp; Configuration for Oracle Management Cloud: Base Fee</t>
  </si>
  <si>
    <t>B92236</t>
  </si>
  <si>
    <t>B92237</t>
  </si>
  <si>
    <t>B92238</t>
  </si>
  <si>
    <t>10,96</t>
  </si>
  <si>
    <t>Analytics Server / Business Intelligence Technology Products</t>
  </si>
  <si>
    <t>Analytics Server Standard Edition One</t>
  </si>
  <si>
    <t xml:space="preserve">Analytics Server </t>
  </si>
  <si>
    <t>Business Intelligence Suite Foundation Edition</t>
  </si>
  <si>
    <t>10, 81</t>
  </si>
  <si>
    <t>Analytics Server Administrator</t>
  </si>
  <si>
    <t>Analytics Publisher</t>
  </si>
  <si>
    <t>Analytics Server Option:</t>
  </si>
  <si>
    <t>Analytics Publisher for Oracle Applications</t>
  </si>
  <si>
    <t>10, 26, 55, 56, 57</t>
  </si>
  <si>
    <t>Analytics Server for Oracle Applications</t>
  </si>
  <si>
    <t>https://esource.oraclecorp.com/sites/eSource/ContentAsset_1530207389761</t>
  </si>
  <si>
    <t>Consulting</t>
  </si>
  <si>
    <t>Exadata Database Server plus InfiniBand Infrastructure</t>
  </si>
  <si>
    <t>Exadata Database Server plus Network Fabric</t>
  </si>
  <si>
    <t>Exadata Storage Expansion Racks</t>
  </si>
  <si>
    <t>Exadata Storage Server Software</t>
  </si>
  <si>
    <t>Exadata System Installation and Software Configuration Services</t>
  </si>
  <si>
    <t>Memory Expansion Kit - Eight 32 GB DDR4 DIMMS (X5-2 only)</t>
  </si>
  <si>
    <t>Memory Expansion Kit - Eight 32 GB DDR4 DIMMS (X6-2 only)</t>
  </si>
  <si>
    <t>Memory Expansion Kit - Eight 64 GB DDR4 DIMMS (X6-2 only)</t>
  </si>
  <si>
    <t>Private Cloud Appliance Storage Expansion</t>
  </si>
  <si>
    <t>Private Cloud Appliance Upgrades</t>
  </si>
  <si>
    <t>https://docs.cloud.oracle.com/en-us/iaas/Content/Compute/References/computeshapes.htm</t>
  </si>
  <si>
    <t>B92212</t>
  </si>
  <si>
    <t>Oracle Autonomous JSON Database</t>
  </si>
  <si>
    <t>Gen 2 Exadata Cloud at Customer Base System Storage Server - XM - Non-metered</t>
  </si>
  <si>
    <t>B87744</t>
  </si>
  <si>
    <t>DAY</t>
  </si>
  <si>
    <t>Management</t>
  </si>
  <si>
    <t>Enterprise High Performance extends the Enterprise Edition with the following options: Multitenant, Partitioning, Advanced Compression, Advanced Security, Label Security, Database Vault, OLAP, Advanced Analytics, Spatial and Graph, Database Lifecycle Management Pack and Cloud Management Pack for Oracle Database.</t>
  </si>
  <si>
    <t>Enterprise Extreme Performance extends the High Performance package with the following options: In-Memory Database, Oracle Active Data Guard, and Oracle RAC (requires two VMs of at least two OCPUs each).</t>
  </si>
  <si>
    <t>Standard Edition includes Oracle Database Standard Edition 2.</t>
  </si>
  <si>
    <t>All Editions include Oracle Database Transparent Data Encryption.  Enterprise Edition includes Oracle Database Enterprise Edition, Data Masking and Subsetting Pack, Diagnostics and Tuning Packs, and Real Application Testing.</t>
  </si>
  <si>
    <t>Included with BYOL</t>
  </si>
  <si>
    <t>Included with Exadata Cloud Service</t>
  </si>
  <si>
    <t>Included with DBCS EE - 
High Performance</t>
  </si>
  <si>
    <t>Included with DBCS Enterprise Edition</t>
  </si>
  <si>
    <t>Included with DBCS EE - 
Extreme Performance</t>
  </si>
  <si>
    <t>Advanced Security Option</t>
  </si>
  <si>
    <t>TDE + Redaction</t>
  </si>
  <si>
    <t>Transparent Data Encryption (included in ASO)</t>
  </si>
  <si>
    <t>Advanced Analytics</t>
  </si>
  <si>
    <t>Spatial and Graph</t>
  </si>
  <si>
    <t>Spatial &amp; Graph</t>
  </si>
  <si>
    <t>Included in all DB versions</t>
  </si>
  <si>
    <t>https://www.oracle.com/database/technologies/oaa-osg-licensing-change-faq.html</t>
  </si>
  <si>
    <t>valued TDE @ 50% of ASO</t>
  </si>
  <si>
    <t>TDE</t>
  </si>
  <si>
    <t>Oracle Database Options</t>
  </si>
  <si>
    <t>Included  OCPUs</t>
  </si>
  <si>
    <t>Licenses Owned</t>
  </si>
  <si>
    <t>Exadata Storage Software</t>
  </si>
  <si>
    <t>Included in ULA</t>
  </si>
  <si>
    <t>License</t>
  </si>
  <si>
    <t>Software Benefit</t>
  </si>
  <si>
    <t>B92185</t>
  </si>
  <si>
    <t>Oracle Autonomous Transaction Processing - Dedicated - Government</t>
  </si>
  <si>
    <t>B92186</t>
  </si>
  <si>
    <t>Oracle Autonomous Data Warehouse - Dedicated - Government</t>
  </si>
  <si>
    <t>B92187</t>
  </si>
  <si>
    <t xml:space="preserve">Oracle Autonomous Transaction Processing – Dedicated - BYOL  - Government </t>
  </si>
  <si>
    <t>B92188</t>
  </si>
  <si>
    <t xml:space="preserve">Oracle Autonomous Data Warehouse – Dedicated - BYOL  - Government </t>
  </si>
  <si>
    <t>B92208</t>
  </si>
  <si>
    <t>Oracle Autonomous JSON Database - Government</t>
  </si>
  <si>
    <t>B92332</t>
  </si>
  <si>
    <t>Oracle Blockchain Platform Cloud - Standard - Government</t>
  </si>
  <si>
    <t>B92333</t>
  </si>
  <si>
    <t>Oracle Blockchain Platform Cloud - Enterprise - Government</t>
  </si>
  <si>
    <t>B92334</t>
  </si>
  <si>
    <t>Oracle Blockchain Platform Cloud - Storage - Government</t>
  </si>
  <si>
    <t>Standard - Current</t>
  </si>
  <si>
    <t>X7</t>
  </si>
  <si>
    <t>BM.Standard.E3.128</t>
  </si>
  <si>
    <t>X5</t>
  </si>
  <si>
    <t>X6</t>
  </si>
  <si>
    <t>B92381</t>
  </si>
  <si>
    <t>B92382</t>
  </si>
  <si>
    <t>B92380</t>
  </si>
  <si>
    <t>Exadata Cloud Service Specs:</t>
  </si>
  <si>
    <t>https://docs.oracle.com/en/engineered-systems/exadata-cloud-at-customer/index.html</t>
  </si>
  <si>
    <t>Qtr expansion to Half Rack</t>
  </si>
  <si>
    <t>Qtr expansion to Full Rack</t>
  </si>
  <si>
    <t>Exadata Cloud @ Customer Service Specs:</t>
  </si>
  <si>
    <t>Mbps Per Hour</t>
  </si>
  <si>
    <t>Oracle Cloud Infrastructure - Load Balancer Base - Government</t>
  </si>
  <si>
    <t>Oracle Cloud Infrastructure - Load Balancer Bandwidth - Government</t>
  </si>
  <si>
    <t>B92637</t>
  </si>
  <si>
    <t>B92682</t>
  </si>
  <si>
    <t>Oracle Analytics - Professional</t>
  </si>
  <si>
    <t>B92683</t>
  </si>
  <si>
    <t>Oracle Analytics - Enterprise</t>
  </si>
  <si>
    <t>B92686</t>
  </si>
  <si>
    <t>Oracle Analytics for Fusion Applications</t>
  </si>
  <si>
    <t>Hosted Named User</t>
  </si>
  <si>
    <t>B92689</t>
  </si>
  <si>
    <t>Oracle Consulting Move and Improve Cloud Service</t>
  </si>
  <si>
    <t>B92695</t>
  </si>
  <si>
    <t>Oracle Stream Analytics for Oracle Cloud Infrastructure*
(*Available on the Oracle Cloud Marketplace:  See Note 15)</t>
  </si>
  <si>
    <t>B92699</t>
  </si>
  <si>
    <t xml:space="preserve">Oracle Consulting Enterprise Solution Architecture and Roadmapping Service
</t>
  </si>
  <si>
    <t>B92733</t>
  </si>
  <si>
    <t>Target Database Per Month</t>
  </si>
  <si>
    <t>B92740</t>
  </si>
  <si>
    <t>Oracle Cloud Infrastructure - Compute - GPU - E3</t>
  </si>
  <si>
    <t>SOFTWARE</t>
  </si>
  <si>
    <t>Cumulative</t>
  </si>
  <si>
    <t>Assumptions</t>
  </si>
  <si>
    <t>B92939</t>
  </si>
  <si>
    <t>Oracle Cloud Infrastructure Logging Analytics - Active Storage</t>
  </si>
  <si>
    <t>Logging Analytics Storage Unit Per Hour</t>
  </si>
  <si>
    <t>Gen 2 Exadata Cloud at Customer Database OCPU - Government</t>
  </si>
  <si>
    <t>Gen 2 Exadata Cloud at Customer Database OCPU - Government - BYOL</t>
  </si>
  <si>
    <t>Gen 2 Exadata Cloud at Customer - Database OCPU</t>
  </si>
  <si>
    <t>Gen 2 Exadata Cloud at Customer - Database OCPU - BYOL</t>
  </si>
  <si>
    <t xml:space="preserve">Oracle Cloud Infrastructure - Database Exadata Infrastructure - Quarter Rack - X8M
</t>
  </si>
  <si>
    <t xml:space="preserve">Oracle Cloud Infrastructure - Database Exadata Infrastructure - Database Server - X8M
</t>
  </si>
  <si>
    <t>Oracle Cloud Infrastructure - Database Exadata Infrastructure - Storage Server - X8M</t>
  </si>
  <si>
    <t>B92383</t>
  </si>
  <si>
    <t>B92384</t>
  </si>
  <si>
    <t xml:space="preserve">Oracle Cloud Infrastructure - Database Exadata Infrastructure - Database Server - X8M - Government
</t>
  </si>
  <si>
    <t>B92385</t>
  </si>
  <si>
    <t>Oracle Cloud Infrastructure - Database Exadata Infrastructure - Storage Server - X8M - Government</t>
  </si>
  <si>
    <t>B92741</t>
  </si>
  <si>
    <t>Oracle Cloud Infrastructure - Compute - GPU - E3 - Government</t>
  </si>
  <si>
    <t>B92759</t>
  </si>
  <si>
    <t>MySQL Analytics - Bare Metal Standard - E2</t>
  </si>
  <si>
    <t>Node Per Hour</t>
  </si>
  <si>
    <t>B92807</t>
  </si>
  <si>
    <t>MySQL Database - Bare Metal Standard - E2</t>
  </si>
  <si>
    <t>B92813</t>
  </si>
  <si>
    <t>Oracle Customer Data and Device Retention for Oracle Cloud at Customer: Storage Server Initialization - PaaS</t>
  </si>
  <si>
    <t>B92814</t>
  </si>
  <si>
    <t>Oracle Customer Data and Device Retention for Oracle Cloud at Customer: Storage Server - PaaS</t>
  </si>
  <si>
    <t>B92885</t>
  </si>
  <si>
    <t>Oracle Cloud Infrastructure Operations Insights for Oracle Autonomous Databases - Government</t>
  </si>
  <si>
    <t>B92888</t>
  </si>
  <si>
    <t>Oracle Cloud Infrastructure Operations Insights for Oracle Autonomous Databases</t>
  </si>
  <si>
    <t>B92913</t>
  </si>
  <si>
    <t>Oracle WebLogic Server Enterprise Edition for Oracle Cloud Infrastructure Container Engine for Kubernetes*
(*Available on the Oracle Cloud Marketplace:  See Note 15)</t>
  </si>
  <si>
    <t>B92914</t>
  </si>
  <si>
    <t>Oracle WebLogic Server Suite for Oracle Cloud Infrastructure Container Engine for Kubernetes*
(*Available on the Oracle Cloud Marketplace:  See Note 15)</t>
  </si>
  <si>
    <t>B92627</t>
  </si>
  <si>
    <t>Oracle NoSQL Database Cloud - Write - Free</t>
  </si>
  <si>
    <t>B92628</t>
  </si>
  <si>
    <t>Oracle NoSQL Database Cloud - Read - Free</t>
  </si>
  <si>
    <t>B92629</t>
  </si>
  <si>
    <t>Oracle NoSQL Database Cloud - Storage - Free</t>
  </si>
  <si>
    <t>B92962</t>
  </si>
  <si>
    <t>MySQL Database - Standard - E3</t>
  </si>
  <si>
    <t>B92963</t>
  </si>
  <si>
    <t>MySQL Database - Standard - E3 - Memory</t>
  </si>
  <si>
    <t xml:space="preserve">Hardware annual support rate: </t>
  </si>
  <si>
    <t>Annual cost per data center rack:</t>
  </si>
  <si>
    <t>Cores per server</t>
  </si>
  <si>
    <t>https://blog.heroix.com/blog/linux-vs-windows-a-cost-comparison</t>
  </si>
  <si>
    <t>https://www.servermania.com/kb/articles/how-much-does-a-windows-server-cost/</t>
  </si>
  <si>
    <t>https://blog.heroix.com/blog/virtualization-licensing</t>
  </si>
  <si>
    <t>VMWare</t>
  </si>
  <si>
    <t>Hyper-V</t>
  </si>
  <si>
    <t>Annual cost per network switch:</t>
  </si>
  <si>
    <t>Annual cost per SAN switch:</t>
  </si>
  <si>
    <t>Current State</t>
  </si>
  <si>
    <t>Option 1 - Oracle Cloud</t>
  </si>
  <si>
    <t>B92992</t>
  </si>
  <si>
    <t>B92993</t>
  </si>
  <si>
    <t>B93019</t>
  </si>
  <si>
    <t>B93020</t>
  </si>
  <si>
    <t>B92911</t>
  </si>
  <si>
    <t>Oracle APEX Application Development</t>
  </si>
  <si>
    <t>B93000</t>
  </si>
  <si>
    <t>B93001</t>
  </si>
  <si>
    <t>B93030</t>
  </si>
  <si>
    <t>Oracle Cloud Infrastructure - Load Balancer Base - greater than 1 Load Balancer instance per hour</t>
  </si>
  <si>
    <t>B93031</t>
  </si>
  <si>
    <t>Oracle Cloud Infrastructure - Load Balancer Bandwidth - greater than 10 Mbps Per Hour</t>
  </si>
  <si>
    <t>B93032</t>
  </si>
  <si>
    <t>B93033</t>
  </si>
  <si>
    <t>https://docs.oracle.com/en-us/iaas/Content/Database/References/exahardwareshapeconfig.htm</t>
  </si>
  <si>
    <t>Base</t>
  </si>
  <si>
    <t>X7 Eighth</t>
  </si>
  <si>
    <t>Security</t>
  </si>
  <si>
    <t>TCO</t>
  </si>
  <si>
    <t>Network/Storage Admin</t>
  </si>
  <si>
    <t>Server Admin</t>
  </si>
  <si>
    <t>Database Admin</t>
  </si>
  <si>
    <t>Application Admin</t>
  </si>
  <si>
    <t>Labor Efficiency</t>
  </si>
  <si>
    <t>Benefits:  Labor Efficiency</t>
  </si>
  <si>
    <t>5 -Year Difference - TCO</t>
  </si>
  <si>
    <t>5 -Year Difference - TCO + Business Benefits</t>
  </si>
  <si>
    <t>B92023</t>
  </si>
  <si>
    <t>MySQL HeatWave - Standard - E3</t>
  </si>
  <si>
    <t>B92024</t>
  </si>
  <si>
    <t>MySQL Database for HeatWave - Standard - E3</t>
  </si>
  <si>
    <t>Oracle Content and Experience Cloud Service - BYOL - First 50,000 Assets Per Month</t>
  </si>
  <si>
    <t>B92809</t>
  </si>
  <si>
    <t>Oracle Cloud Infrastructure Logging Analytics - Archival Storage</t>
  </si>
  <si>
    <t>Oracle Cloud Infrastructure - Infrequent Access - Storage - Over 10 Gigabytes Storage Capacity Per Month</t>
  </si>
  <si>
    <t>Oracle Cloud Infrastructure - Data Retrieval - Storage - Over 10 Gigabytes Storage Capacity Per Month</t>
  </si>
  <si>
    <t>B93002</t>
  </si>
  <si>
    <t>Oracle Cloud Infrastructure - Infrequent Access Storage - Storage - Government</t>
  </si>
  <si>
    <t>B93003</t>
  </si>
  <si>
    <t>Oracle Cloud Infrastructure - Data Retrieval - Storage - Government</t>
  </si>
  <si>
    <t>B93035</t>
  </si>
  <si>
    <t>Oracle Private Cloud at Customer - X8-2 Base Rack Subscription - Partner Hardware</t>
  </si>
  <si>
    <t>B93036</t>
  </si>
  <si>
    <t>Oracle Private Cloud at Customer - X8-2 Server Subscription - Partner Hardware</t>
  </si>
  <si>
    <t>B93037</t>
  </si>
  <si>
    <t>Oracle Private Cloud at Customer - High Capacity Storage Subscription - Partner Hardware</t>
  </si>
  <si>
    <t>B93038</t>
  </si>
  <si>
    <t>Oracle Private Cloud at Customer - High Performance Storage Subscription - Partner Hardware</t>
  </si>
  <si>
    <t>B93082</t>
  </si>
  <si>
    <t>Oracle Cloud Infrastructure - Database Management - External DB - BYOL</t>
  </si>
  <si>
    <t>Host CPU Core Per Hour</t>
  </si>
  <si>
    <t>B93083</t>
  </si>
  <si>
    <t>Oracle Cloud Infrastructure - Database Management - External DB</t>
  </si>
  <si>
    <t>B93126</t>
  </si>
  <si>
    <t>Oracle Cloud Infrastructure - FastConnect 100 Gbps</t>
  </si>
  <si>
    <t>B93004</t>
  </si>
  <si>
    <t>Oracle Cloud Infrastructure - Notifications - SMS Outbound to Country Zone 1</t>
  </si>
  <si>
    <t>B93005</t>
  </si>
  <si>
    <t>Oracle Cloud Infrastructure - Notifications - SMS Outbound to Country Zone 2</t>
  </si>
  <si>
    <t>B93006</t>
  </si>
  <si>
    <t>Oracle Cloud Infrastructure - Notifications - SMS Outbound to Country Zone 3</t>
  </si>
  <si>
    <t>B93007</t>
  </si>
  <si>
    <t>Oracle Cloud Infrastructure - Notifications - SMS Outbound to Country Zone 4</t>
  </si>
  <si>
    <t>B93008</t>
  </si>
  <si>
    <t>Oracle Cloud Infrastructure - Notifications - SMS Outbound to Country Zone 5</t>
  </si>
  <si>
    <t>B93113</t>
  </si>
  <si>
    <t>Oracle Cloud Infrastructure - Compute - Standard - E4</t>
  </si>
  <si>
    <t>Oracle Cloud Infrastructure - Compute - Standard - E4  - Memory</t>
  </si>
  <si>
    <t>B93117</t>
  </si>
  <si>
    <t>Oracle Cloud Infrastructure - Compute - Standard - E4 - Government</t>
  </si>
  <si>
    <t>B93118</t>
  </si>
  <si>
    <t>Oracle Cloud Infrastructure - Compute - Standard - E4 - Memory - Government</t>
  </si>
  <si>
    <t>Removed</t>
  </si>
  <si>
    <t>B93114</t>
  </si>
  <si>
    <t>B92734</t>
  </si>
  <si>
    <t>On-Premises Values</t>
  </si>
  <si>
    <t>Capex/Opex</t>
  </si>
  <si>
    <t>Estimate</t>
  </si>
  <si>
    <t>Average server utilization</t>
  </si>
  <si>
    <t>Capex</t>
  </si>
  <si>
    <t>Opex</t>
  </si>
  <si>
    <t>Amortization term (years)</t>
  </si>
  <si>
    <t>Annual server OS costs - Windows</t>
  </si>
  <si>
    <t>Capex+Opex</t>
  </si>
  <si>
    <t>Annual server OS costs - Linux</t>
  </si>
  <si>
    <t>Annual server virtualization costs - VMWare</t>
  </si>
  <si>
    <t>Storage cost per GB – Tier I:</t>
  </si>
  <si>
    <t>Storage cost per GB – Tier II:</t>
  </si>
  <si>
    <t>includes data center floor space, power, cooling, racks, cabling, etc.</t>
  </si>
  <si>
    <t>Recovery Time Objective (RTO)</t>
  </si>
  <si>
    <t>amount of time before an outage begins to unacceptably impact business operations (DR strategy)</t>
  </si>
  <si>
    <t>Recovery Point Objective (RPO)</t>
  </si>
  <si>
    <t>amount of data that will be lost or will have to be re-entered during downtime (backup strategy)</t>
  </si>
  <si>
    <t>Cost of 1 hour of down time</t>
  </si>
  <si>
    <t>Fully loaded annual FTE cost</t>
  </si>
  <si>
    <t>includes salary, benefits, employer taxes, etc. - usually FTE salary + 30%</t>
  </si>
  <si>
    <t>Managed services</t>
  </si>
  <si>
    <t>cost for any existing third-party managed services for in-scope systems</t>
  </si>
  <si>
    <t>In-scope Quantities</t>
  </si>
  <si>
    <t>Physical servers</t>
  </si>
  <si>
    <t>Tier I storage (GB)</t>
  </si>
  <si>
    <t>Tier II storage (GB)</t>
  </si>
  <si>
    <t>SAN switches</t>
  </si>
  <si>
    <t>Network switches</t>
  </si>
  <si>
    <t>Data center racks</t>
  </si>
  <si>
    <t>FTE's (can be fractional)</t>
  </si>
  <si>
    <t>Server admin</t>
  </si>
  <si>
    <t>Storage admin</t>
  </si>
  <si>
    <t>Database admin</t>
  </si>
  <si>
    <t>App admin</t>
  </si>
  <si>
    <t>Testing/QA</t>
  </si>
  <si>
    <t>Customer
Actual</t>
  </si>
  <si>
    <t>Server acquisition cost</t>
  </si>
  <si>
    <t>If using Linux other than RHEL, please change description</t>
  </si>
  <si>
    <t>If using hypervisor other than VMWare, please change description</t>
  </si>
  <si>
    <t>Annual server cost per core</t>
  </si>
  <si>
    <t>Labor</t>
  </si>
  <si>
    <t>Pricing term (mo)</t>
  </si>
  <si>
    <t>Commit term (yr)</t>
  </si>
  <si>
    <t>Hours  per month</t>
  </si>
  <si>
    <t>ACR</t>
  </si>
  <si>
    <t>Disc Overide</t>
  </si>
  <si>
    <t>No disc</t>
  </si>
  <si>
    <t>Cat</t>
  </si>
  <si>
    <t>Rate Card</t>
  </si>
  <si>
    <t>Calculated 
discount</t>
  </si>
  <si>
    <t>Rounded 1</t>
  </si>
  <si>
    <t>Rounded 2</t>
  </si>
  <si>
    <t>include</t>
  </si>
  <si>
    <t>B87510</t>
  </si>
  <si>
    <t>B87513</t>
  </si>
  <si>
    <t>B87866</t>
  </si>
  <si>
    <t>B91376</t>
  </si>
  <si>
    <t>B91539</t>
  </si>
  <si>
    <t>B91632</t>
  </si>
  <si>
    <t>1 SMS Message Sent</t>
  </si>
  <si>
    <t>Albania</t>
  </si>
  <si>
    <t>Argentina</t>
  </si>
  <si>
    <t>Australia</t>
  </si>
  <si>
    <t>Austria</t>
  </si>
  <si>
    <t>Bangladesh</t>
  </si>
  <si>
    <t>Belgium</t>
  </si>
  <si>
    <t>Bosnia</t>
  </si>
  <si>
    <t>Brazil</t>
  </si>
  <si>
    <t>Bulgaria</t>
  </si>
  <si>
    <t>Canada</t>
  </si>
  <si>
    <t>Chile</t>
  </si>
  <si>
    <t>China</t>
  </si>
  <si>
    <t>Colombia</t>
  </si>
  <si>
    <t>Costa Rica</t>
  </si>
  <si>
    <t>Croatia</t>
  </si>
  <si>
    <t>Cyprus</t>
  </si>
  <si>
    <t>Czech Republic</t>
  </si>
  <si>
    <t>Denmark</t>
  </si>
  <si>
    <t>Egypt</t>
  </si>
  <si>
    <t>Estonia</t>
  </si>
  <si>
    <t>Finland</t>
  </si>
  <si>
    <t>France</t>
  </si>
  <si>
    <t>Germany</t>
  </si>
  <si>
    <t>Greece</t>
  </si>
  <si>
    <t>Hong Kong</t>
  </si>
  <si>
    <t>Hungary</t>
  </si>
  <si>
    <t>Iceland</t>
  </si>
  <si>
    <t>India</t>
  </si>
  <si>
    <t>Indonesia</t>
  </si>
  <si>
    <t>Ireland</t>
  </si>
  <si>
    <t>Israel</t>
  </si>
  <si>
    <t>Italy</t>
  </si>
  <si>
    <t>Jamaica</t>
  </si>
  <si>
    <t>Japan</t>
  </si>
  <si>
    <t>Kazakhstan</t>
  </si>
  <si>
    <t>Kenya</t>
  </si>
  <si>
    <t>Korea</t>
  </si>
  <si>
    <t>Kuwait</t>
  </si>
  <si>
    <t>Latvia</t>
  </si>
  <si>
    <t>Lebanon</t>
  </si>
  <si>
    <t>Lithuania</t>
  </si>
  <si>
    <t>Macau</t>
  </si>
  <si>
    <t>Malaysia</t>
  </si>
  <si>
    <t>Maldives</t>
  </si>
  <si>
    <t>Malta</t>
  </si>
  <si>
    <t>Mexico</t>
  </si>
  <si>
    <t>United Arab Emirates</t>
  </si>
  <si>
    <t>Netherlands</t>
  </si>
  <si>
    <t>New Zealand</t>
  </si>
  <si>
    <t>Norway</t>
  </si>
  <si>
    <t>Pakistan</t>
  </si>
  <si>
    <t>Peru</t>
  </si>
  <si>
    <t>Philippines</t>
  </si>
  <si>
    <t>Poland</t>
  </si>
  <si>
    <t>Portugal</t>
  </si>
  <si>
    <t>Qatar</t>
  </si>
  <si>
    <t>Romania</t>
  </si>
  <si>
    <t>Russia</t>
  </si>
  <si>
    <t>Saudi Arabia</t>
  </si>
  <si>
    <t>Serbia</t>
  </si>
  <si>
    <t>Singapore</t>
  </si>
  <si>
    <t>Slovak Rep</t>
  </si>
  <si>
    <t>Slovenia</t>
  </si>
  <si>
    <t>South Africa</t>
  </si>
  <si>
    <t>Spain</t>
  </si>
  <si>
    <t>Sweden</t>
  </si>
  <si>
    <t>Switzerland</t>
  </si>
  <si>
    <t>Taiwan</t>
  </si>
  <si>
    <t>Thailand</t>
  </si>
  <si>
    <t>Turkey</t>
  </si>
  <si>
    <t>UK</t>
  </si>
  <si>
    <t>USA</t>
  </si>
  <si>
    <t>Vietnam</t>
  </si>
  <si>
    <t>Country</t>
  </si>
  <si>
    <t>Rate</t>
  </si>
  <si>
    <t>B92932</t>
  </si>
  <si>
    <t>Oracle Cloud Infrastructure Logging Analytics - Active Storage - Government</t>
  </si>
  <si>
    <t>B92933</t>
  </si>
  <si>
    <t>Oracle Cloud Infrastructure Logging Analytics - Archival Storage - Government</t>
  </si>
  <si>
    <t>B92940</t>
  </si>
  <si>
    <t>Oracle Cloud Infrastructure Application Performance Monitoring Service - Tracing Data - Free</t>
  </si>
  <si>
    <t>B92941</t>
  </si>
  <si>
    <t>Oracle Cloud Infrastructure Application Performance Monitoring Service - Tracing Data</t>
  </si>
  <si>
    <t>100,000 Events Per Hour</t>
  </si>
  <si>
    <t>B92942</t>
  </si>
  <si>
    <t>Oracle Cloud Infrastructure Application Performance Monitoring Service -  Synthetic Usage</t>
  </si>
  <si>
    <t>10 Monitor Runs Per Hour</t>
  </si>
  <si>
    <t>B92943</t>
  </si>
  <si>
    <t>Oracle Cloud Infrastructure Application Performance Monitoring Service - Tracing Data - Free - Government</t>
  </si>
  <si>
    <t>B92944</t>
  </si>
  <si>
    <t>Oracle Cloud Infrastructure Application Performance Monitoring Service - Tracing Data - Government</t>
  </si>
  <si>
    <t>B92945</t>
  </si>
  <si>
    <t>Oracle Cloud Infrastructure Application Performance Monitoring Service - Synthetic Usage - Government</t>
  </si>
  <si>
    <t>B92987</t>
  </si>
  <si>
    <t>Oracle WebLogic Server Enterprise Edition for Oracle Cloud Infrastructure - Government*
(*Available on the Oracle Cloud Marketplace: See Note 15)</t>
  </si>
  <si>
    <t>B92988</t>
  </si>
  <si>
    <t>Oracle WebLogic Suite for Oracle Cloud Infrastructure - Government*
(*Available on the Oracle Cloud Marketplace: See Note 15)</t>
  </si>
  <si>
    <t xml:space="preserve">Oracle Cloud Infrastructure - GoldenGate
</t>
  </si>
  <si>
    <t xml:space="preserve">Oracle Cloud Infrastructure - GoldenGate - BYOL
</t>
  </si>
  <si>
    <t>Oracle Cloud Infrastructure - GoldenGate - Government</t>
  </si>
  <si>
    <t>Oracle Cloud Infrastructure - GoldenGate - Government - BYOL</t>
  </si>
  <si>
    <t>B93288</t>
  </si>
  <si>
    <t>Oracle Cloud VMware Solution - BM.DenseIO2.52 - Hourly Commit</t>
  </si>
  <si>
    <t>B93289</t>
  </si>
  <si>
    <t>Oracle Cloud VMware Solution - BM.DenseIO2.52 - 1 Year Commit</t>
  </si>
  <si>
    <t>B93290</t>
  </si>
  <si>
    <t>Oracle Cloud VMware Solution - BM.DenseIO2.52 - 3 Year Commit</t>
  </si>
  <si>
    <t>B93297</t>
  </si>
  <si>
    <t>Oracle Cloud Infrastructure - Compute - Standard - A1 - Over 3,000 OCPU hours</t>
  </si>
  <si>
    <t>B93298</t>
  </si>
  <si>
    <t>Oracle Cloud Infrastructure - Compute - Standard - A1 - Memory - Over 18,000 Gigabyte hours</t>
  </si>
  <si>
    <t>Lek</t>
  </si>
  <si>
    <t>Peso</t>
  </si>
  <si>
    <t>Dollar</t>
  </si>
  <si>
    <t>Euro</t>
  </si>
  <si>
    <t>Taka</t>
  </si>
  <si>
    <t>Mark</t>
  </si>
  <si>
    <t>Real</t>
  </si>
  <si>
    <t>Lev</t>
  </si>
  <si>
    <t>Yuan</t>
  </si>
  <si>
    <t>Colon</t>
  </si>
  <si>
    <t>Kuna</t>
  </si>
  <si>
    <t>Koruna</t>
  </si>
  <si>
    <t>Krone</t>
  </si>
  <si>
    <t>Pound</t>
  </si>
  <si>
    <t>Forint</t>
  </si>
  <si>
    <t>Rupee</t>
  </si>
  <si>
    <t>Rupiah</t>
  </si>
  <si>
    <t>Shekel</t>
  </si>
  <si>
    <t>Yen</t>
  </si>
  <si>
    <t>Tenge</t>
  </si>
  <si>
    <t>Shilling</t>
  </si>
  <si>
    <t>Won</t>
  </si>
  <si>
    <t>Dinar</t>
  </si>
  <si>
    <t>Pataca</t>
  </si>
  <si>
    <t>Ringgit</t>
  </si>
  <si>
    <t>Rufiyaa</t>
  </si>
  <si>
    <t>Dirham</t>
  </si>
  <si>
    <t>New Sol</t>
  </si>
  <si>
    <t>Zloty</t>
  </si>
  <si>
    <t>QAR</t>
  </si>
  <si>
    <t>Leu</t>
  </si>
  <si>
    <t>Rouble</t>
  </si>
  <si>
    <t>Riyal</t>
  </si>
  <si>
    <t>Rand</t>
  </si>
  <si>
    <t>Krona</t>
  </si>
  <si>
    <t>Franc</t>
  </si>
  <si>
    <t>Baht</t>
  </si>
  <si>
    <t>Lira</t>
  </si>
  <si>
    <t>US Dollar</t>
  </si>
  <si>
    <t>Dong</t>
  </si>
  <si>
    <t>Currency</t>
  </si>
  <si>
    <t>%</t>
  </si>
  <si>
    <t>Everything else</t>
  </si>
  <si>
    <t>X9M Eighth</t>
  </si>
  <si>
    <t>X9M Quarter</t>
  </si>
  <si>
    <t>X9M Half</t>
  </si>
  <si>
    <t>X9M Full</t>
  </si>
  <si>
    <t>Disc Rate</t>
  </si>
  <si>
    <t>Start Qty</t>
  </si>
  <si>
    <t>Variable Cost</t>
  </si>
  <si>
    <t>Fixed Cost</t>
  </si>
  <si>
    <t>Quantity</t>
  </si>
  <si>
    <t>OCPU
Prod</t>
  </si>
  <si>
    <t>QA</t>
  </si>
  <si>
    <t>Total 
OCPUs</t>
  </si>
  <si>
    <t>16 Core Servers</t>
  </si>
  <si>
    <t>Cost per Server</t>
  </si>
  <si>
    <t>Total CapEx</t>
  </si>
  <si>
    <t>5 Year Amortization</t>
  </si>
  <si>
    <t>Annual Cost</t>
  </si>
  <si>
    <t>App Tier</t>
  </si>
  <si>
    <t>DB Tier</t>
  </si>
  <si>
    <t>Operating System</t>
  </si>
  <si>
    <t>% 
Virtualized</t>
  </si>
  <si>
    <t>Hypervisor</t>
  </si>
  <si>
    <t>GB
Prod</t>
  </si>
  <si>
    <t>Total GB</t>
  </si>
  <si>
    <t>$/GB</t>
  </si>
  <si>
    <t>Storage Tier 1</t>
  </si>
  <si>
    <t>Storage Tier 2</t>
  </si>
  <si>
    <t>Network switch</t>
  </si>
  <si>
    <t>SAN switch</t>
  </si>
  <si>
    <t>Racks</t>
  </si>
  <si>
    <t>$/mo</t>
  </si>
  <si>
    <t>Management Software</t>
  </si>
  <si>
    <t>Service &amp; Ticketing Software</t>
  </si>
  <si>
    <t>Intrusion Detection Software</t>
  </si>
  <si>
    <t>Virus Scanning Software</t>
  </si>
  <si>
    <t>CyberSecurity Software</t>
  </si>
  <si>
    <t>Compute + Storage</t>
  </si>
  <si>
    <t>CUSTOMER FACING BOM</t>
  </si>
  <si>
    <t>Value of Included Services</t>
  </si>
  <si>
    <t>Oracle Cloud Infrastructure - Data Safe for On-Premises Databases &amp; Databases on Compute</t>
  </si>
  <si>
    <t>Oracle Cloud Infrastructure - Data Safe for On-Premises Databases &amp; Databases on Compute - 10,000 Audit Records Per Target Per Month
(over 1 million audit records per target per month)</t>
  </si>
  <si>
    <t>B92887</t>
  </si>
  <si>
    <t>Oracle Cloud Infrastructure Operations Insights for External Oracle Databases and Host - Government</t>
  </si>
  <si>
    <t>B92890</t>
  </si>
  <si>
    <t>Oracle Cloud Infrastructure Operations Insights for External Oracle Databases and Host</t>
  </si>
  <si>
    <t>B93174</t>
  </si>
  <si>
    <t>Oracle Cloud Infrastructure Database Migration - Government</t>
  </si>
  <si>
    <t>Migration Hour</t>
  </si>
  <si>
    <t>B93199</t>
  </si>
  <si>
    <t>Oracle Cloud Infrastructure Database Migration</t>
  </si>
  <si>
    <t>B93204</t>
  </si>
  <si>
    <t>Oracle Cloud Infrastructure - FastConnect 100 Gbps - Government</t>
  </si>
  <si>
    <t>B93306</t>
  </si>
  <si>
    <t>B93307</t>
  </si>
  <si>
    <t>Oracle Autonomous JSON Database - Free</t>
  </si>
  <si>
    <t>B93311</t>
  </si>
  <si>
    <t>Oracle Cloud Infrastructure - Compute - Optimized - X9</t>
  </si>
  <si>
    <t>B93312</t>
  </si>
  <si>
    <t>Oracle Cloud Infrastructure - Compute - Optimized - X9 - Memory</t>
  </si>
  <si>
    <t>B93317</t>
  </si>
  <si>
    <t xml:space="preserve">Oracle Cloud Infrastructure - Database Management - External DB - BYOL - Government </t>
  </si>
  <si>
    <t>B93318</t>
  </si>
  <si>
    <t>Oracle Cloud Infrastructure - Database Management - External DB - Government</t>
  </si>
  <si>
    <t>B93319</t>
  </si>
  <si>
    <t>Oracle Consulting Rapid Start for Cloud Tenancy Readiness</t>
  </si>
  <si>
    <t>B93320</t>
  </si>
  <si>
    <t>Oracle APEX Application Development - Free</t>
  </si>
  <si>
    <t>B93339</t>
  </si>
  <si>
    <t>Oracle Cloud VMware Solution - BM.DenseIO2.52 - Hourly Commit - Government</t>
  </si>
  <si>
    <t>B93340</t>
  </si>
  <si>
    <t>Oracle Cloud VMware Solution - BM.DenseIO2.52 - 1 Year Commit - Government</t>
  </si>
  <si>
    <t>B93341</t>
  </si>
  <si>
    <t>Oracle Cloud VMware Solution - BM.DenseIO2.52 - 3 Year Commit - Government</t>
  </si>
  <si>
    <t>B93395</t>
  </si>
  <si>
    <t>Oracle Cloud Infrastructure - Compute - Optimized - X9 - Government</t>
  </si>
  <si>
    <t>B93396</t>
  </si>
  <si>
    <t>Oracle Cloud Infrastructure - Compute - Optimized - X9 - Memory - Government</t>
  </si>
  <si>
    <t>B93423</t>
  </si>
  <si>
    <t>B93313</t>
  </si>
  <si>
    <t>Oracle Cloud Infrastructure - Data Integration - Workspace - Government</t>
  </si>
  <si>
    <t>B93314</t>
  </si>
  <si>
    <t>Oracle Cloud Infrastructure - Data Integration - Government</t>
  </si>
  <si>
    <t>B93315</t>
  </si>
  <si>
    <t>Oracle Cloud Infrastructure - Data Integration - Pipeline Operator Execution – Government</t>
  </si>
  <si>
    <t>Execution Hours</t>
  </si>
  <si>
    <t>B93410</t>
  </si>
  <si>
    <t>Oracle Exadata Deployment Pack for Cloud</t>
  </si>
  <si>
    <t>B93421</t>
  </si>
  <si>
    <t>Oracle Cloud VMware Solution - HCX Enterprise - Monthly</t>
  </si>
  <si>
    <t>B93411</t>
  </si>
  <si>
    <t>1,000 Transactions</t>
  </si>
  <si>
    <t>B93545</t>
  </si>
  <si>
    <t>B93546</t>
  </si>
  <si>
    <t>MySQL Database for HeatWave - Bare Metal Standard - E3</t>
  </si>
  <si>
    <t>B93555</t>
  </si>
  <si>
    <t>Oracle Big Data Service</t>
  </si>
  <si>
    <t>B93583</t>
  </si>
  <si>
    <t>Oracle Standard Software Installation and Configuration for Oracle Cloud: Zero Data Loss Recovery Appliance for Cloud (up to 10 protected)</t>
  </si>
  <si>
    <t>Add skus to the green cells below</t>
  </si>
  <si>
    <t>Oracle Cloud Infrastructure - Outbound Data Transfer - Originating in North America, Europe, and UK - Government</t>
  </si>
  <si>
    <t>Oracle Content Management - Outbound Data Transfer</t>
  </si>
  <si>
    <t xml:space="preserve">Oracle Content Management - Government </t>
  </si>
  <si>
    <t>Oracle Content Management - Outbound Data Transfer - Government</t>
  </si>
  <si>
    <t>Oracle Content Management - Advanced Video Management</t>
  </si>
  <si>
    <t>Oracle Content Management - Advanced Video Management - Government</t>
  </si>
  <si>
    <t>B93308</t>
  </si>
  <si>
    <t>Oracle Cloud Infrastructure - Compute - Standard - A1 - Government</t>
  </si>
  <si>
    <t>B93309</t>
  </si>
  <si>
    <t xml:space="preserve">Oracle Cloud Infrastructure - Compute - Standard - A1 - Memory - Government </t>
  </si>
  <si>
    <t>Oracle Content Management - Starter Edition</t>
  </si>
  <si>
    <t>B93455</t>
  </si>
  <si>
    <t>B93456</t>
  </si>
  <si>
    <t>B93512</t>
  </si>
  <si>
    <t>Oracle Cloud Infrastructure - Outbound Data Transfer - Originating in APAC, Japan, and South America - Government</t>
  </si>
  <si>
    <t>B93513</t>
  </si>
  <si>
    <t>Oracle Cloud Infrastructure - Outbound Data Transfer - Originating in Middle East and Africa - Government</t>
  </si>
  <si>
    <t>Oracle Cloud Infrastructure - Outbound Data Transfer - Originating in Middle East and Africa - Over 10TB Per Month</t>
  </si>
  <si>
    <t>Oracle Cloud Infrastructure - Outbound Data Transfer - Originating in APAC, Japan, and South America - Over 10TB Per Month</t>
  </si>
  <si>
    <t>Execution Hour</t>
  </si>
  <si>
    <t>Oracle Supportability Planning and Site Survey Support Service Base</t>
  </si>
  <si>
    <t>Oracle Supportability Planning and Site Survey Support Service Exadata Cloud at Customer</t>
  </si>
  <si>
    <t>Oracle Supportability Planning and Site Survey Support Service Oracle Private Cloud at Customer</t>
  </si>
  <si>
    <t>B93129</t>
  </si>
  <si>
    <t>Gen 2 Exadata Cloud@Customer Infrastructure - X9M - Quarter Rack - Non-metered</t>
  </si>
  <si>
    <t>B93130</t>
  </si>
  <si>
    <t>Gen 2 Exadata Cloud@Customer Infrastructure - X9M - Quarter Rack - Partner Hardware - Non-metered</t>
  </si>
  <si>
    <t>B93131</t>
  </si>
  <si>
    <t>Gen 2 Exadata Cloud@Customer Infrastructure - X9M - Half Rack - Non-metered</t>
  </si>
  <si>
    <t>B93132</t>
  </si>
  <si>
    <t>Gen 2 Exadata Cloud@Customer Infrastructure - X9M - Half Rack - Partner Hardware - Non-metered</t>
  </si>
  <si>
    <t>B93133</t>
  </si>
  <si>
    <t>Gen 2 Exadata Cloud@Customer Infrastructure - X9M - Full Rack - Non-metered</t>
  </si>
  <si>
    <t>B93134</t>
  </si>
  <si>
    <t>Gen 2 Exadata Cloud@Customer Infrastructure - X9M - Full Rack - Partner Hardware - Non-metered</t>
  </si>
  <si>
    <t>B93422</t>
  </si>
  <si>
    <t>Oracle Cloud VMware Solution - HCX Enterprise - Monthly - Government</t>
  </si>
  <si>
    <t>B93426</t>
  </si>
  <si>
    <t>Oracle Cloud Infrastructure - Database Management - Cloud Databases</t>
  </si>
  <si>
    <t>B93427</t>
  </si>
  <si>
    <t>Oracle Cloud Infrastructure - Database Management - Cloud Databases - Government</t>
  </si>
  <si>
    <t>B93543</t>
  </si>
  <si>
    <t>Oracle APEX Application Development - Government</t>
  </si>
  <si>
    <t>B93703</t>
  </si>
  <si>
    <t>Data Center Tour</t>
  </si>
  <si>
    <t>B94172</t>
  </si>
  <si>
    <t>Enhanced Customer Audit</t>
  </si>
  <si>
    <t>Audit Unit</t>
  </si>
  <si>
    <t>B94230</t>
  </si>
  <si>
    <t>Oracle Database Upgrade Package for Cloud - Small</t>
  </si>
  <si>
    <t>B94231</t>
  </si>
  <si>
    <t>Oracle Database Upgrade Package for Cloud – Medium</t>
  </si>
  <si>
    <t>B94232</t>
  </si>
  <si>
    <t>Oracle Database Upgrade Package for Cloud - Large</t>
  </si>
  <si>
    <t>Oracle Visual Builder</t>
  </si>
  <si>
    <t>Oracle Visual Builder - Government</t>
  </si>
  <si>
    <t>Oracle Cloud Infrastructure - Database Exadata Infrastructure - Quarter Rack - X8M – Government</t>
  </si>
  <si>
    <t>B93493</t>
  </si>
  <si>
    <t>Oracle Cloud Infrastructure Identity and Access Management - External User</t>
  </si>
  <si>
    <t>B93494</t>
  </si>
  <si>
    <t>Oracle Cloud Infrastructure Identity and Access Management - Oracle Apps Premium</t>
  </si>
  <si>
    <t>B93495</t>
  </si>
  <si>
    <t>Oracle Cloud Infrastructure Identity and Access Management - Premium</t>
  </si>
  <si>
    <t>B93496</t>
  </si>
  <si>
    <t>B93497</t>
  </si>
  <si>
    <t>B93498</t>
  </si>
  <si>
    <t>Oracle Cloud Infrastructure Identity and Access Management - Replication</t>
  </si>
  <si>
    <t>B93710</t>
  </si>
  <si>
    <t>Oracle NoSQL Database Cloud - Write - Auto</t>
  </si>
  <si>
    <t>B93711</t>
  </si>
  <si>
    <t>Oracle NoSQL Database Cloud - Read - Auto</t>
  </si>
  <si>
    <t>B93712</t>
  </si>
  <si>
    <t>Oracle NoSQL Database Cloud - Hosted Environment</t>
  </si>
  <si>
    <t>B94042</t>
  </si>
  <si>
    <t>B94043</t>
  </si>
  <si>
    <t>B94044</t>
  </si>
  <si>
    <t>B94277</t>
  </si>
  <si>
    <t>B94282</t>
  </si>
  <si>
    <t>B94349</t>
  </si>
  <si>
    <t>Data Safe for On Premises Databases and Databases On Compute - Government</t>
  </si>
  <si>
    <t>B94350</t>
  </si>
  <si>
    <t xml:space="preserve">Data Safe for On-Premises Databases and Databases on Compute - Audit Record Collection Over 1 Million Records - Government </t>
  </si>
  <si>
    <t>B94351</t>
  </si>
  <si>
    <t>Data Safe for Database Cloud Service - Government</t>
  </si>
  <si>
    <t>B94352</t>
  </si>
  <si>
    <t>Data Safe for Database Cloud Service - Audit Record Collection Over 1 Million Records - Government</t>
  </si>
  <si>
    <t>B94415</t>
  </si>
  <si>
    <t>B94579</t>
  </si>
  <si>
    <t>B94581</t>
  </si>
  <si>
    <t>Oracle Cloud Infrastructure - Web Application Firewall - Instance - Government</t>
  </si>
  <si>
    <t>Instance Per Month</t>
  </si>
  <si>
    <t>Annotated Data Record</t>
  </si>
  <si>
    <t>WAF Instance Per Month</t>
  </si>
  <si>
    <t>Token</t>
  </si>
  <si>
    <t>5,000 Messages Per Hour</t>
  </si>
  <si>
    <t>20,000 Messages Per Hour</t>
  </si>
  <si>
    <t>Oracle Cloud Infrastructure - Database Cloud Service - Standard Edition</t>
  </si>
  <si>
    <t>B93705</t>
  </si>
  <si>
    <t>Oracle Cloud Infrastructure Operations Insights for Warehouse - Extract</t>
  </si>
  <si>
    <t>Gigabyte Per Month</t>
  </si>
  <si>
    <t>B93706</t>
  </si>
  <si>
    <t>Oracle Cloud Infrastructure Operations Insights for Warehouse - Instance</t>
  </si>
  <si>
    <t>B93707</t>
  </si>
  <si>
    <t>Oracle Cloud Infrastructure Operations Insights for Warehouse - Extract - Government</t>
  </si>
  <si>
    <t>B93708</t>
  </si>
  <si>
    <t>Oracle Cloud Infrastructure Operations Insights for Warehouse - Instance - Government</t>
  </si>
  <si>
    <t>B94176</t>
  </si>
  <si>
    <t xml:space="preserve">Oracle Cloud Infrastructure - Compute - Standard - X9 </t>
  </si>
  <si>
    <t>B94177</t>
  </si>
  <si>
    <t>Oracle Cloud Infrastructure - Compute - Standard - X9 - Memory</t>
  </si>
  <si>
    <t>B94311</t>
  </si>
  <si>
    <t>Oracle Cloud Infrastructure - Data Labeling - Government</t>
  </si>
  <si>
    <t>B94568</t>
  </si>
  <si>
    <t>Oracle Analytics Server for Oracle Cloud Infrastructure*
(*Available on the Oracle Cloud Marketplace:  See Note 15)</t>
  </si>
  <si>
    <t>Oracle Cloud Infrastructure - AI Services - Language - Greater Than 5,000 Transactions</t>
  </si>
  <si>
    <t>Oracle Cloud Infrastructure - Data Integration - Pipeline Operator Execution - Greater Than 30 Execution Hours</t>
  </si>
  <si>
    <t>Oracle Cloud Infrastructure - Web Application Firewall - Requests - Greater Than 10M Incoming Requests Per Month</t>
  </si>
  <si>
    <t>Oracle Cloud Infrastructure - Data Labeling - Greater Than 1,000 Annotated Data Records Per Month</t>
  </si>
  <si>
    <t>Oracle Cloud Infrastructure - Web Application Firewall - Instance - Greated Than 1 WAF Instance Per Month</t>
  </si>
  <si>
    <t>Oracle Cloud Infrastructure Identity and Access Management - SMS - Over 1,000 SMS Messages Sent Per Month</t>
  </si>
  <si>
    <t>Oracle Cloud Infrastructure Identity and Access Management - Token - Over 10,000 Tokens Per Month</t>
  </si>
  <si>
    <t>Oracle Cloud Infrastructure AI Services - Anomaly Detection - Greater Than 1,000 Transactions</t>
  </si>
  <si>
    <t>App</t>
  </si>
  <si>
    <t>Other - CM and Asserter</t>
  </si>
  <si>
    <t>Supporting Services</t>
  </si>
  <si>
    <t>Replaces IDCS SKU B90555 W/ Henosis</t>
  </si>
  <si>
    <t>Licenses</t>
  </si>
  <si>
    <t>License only needed for customized EBS (app or DB tier) and not BYOL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</si>
</sst>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9">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
    <numFmt numFmtId="165" formatCode="0.0%"/>
    <numFmt numFmtId="166" formatCode="#,##0.0000_);[Red]\(#,##0.0000\)"/>
    <numFmt numFmtId="167" formatCode="mmm\ yyyy"/>
    <numFmt numFmtId="168" formatCode="#,##0.000_);[Red]\(#,##0.000\)"/>
    <numFmt numFmtId="169" formatCode="&quot;$&quot;#,##0"/>
    <numFmt numFmtId="170" formatCode="&quot;$&quot;\ #,##0_);\(&quot;$&quot;\ #,##0\)"/>
    <numFmt numFmtId="171" formatCode="_-&quot;$&quot;* #,##0.00_-;\-&quot;$&quot;* #,##0.00_-;_-&quot;$&quot;* &quot;-&quot;??_-;_-@_-"/>
    <numFmt numFmtId="172" formatCode="[$¥-411]#,##0"/>
    <numFmt numFmtId="173" formatCode="_([$€-2]* #,##0.00_);_([$€-2]* \(#,##0.00\);_([$€-2]* &quot;-&quot;??_)"/>
    <numFmt numFmtId="174" formatCode="_([$€-2]* #,##0.00_);_([$€-2]* \(#,##0.00\);_([$€-2]* \-??_)"/>
    <numFmt numFmtId="175" formatCode="[$-409]d\-mmm\-yy;@"/>
    <numFmt numFmtId="176" formatCode="0.00_)"/>
    <numFmt numFmtId="177" formatCode="mmmm\ d\,\ yyyy"/>
    <numFmt numFmtId="178" formatCode="[&lt;5]0.00;[&gt;5]#,###;General"/>
    <numFmt numFmtId="179" formatCode="[&lt;1]0.0000;[&lt;5]0.00;#,###"/>
    <numFmt numFmtId="180" formatCode="[&lt;1]0.0000;[&lt;5]0.00;#,###.00"/>
    <numFmt numFmtId="181" formatCode="[Black][&lt;1]0.00;[Black][&gt;1]#,###;General"/>
    <numFmt numFmtId="182" formatCode="[&lt;1]0.00;[&lt;5]0;#,###"/>
    <numFmt numFmtId="183" formatCode="[Black][&lt;5]0.00;[Black][&gt;5]#,###;General"/>
    <numFmt numFmtId="184" formatCode="[&lt;1]0.000000;[&lt;5]0.0000;#,###.00"/>
    <numFmt numFmtId="185" formatCode="0.0000%"/>
    <numFmt numFmtId="186" formatCode="0.00000%"/>
    <numFmt numFmtId="187" formatCode="#,##0;[Red]#,##0"/>
    <numFmt numFmtId="188" formatCode="&quot;$&quot;\ #,##0;[Red]&quot;$&quot;\ #,##0"/>
    <numFmt numFmtId="189" formatCode="_(* #,##0_);_(* \(#,##0\);_(* &quot;-&quot;??_);_(@_)"/>
    <numFmt numFmtId="190" formatCode="#,##0.0"/>
    <numFmt numFmtId="191" formatCode="[$-409]mmm\-yy;@"/>
    <numFmt numFmtId="192" formatCode="m/d/yy;@"/>
    <numFmt numFmtId="193" formatCode="#,##0.0000"/>
    <numFmt numFmtId="194" formatCode="&quot;$&quot;\ #,##0"/>
    <numFmt numFmtId="195" formatCode="&quot;$&quot;\ #,##0.00_);\(&quot;$&quot;\ #,##0.00\)"/>
    <numFmt numFmtId="196" formatCode="#,##0.0000_);\(#,##0.0000\)"/>
  </numFmts>
  <fonts count="117">
    <font>
      <sz val="11"/>
      <color theme="1"/>
      <name val="Calibri"/>
      <family val="2"/>
      <scheme val="minor"/>
    </font>
    <font>
      <sz val="11"/>
      <color theme="1"/>
      <name val="Calibri"/>
      <family val="2"/>
      <scheme val="minor"/>
    </font>
    <font>
      <sz val="11"/>
      <color rgb="FF9C6500"/>
      <name val="Calibri"/>
      <family val="2"/>
      <scheme val="minor"/>
    </font>
    <font>
      <b/>
      <sz val="11"/>
      <color rgb="FFFFFFFF"/>
      <name val="Calibri"/>
      <family val="2"/>
      <scheme val="minor"/>
    </font>
    <font>
      <sz val="11"/>
      <color rgb="FF000000"/>
      <name val="Calibri"/>
      <family val="2"/>
      <scheme val="minor"/>
    </font>
    <font>
      <sz val="11"/>
      <name val="Calibri"/>
      <family val="2"/>
      <scheme val="minor"/>
    </font>
    <font>
      <b/>
      <sz val="11"/>
      <name val="Calibri"/>
      <family val="2"/>
      <scheme val="minor"/>
    </font>
    <font>
      <sz val="9"/>
      <name val="Arial"/>
      <family val="2"/>
    </font>
    <font>
      <b/>
      <sz val="11"/>
      <color theme="1"/>
      <name val="Calibri"/>
      <family val="2"/>
      <scheme val="minor"/>
    </font>
    <font>
      <sz val="10"/>
      <name val="Arial"/>
      <family val="2"/>
    </font>
    <font>
      <sz val="11"/>
      <color theme="0"/>
      <name val="Calibri"/>
      <family val="2"/>
      <scheme val="minor"/>
    </font>
    <font>
      <sz val="11"/>
      <color rgb="FF0070C0"/>
      <name val="Calibri"/>
      <family val="2"/>
      <scheme val="minor"/>
    </font>
    <font>
      <i/>
      <sz val="11"/>
      <color theme="0"/>
      <name val="Calibri"/>
      <family val="2"/>
      <scheme val="minor"/>
    </font>
    <font>
      <sz val="12"/>
      <color theme="1"/>
      <name val="Calibri"/>
      <family val="2"/>
      <scheme val="minor"/>
    </font>
    <font>
      <u/>
      <sz val="11"/>
      <color theme="0"/>
      <name val="Calibri"/>
      <family val="2"/>
      <scheme val="minor"/>
    </font>
    <font>
      <b/>
      <sz val="12"/>
      <color theme="1"/>
      <name val="Calibri"/>
      <family val="2"/>
      <scheme val="minor"/>
    </font>
    <font>
      <sz val="10"/>
      <color theme="1"/>
      <name val="Arial"/>
      <family val="2"/>
    </font>
    <font>
      <sz val="11"/>
      <color rgb="FF9C0006"/>
      <name val="Calibri"/>
      <family val="2"/>
      <scheme val="minor"/>
    </font>
    <font>
      <sz val="10"/>
      <color theme="0"/>
      <name val="Arial"/>
      <family val="2"/>
    </font>
    <font>
      <b/>
      <sz val="10"/>
      <name val="Arial"/>
      <family val="2"/>
    </font>
    <font>
      <sz val="10"/>
      <color theme="4"/>
      <name val="Arial"/>
      <family val="2"/>
    </font>
    <font>
      <sz val="11"/>
      <color rgb="FFFF0000"/>
      <name val="Calibri"/>
      <family val="2"/>
      <scheme val="minor"/>
    </font>
    <font>
      <sz val="9"/>
      <color indexed="81"/>
      <name val="Tahoma"/>
      <family val="2"/>
    </font>
    <font>
      <b/>
      <sz val="9"/>
      <color indexed="81"/>
      <name val="Tahoma"/>
      <family val="2"/>
    </font>
    <font>
      <sz val="11"/>
      <color rgb="FF7030A0"/>
      <name val="Calibri"/>
      <family val="2"/>
      <scheme val="minor"/>
    </font>
    <font>
      <u/>
      <sz val="10"/>
      <color indexed="12"/>
      <name val="Arial"/>
      <family val="2"/>
    </font>
    <font>
      <sz val="12"/>
      <name val="Arial"/>
      <family val="2"/>
    </font>
    <font>
      <sz val="14"/>
      <name val="Arial"/>
      <family val="2"/>
    </font>
    <font>
      <b/>
      <sz val="14"/>
      <name val="Arial"/>
      <family val="2"/>
    </font>
    <font>
      <sz val="13"/>
      <name val="Arial"/>
      <family val="2"/>
    </font>
    <font>
      <sz val="13"/>
      <color theme="4"/>
      <name val="Arial"/>
      <family val="2"/>
    </font>
    <font>
      <b/>
      <sz val="14"/>
      <color rgb="FFFF0000"/>
      <name val="Arial"/>
      <family val="2"/>
    </font>
    <font>
      <b/>
      <sz val="14"/>
      <color theme="0"/>
      <name val="Arial"/>
      <family val="2"/>
    </font>
    <font>
      <sz val="11"/>
      <color theme="1" tint="0.39997558519241921"/>
      <name val="Calibri"/>
      <family val="2"/>
      <scheme val="minor"/>
    </font>
    <font>
      <b/>
      <i/>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8"/>
      <color theme="3"/>
      <name val="Calibri"/>
      <family val="2"/>
      <scheme val="major"/>
    </font>
    <font>
      <sz val="10"/>
      <color indexed="8"/>
      <name val="Calibri"/>
      <family val="2"/>
    </font>
    <font>
      <sz val="11"/>
      <color indexed="8"/>
      <name val="Calibri"/>
      <family val="2"/>
    </font>
    <font>
      <u/>
      <sz val="11"/>
      <color indexed="12"/>
      <name val="Calibri"/>
      <family val="2"/>
    </font>
    <font>
      <u/>
      <sz val="11"/>
      <color indexed="39"/>
      <name val="Calibri"/>
      <family val="2"/>
    </font>
    <font>
      <u/>
      <sz val="11"/>
      <color theme="10"/>
      <name val="Calibri"/>
      <family val="2"/>
    </font>
    <font>
      <u/>
      <sz val="10.45"/>
      <color indexed="39"/>
      <name val="Calibri"/>
      <family val="2"/>
    </font>
    <font>
      <u/>
      <sz val="10.45"/>
      <color theme="10"/>
      <name val="Calibri"/>
      <family val="2"/>
    </font>
    <font>
      <u/>
      <sz val="9"/>
      <color indexed="39"/>
      <name val="Arial"/>
      <family val="2"/>
    </font>
    <font>
      <u/>
      <sz val="10"/>
      <color indexed="36"/>
      <name val="Arial"/>
      <family val="2"/>
    </font>
    <font>
      <u/>
      <sz val="10"/>
      <color indexed="20"/>
      <name val="Arial"/>
      <family val="2"/>
    </font>
    <font>
      <b/>
      <i/>
      <sz val="16"/>
      <name val="Helv"/>
    </font>
    <font>
      <b/>
      <i/>
      <sz val="16"/>
      <name val="Arial"/>
      <family val="2"/>
    </font>
    <font>
      <sz val="10"/>
      <color indexed="8"/>
      <name val="Arial"/>
      <family val="2"/>
    </font>
    <font>
      <sz val="8"/>
      <name val="Arial"/>
      <family val="2"/>
    </font>
    <font>
      <b/>
      <sz val="9"/>
      <color indexed="8"/>
      <name val="Tahoma"/>
      <family val="2"/>
    </font>
    <font>
      <sz val="10"/>
      <name val="Mangal"/>
      <family val="2"/>
    </font>
    <font>
      <sz val="10"/>
      <color indexed="22"/>
      <name val="Mangal"/>
      <family val="2"/>
    </font>
    <font>
      <sz val="11"/>
      <color indexed="16"/>
      <name val="Calibri"/>
      <family val="2"/>
    </font>
    <font>
      <sz val="11"/>
      <name val="Arial"/>
      <family val="2"/>
    </font>
    <font>
      <b/>
      <sz val="11"/>
      <name val="Arial"/>
      <family val="2"/>
    </font>
    <font>
      <b/>
      <sz val="12"/>
      <name val="Arial"/>
      <family val="2"/>
    </font>
    <font>
      <b/>
      <sz val="10"/>
      <color indexed="9"/>
      <name val="Arial"/>
      <family val="2"/>
    </font>
    <font>
      <vertAlign val="superscript"/>
      <sz val="11"/>
      <name val="Arial"/>
      <family val="2"/>
    </font>
    <font>
      <strike/>
      <sz val="11"/>
      <color indexed="10"/>
      <name val="Arial"/>
      <family val="2"/>
    </font>
    <font>
      <strike/>
      <sz val="11"/>
      <name val="Arial"/>
      <family val="2"/>
    </font>
    <font>
      <b/>
      <i/>
      <sz val="11"/>
      <name val="Arial"/>
      <family val="2"/>
    </font>
    <font>
      <sz val="11"/>
      <color indexed="10"/>
      <name val="Arial"/>
      <family val="2"/>
    </font>
    <font>
      <vertAlign val="superscript"/>
      <sz val="11"/>
      <color indexed="10"/>
      <name val="Arial"/>
      <family val="2"/>
    </font>
    <font>
      <u/>
      <sz val="10"/>
      <name val="Arial"/>
      <family val="2"/>
    </font>
    <font>
      <b/>
      <i/>
      <sz val="11"/>
      <color theme="8"/>
      <name val="Calibri"/>
      <family val="2"/>
      <scheme val="minor"/>
    </font>
    <font>
      <b/>
      <sz val="11"/>
      <color rgb="FF0070C0"/>
      <name val="Calibri"/>
      <family val="2"/>
    </font>
    <font>
      <i/>
      <sz val="11"/>
      <name val="Calibri"/>
      <family val="2"/>
      <scheme val="minor"/>
    </font>
    <font>
      <sz val="11"/>
      <color theme="7"/>
      <name val="Calibri"/>
      <family val="2"/>
      <scheme val="minor"/>
    </font>
    <font>
      <sz val="11"/>
      <color theme="6"/>
      <name val="Calibri"/>
      <family val="2"/>
      <scheme val="minor"/>
    </font>
    <font>
      <sz val="11"/>
      <color theme="9"/>
      <name val="Calibri"/>
      <family val="2"/>
      <scheme val="minor"/>
    </font>
    <font>
      <sz val="11"/>
      <color theme="1" tint="0.59999389629810485"/>
      <name val="Calibri"/>
      <family val="2"/>
      <scheme val="minor"/>
    </font>
    <font>
      <sz val="11"/>
      <color theme="8"/>
      <name val="Calibri"/>
      <family val="2"/>
      <scheme val="minor"/>
    </font>
    <font>
      <b/>
      <sz val="11"/>
      <color theme="1" tint="0.59999389629810485"/>
      <name val="Calibri"/>
      <family val="2"/>
      <scheme val="minor"/>
    </font>
    <font>
      <b/>
      <sz val="11"/>
      <color theme="8"/>
      <name val="Calibri"/>
      <family val="2"/>
      <scheme val="minor"/>
    </font>
    <font>
      <b/>
      <sz val="14"/>
      <color rgb="FFC74634"/>
      <name val="Arial"/>
      <family val="2"/>
    </font>
    <font>
      <sz val="11"/>
      <name val="Calibri"/>
      <family val="2"/>
    </font>
    <font>
      <sz val="11"/>
      <color theme="0"/>
      <name val="Calibri"/>
      <family val="2"/>
    </font>
    <font>
      <b/>
      <sz val="11"/>
      <color theme="0"/>
      <name val="Calibri"/>
      <family val="2"/>
    </font>
    <font>
      <sz val="11"/>
      <color rgb="FF002060"/>
      <name val="Calibri"/>
      <family val="2"/>
    </font>
    <font>
      <sz val="11"/>
      <color rgb="FFFF0000"/>
      <name val="Calibri"/>
      <family val="2"/>
    </font>
    <font>
      <b/>
      <sz val="11"/>
      <color rgb="FFFFFFFF"/>
      <name val="Calibri (Body)"/>
    </font>
    <font>
      <b/>
      <sz val="11"/>
      <color rgb="FFFFFFFF"/>
      <name val="Calibri"/>
      <family val="2"/>
    </font>
    <font>
      <sz val="11"/>
      <color theme="1" tint="0.499984740745262"/>
      <name val="Calibri"/>
      <family val="2"/>
    </font>
    <font>
      <sz val="11"/>
      <color rgb="FF000000"/>
      <name val="Calibri"/>
      <family val="2"/>
    </font>
    <font>
      <sz val="11"/>
      <color rgb="FF0033CC"/>
      <name val="Calibri"/>
      <family val="2"/>
    </font>
    <font>
      <sz val="11"/>
      <color rgb="FF0033CC"/>
      <name val="Calibri"/>
      <family val="2"/>
      <scheme val="minor"/>
    </font>
    <font>
      <sz val="11"/>
      <color theme="4"/>
      <name val="Calibri"/>
      <family val="2"/>
      <scheme val="minor"/>
    </font>
    <font>
      <sz val="11"/>
      <color theme="1"/>
      <name val="Calibri"/>
      <family val="2"/>
    </font>
    <font>
      <b/>
      <sz val="10"/>
      <color theme="0"/>
      <name val="Arial"/>
      <family val="2"/>
    </font>
    <font>
      <b/>
      <i/>
      <sz val="11"/>
      <color rgb="FF000000"/>
      <name val="Calibri"/>
      <family val="2"/>
      <scheme val="minor"/>
    </font>
    <font>
      <b/>
      <sz val="14"/>
      <name val="Calibri"/>
      <family val="2"/>
      <scheme val="minor"/>
    </font>
    <font>
      <i/>
      <sz val="14"/>
      <name val="Arial"/>
      <family val="2"/>
    </font>
    <font>
      <sz val="10"/>
      <color rgb="FF0070C0"/>
      <name val="Arial"/>
      <family val="2"/>
    </font>
    <font>
      <b/>
      <sz val="11"/>
      <color rgb="FF080808"/>
      <name val="Calibri"/>
      <family val="2"/>
      <scheme val="minor"/>
    </font>
    <font>
      <b/>
      <i/>
      <sz val="11"/>
      <color rgb="FF080808"/>
      <name val="Calibri"/>
      <family val="2"/>
      <scheme val="minor"/>
    </font>
    <font>
      <sz val="11"/>
      <color rgb="FF080808"/>
      <name val="Calibri"/>
      <family val="2"/>
      <scheme val="minor"/>
    </font>
    <font>
      <b/>
      <sz val="14"/>
      <color theme="0"/>
      <name val="Calibri"/>
      <family val="2"/>
    </font>
    <font>
      <sz val="14"/>
      <color theme="0"/>
      <name val="Calibri"/>
      <family val="2"/>
    </font>
    <font>
      <sz val="12"/>
      <name val="Calibri"/>
      <family val="2"/>
    </font>
    <font>
      <b/>
      <sz val="12"/>
      <name val="Calibri"/>
      <family val="2"/>
    </font>
    <font>
      <sz val="11"/>
      <color theme="3" tint="0.499984740745262"/>
      <name val="Calibri"/>
      <family val="2"/>
      <scheme val="minor"/>
    </font>
    <font>
      <sz val="16"/>
      <color theme="0"/>
      <name val="Calibri"/>
      <family val="2"/>
      <scheme val="minor"/>
    </font>
    <font>
      <sz val="12"/>
      <color theme="0"/>
      <name val="Calibri"/>
      <family val="2"/>
      <scheme val="minor"/>
    </font>
    <font>
      <b/>
      <sz val="9"/>
      <color rgb="FF000000"/>
      <name val="Tahoma"/>
      <family val="2"/>
    </font>
    <font>
      <sz val="9"/>
      <color rgb="FF000000"/>
      <name val="Tahoma"/>
      <family val="2"/>
    </font>
    <font>
      <sz val="8"/>
      <name val="Calibri"/>
      <family val="2"/>
      <scheme val="minor"/>
    </font>
  </fonts>
  <fills count="79">
    <fill>
      <patternFill patternType="none"/>
    </fill>
    <fill>
      <patternFill patternType="gray125"/>
    </fill>
    <fill>
      <patternFill patternType="solid">
        <fgColor rgb="FFFFEB9C"/>
      </patternFill>
    </fill>
    <fill>
      <patternFill patternType="solid">
        <fgColor theme="7"/>
        <bgColor indexed="64"/>
      </patternFill>
    </fill>
    <fill>
      <patternFill patternType="solid">
        <fgColor theme="8"/>
        <bgColor indexed="64"/>
      </patternFill>
    </fill>
    <fill>
      <patternFill patternType="solid">
        <fgColor theme="1"/>
        <bgColor indexed="64"/>
      </patternFill>
    </fill>
    <fill>
      <patternFill patternType="solid">
        <fgColor theme="2"/>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rgb="FFFFC7CE"/>
      </patternFill>
    </fill>
    <fill>
      <patternFill patternType="solid">
        <fgColor theme="0"/>
        <bgColor indexed="64"/>
      </patternFill>
    </fill>
    <fill>
      <patternFill patternType="solid">
        <fgColor rgb="FFFFFF00"/>
        <bgColor indexed="64"/>
      </patternFill>
    </fill>
    <fill>
      <patternFill patternType="solid">
        <fgColor theme="6" tint="-0.249977111117893"/>
        <bgColor indexed="64"/>
      </patternFill>
    </fill>
    <fill>
      <patternFill patternType="solid">
        <fgColor theme="9"/>
      </patternFill>
    </fill>
    <fill>
      <patternFill patternType="solid">
        <fgColor rgb="FFC6EF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patternFill>
    </fill>
    <fill>
      <patternFill patternType="solid">
        <fgColor indexed="47"/>
      </patternFill>
    </fill>
    <fill>
      <patternFill patternType="solid">
        <fgColor indexed="26"/>
      </patternFill>
    </fill>
    <fill>
      <patternFill patternType="solid">
        <fgColor indexed="47"/>
        <bgColor indexed="22"/>
      </patternFill>
    </fill>
    <fill>
      <patternFill patternType="solid">
        <fgColor indexed="22"/>
      </patternFill>
    </fill>
    <fill>
      <patternFill patternType="solid">
        <fgColor indexed="43"/>
      </patternFill>
    </fill>
    <fill>
      <patternFill patternType="solid">
        <fgColor indexed="22"/>
        <bgColor indexed="64"/>
      </patternFill>
    </fill>
    <fill>
      <patternFill patternType="solid">
        <fgColor indexed="22"/>
        <bgColor indexed="31"/>
      </patternFill>
    </fill>
    <fill>
      <patternFill patternType="solid">
        <fgColor indexed="55"/>
        <bgColor indexed="23"/>
      </patternFill>
    </fill>
    <fill>
      <patternFill patternType="solid">
        <fgColor indexed="9"/>
        <bgColor indexed="64"/>
      </patternFill>
    </fill>
    <fill>
      <patternFill patternType="solid">
        <fgColor indexed="8"/>
        <bgColor indexed="64"/>
      </patternFill>
    </fill>
    <fill>
      <patternFill patternType="solid">
        <fgColor theme="9"/>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74634"/>
        <bgColor indexed="64"/>
      </patternFill>
    </fill>
    <fill>
      <patternFill patternType="solid">
        <fgColor rgb="FFF4F3F2"/>
        <bgColor indexed="64"/>
      </patternFill>
    </fill>
    <fill>
      <patternFill patternType="solid">
        <fgColor rgb="FF00B050"/>
        <bgColor theme="7"/>
      </patternFill>
    </fill>
    <fill>
      <patternFill patternType="solid">
        <fgColor rgb="FF4472C4"/>
        <bgColor indexed="64"/>
      </patternFill>
    </fill>
    <fill>
      <patternFill patternType="solid">
        <fgColor rgb="FFFFFFFF"/>
        <bgColor indexed="64"/>
      </patternFill>
    </fill>
    <fill>
      <patternFill patternType="solid">
        <fgColor rgb="FFF3FCFF"/>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46575E"/>
        <bgColor indexed="64"/>
      </patternFill>
    </fill>
    <fill>
      <patternFill patternType="solid">
        <fgColor rgb="FF339933"/>
        <bgColor indexed="64"/>
      </patternFill>
    </fill>
    <fill>
      <patternFill patternType="solid">
        <fgColor theme="1" tint="0.39997558519241921"/>
        <bgColor indexed="64"/>
      </patternFill>
    </fill>
    <fill>
      <patternFill patternType="solid">
        <fgColor theme="1" tint="0.249977111117893"/>
        <bgColor indexed="64"/>
      </patternFill>
    </fill>
    <fill>
      <patternFill patternType="solid">
        <fgColor theme="1" tint="0.749992370372631"/>
        <bgColor indexed="64"/>
      </patternFill>
    </fill>
    <fill>
      <patternFill patternType="solid">
        <fgColor rgb="FF000000"/>
        <bgColor indexed="64"/>
      </patternFill>
    </fill>
    <fill>
      <patternFill patternType="solid">
        <fgColor rgb="FF2C5967"/>
        <bgColor indexed="64"/>
      </patternFill>
    </fill>
    <fill>
      <patternFill patternType="solid">
        <fgColor theme="3" tint="0.249977111117893"/>
        <bgColor indexed="64"/>
      </patternFill>
    </fill>
    <fill>
      <patternFill patternType="solid">
        <fgColor theme="4"/>
        <bgColor indexed="64"/>
      </patternFill>
    </fill>
    <fill>
      <patternFill patternType="solid">
        <fgColor theme="6" tint="-0.249977111117893"/>
        <bgColor theme="7"/>
      </patternFill>
    </fill>
    <fill>
      <patternFill patternType="solid">
        <fgColor theme="6" tint="0.79998168889431442"/>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theme="1" tint="0.59999389629810485"/>
        <bgColor indexed="64"/>
      </patternFill>
    </fill>
  </fills>
  <borders count="9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medium">
        <color auto="1"/>
      </top>
      <bottom style="medium">
        <color auto="1"/>
      </bottom>
      <diagonal/>
    </border>
    <border>
      <left/>
      <right style="medium">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double">
        <color indexed="64"/>
      </top>
      <bottom/>
      <diagonal/>
    </border>
    <border>
      <left/>
      <right style="thin">
        <color indexed="64"/>
      </right>
      <top style="double">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64"/>
      </top>
      <bottom/>
      <diagonal/>
    </border>
    <border>
      <left/>
      <right/>
      <top style="thin">
        <color theme="7"/>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hair">
        <color theme="1" tint="0.59996337778862885"/>
      </left>
      <right style="hair">
        <color theme="1" tint="0.59996337778862885"/>
      </right>
      <top style="medium">
        <color theme="0"/>
      </top>
      <bottom style="hair">
        <color theme="1" tint="0.59996337778862885"/>
      </bottom>
      <diagonal/>
    </border>
    <border>
      <left style="hair">
        <color theme="1" tint="0.59996337778862885"/>
      </left>
      <right style="hair">
        <color theme="1" tint="0.59996337778862885"/>
      </right>
      <top style="hair">
        <color theme="1" tint="0.59996337778862885"/>
      </top>
      <bottom style="hair">
        <color theme="1" tint="0.59996337778862885"/>
      </bottom>
      <diagonal/>
    </border>
    <border>
      <left style="hair">
        <color theme="1" tint="0.59996337778862885"/>
      </left>
      <right style="hair">
        <color theme="1" tint="0.59996337778862885"/>
      </right>
      <top style="hair">
        <color theme="1" tint="0.59996337778862885"/>
      </top>
      <bottom style="medium">
        <color theme="0"/>
      </bottom>
      <diagonal/>
    </border>
    <border>
      <left style="medium">
        <color theme="1"/>
      </left>
      <right style="thin">
        <color theme="0"/>
      </right>
      <top style="medium">
        <color theme="1"/>
      </top>
      <bottom/>
      <diagonal/>
    </border>
    <border>
      <left style="thin">
        <color theme="0"/>
      </left>
      <right style="thin">
        <color theme="0"/>
      </right>
      <top style="medium">
        <color theme="1"/>
      </top>
      <bottom/>
      <diagonal/>
    </border>
    <border>
      <left style="thin">
        <color theme="0"/>
      </left>
      <right style="medium">
        <color theme="1"/>
      </right>
      <top style="medium">
        <color theme="1"/>
      </top>
      <bottom/>
      <diagonal/>
    </border>
    <border>
      <left style="medium">
        <color theme="1"/>
      </left>
      <right style="hair">
        <color theme="1" tint="0.59996337778862885"/>
      </right>
      <top style="medium">
        <color theme="0"/>
      </top>
      <bottom style="hair">
        <color theme="1" tint="0.59996337778862885"/>
      </bottom>
      <diagonal/>
    </border>
    <border>
      <left style="medium">
        <color theme="1"/>
      </left>
      <right style="hair">
        <color theme="1" tint="0.59996337778862885"/>
      </right>
      <top style="hair">
        <color theme="1" tint="0.59996337778862885"/>
      </top>
      <bottom style="hair">
        <color theme="1" tint="0.59996337778862885"/>
      </bottom>
      <diagonal/>
    </border>
    <border>
      <left style="hair">
        <color theme="1" tint="0.59996337778862885"/>
      </left>
      <right style="medium">
        <color theme="1"/>
      </right>
      <top style="hair">
        <color theme="1" tint="0.59996337778862885"/>
      </top>
      <bottom style="hair">
        <color theme="1" tint="0.59996337778862885"/>
      </bottom>
      <diagonal/>
    </border>
    <border>
      <left style="medium">
        <color theme="1"/>
      </left>
      <right style="hair">
        <color theme="1" tint="0.59996337778862885"/>
      </right>
      <top style="hair">
        <color theme="1" tint="0.59996337778862885"/>
      </top>
      <bottom style="medium">
        <color theme="0"/>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theme="2"/>
      </left>
      <right style="thin">
        <color theme="2"/>
      </right>
      <top style="thin">
        <color theme="2"/>
      </top>
      <bottom style="thin">
        <color theme="2"/>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medium">
        <color theme="1"/>
      </bottom>
      <diagonal/>
    </border>
    <border>
      <left style="thin">
        <color indexed="64"/>
      </left>
      <right style="thin">
        <color indexed="64"/>
      </right>
      <top style="medium">
        <color theme="1"/>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2059">
    <xf numFmtId="0" fontId="0" fillId="0" borderId="0"/>
    <xf numFmtId="44" fontId="1" fillId="0" borderId="0" applyFont="0" applyFill="0" applyBorder="0" applyAlignment="0" applyProtection="0"/>
    <xf numFmtId="0" fontId="1" fillId="0" borderId="0"/>
    <xf numFmtId="0" fontId="2" fillId="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7" fillId="0" borderId="0"/>
    <xf numFmtId="0" fontId="1" fillId="0" borderId="0"/>
    <xf numFmtId="44" fontId="1" fillId="0" borderId="0" applyFont="0" applyFill="0" applyBorder="0" applyAlignment="0" applyProtection="0"/>
    <xf numFmtId="0" fontId="9" fillId="0" borderId="0"/>
    <xf numFmtId="0" fontId="13" fillId="0" borderId="0"/>
    <xf numFmtId="0" fontId="1" fillId="0" borderId="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 fillId="0" borderId="0"/>
    <xf numFmtId="0" fontId="25" fillId="0" borderId="0" applyNumberFormat="0" applyFill="0" applyBorder="0" applyAlignment="0" applyProtection="0">
      <alignment vertical="top"/>
      <protection locked="0"/>
    </xf>
    <xf numFmtId="0" fontId="9" fillId="0" borderId="0"/>
    <xf numFmtId="0" fontId="1" fillId="0" borderId="0"/>
    <xf numFmtId="0" fontId="10" fillId="16"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72" fontId="1" fillId="22" borderId="0" applyNumberFormat="0" applyBorder="0" applyAlignment="0" applyProtection="0"/>
    <xf numFmtId="172" fontId="1" fillId="22" borderId="0" applyNumberFormat="0" applyBorder="0" applyAlignment="0" applyProtection="0"/>
    <xf numFmtId="172" fontId="1" fillId="22"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172" fontId="1" fillId="25" borderId="0" applyNumberFormat="0" applyBorder="0" applyAlignment="0" applyProtection="0"/>
    <xf numFmtId="172" fontId="1" fillId="25" borderId="0" applyNumberFormat="0" applyBorder="0" applyAlignment="0" applyProtection="0"/>
    <xf numFmtId="172" fontId="1" fillId="25"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172" fontId="1" fillId="28" borderId="0" applyNumberFormat="0" applyBorder="0" applyAlignment="0" applyProtection="0"/>
    <xf numFmtId="172" fontId="1" fillId="28" borderId="0" applyNumberFormat="0" applyBorder="0" applyAlignment="0" applyProtection="0"/>
    <xf numFmtId="172" fontId="1" fillId="2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72" fontId="1" fillId="31" borderId="0" applyNumberFormat="0" applyBorder="0" applyAlignment="0" applyProtection="0"/>
    <xf numFmtId="172" fontId="1" fillId="31" borderId="0" applyNumberFormat="0" applyBorder="0" applyAlignment="0" applyProtection="0"/>
    <xf numFmtId="172" fontId="1" fillId="31"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72" fontId="1" fillId="34" borderId="0" applyNumberFormat="0" applyBorder="0" applyAlignment="0" applyProtection="0"/>
    <xf numFmtId="172" fontId="1" fillId="34" borderId="0" applyNumberFormat="0" applyBorder="0" applyAlignment="0" applyProtection="0"/>
    <xf numFmtId="172"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72" fontId="1" fillId="37" borderId="0" applyNumberFormat="0" applyBorder="0" applyAlignment="0" applyProtection="0"/>
    <xf numFmtId="172" fontId="1" fillId="37" borderId="0" applyNumberFormat="0" applyBorder="0" applyAlignment="0" applyProtection="0"/>
    <xf numFmtId="172"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46" fillId="43" borderId="0" applyBorder="0" applyProtection="0"/>
    <xf numFmtId="172" fontId="46" fillId="43" borderId="0" applyBorder="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172" fontId="1" fillId="23" borderId="0" applyNumberFormat="0" applyBorder="0" applyAlignment="0" applyProtection="0"/>
    <xf numFmtId="172" fontId="1" fillId="23" borderId="0" applyNumberFormat="0" applyBorder="0" applyAlignment="0" applyProtection="0"/>
    <xf numFmtId="172" fontId="1" fillId="2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72" fontId="1" fillId="26" borderId="0" applyNumberFormat="0" applyBorder="0" applyAlignment="0" applyProtection="0"/>
    <xf numFmtId="172" fontId="1" fillId="26" borderId="0" applyNumberFormat="0" applyBorder="0" applyAlignment="0" applyProtection="0"/>
    <xf numFmtId="172"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172" fontId="1" fillId="29" borderId="0" applyNumberFormat="0" applyBorder="0" applyAlignment="0" applyProtection="0"/>
    <xf numFmtId="172" fontId="1" fillId="29" borderId="0" applyNumberFormat="0" applyBorder="0" applyAlignment="0" applyProtection="0"/>
    <xf numFmtId="172" fontId="1" fillId="29"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172" fontId="1" fillId="32" borderId="0" applyNumberFormat="0" applyBorder="0" applyAlignment="0" applyProtection="0"/>
    <xf numFmtId="172" fontId="1" fillId="32" borderId="0" applyNumberFormat="0" applyBorder="0" applyAlignment="0" applyProtection="0"/>
    <xf numFmtId="172" fontId="1" fillId="32"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72" fontId="1" fillId="35" borderId="0" applyNumberFormat="0" applyBorder="0" applyAlignment="0" applyProtection="0"/>
    <xf numFmtId="172" fontId="1" fillId="35" borderId="0" applyNumberFormat="0" applyBorder="0" applyAlignment="0" applyProtection="0"/>
    <xf numFmtId="172"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172" fontId="1" fillId="38" borderId="0" applyNumberFormat="0" applyBorder="0" applyAlignment="0" applyProtection="0"/>
    <xf numFmtId="172" fontId="1" fillId="38" borderId="0" applyNumberFormat="0" applyBorder="0" applyAlignment="0" applyProtection="0"/>
    <xf numFmtId="172" fontId="1" fillId="38"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72" fontId="10" fillId="24" borderId="0" applyNumberFormat="0" applyBorder="0" applyAlignment="0" applyProtection="0"/>
    <xf numFmtId="172" fontId="10" fillId="27" borderId="0" applyNumberFormat="0" applyBorder="0" applyAlignment="0" applyProtection="0"/>
    <xf numFmtId="172" fontId="10" fillId="30" borderId="0" applyNumberFormat="0" applyBorder="0" applyAlignment="0" applyProtection="0"/>
    <xf numFmtId="172" fontId="10" fillId="33" borderId="0" applyNumberFormat="0" applyBorder="0" applyAlignment="0" applyProtection="0"/>
    <xf numFmtId="172" fontId="10" fillId="36" borderId="0" applyNumberFormat="0" applyBorder="0" applyAlignment="0" applyProtection="0"/>
    <xf numFmtId="172" fontId="10" fillId="39" borderId="0" applyNumberFormat="0" applyBorder="0" applyAlignment="0" applyProtection="0"/>
    <xf numFmtId="172" fontId="10" fillId="7" borderId="0" applyNumberFormat="0" applyBorder="0" applyAlignment="0" applyProtection="0"/>
    <xf numFmtId="172" fontId="10" fillId="8" borderId="0" applyNumberFormat="0" applyBorder="0" applyAlignment="0" applyProtection="0"/>
    <xf numFmtId="172" fontId="10" fillId="9" borderId="0" applyNumberFormat="0" applyBorder="0" applyAlignment="0" applyProtection="0"/>
    <xf numFmtId="172" fontId="10" fillId="10" borderId="0" applyNumberFormat="0" applyBorder="0" applyAlignment="0" applyProtection="0"/>
    <xf numFmtId="172" fontId="10" fillId="11" borderId="0" applyNumberFormat="0" applyBorder="0" applyAlignment="0" applyProtection="0"/>
    <xf numFmtId="172" fontId="10" fillId="16" borderId="0" applyNumberFormat="0" applyBorder="0" applyAlignment="0" applyProtection="0"/>
    <xf numFmtId="172" fontId="17" fillId="12" borderId="0" applyNumberFormat="0" applyBorder="0" applyAlignment="0" applyProtection="0"/>
    <xf numFmtId="172" fontId="41" fillId="19" borderId="37" applyNumberFormat="0" applyAlignment="0" applyProtection="0"/>
    <xf numFmtId="172" fontId="43" fillId="20" borderId="40" applyNumberFormat="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2" fontId="9" fillId="0" borderId="0" applyFont="0" applyFill="0" applyBorder="0" applyAlignment="0" applyProtection="0"/>
    <xf numFmtId="42" fontId="9" fillId="0" borderId="0" applyFont="0" applyFill="0" applyBorder="0" applyAlignment="0" applyProtection="0"/>
    <xf numFmtId="42" fontId="9" fillId="0" borderId="0" applyFont="0" applyFill="0" applyBorder="0" applyAlignment="0" applyProtection="0"/>
    <xf numFmtId="42" fontId="9" fillId="0" borderId="0" applyFont="0" applyFill="0" applyBorder="0" applyAlignment="0" applyProtection="0"/>
    <xf numFmtId="42" fontId="9" fillId="0" borderId="0" applyFont="0" applyFill="0" applyBorder="0" applyAlignment="0" applyProtection="0"/>
    <xf numFmtId="42" fontId="9" fillId="0" borderId="0" applyFont="0" applyFill="0" applyBorder="0" applyAlignment="0" applyProtection="0"/>
    <xf numFmtId="42" fontId="9" fillId="0" borderId="0" applyFont="0" applyFill="0" applyBorder="0" applyAlignment="0" applyProtection="0"/>
    <xf numFmtId="42"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171"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0" fontId="47" fillId="0" borderId="0" applyNumberFormat="0" applyFill="0" applyBorder="0" applyProtection="0">
      <alignment horizontal="left"/>
    </xf>
    <xf numFmtId="172" fontId="47" fillId="0" borderId="0" applyNumberFormat="0" applyFill="0" applyBorder="0" applyProtection="0">
      <alignment horizontal="left"/>
    </xf>
    <xf numFmtId="172" fontId="47" fillId="0" borderId="0" applyNumberFormat="0" applyFill="0" applyBorder="0" applyProtection="0">
      <alignment horizontal="left"/>
    </xf>
    <xf numFmtId="0" fontId="47" fillId="0" borderId="0" applyNumberFormat="0" applyFill="0" applyBorder="0" applyProtection="0">
      <alignment horizontal="left"/>
    </xf>
    <xf numFmtId="0" fontId="47" fillId="0" borderId="0" applyNumberFormat="0" applyFill="0" applyBorder="0" applyAlignment="0" applyProtection="0"/>
    <xf numFmtId="172" fontId="47" fillId="0" borderId="0" applyNumberFormat="0" applyFill="0" applyBorder="0" applyAlignment="0" applyProtection="0"/>
    <xf numFmtId="172" fontId="47" fillId="0" borderId="0" applyNumberFormat="0" applyFill="0" applyBorder="0" applyAlignment="0" applyProtection="0"/>
    <xf numFmtId="0" fontId="47" fillId="0" borderId="0" applyNumberForma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4" fontId="47" fillId="0" borderId="0" applyFill="0" applyBorder="0" applyAlignment="0" applyProtection="0"/>
    <xf numFmtId="175" fontId="9" fillId="0" borderId="0" applyFont="0" applyFill="0" applyBorder="0" applyAlignment="0" applyProtection="0"/>
    <xf numFmtId="172" fontId="9" fillId="0" borderId="0" applyFont="0" applyFill="0" applyBorder="0" applyAlignment="0" applyProtection="0"/>
    <xf numFmtId="172"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2" fontId="47" fillId="0" borderId="0" applyFill="0" applyBorder="0" applyAlignment="0" applyProtection="0"/>
    <xf numFmtId="172" fontId="47" fillId="0" borderId="0" applyFill="0" applyBorder="0" applyAlignment="0" applyProtection="0"/>
    <xf numFmtId="174" fontId="47" fillId="0" borderId="0" applyFill="0" applyBorder="0" applyAlignment="0" applyProtection="0"/>
    <xf numFmtId="175" fontId="9" fillId="0" borderId="0" applyFont="0" applyFill="0" applyBorder="0" applyAlignment="0" applyProtection="0"/>
    <xf numFmtId="172" fontId="9" fillId="0" borderId="0" applyFont="0" applyFill="0" applyBorder="0" applyAlignment="0" applyProtection="0"/>
    <xf numFmtId="172"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3" fontId="9" fillId="0" borderId="0" applyFont="0" applyFill="0" applyBorder="0" applyAlignment="0" applyProtection="0"/>
    <xf numFmtId="172"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2"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2"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2"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2"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0" fontId="47" fillId="0" borderId="0"/>
    <xf numFmtId="172" fontId="47" fillId="0" borderId="0"/>
    <xf numFmtId="172" fontId="47" fillId="0" borderId="0"/>
    <xf numFmtId="0" fontId="47" fillId="0" borderId="0"/>
    <xf numFmtId="172" fontId="44" fillId="0" borderId="0" applyNumberFormat="0" applyFill="0" applyBorder="0" applyAlignment="0" applyProtection="0"/>
    <xf numFmtId="172" fontId="38" fillId="17" borderId="0" applyNumberFormat="0" applyBorder="0" applyAlignment="0" applyProtection="0"/>
    <xf numFmtId="172" fontId="35" fillId="0" borderId="34" applyNumberFormat="0" applyFill="0" applyAlignment="0" applyProtection="0"/>
    <xf numFmtId="172" fontId="36" fillId="0" borderId="35" applyNumberFormat="0" applyFill="0" applyAlignment="0" applyProtection="0"/>
    <xf numFmtId="172" fontId="37" fillId="0" borderId="36" applyNumberFormat="0" applyFill="0" applyAlignment="0" applyProtection="0"/>
    <xf numFmtId="172" fontId="37" fillId="0" borderId="0" applyNumberFormat="0" applyFill="0" applyBorder="0" applyAlignment="0" applyProtection="0"/>
    <xf numFmtId="0" fontId="48" fillId="0" borderId="0" applyNumberFormat="0" applyFill="0" applyBorder="0" applyAlignment="0" applyProtection="0"/>
    <xf numFmtId="172" fontId="48" fillId="0" borderId="0" applyNumberFormat="0" applyFill="0" applyBorder="0" applyAlignment="0" applyProtection="0"/>
    <xf numFmtId="175" fontId="49" fillId="0" borderId="0" applyNumberFormat="0" applyFill="0" applyBorder="0" applyAlignment="0" applyProtection="0">
      <alignment vertical="top"/>
      <protection locked="0"/>
    </xf>
    <xf numFmtId="172" fontId="50" fillId="0" borderId="0" applyNumberFormat="0" applyFill="0" applyBorder="0" applyAlignment="0" applyProtection="0">
      <alignment vertical="top"/>
      <protection locked="0"/>
    </xf>
    <xf numFmtId="175"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172"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172" fontId="25" fillId="0" borderId="0" applyNumberFormat="0" applyFill="0" applyBorder="0" applyAlignment="0" applyProtection="0">
      <alignment vertical="top"/>
      <protection locked="0"/>
    </xf>
    <xf numFmtId="172" fontId="39" fillId="18" borderId="37" applyNumberFormat="0" applyAlignment="0" applyProtection="0"/>
    <xf numFmtId="2" fontId="9" fillId="0" borderId="0" applyFill="0" applyBorder="0" applyAlignment="0"/>
    <xf numFmtId="2" fontId="9" fillId="0" borderId="0" applyFill="0" applyBorder="0" applyAlignment="0"/>
    <xf numFmtId="2" fontId="9" fillId="0" borderId="0" applyFill="0" applyBorder="0" applyAlignment="0"/>
    <xf numFmtId="2" fontId="9" fillId="0" borderId="0" applyFill="0" applyBorder="0" applyAlignment="0"/>
    <xf numFmtId="2" fontId="9" fillId="0" borderId="0" applyFill="0" applyBorder="0" applyAlignment="0"/>
    <xf numFmtId="2" fontId="9" fillId="0" borderId="0" applyFill="0" applyBorder="0" applyAlignment="0"/>
    <xf numFmtId="2" fontId="9" fillId="0" borderId="0" applyFill="0" applyBorder="0" applyAlignment="0"/>
    <xf numFmtId="2" fontId="9" fillId="0" borderId="0" applyFill="0" applyBorder="0" applyAlignment="0"/>
    <xf numFmtId="0" fontId="25" fillId="0" borderId="0" applyNumberFormat="0" applyFill="0" applyBorder="0" applyAlignment="0" applyProtection="0">
      <alignment vertical="top"/>
      <protection locked="0"/>
    </xf>
    <xf numFmtId="0" fontId="25" fillId="0" borderId="0" applyNumberFormat="0" applyFill="0" applyBorder="0" applyAlignment="0" applyProtection="0"/>
    <xf numFmtId="172" fontId="25" fillId="0" borderId="0" applyNumberFormat="0" applyFill="0" applyBorder="0" applyAlignment="0" applyProtection="0"/>
    <xf numFmtId="175" fontId="25" fillId="0" borderId="0" applyNumberFormat="0" applyFill="0" applyBorder="0" applyAlignment="0" applyProtection="0">
      <alignment vertical="top"/>
      <protection locked="0"/>
    </xf>
    <xf numFmtId="172" fontId="25" fillId="0" borderId="0" applyNumberFormat="0" applyFill="0" applyBorder="0" applyAlignment="0" applyProtection="0">
      <alignment vertical="top"/>
      <protection locked="0"/>
    </xf>
    <xf numFmtId="172" fontId="25"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5" fillId="0" borderId="0" applyNumberFormat="0" applyFill="0" applyBorder="0" applyAlignment="0" applyProtection="0"/>
    <xf numFmtId="172" fontId="55" fillId="0" borderId="0" applyNumberFormat="0" applyFill="0" applyBorder="0" applyAlignment="0" applyProtection="0"/>
    <xf numFmtId="175" fontId="54" fillId="0" borderId="0" applyNumberFormat="0" applyFill="0" applyBorder="0" applyAlignment="0" applyProtection="0">
      <alignment vertical="top"/>
      <protection locked="0"/>
    </xf>
    <xf numFmtId="172" fontId="54" fillId="0" borderId="0" applyNumberFormat="0" applyFill="0" applyBorder="0" applyAlignment="0" applyProtection="0">
      <alignment vertical="top"/>
      <protection locked="0"/>
    </xf>
    <xf numFmtId="172" fontId="5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172" fontId="42" fillId="0" borderId="39" applyNumberFormat="0" applyFill="0" applyAlignment="0" applyProtection="0"/>
    <xf numFmtId="172" fontId="2" fillId="2" borderId="0" applyNumberFormat="0" applyBorder="0" applyAlignment="0" applyProtection="0"/>
    <xf numFmtId="176" fontId="56" fillId="0" borderId="0"/>
    <xf numFmtId="176" fontId="5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172" fontId="9" fillId="0" borderId="0"/>
    <xf numFmtId="172" fontId="9" fillId="0" borderId="0"/>
    <xf numFmtId="0" fontId="9" fillId="0" borderId="0"/>
    <xf numFmtId="0" fontId="9" fillId="0" borderId="0"/>
    <xf numFmtId="0" fontId="9" fillId="0" borderId="0"/>
    <xf numFmtId="0"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172" fontId="9" fillId="0" borderId="0"/>
    <xf numFmtId="172" fontId="9" fillId="0" borderId="0"/>
    <xf numFmtId="0" fontId="9" fillId="0" borderId="0"/>
    <xf numFmtId="0" fontId="9" fillId="0" borderId="0"/>
    <xf numFmtId="0" fontId="9" fillId="0" borderId="0"/>
    <xf numFmtId="0"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172" fontId="9" fillId="0" borderId="0"/>
    <xf numFmtId="172"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172" fontId="9" fillId="0" borderId="0"/>
    <xf numFmtId="172" fontId="9" fillId="0" borderId="0"/>
    <xf numFmtId="0" fontId="9" fillId="0" borderId="0"/>
    <xf numFmtId="0" fontId="9" fillId="0" borderId="0"/>
    <xf numFmtId="0" fontId="9" fillId="0" borderId="0"/>
    <xf numFmtId="0"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172" fontId="9" fillId="0" borderId="0"/>
    <xf numFmtId="172"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58" fillId="0" borderId="0">
      <alignment vertical="top"/>
    </xf>
    <xf numFmtId="172" fontId="58"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16" fillId="0" borderId="0"/>
    <xf numFmtId="0" fontId="58" fillId="0" borderId="0"/>
    <xf numFmtId="172" fontId="58" fillId="0" borderId="0"/>
    <xf numFmtId="175" fontId="16" fillId="0" borderId="0"/>
    <xf numFmtId="172" fontId="16" fillId="0" borderId="0"/>
    <xf numFmtId="172" fontId="16" fillId="0" borderId="0"/>
    <xf numFmtId="0" fontId="9" fillId="0" borderId="0"/>
    <xf numFmtId="0"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59" fillId="0" borderId="0"/>
    <xf numFmtId="175" fontId="59" fillId="0" borderId="0"/>
    <xf numFmtId="172" fontId="59" fillId="0" borderId="0"/>
    <xf numFmtId="172" fontId="59" fillId="0" borderId="0"/>
    <xf numFmtId="0" fontId="47" fillId="0" borderId="0"/>
    <xf numFmtId="175" fontId="9" fillId="0" borderId="0"/>
    <xf numFmtId="172" fontId="9" fillId="0" borderId="0"/>
    <xf numFmtId="172" fontId="9" fillId="0" borderId="0"/>
    <xf numFmtId="175" fontId="9" fillId="0" borderId="0"/>
    <xf numFmtId="175" fontId="9" fillId="0" borderId="0"/>
    <xf numFmtId="175" fontId="9" fillId="0" borderId="0"/>
    <xf numFmtId="0" fontId="47"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alignment vertical="top"/>
    </xf>
    <xf numFmtId="172" fontId="58"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9" fillId="0" borderId="0"/>
    <xf numFmtId="172" fontId="9" fillId="0" borderId="0"/>
    <xf numFmtId="172" fontId="9" fillId="0" borderId="0"/>
    <xf numFmtId="175" fontId="9" fillId="0" borderId="0"/>
    <xf numFmtId="175" fontId="9" fillId="0" borderId="0"/>
    <xf numFmtId="175" fontId="9" fillId="0" borderId="0"/>
    <xf numFmtId="0" fontId="47"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47" fillId="0" borderId="0"/>
    <xf numFmtId="172" fontId="47" fillId="0" borderId="0"/>
    <xf numFmtId="0" fontId="47" fillId="0" borderId="0"/>
    <xf numFmtId="0" fontId="47"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47" fillId="0" borderId="0"/>
    <xf numFmtId="172" fontId="47" fillId="0" borderId="0"/>
    <xf numFmtId="0" fontId="47" fillId="0" borderId="0"/>
    <xf numFmtId="0" fontId="47"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1" fillId="0" borderId="0"/>
    <xf numFmtId="172" fontId="47" fillId="0" borderId="0"/>
    <xf numFmtId="172" fontId="47" fillId="0" borderId="0"/>
    <xf numFmtId="0" fontId="47" fillId="0" borderId="0"/>
    <xf numFmtId="0" fontId="47" fillId="0" borderId="0"/>
    <xf numFmtId="172" fontId="47" fillId="0" borderId="0"/>
    <xf numFmtId="172" fontId="47" fillId="0" borderId="0"/>
    <xf numFmtId="0" fontId="47" fillId="0" borderId="0"/>
    <xf numFmtId="0" fontId="47" fillId="0" borderId="0"/>
    <xf numFmtId="172" fontId="47" fillId="0" borderId="0"/>
    <xf numFmtId="172" fontId="47" fillId="0" borderId="0"/>
    <xf numFmtId="0" fontId="47"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175" fontId="9" fillId="0" borderId="0"/>
    <xf numFmtId="172" fontId="9" fillId="0" borderId="0"/>
    <xf numFmtId="172" fontId="9" fillId="0" borderId="0"/>
    <xf numFmtId="175" fontId="9" fillId="0" borderId="0"/>
    <xf numFmtId="175" fontId="9" fillId="0" borderId="0"/>
    <xf numFmtId="175"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9" fillId="0" borderId="0"/>
    <xf numFmtId="172" fontId="9" fillId="0" borderId="0"/>
    <xf numFmtId="172" fontId="9" fillId="0" borderId="0"/>
    <xf numFmtId="0" fontId="9" fillId="0" borderId="0"/>
    <xf numFmtId="0" fontId="9" fillId="0" borderId="0"/>
    <xf numFmtId="0" fontId="9" fillId="0" borderId="0"/>
    <xf numFmtId="0" fontId="47" fillId="0" borderId="0"/>
    <xf numFmtId="172" fontId="47" fillId="0" borderId="0"/>
    <xf numFmtId="172" fontId="47" fillId="0" borderId="0"/>
    <xf numFmtId="0" fontId="47" fillId="0" borderId="0"/>
    <xf numFmtId="0" fontId="47" fillId="0" borderId="0"/>
    <xf numFmtId="172" fontId="47" fillId="0" borderId="0"/>
    <xf numFmtId="172" fontId="47" fillId="0" borderId="0"/>
    <xf numFmtId="0" fontId="47" fillId="0" borderId="0"/>
    <xf numFmtId="0" fontId="47" fillId="0" borderId="0"/>
    <xf numFmtId="172" fontId="47" fillId="0" borderId="0"/>
    <xf numFmtId="172" fontId="47" fillId="0" borderId="0"/>
    <xf numFmtId="0" fontId="47"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58" fillId="0" borderId="0">
      <alignment vertical="top"/>
    </xf>
    <xf numFmtId="172" fontId="58" fillId="0" borderId="0">
      <alignment vertical="top"/>
    </xf>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172" fontId="9" fillId="0" borderId="0"/>
    <xf numFmtId="172"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2" fontId="1" fillId="0" borderId="0"/>
    <xf numFmtId="172" fontId="1" fillId="0" borderId="0"/>
    <xf numFmtId="172"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xf numFmtId="172" fontId="1" fillId="0" borderId="0"/>
    <xf numFmtId="172"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172" fontId="47" fillId="0" borderId="0"/>
    <xf numFmtId="172"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172" fontId="47" fillId="0" borderId="0"/>
    <xf numFmtId="0" fontId="9" fillId="0" borderId="0"/>
    <xf numFmtId="0" fontId="9" fillId="0" borderId="0"/>
    <xf numFmtId="172" fontId="47" fillId="0" borderId="0"/>
    <xf numFmtId="0" fontId="9"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172" fontId="1"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172" fontId="1" fillId="0" borderId="0"/>
    <xf numFmtId="172"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172" fontId="1" fillId="0" borderId="0"/>
    <xf numFmtId="172"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172" fontId="1"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172" fontId="1" fillId="0" borderId="0"/>
    <xf numFmtId="172"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5" fontId="1" fillId="0" borderId="0"/>
    <xf numFmtId="172" fontId="1" fillId="0" borderId="0"/>
    <xf numFmtId="0" fontId="9" fillId="0" borderId="0"/>
    <xf numFmtId="172" fontId="1" fillId="0" borderId="0"/>
    <xf numFmtId="172"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172" fontId="1" fillId="0" borderId="0"/>
    <xf numFmtId="0" fontId="9" fillId="0" borderId="0"/>
    <xf numFmtId="172" fontId="1" fillId="0" borderId="0"/>
    <xf numFmtId="172" fontId="1" fillId="0" borderId="0"/>
    <xf numFmtId="0" fontId="9" fillId="0" borderId="0"/>
    <xf numFmtId="175" fontId="1"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175" fontId="1" fillId="0" borderId="0"/>
    <xf numFmtId="0" fontId="9" fillId="0" borderId="0"/>
    <xf numFmtId="175" fontId="1" fillId="0" borderId="0"/>
    <xf numFmtId="175" fontId="1" fillId="0" borderId="0"/>
    <xf numFmtId="0" fontId="1" fillId="0" borderId="0"/>
    <xf numFmtId="172" fontId="1"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47" fillId="0" borderId="0"/>
    <xf numFmtId="0" fontId="47" fillId="0" borderId="0"/>
    <xf numFmtId="172" fontId="47" fillId="0" borderId="0"/>
    <xf numFmtId="0" fontId="9" fillId="0" borderId="0"/>
    <xf numFmtId="0" fontId="9" fillId="0" borderId="0"/>
    <xf numFmtId="172" fontId="47" fillId="0" borderId="0"/>
    <xf numFmtId="0" fontId="9" fillId="0" borderId="0"/>
    <xf numFmtId="0" fontId="9" fillId="0" borderId="0"/>
    <xf numFmtId="0" fontId="47"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172" fontId="47" fillId="0" borderId="0"/>
    <xf numFmtId="0" fontId="9" fillId="0" borderId="0"/>
    <xf numFmtId="0" fontId="9" fillId="0" borderId="0"/>
    <xf numFmtId="172" fontId="47" fillId="0" borderId="0"/>
    <xf numFmtId="0" fontId="9" fillId="0" borderId="0"/>
    <xf numFmtId="0" fontId="9" fillId="0" borderId="0"/>
    <xf numFmtId="0" fontId="47"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5" fontId="1" fillId="0" borderId="0"/>
    <xf numFmtId="172" fontId="1" fillId="0" borderId="0"/>
    <xf numFmtId="0" fontId="9" fillId="0" borderId="0"/>
    <xf numFmtId="0" fontId="9" fillId="0" borderId="0"/>
    <xf numFmtId="172" fontId="1" fillId="0" borderId="0"/>
    <xf numFmtId="172"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175" fontId="1" fillId="0" borderId="0"/>
    <xf numFmtId="0" fontId="9" fillId="0" borderId="0"/>
    <xf numFmtId="0" fontId="9" fillId="0" borderId="0"/>
    <xf numFmtId="175" fontId="1" fillId="0" borderId="0"/>
    <xf numFmtId="175"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172" fontId="1" fillId="0" borderId="0"/>
    <xf numFmtId="0" fontId="9" fillId="0" borderId="0"/>
    <xf numFmtId="0" fontId="9" fillId="0" borderId="0"/>
    <xf numFmtId="172" fontId="1" fillId="0" borderId="0"/>
    <xf numFmtId="172"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xf numFmtId="0" fontId="9" fillId="0" borderId="0"/>
    <xf numFmtId="0" fontId="9" fillId="0" borderId="0"/>
    <xf numFmtId="172" fontId="47" fillId="0" borderId="0"/>
    <xf numFmtId="0" fontId="47" fillId="0" borderId="0"/>
    <xf numFmtId="0" fontId="9" fillId="0" borderId="0"/>
    <xf numFmtId="0" fontId="9"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175" fontId="1" fillId="0" borderId="0"/>
    <xf numFmtId="0" fontId="9" fillId="0" borderId="0"/>
    <xf numFmtId="0" fontId="9" fillId="0" borderId="0"/>
    <xf numFmtId="175" fontId="1" fillId="0" borderId="0"/>
    <xf numFmtId="175"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0" borderId="0"/>
    <xf numFmtId="0" fontId="9" fillId="0" borderId="0"/>
    <xf numFmtId="0" fontId="9" fillId="0" borderId="0"/>
    <xf numFmtId="172" fontId="1" fillId="0" borderId="0"/>
    <xf numFmtId="172"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58" fillId="0" borderId="0"/>
    <xf numFmtId="0" fontId="9" fillId="0" borderId="0"/>
    <xf numFmtId="0" fontId="9" fillId="0" borderId="0"/>
    <xf numFmtId="172" fontId="58" fillId="0" borderId="0"/>
    <xf numFmtId="0" fontId="58" fillId="0" borderId="0"/>
    <xf numFmtId="0" fontId="9" fillId="0" borderId="0"/>
    <xf numFmtId="0" fontId="9" fillId="0" borderId="0"/>
    <xf numFmtId="0" fontId="58" fillId="0" borderId="0"/>
    <xf numFmtId="0" fontId="9" fillId="0" borderId="0"/>
    <xf numFmtId="0" fontId="9" fillId="0" borderId="0"/>
    <xf numFmtId="0" fontId="9" fillId="0" borderId="0"/>
    <xf numFmtId="172" fontId="16" fillId="0" borderId="0"/>
    <xf numFmtId="0" fontId="9" fillId="0" borderId="0"/>
    <xf numFmtId="0" fontId="9" fillId="0" borderId="0"/>
    <xf numFmtId="172" fontId="16" fillId="0" borderId="0"/>
    <xf numFmtId="175" fontId="16" fillId="0" borderId="0"/>
    <xf numFmtId="0" fontId="9" fillId="0" borderId="0"/>
    <xf numFmtId="0" fontId="9" fillId="0" borderId="0"/>
    <xf numFmtId="175" fontId="16" fillId="0" borderId="0"/>
    <xf numFmtId="0" fontId="9" fillId="0" borderId="0"/>
    <xf numFmtId="0" fontId="9" fillId="0" borderId="0"/>
    <xf numFmtId="172" fontId="16" fillId="0" borderId="0"/>
    <xf numFmtId="0" fontId="9" fillId="0" borderId="0"/>
    <xf numFmtId="0" fontId="9" fillId="0" borderId="0"/>
    <xf numFmtId="172" fontId="16" fillId="0" borderId="0"/>
    <xf numFmtId="0" fontId="16" fillId="0" borderId="0"/>
    <xf numFmtId="0" fontId="9" fillId="0" borderId="0"/>
    <xf numFmtId="0" fontId="9"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21" borderId="41" applyNumberFormat="0" applyFont="0" applyAlignment="0" applyProtection="0"/>
    <xf numFmtId="0" fontId="9" fillId="0" borderId="0"/>
    <xf numFmtId="0" fontId="9" fillId="0" borderId="0"/>
    <xf numFmtId="172" fontId="1" fillId="21" borderId="41" applyNumberFormat="0" applyFont="0" applyAlignment="0" applyProtection="0"/>
    <xf numFmtId="172" fontId="1" fillId="21" borderId="41" applyNumberFormat="0" applyFont="0" applyAlignment="0" applyProtection="0"/>
    <xf numFmtId="0" fontId="1" fillId="21" borderId="41" applyNumberFormat="0" applyFont="0" applyAlignment="0" applyProtection="0"/>
    <xf numFmtId="0" fontId="9" fillId="0" borderId="0"/>
    <xf numFmtId="0" fontId="9" fillId="0" borderId="0"/>
    <xf numFmtId="0" fontId="1" fillId="21" borderId="41" applyNumberFormat="0" applyFont="0" applyAlignment="0" applyProtection="0"/>
    <xf numFmtId="0" fontId="1" fillId="21" borderId="41" applyNumberFormat="0" applyFont="0" applyAlignment="0" applyProtection="0"/>
    <xf numFmtId="0" fontId="9" fillId="0" borderId="0"/>
    <xf numFmtId="0" fontId="9" fillId="0" borderId="0"/>
    <xf numFmtId="172" fontId="1" fillId="21" borderId="41" applyNumberFormat="0" applyFont="0" applyAlignment="0" applyProtection="0"/>
    <xf numFmtId="0" fontId="9" fillId="0" borderId="0"/>
    <xf numFmtId="0" fontId="9" fillId="0" borderId="0"/>
    <xf numFmtId="172" fontId="1" fillId="21" borderId="41" applyNumberFormat="0" applyFont="0" applyAlignment="0" applyProtection="0"/>
    <xf numFmtId="172" fontId="1" fillId="21" borderId="41" applyNumberFormat="0" applyFont="0" applyAlignment="0" applyProtection="0"/>
    <xf numFmtId="0" fontId="1" fillId="21" borderId="41" applyNumberFormat="0" applyFont="0" applyAlignment="0" applyProtection="0"/>
    <xf numFmtId="0" fontId="9" fillId="0" borderId="0"/>
    <xf numFmtId="0" fontId="9" fillId="0" borderId="0"/>
    <xf numFmtId="0" fontId="1" fillId="21" borderId="41" applyNumberFormat="0" applyFont="0" applyAlignment="0" applyProtection="0"/>
    <xf numFmtId="0" fontId="1" fillId="21" borderId="41" applyNumberFormat="0" applyFon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21" borderId="41" applyNumberFormat="0" applyFont="0" applyAlignment="0" applyProtection="0"/>
    <xf numFmtId="0" fontId="9" fillId="0" borderId="0"/>
    <xf numFmtId="0" fontId="9" fillId="0" borderId="0"/>
    <xf numFmtId="172" fontId="1" fillId="21" borderId="41" applyNumberFormat="0" applyFont="0" applyAlignment="0" applyProtection="0"/>
    <xf numFmtId="172" fontId="1" fillId="21" borderId="41" applyNumberFormat="0" applyFon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1" fillId="21" borderId="41" applyNumberFormat="0" applyFont="0" applyAlignment="0" applyProtection="0"/>
    <xf numFmtId="0" fontId="9" fillId="0" borderId="0"/>
    <xf numFmtId="0" fontId="9" fillId="0" borderId="0"/>
    <xf numFmtId="172" fontId="1" fillId="21" borderId="41" applyNumberFormat="0" applyFont="0" applyAlignment="0" applyProtection="0"/>
    <xf numFmtId="172" fontId="1" fillId="21" borderId="41" applyNumberFormat="0" applyFon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0" fillId="46" borderId="43">
      <alignment vertical="center"/>
    </xf>
    <xf numFmtId="172" fontId="40" fillId="19" borderId="38" applyNumberFormat="0" applyAlignment="0" applyProtection="0"/>
    <xf numFmtId="0" fontId="9" fillId="0" borderId="0"/>
    <xf numFmtId="0" fontId="9" fillId="0" borderId="0"/>
    <xf numFmtId="172" fontId="40" fillId="19" borderId="38"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 fillId="0" borderId="0" applyFont="0" applyFill="0" applyBorder="0" applyAlignment="0" applyProtection="0"/>
    <xf numFmtId="172" fontId="45" fillId="0" borderId="0" applyNumberFormat="0" applyFill="0" applyBorder="0" applyAlignment="0" applyProtection="0"/>
    <xf numFmtId="0" fontId="9" fillId="0" borderId="0"/>
    <xf numFmtId="0" fontId="9" fillId="0" borderId="0"/>
    <xf numFmtId="172" fontId="45" fillId="0" borderId="0" applyNumberFormat="0" applyFill="0" applyBorder="0" applyAlignment="0" applyProtection="0"/>
    <xf numFmtId="172" fontId="8" fillId="0" borderId="42" applyNumberFormat="0" applyFill="0" applyAlignment="0" applyProtection="0"/>
    <xf numFmtId="0" fontId="9" fillId="0" borderId="0"/>
    <xf numFmtId="0" fontId="9" fillId="0" borderId="0"/>
    <xf numFmtId="172" fontId="8" fillId="0" borderId="42" applyNumberFormat="0" applyFill="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0" borderId="0" applyNumberFormat="0" applyFill="0" applyBorder="0" applyAlignment="0">
      <protection locked="0" hidden="1"/>
    </xf>
    <xf numFmtId="0" fontId="9" fillId="0" borderId="0"/>
    <xf numFmtId="0" fontId="9" fillId="0" borderId="0"/>
    <xf numFmtId="172" fontId="47" fillId="0" borderId="0" applyNumberFormat="0" applyFill="0" applyBorder="0" applyAlignment="0">
      <protection locked="0" hidden="1"/>
    </xf>
    <xf numFmtId="0" fontId="47" fillId="0" borderId="0" applyNumberFormat="0" applyFill="0" applyBorder="0" applyAlignment="0">
      <protection locked="0" hidden="1"/>
    </xf>
    <xf numFmtId="0" fontId="9" fillId="0" borderId="0"/>
    <xf numFmtId="0" fontId="9" fillId="0" borderId="0"/>
    <xf numFmtId="0" fontId="47" fillId="0" borderId="0" applyNumberFormat="0" applyFill="0" applyBorder="0" applyAlignment="0">
      <protection locked="0" hidden="1"/>
    </xf>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2" fillId="47" borderId="0" applyNumberFormat="0" applyBorder="0" applyAlignment="0" applyProtection="0"/>
    <xf numFmtId="0" fontId="9" fillId="0" borderId="0"/>
    <xf numFmtId="0" fontId="9" fillId="0" borderId="0"/>
    <xf numFmtId="172" fontId="62" fillId="47" borderId="0" applyNumberFormat="0" applyBorder="0" applyAlignment="0" applyProtection="0"/>
    <xf numFmtId="0" fontId="62" fillId="47" borderId="0" applyNumberFormat="0" applyBorder="0" applyAlignment="0" applyProtection="0"/>
    <xf numFmtId="0" fontId="9" fillId="0" borderId="0"/>
    <xf numFmtId="0" fontId="9" fillId="0" borderId="0"/>
    <xf numFmtId="0" fontId="62" fillId="47"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1" fillId="48" borderId="0" applyNumberFormat="0" applyBorder="0" applyAlignment="0" applyProtection="0"/>
    <xf numFmtId="0" fontId="9" fillId="0" borderId="0"/>
    <xf numFmtId="0" fontId="9" fillId="0" borderId="0"/>
    <xf numFmtId="172" fontId="61" fillId="48" borderId="0" applyNumberFormat="0" applyBorder="0" applyAlignment="0" applyProtection="0"/>
    <xf numFmtId="0" fontId="61" fillId="48" borderId="0" applyNumberFormat="0" applyBorder="0" applyAlignment="0" applyProtection="0"/>
    <xf numFmtId="0" fontId="9" fillId="0" borderId="0"/>
    <xf numFmtId="0" fontId="9" fillId="0" borderId="0"/>
    <xf numFmtId="0" fontId="61" fillId="48" borderId="0" applyNumberFormat="0" applyBorder="0" applyAlignment="0" applyProtection="0"/>
    <xf numFmtId="0" fontId="9" fillId="0" borderId="0"/>
    <xf numFmtId="0" fontId="9" fillId="0" borderId="0"/>
    <xf numFmtId="0" fontId="9" fillId="0" borderId="0"/>
    <xf numFmtId="172" fontId="61" fillId="48" borderId="0" applyNumberFormat="0" applyBorder="0" applyAlignment="0" applyProtection="0"/>
    <xf numFmtId="0" fontId="9" fillId="0" borderId="0"/>
    <xf numFmtId="0" fontId="9" fillId="0" borderId="0"/>
    <xf numFmtId="172" fontId="61" fillId="48" borderId="0" applyNumberFormat="0" applyBorder="0" applyAlignment="0" applyProtection="0"/>
    <xf numFmtId="0" fontId="61" fillId="48" borderId="0" applyNumberFormat="0" applyBorder="0" applyAlignment="0" applyProtection="0"/>
    <xf numFmtId="0" fontId="9" fillId="0" borderId="0"/>
    <xf numFmtId="0" fontId="9" fillId="0" borderId="0"/>
    <xf numFmtId="0" fontId="61" fillId="48"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63" fillId="0" borderId="0" applyNumberFormat="0" applyFill="0" applyBorder="0" applyAlignment="0" applyProtection="0"/>
    <xf numFmtId="0" fontId="9" fillId="0" borderId="0"/>
    <xf numFmtId="0" fontId="9" fillId="0" borderId="0"/>
    <xf numFmtId="172" fontId="63" fillId="0" borderId="0" applyNumberFormat="0" applyFill="0" applyBorder="0" applyAlignment="0" applyProtection="0"/>
    <xf numFmtId="0" fontId="63" fillId="0" borderId="0" applyNumberFormat="0" applyFill="0" applyBorder="0" applyAlignment="0" applyProtection="0"/>
    <xf numFmtId="0" fontId="9" fillId="0" borderId="0"/>
    <xf numFmtId="0" fontId="9" fillId="0" borderId="0"/>
    <xf numFmtId="0" fontId="6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47" fillId="48" borderId="0" applyNumberFormat="0" applyBorder="0" applyAlignment="0" applyProtection="0"/>
    <xf numFmtId="0" fontId="9" fillId="0" borderId="0"/>
    <xf numFmtId="0" fontId="9" fillId="0" borderId="0"/>
    <xf numFmtId="172" fontId="47" fillId="48" borderId="0" applyNumberFormat="0" applyBorder="0" applyAlignment="0" applyProtection="0"/>
    <xf numFmtId="0" fontId="47" fillId="48" borderId="0" applyNumberFormat="0" applyBorder="0" applyAlignment="0" applyProtection="0"/>
    <xf numFmtId="0" fontId="9" fillId="0" borderId="0"/>
    <xf numFmtId="0" fontId="9" fillId="0" borderId="0"/>
    <xf numFmtId="0" fontId="47" fillId="48"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0" fontId="9" fillId="0" borderId="0"/>
    <xf numFmtId="172" fontId="61" fillId="47" borderId="0" applyNumberFormat="0" applyBorder="0" applyAlignment="0" applyProtection="0"/>
    <xf numFmtId="0" fontId="9" fillId="0" borderId="0"/>
    <xf numFmtId="0" fontId="9" fillId="0" borderId="0"/>
    <xf numFmtId="172" fontId="61" fillId="47" borderId="0" applyNumberFormat="0" applyBorder="0" applyAlignment="0" applyProtection="0"/>
    <xf numFmtId="0" fontId="61" fillId="47" borderId="0" applyNumberFormat="0" applyBorder="0" applyAlignment="0" applyProtection="0"/>
    <xf numFmtId="0" fontId="9" fillId="0" borderId="0"/>
    <xf numFmtId="0" fontId="9" fillId="0" borderId="0"/>
    <xf numFmtId="0" fontId="61" fillId="47" borderId="0" applyNumberFormat="0" applyBorder="0" applyAlignment="0" applyProtection="0"/>
    <xf numFmtId="0" fontId="9" fillId="0" borderId="0"/>
    <xf numFmtId="0" fontId="9" fillId="0" borderId="0"/>
    <xf numFmtId="172" fontId="21" fillId="0" borderId="0" applyNumberFormat="0" applyFill="0" applyBorder="0" applyAlignment="0" applyProtection="0"/>
    <xf numFmtId="0" fontId="9" fillId="0" borderId="0"/>
    <xf numFmtId="0" fontId="9" fillId="0" borderId="0"/>
    <xf numFmtId="172" fontId="21" fillId="0" borderId="0" applyNumberFormat="0" applyFill="0" applyBorder="0" applyAlignment="0" applyProtection="0"/>
    <xf numFmtId="0" fontId="9" fillId="0" borderId="0"/>
    <xf numFmtId="9" fontId="9" fillId="0" borderId="0" applyFont="0" applyFill="0" applyBorder="0" applyAlignment="0" applyProtection="0"/>
    <xf numFmtId="0" fontId="13" fillId="0" borderId="0"/>
    <xf numFmtId="0" fontId="9" fillId="0" borderId="0"/>
    <xf numFmtId="0" fontId="9" fillId="0" borderId="0"/>
    <xf numFmtId="44" fontId="9" fillId="0" borderId="0" applyFont="0" applyFill="0" applyBorder="0" applyAlignment="0" applyProtection="0"/>
    <xf numFmtId="9" fontId="9" fillId="0" borderId="0" applyFont="0" applyFill="0" applyBorder="0" applyAlignment="0" applyProtection="0"/>
    <xf numFmtId="0" fontId="38" fillId="17" borderId="0" applyNumberFormat="0" applyBorder="0" applyAlignment="0" applyProtection="0"/>
    <xf numFmtId="0" fontId="98" fillId="0" borderId="0"/>
    <xf numFmtId="9" fontId="98"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869">
    <xf numFmtId="0" fontId="0" fillId="0" borderId="0" xfId="0"/>
    <xf numFmtId="0" fontId="5" fillId="0" borderId="0" xfId="0" applyFont="1"/>
    <xf numFmtId="0" fontId="5" fillId="0" borderId="0" xfId="0" applyFont="1" applyAlignment="1">
      <alignment horizontal="right"/>
    </xf>
    <xf numFmtId="0" fontId="3" fillId="0" borderId="0" xfId="0" applyFont="1" applyFill="1" applyAlignment="1">
      <alignment horizontal="right" wrapText="1" readingOrder="1"/>
    </xf>
    <xf numFmtId="0" fontId="0" fillId="0" borderId="0" xfId="0" applyFont="1" applyAlignment="1">
      <alignment horizontal="center"/>
    </xf>
    <xf numFmtId="0" fontId="6" fillId="0" borderId="0" xfId="0" applyFont="1" applyAlignment="1">
      <alignment horizontal="left" wrapText="1" readingOrder="1"/>
    </xf>
    <xf numFmtId="44" fontId="0" fillId="0" borderId="0" xfId="1" applyFont="1"/>
    <xf numFmtId="0" fontId="0" fillId="0" borderId="0" xfId="0" applyBorder="1"/>
    <xf numFmtId="165" fontId="5" fillId="0" borderId="0" xfId="0" applyNumberFormat="1" applyFont="1"/>
    <xf numFmtId="0" fontId="5" fillId="0" borderId="0" xfId="0" applyFont="1" applyBorder="1"/>
    <xf numFmtId="44" fontId="5" fillId="0" borderId="0" xfId="1" applyFont="1"/>
    <xf numFmtId="0" fontId="6" fillId="0" borderId="0" xfId="0" applyFont="1"/>
    <xf numFmtId="0" fontId="5" fillId="0" borderId="0" xfId="0" applyFont="1" applyFill="1"/>
    <xf numFmtId="38" fontId="5" fillId="0" borderId="0" xfId="0" applyNumberFormat="1" applyFont="1" applyBorder="1"/>
    <xf numFmtId="0" fontId="0" fillId="0" borderId="0" xfId="0" applyAlignment="1">
      <alignment horizontal="center"/>
    </xf>
    <xf numFmtId="0" fontId="6" fillId="0" borderId="0" xfId="0" applyFont="1" applyAlignment="1">
      <alignment horizontal="right"/>
    </xf>
    <xf numFmtId="0" fontId="5" fillId="0" borderId="0" xfId="0" applyFont="1" applyAlignment="1">
      <alignment horizontal="center"/>
    </xf>
    <xf numFmtId="0" fontId="5" fillId="0" borderId="0" xfId="0" applyFont="1" applyAlignment="1">
      <alignment horizontal="right" indent="1"/>
    </xf>
    <xf numFmtId="6" fontId="5" fillId="0" borderId="0" xfId="0" applyNumberFormat="1" applyFont="1" applyBorder="1"/>
    <xf numFmtId="0" fontId="4" fillId="0" borderId="0" xfId="0" applyFont="1" applyAlignment="1">
      <alignment horizontal="center" wrapText="1" readingOrder="1"/>
    </xf>
    <xf numFmtId="166" fontId="5" fillId="0" borderId="0" xfId="1" applyNumberFormat="1" applyFont="1" applyAlignment="1">
      <alignment horizontal="right" readingOrder="1"/>
    </xf>
    <xf numFmtId="6" fontId="6" fillId="0" borderId="0" xfId="0" applyNumberFormat="1" applyFont="1" applyBorder="1"/>
    <xf numFmtId="38" fontId="6" fillId="0" borderId="0" xfId="0" applyNumberFormat="1" applyFont="1" applyBorder="1"/>
    <xf numFmtId="6" fontId="8" fillId="0" borderId="0" xfId="0" applyNumberFormat="1" applyFont="1" applyBorder="1"/>
    <xf numFmtId="38" fontId="0" fillId="0" borderId="0" xfId="0" applyNumberFormat="1" applyBorder="1"/>
    <xf numFmtId="0" fontId="6" fillId="0" borderId="0" xfId="0" applyFont="1" applyBorder="1" applyAlignment="1">
      <alignment horizontal="left" wrapText="1" readingOrder="1"/>
    </xf>
    <xf numFmtId="0" fontId="0" fillId="0" borderId="0" xfId="0" applyBorder="1" applyAlignment="1">
      <alignment horizontal="center"/>
    </xf>
    <xf numFmtId="166" fontId="5" fillId="0" borderId="0" xfId="1" applyNumberFormat="1" applyFont="1" applyBorder="1" applyAlignment="1">
      <alignment horizontal="right" readingOrder="1"/>
    </xf>
    <xf numFmtId="0" fontId="8" fillId="0" borderId="0" xfId="0" applyFont="1" applyBorder="1"/>
    <xf numFmtId="44" fontId="0" fillId="0" borderId="0" xfId="1" applyFont="1" applyBorder="1"/>
    <xf numFmtId="0" fontId="6" fillId="0" borderId="0" xfId="0" applyFont="1" applyBorder="1" applyAlignment="1">
      <alignment horizontal="right" wrapText="1" readingOrder="1"/>
    </xf>
    <xf numFmtId="6" fontId="0" fillId="0" borderId="0" xfId="1" applyNumberFormat="1" applyFont="1" applyBorder="1"/>
    <xf numFmtId="14" fontId="5" fillId="0" borderId="0" xfId="0" applyNumberFormat="1" applyFont="1" applyAlignment="1">
      <alignment horizontal="right"/>
    </xf>
    <xf numFmtId="166" fontId="6" fillId="0" borderId="0" xfId="1" applyNumberFormat="1" applyFont="1" applyAlignment="1">
      <alignment horizontal="right" readingOrder="1"/>
    </xf>
    <xf numFmtId="0" fontId="6" fillId="0" borderId="0" xfId="0" applyFont="1" applyAlignment="1">
      <alignment horizontal="left"/>
    </xf>
    <xf numFmtId="165" fontId="11" fillId="0" borderId="0" xfId="0" applyNumberFormat="1" applyFont="1" applyAlignment="1">
      <alignment horizontal="center"/>
    </xf>
    <xf numFmtId="38" fontId="5" fillId="0" borderId="0" xfId="2" applyNumberFormat="1" applyFont="1"/>
    <xf numFmtId="0" fontId="13" fillId="0" borderId="0" xfId="11"/>
    <xf numFmtId="38" fontId="6" fillId="0" borderId="0" xfId="2" applyNumberFormat="1" applyFont="1"/>
    <xf numFmtId="0" fontId="15" fillId="0" borderId="0" xfId="11" applyFont="1"/>
    <xf numFmtId="168" fontId="5" fillId="0" borderId="0" xfId="2" applyNumberFormat="1" applyFont="1"/>
    <xf numFmtId="0" fontId="5" fillId="0" borderId="0" xfId="2" applyFont="1"/>
    <xf numFmtId="38" fontId="12" fillId="4" borderId="0" xfId="2" applyNumberFormat="1" applyFont="1" applyFill="1"/>
    <xf numFmtId="168" fontId="10" fillId="4" borderId="0" xfId="2" applyNumberFormat="1" applyFont="1" applyFill="1"/>
    <xf numFmtId="38" fontId="10" fillId="4" borderId="0" xfId="2" applyNumberFormat="1" applyFont="1" applyFill="1"/>
    <xf numFmtId="0" fontId="10" fillId="4" borderId="0" xfId="11" applyFont="1" applyFill="1" applyAlignment="1">
      <alignment horizontal="center"/>
    </xf>
    <xf numFmtId="167" fontId="10" fillId="4" borderId="0" xfId="11" applyNumberFormat="1" applyFont="1" applyFill="1" applyAlignment="1">
      <alignment horizontal="center"/>
    </xf>
    <xf numFmtId="167" fontId="14" fillId="4" borderId="0" xfId="11" applyNumberFormat="1" applyFont="1" applyFill="1" applyAlignment="1">
      <alignment horizontal="center"/>
    </xf>
    <xf numFmtId="38" fontId="5" fillId="0" borderId="0" xfId="12" applyNumberFormat="1" applyFont="1"/>
    <xf numFmtId="38" fontId="6" fillId="0" borderId="0" xfId="12" applyNumberFormat="1" applyFont="1"/>
    <xf numFmtId="38" fontId="12" fillId="3" borderId="0" xfId="12" applyNumberFormat="1" applyFont="1" applyFill="1"/>
    <xf numFmtId="168" fontId="10" fillId="3" borderId="0" xfId="12" applyNumberFormat="1" applyFont="1" applyFill="1"/>
    <xf numFmtId="38" fontId="10" fillId="3" borderId="0" xfId="12" applyNumberFormat="1" applyFont="1" applyFill="1"/>
    <xf numFmtId="0" fontId="10" fillId="3" borderId="0" xfId="11" applyFont="1" applyFill="1" applyAlignment="1">
      <alignment horizontal="center"/>
    </xf>
    <xf numFmtId="1" fontId="10" fillId="3" borderId="0" xfId="11" applyNumberFormat="1" applyFont="1" applyFill="1" applyAlignment="1">
      <alignment horizontal="center"/>
    </xf>
    <xf numFmtId="38" fontId="5" fillId="0" borderId="0" xfId="12" applyNumberFormat="1" applyFont="1" applyFill="1"/>
    <xf numFmtId="0" fontId="16" fillId="0" borderId="0" xfId="0" applyFont="1" applyAlignment="1">
      <alignment vertical="center"/>
    </xf>
    <xf numFmtId="0" fontId="13" fillId="0" borderId="0" xfId="11"/>
    <xf numFmtId="0" fontId="10" fillId="10" borderId="1" xfId="16" applyBorder="1" applyAlignment="1">
      <alignment horizontal="center" wrapText="1" readingOrder="1"/>
    </xf>
    <xf numFmtId="164" fontId="10" fillId="10" borderId="1" xfId="16" applyNumberFormat="1" applyBorder="1" applyAlignment="1">
      <alignment horizontal="center" wrapText="1" readingOrder="1"/>
    </xf>
    <xf numFmtId="0" fontId="5" fillId="0" borderId="0" xfId="0" applyFont="1" applyAlignment="1">
      <alignment horizontal="left"/>
    </xf>
    <xf numFmtId="169" fontId="5" fillId="0" borderId="0" xfId="0" applyNumberFormat="1" applyFont="1"/>
    <xf numFmtId="9" fontId="6" fillId="0" borderId="0" xfId="6" applyFont="1" applyBorder="1"/>
    <xf numFmtId="9" fontId="11" fillId="0" borderId="0" xfId="0" applyNumberFormat="1" applyFont="1"/>
    <xf numFmtId="164" fontId="10" fillId="10" borderId="2" xfId="16" applyNumberFormat="1" applyBorder="1" applyAlignment="1">
      <alignment horizontal="centerContinuous" readingOrder="1"/>
    </xf>
    <xf numFmtId="164" fontId="10" fillId="10" borderId="4" xfId="16" applyNumberFormat="1" applyBorder="1" applyAlignment="1">
      <alignment horizontal="centerContinuous" readingOrder="1"/>
    </xf>
    <xf numFmtId="164" fontId="10" fillId="10" borderId="3" xfId="16" applyNumberFormat="1" applyBorder="1" applyAlignment="1">
      <alignment horizontal="centerContinuous" readingOrder="1"/>
    </xf>
    <xf numFmtId="0" fontId="0" fillId="0" borderId="8" xfId="0" applyBorder="1"/>
    <xf numFmtId="0" fontId="5" fillId="0" borderId="9" xfId="0" applyFont="1" applyBorder="1"/>
    <xf numFmtId="0" fontId="0" fillId="0" borderId="9" xfId="0" applyBorder="1"/>
    <xf numFmtId="0" fontId="0" fillId="0" borderId="10" xfId="0" applyBorder="1"/>
    <xf numFmtId="169" fontId="5" fillId="0" borderId="11" xfId="0" applyNumberFormat="1" applyFont="1" applyBorder="1"/>
    <xf numFmtId="0" fontId="5" fillId="0" borderId="12" xfId="0" applyFont="1" applyBorder="1"/>
    <xf numFmtId="9" fontId="21" fillId="0" borderId="0" xfId="0" applyNumberFormat="1" applyFont="1" applyBorder="1"/>
    <xf numFmtId="9" fontId="11" fillId="0" borderId="0" xfId="0" applyNumberFormat="1" applyFont="1" applyBorder="1"/>
    <xf numFmtId="169" fontId="5" fillId="0" borderId="13" xfId="0" applyNumberFormat="1" applyFont="1" applyBorder="1"/>
    <xf numFmtId="9" fontId="11" fillId="0" borderId="14" xfId="0" applyNumberFormat="1" applyFont="1" applyBorder="1"/>
    <xf numFmtId="9" fontId="21" fillId="0" borderId="14" xfId="0" applyNumberFormat="1" applyFont="1" applyBorder="1"/>
    <xf numFmtId="0" fontId="6" fillId="0" borderId="0" xfId="0" applyFont="1" applyFill="1" applyBorder="1" applyAlignment="1">
      <alignment horizontal="left" wrapText="1" readingOrder="1"/>
    </xf>
    <xf numFmtId="3" fontId="5" fillId="0" borderId="12" xfId="0" applyNumberFormat="1" applyFont="1" applyBorder="1"/>
    <xf numFmtId="3" fontId="5" fillId="0" borderId="15" xfId="0" applyNumberFormat="1" applyFont="1" applyBorder="1"/>
    <xf numFmtId="169" fontId="0" fillId="0" borderId="0" xfId="0" applyNumberFormat="1" applyFont="1"/>
    <xf numFmtId="0" fontId="25" fillId="0" borderId="0" xfId="19" applyAlignment="1" applyProtection="1"/>
    <xf numFmtId="0" fontId="9" fillId="0" borderId="0" xfId="20" applyFont="1"/>
    <xf numFmtId="0" fontId="20" fillId="0" borderId="0" xfId="20" applyFont="1" applyFill="1"/>
    <xf numFmtId="0" fontId="26" fillId="0" borderId="0" xfId="20" applyFont="1"/>
    <xf numFmtId="0" fontId="26" fillId="6" borderId="0" xfId="20" applyFont="1" applyFill="1"/>
    <xf numFmtId="0" fontId="9" fillId="6" borderId="0" xfId="20" applyFont="1" applyFill="1"/>
    <xf numFmtId="0" fontId="29" fillId="0" borderId="0" xfId="20" applyFont="1"/>
    <xf numFmtId="0" fontId="30" fillId="0" borderId="0" xfId="20" applyFont="1" applyFill="1"/>
    <xf numFmtId="0" fontId="29" fillId="6" borderId="0" xfId="20" applyFont="1" applyFill="1"/>
    <xf numFmtId="3" fontId="9" fillId="6" borderId="0" xfId="20" applyNumberFormat="1" applyFont="1" applyFill="1"/>
    <xf numFmtId="9" fontId="11" fillId="0" borderId="0" xfId="6" applyFont="1" applyAlignment="1">
      <alignment horizontal="center" readingOrder="1"/>
    </xf>
    <xf numFmtId="9" fontId="5" fillId="0" borderId="0" xfId="6" applyFont="1"/>
    <xf numFmtId="9" fontId="33" fillId="0" borderId="0" xfId="6" applyFont="1" applyAlignment="1">
      <alignment horizontal="center"/>
    </xf>
    <xf numFmtId="9" fontId="10" fillId="15" borderId="0" xfId="6" applyFont="1" applyFill="1" applyAlignment="1">
      <alignment horizontal="center"/>
    </xf>
    <xf numFmtId="164" fontId="10" fillId="16" borderId="2" xfId="22" applyNumberFormat="1" applyBorder="1" applyAlignment="1">
      <alignment horizontal="centerContinuous" readingOrder="1"/>
    </xf>
    <xf numFmtId="164" fontId="10" fillId="16" borderId="4" xfId="22" applyNumberFormat="1" applyBorder="1" applyAlignment="1">
      <alignment horizontal="centerContinuous" readingOrder="1"/>
    </xf>
    <xf numFmtId="164" fontId="10" fillId="16" borderId="3" xfId="22" applyNumberFormat="1" applyBorder="1" applyAlignment="1">
      <alignment horizontal="centerContinuous" readingOrder="1"/>
    </xf>
    <xf numFmtId="0" fontId="10" fillId="16" borderId="1" xfId="22" applyBorder="1" applyAlignment="1">
      <alignment horizontal="center" wrapText="1" readingOrder="1"/>
    </xf>
    <xf numFmtId="164" fontId="10" fillId="16" borderId="1" xfId="22" applyNumberFormat="1" applyBorder="1" applyAlignment="1">
      <alignment horizontal="center" wrapText="1" readingOrder="1"/>
    </xf>
    <xf numFmtId="0" fontId="64" fillId="0" borderId="0" xfId="0" applyFont="1"/>
    <xf numFmtId="0" fontId="64" fillId="0" borderId="0" xfId="0" applyFont="1" applyAlignment="1">
      <alignment horizontal="right"/>
    </xf>
    <xf numFmtId="0" fontId="64" fillId="0" borderId="0" xfId="0" applyFont="1" applyFill="1" applyBorder="1"/>
    <xf numFmtId="0" fontId="64" fillId="0" borderId="0" xfId="0" applyFont="1" applyFill="1"/>
    <xf numFmtId="9" fontId="64" fillId="0" borderId="0" xfId="0" applyNumberFormat="1" applyFont="1" applyFill="1"/>
    <xf numFmtId="0" fontId="64" fillId="0" borderId="0" xfId="0" applyFont="1" applyFill="1" applyAlignment="1">
      <alignment horizontal="center"/>
    </xf>
    <xf numFmtId="0" fontId="65" fillId="49" borderId="0" xfId="0" applyFont="1" applyFill="1" applyAlignment="1">
      <alignment horizontal="right"/>
    </xf>
    <xf numFmtId="0" fontId="65" fillId="0" borderId="0" xfId="0" applyFont="1" applyFill="1" applyBorder="1" applyAlignment="1">
      <alignment horizontal="right"/>
    </xf>
    <xf numFmtId="0" fontId="64" fillId="49" borderId="0" xfId="0" applyFont="1" applyFill="1"/>
    <xf numFmtId="0" fontId="64" fillId="49" borderId="0" xfId="0" applyFont="1" applyFill="1" applyAlignment="1">
      <alignment horizontal="right"/>
    </xf>
    <xf numFmtId="9" fontId="64" fillId="49" borderId="0" xfId="0" applyNumberFormat="1" applyFont="1" applyFill="1"/>
    <xf numFmtId="0" fontId="65" fillId="49" borderId="0" xfId="0" applyFont="1" applyFill="1" applyAlignment="1">
      <alignment horizontal="left"/>
    </xf>
    <xf numFmtId="0" fontId="64" fillId="0" borderId="0" xfId="0" applyFont="1" applyAlignment="1">
      <alignment vertical="top"/>
    </xf>
    <xf numFmtId="0" fontId="9" fillId="49" borderId="0" xfId="0" applyFont="1" applyFill="1" applyAlignment="1">
      <alignment vertical="center"/>
    </xf>
    <xf numFmtId="0" fontId="19" fillId="49" borderId="0" xfId="0" applyFont="1" applyFill="1" applyAlignment="1">
      <alignment horizontal="center" vertical="center" wrapText="1"/>
    </xf>
    <xf numFmtId="0" fontId="67" fillId="50" borderId="44" xfId="0" applyFont="1" applyFill="1" applyBorder="1" applyAlignment="1">
      <alignment horizontal="center" vertical="center" wrapText="1"/>
    </xf>
    <xf numFmtId="0" fontId="19" fillId="46" borderId="44" xfId="0" applyFont="1" applyFill="1" applyBorder="1" applyAlignment="1">
      <alignment horizontal="center" vertical="center" wrapText="1"/>
    </xf>
    <xf numFmtId="0" fontId="19" fillId="0" borderId="45" xfId="0" applyFont="1" applyFill="1" applyBorder="1" applyAlignment="1">
      <alignment horizontal="center" vertical="center" wrapText="1"/>
    </xf>
    <xf numFmtId="0" fontId="19" fillId="49" borderId="0" xfId="0" applyFont="1" applyFill="1" applyBorder="1" applyAlignment="1">
      <alignment horizontal="center" vertical="center" wrapText="1"/>
    </xf>
    <xf numFmtId="0" fontId="19" fillId="13"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68" fillId="49" borderId="0" xfId="0" applyFont="1" applyFill="1"/>
    <xf numFmtId="0" fontId="64" fillId="49" borderId="0" xfId="0" applyFont="1" applyFill="1" applyBorder="1"/>
    <xf numFmtId="0" fontId="64" fillId="49" borderId="0" xfId="0" applyFont="1" applyFill="1" applyBorder="1" applyAlignment="1">
      <alignment horizontal="right"/>
    </xf>
    <xf numFmtId="9" fontId="64" fillId="49" borderId="0" xfId="0" applyNumberFormat="1" applyFont="1" applyFill="1" applyBorder="1"/>
    <xf numFmtId="0" fontId="64" fillId="0" borderId="0" xfId="0" applyFont="1" applyFill="1" applyBorder="1" applyAlignment="1">
      <alignment horizontal="center"/>
    </xf>
    <xf numFmtId="0" fontId="65" fillId="49" borderId="0" xfId="0" applyFont="1" applyFill="1"/>
    <xf numFmtId="178" fontId="64" fillId="49" borderId="0" xfId="0" applyNumberFormat="1" applyFont="1" applyFill="1"/>
    <xf numFmtId="179" fontId="64" fillId="49" borderId="0" xfId="0" applyNumberFormat="1" applyFont="1" applyFill="1" applyAlignment="1">
      <alignment horizontal="right"/>
    </xf>
    <xf numFmtId="180" fontId="64" fillId="49" borderId="0" xfId="0" applyNumberFormat="1" applyFont="1" applyFill="1" applyAlignment="1">
      <alignment horizontal="right"/>
    </xf>
    <xf numFmtId="180" fontId="64" fillId="0" borderId="0" xfId="0" applyNumberFormat="1" applyFont="1" applyFill="1" applyBorder="1" applyAlignment="1">
      <alignment horizontal="right"/>
    </xf>
    <xf numFmtId="181" fontId="64" fillId="0" borderId="0" xfId="0" applyNumberFormat="1" applyFont="1" applyFill="1" applyBorder="1" applyAlignment="1">
      <alignment horizontal="center"/>
    </xf>
    <xf numFmtId="179" fontId="64" fillId="49" borderId="0" xfId="0" quotePrefix="1" applyNumberFormat="1" applyFont="1" applyFill="1" applyAlignment="1">
      <alignment horizontal="right"/>
    </xf>
    <xf numFmtId="180" fontId="64" fillId="49" borderId="0" xfId="0" quotePrefix="1" applyNumberFormat="1" applyFont="1" applyFill="1" applyAlignment="1">
      <alignment horizontal="right"/>
    </xf>
    <xf numFmtId="181" fontId="69" fillId="0" borderId="0" xfId="0" applyNumberFormat="1" applyFont="1" applyFill="1" applyBorder="1" applyAlignment="1">
      <alignment horizontal="center"/>
    </xf>
    <xf numFmtId="0" fontId="69" fillId="49" borderId="0" xfId="0" applyFont="1" applyFill="1"/>
    <xf numFmtId="178" fontId="69" fillId="49" borderId="0" xfId="0" applyNumberFormat="1" applyFont="1" applyFill="1"/>
    <xf numFmtId="179" fontId="69" fillId="49" borderId="0" xfId="0" quotePrefix="1" applyNumberFormat="1" applyFont="1" applyFill="1" applyAlignment="1">
      <alignment horizontal="right"/>
    </xf>
    <xf numFmtId="180" fontId="69" fillId="49" borderId="0" xfId="0" quotePrefix="1" applyNumberFormat="1" applyFont="1" applyFill="1" applyAlignment="1">
      <alignment horizontal="right"/>
    </xf>
    <xf numFmtId="180" fontId="69" fillId="0" borderId="0" xfId="0" applyNumberFormat="1" applyFont="1" applyFill="1" applyBorder="1" applyAlignment="1">
      <alignment horizontal="right"/>
    </xf>
    <xf numFmtId="180" fontId="69" fillId="49" borderId="0" xfId="0" applyNumberFormat="1" applyFont="1" applyFill="1" applyAlignment="1">
      <alignment horizontal="right"/>
    </xf>
    <xf numFmtId="179" fontId="69" fillId="49" borderId="0" xfId="0" applyNumberFormat="1" applyFont="1" applyFill="1" applyAlignment="1">
      <alignment horizontal="right"/>
    </xf>
    <xf numFmtId="0" fontId="69" fillId="49" borderId="0" xfId="0" applyFont="1" applyFill="1" applyBorder="1"/>
    <xf numFmtId="0" fontId="71" fillId="49" borderId="0" xfId="0" applyFont="1" applyFill="1"/>
    <xf numFmtId="0" fontId="72" fillId="49" borderId="0" xfId="0" applyFont="1" applyFill="1" applyBorder="1"/>
    <xf numFmtId="180" fontId="72" fillId="49" borderId="0" xfId="0" applyNumberFormat="1" applyFont="1" applyFill="1" applyAlignment="1">
      <alignment horizontal="right"/>
    </xf>
    <xf numFmtId="0" fontId="73" fillId="49" borderId="0" xfId="0" applyFont="1" applyFill="1"/>
    <xf numFmtId="0" fontId="72" fillId="49" borderId="0" xfId="0" applyFont="1" applyFill="1"/>
    <xf numFmtId="178" fontId="72" fillId="49" borderId="0" xfId="0" applyNumberFormat="1" applyFont="1" applyFill="1"/>
    <xf numFmtId="0" fontId="70" fillId="49" borderId="0" xfId="0" quotePrefix="1" applyFont="1" applyFill="1"/>
    <xf numFmtId="179" fontId="70" fillId="49" borderId="0" xfId="0" quotePrefix="1" applyNumberFormat="1" applyFont="1" applyFill="1" applyAlignment="1">
      <alignment horizontal="right"/>
    </xf>
    <xf numFmtId="178" fontId="70" fillId="49" borderId="0" xfId="0" applyNumberFormat="1" applyFont="1" applyFill="1"/>
    <xf numFmtId="180" fontId="70" fillId="49" borderId="0" xfId="0" quotePrefix="1" applyNumberFormat="1" applyFont="1" applyFill="1" applyAlignment="1">
      <alignment horizontal="right"/>
    </xf>
    <xf numFmtId="179" fontId="70" fillId="49" borderId="0" xfId="0" applyNumberFormat="1" applyFont="1" applyFill="1" applyAlignment="1">
      <alignment horizontal="right"/>
    </xf>
    <xf numFmtId="180" fontId="70" fillId="49" borderId="0" xfId="0" applyNumberFormat="1" applyFont="1" applyFill="1" applyAlignment="1">
      <alignment horizontal="right"/>
    </xf>
    <xf numFmtId="0" fontId="65" fillId="46" borderId="0" xfId="0" applyFont="1" applyFill="1"/>
    <xf numFmtId="0" fontId="64" fillId="46" borderId="0" xfId="0" applyFont="1" applyFill="1"/>
    <xf numFmtId="182" fontId="64" fillId="49" borderId="0" xfId="0" applyNumberFormat="1" applyFont="1" applyFill="1" applyAlignment="1">
      <alignment horizontal="right"/>
    </xf>
    <xf numFmtId="0" fontId="64" fillId="0" borderId="0" xfId="0" applyFont="1" applyFill="1" applyBorder="1" applyAlignment="1">
      <alignment horizontal="right"/>
    </xf>
    <xf numFmtId="183" fontId="64" fillId="49" borderId="0" xfId="0" applyNumberFormat="1" applyFont="1" applyFill="1"/>
    <xf numFmtId="0" fontId="65" fillId="0" borderId="0" xfId="0" applyFont="1" applyFill="1" applyAlignment="1">
      <alignment horizontal="center" vertical="center" wrapText="1"/>
    </xf>
    <xf numFmtId="180" fontId="64" fillId="49" borderId="0" xfId="0" applyNumberFormat="1" applyFont="1" applyFill="1"/>
    <xf numFmtId="183" fontId="64" fillId="49" borderId="0" xfId="0" applyNumberFormat="1" applyFont="1" applyFill="1" applyAlignment="1">
      <alignment horizontal="right"/>
    </xf>
    <xf numFmtId="183" fontId="64" fillId="0" borderId="0" xfId="0" applyNumberFormat="1" applyFont="1" applyFill="1" applyBorder="1"/>
    <xf numFmtId="181" fontId="64" fillId="49" borderId="0" xfId="0" applyNumberFormat="1" applyFont="1" applyFill="1"/>
    <xf numFmtId="181" fontId="64" fillId="49" borderId="0" xfId="0" applyNumberFormat="1" applyFont="1" applyFill="1" applyAlignment="1">
      <alignment horizontal="right"/>
    </xf>
    <xf numFmtId="179" fontId="64" fillId="0" borderId="0" xfId="0" applyNumberFormat="1" applyFont="1" applyFill="1" applyBorder="1" applyAlignment="1">
      <alignment horizontal="right"/>
    </xf>
    <xf numFmtId="0" fontId="65" fillId="0" borderId="0" xfId="0" applyFont="1" applyAlignment="1"/>
    <xf numFmtId="0" fontId="9" fillId="0" borderId="0" xfId="0" applyFont="1" applyAlignment="1">
      <alignment vertical="center" wrapText="1"/>
    </xf>
    <xf numFmtId="178" fontId="64" fillId="49" borderId="0" xfId="0" applyNumberFormat="1" applyFont="1" applyFill="1" applyAlignment="1"/>
    <xf numFmtId="0" fontId="64" fillId="49" borderId="0" xfId="0" applyFont="1" applyFill="1" applyBorder="1" applyAlignment="1"/>
    <xf numFmtId="0" fontId="64" fillId="49" borderId="0" xfId="0" applyFont="1" applyFill="1" applyAlignment="1">
      <alignment wrapText="1"/>
    </xf>
    <xf numFmtId="0" fontId="19" fillId="0" borderId="0" xfId="0" applyFont="1" applyFill="1" applyBorder="1" applyAlignment="1">
      <alignment horizontal="center" vertical="center" wrapText="1"/>
    </xf>
    <xf numFmtId="0" fontId="65" fillId="0" borderId="0" xfId="0" applyFont="1" applyFill="1"/>
    <xf numFmtId="179" fontId="64" fillId="49" borderId="0" xfId="0" applyNumberFormat="1" applyFont="1" applyFill="1" applyAlignment="1">
      <alignment horizontal="center"/>
    </xf>
    <xf numFmtId="0" fontId="68" fillId="49" borderId="0" xfId="0" applyFont="1" applyFill="1" applyAlignment="1">
      <alignment horizontal="right"/>
    </xf>
    <xf numFmtId="0" fontId="59" fillId="49" borderId="0" xfId="0" applyFont="1" applyFill="1"/>
    <xf numFmtId="179" fontId="72" fillId="49" borderId="0" xfId="0" applyNumberFormat="1" applyFont="1" applyFill="1" applyAlignment="1">
      <alignment horizontal="right"/>
    </xf>
    <xf numFmtId="180" fontId="72" fillId="0" borderId="0" xfId="0" applyNumberFormat="1" applyFont="1" applyFill="1" applyBorder="1" applyAlignment="1">
      <alignment horizontal="right"/>
    </xf>
    <xf numFmtId="0" fontId="64" fillId="0" borderId="0" xfId="0" applyFont="1" applyFill="1" applyBorder="1" applyAlignment="1">
      <alignment horizontal="center" vertical="center" wrapText="1"/>
    </xf>
    <xf numFmtId="0" fontId="73" fillId="49" borderId="0" xfId="0" applyFont="1" applyFill="1" applyAlignment="1">
      <alignment horizontal="right"/>
    </xf>
    <xf numFmtId="0" fontId="68" fillId="0" borderId="0" xfId="0" applyFont="1" applyFill="1" applyAlignment="1">
      <alignment horizontal="right"/>
    </xf>
    <xf numFmtId="0" fontId="64" fillId="49" borderId="0" xfId="0" applyFont="1" applyFill="1" applyBorder="1" applyAlignment="1">
      <alignment horizontal="center" vertical="center" wrapText="1"/>
    </xf>
    <xf numFmtId="0" fontId="67" fillId="0" borderId="0" xfId="0" applyFont="1" applyFill="1" applyBorder="1" applyAlignment="1">
      <alignment horizontal="center" vertical="center" wrapText="1"/>
    </xf>
    <xf numFmtId="0" fontId="19" fillId="0" borderId="0" xfId="0" applyFont="1" applyFill="1" applyAlignment="1">
      <alignment horizontal="center" vertical="center" wrapText="1"/>
    </xf>
    <xf numFmtId="180" fontId="64" fillId="0" borderId="0" xfId="0" applyNumberFormat="1" applyFont="1" applyFill="1" applyAlignment="1">
      <alignment horizontal="right"/>
    </xf>
    <xf numFmtId="181" fontId="72" fillId="0" borderId="0" xfId="0" applyNumberFormat="1" applyFont="1" applyFill="1" applyBorder="1" applyAlignment="1">
      <alignment horizontal="center"/>
    </xf>
    <xf numFmtId="0" fontId="64" fillId="0" borderId="0" xfId="0" quotePrefix="1" applyFont="1" applyFill="1"/>
    <xf numFmtId="0" fontId="65" fillId="0" borderId="0" xfId="0" quotePrefix="1" applyFont="1" applyFill="1"/>
    <xf numFmtId="0" fontId="72" fillId="0" borderId="0" xfId="0" quotePrefix="1" applyFont="1" applyFill="1"/>
    <xf numFmtId="0" fontId="18" fillId="13" borderId="0" xfId="0" applyFont="1" applyFill="1" applyAlignment="1">
      <alignment vertical="center" wrapText="1"/>
    </xf>
    <xf numFmtId="0" fontId="18" fillId="13" borderId="0" xfId="0" applyFont="1" applyFill="1" applyBorder="1" applyAlignment="1">
      <alignment vertical="center" wrapText="1"/>
    </xf>
    <xf numFmtId="0" fontId="9" fillId="13" borderId="0" xfId="0" applyFont="1" applyFill="1" applyBorder="1" applyAlignment="1">
      <alignment vertical="center" wrapText="1"/>
    </xf>
    <xf numFmtId="0" fontId="9" fillId="13" borderId="0" xfId="0" applyFont="1" applyFill="1" applyAlignment="1">
      <alignment vertical="center" wrapText="1"/>
    </xf>
    <xf numFmtId="0" fontId="65" fillId="13" borderId="0" xfId="0" applyFont="1" applyFill="1" applyAlignment="1">
      <alignment vertical="center" wrapText="1"/>
    </xf>
    <xf numFmtId="0" fontId="19" fillId="13" borderId="0" xfId="0" applyFont="1" applyFill="1" applyAlignment="1">
      <alignment horizontal="center" vertical="center" wrapText="1"/>
    </xf>
    <xf numFmtId="0" fontId="9" fillId="49" borderId="0" xfId="0" applyFont="1" applyFill="1" applyAlignment="1">
      <alignment vertical="center" wrapText="1"/>
    </xf>
    <xf numFmtId="0" fontId="65" fillId="49" borderId="0" xfId="0" applyFont="1" applyFill="1" applyAlignment="1">
      <alignment vertical="center" wrapText="1"/>
    </xf>
    <xf numFmtId="0" fontId="9" fillId="49" borderId="0" xfId="0" applyFont="1" applyFill="1" applyBorder="1" applyAlignment="1">
      <alignment vertical="center" wrapText="1"/>
    </xf>
    <xf numFmtId="0" fontId="65" fillId="46" borderId="0" xfId="0" applyFont="1" applyFill="1" applyAlignment="1">
      <alignment vertical="center" wrapText="1"/>
    </xf>
    <xf numFmtId="0" fontId="9" fillId="46" borderId="0" xfId="0" applyFont="1" applyFill="1" applyAlignment="1">
      <alignment vertical="center" wrapText="1"/>
    </xf>
    <xf numFmtId="0" fontId="65" fillId="49" borderId="0" xfId="0" applyFont="1" applyFill="1" applyAlignment="1">
      <alignment horizontal="center" vertical="top" wrapText="1"/>
    </xf>
    <xf numFmtId="0" fontId="65" fillId="0" borderId="0" xfId="0" applyFont="1" applyFill="1" applyAlignment="1">
      <alignment horizontal="center" vertical="top" wrapText="1"/>
    </xf>
    <xf numFmtId="0" fontId="64" fillId="0" borderId="0" xfId="0" applyFont="1" applyFill="1" applyBorder="1" applyAlignment="1">
      <alignment horizontal="center" vertical="top" wrapText="1"/>
    </xf>
    <xf numFmtId="0" fontId="64" fillId="0" borderId="0" xfId="0" applyFont="1" applyFill="1" applyAlignment="1">
      <alignment horizontal="center" vertical="top" wrapText="1"/>
    </xf>
    <xf numFmtId="0" fontId="64" fillId="0" borderId="0" xfId="0" quotePrefix="1" applyFont="1" applyAlignment="1">
      <alignment horizontal="right"/>
    </xf>
    <xf numFmtId="0" fontId="19" fillId="49" borderId="0" xfId="0" applyFont="1" applyFill="1" applyAlignment="1">
      <alignment horizontal="center" vertical="top" wrapText="1"/>
    </xf>
    <xf numFmtId="0" fontId="9" fillId="49" borderId="0" xfId="0" applyFont="1" applyFill="1" applyBorder="1" applyAlignment="1">
      <alignment vertical="top" wrapText="1"/>
    </xf>
    <xf numFmtId="0" fontId="64" fillId="49" borderId="0" xfId="0" applyFont="1" applyFill="1" applyBorder="1" applyAlignment="1">
      <alignment horizontal="center" vertical="top" wrapText="1"/>
    </xf>
    <xf numFmtId="3" fontId="64" fillId="0" borderId="0" xfId="0" applyNumberFormat="1" applyFont="1" applyFill="1" applyBorder="1" applyAlignment="1">
      <alignment horizontal="right" vertical="top" wrapText="1"/>
    </xf>
    <xf numFmtId="0" fontId="65" fillId="0" borderId="0" xfId="0" applyFont="1" applyFill="1" applyAlignment="1">
      <alignment vertical="center" wrapText="1"/>
    </xf>
    <xf numFmtId="0" fontId="9" fillId="0" borderId="0" xfId="0" applyFont="1" applyFill="1" applyAlignment="1">
      <alignment vertical="center" wrapText="1"/>
    </xf>
    <xf numFmtId="0" fontId="9" fillId="49" borderId="0" xfId="0" applyFont="1" applyFill="1" applyAlignment="1">
      <alignment vertical="top" wrapText="1"/>
    </xf>
    <xf numFmtId="179" fontId="64" fillId="49" borderId="0" xfId="0" applyNumberFormat="1" applyFont="1" applyFill="1" applyAlignment="1">
      <alignment horizontal="right" vertical="top"/>
    </xf>
    <xf numFmtId="180" fontId="64" fillId="49" borderId="0" xfId="0" applyNumberFormat="1" applyFont="1" applyFill="1" applyAlignment="1">
      <alignment horizontal="right" vertical="top"/>
    </xf>
    <xf numFmtId="182" fontId="64" fillId="49" borderId="0" xfId="0" applyNumberFormat="1" applyFont="1" applyFill="1" applyAlignment="1">
      <alignment horizontal="right" vertical="top"/>
    </xf>
    <xf numFmtId="180" fontId="64" fillId="0" borderId="0" xfId="0" applyNumberFormat="1" applyFont="1" applyFill="1" applyBorder="1" applyAlignment="1">
      <alignment horizontal="right" vertical="top" wrapText="1"/>
    </xf>
    <xf numFmtId="0" fontId="64" fillId="49" borderId="0" xfId="0" applyFont="1" applyFill="1" applyBorder="1" applyAlignment="1">
      <alignment horizontal="center" wrapText="1"/>
    </xf>
    <xf numFmtId="0" fontId="64" fillId="0" borderId="0" xfId="0" applyFont="1" applyFill="1" applyAlignment="1">
      <alignment vertical="top"/>
    </xf>
    <xf numFmtId="0" fontId="72" fillId="0" borderId="0" xfId="0" applyFont="1" applyFill="1" applyAlignment="1">
      <alignment horizontal="center" vertical="top" wrapText="1"/>
    </xf>
    <xf numFmtId="178" fontId="64" fillId="49" borderId="0" xfId="0" applyNumberFormat="1" applyFont="1" applyFill="1" applyAlignment="1">
      <alignment vertical="top"/>
    </xf>
    <xf numFmtId="0" fontId="64" fillId="0" borderId="0" xfId="0" quotePrefix="1" applyFont="1" applyAlignment="1">
      <alignment horizontal="right" vertical="top"/>
    </xf>
    <xf numFmtId="0" fontId="64" fillId="46" borderId="0" xfId="0" applyFont="1" applyFill="1" applyAlignment="1">
      <alignment vertical="top" wrapText="1"/>
    </xf>
    <xf numFmtId="49" fontId="64" fillId="49" borderId="0" xfId="0" applyNumberFormat="1" applyFont="1" applyFill="1" applyBorder="1" applyAlignment="1"/>
    <xf numFmtId="184" fontId="64" fillId="49" borderId="0" xfId="0" applyNumberFormat="1" applyFont="1" applyFill="1" applyAlignment="1">
      <alignment horizontal="right"/>
    </xf>
    <xf numFmtId="0" fontId="72" fillId="0" borderId="0" xfId="0" applyFont="1" applyFill="1" applyBorder="1" applyAlignment="1">
      <alignment horizontal="center" vertical="center" wrapText="1"/>
    </xf>
    <xf numFmtId="0" fontId="70" fillId="0" borderId="0" xfId="0" applyFont="1" applyFill="1" applyAlignment="1"/>
    <xf numFmtId="0" fontId="64" fillId="0" borderId="0" xfId="0" applyFont="1" applyAlignment="1">
      <alignment horizontal="left"/>
    </xf>
    <xf numFmtId="0" fontId="9" fillId="49" borderId="0" xfId="0" applyFont="1" applyFill="1" applyBorder="1" applyAlignment="1">
      <alignment horizontal="right" vertical="top" wrapText="1"/>
    </xf>
    <xf numFmtId="0" fontId="9" fillId="0" borderId="0" xfId="0" applyFont="1" applyAlignment="1">
      <alignment horizontal="center"/>
    </xf>
    <xf numFmtId="38" fontId="6" fillId="0" borderId="0" xfId="1" applyNumberFormat="1" applyFont="1" applyAlignment="1">
      <alignment horizontal="right" readingOrder="1"/>
    </xf>
    <xf numFmtId="0" fontId="5" fillId="0" borderId="0" xfId="2" applyFont="1" applyAlignment="1">
      <alignment horizontal="right"/>
    </xf>
    <xf numFmtId="0" fontId="5" fillId="0" borderId="0" xfId="2" applyFont="1" applyBorder="1"/>
    <xf numFmtId="0" fontId="34" fillId="0" borderId="0" xfId="2" applyFont="1" applyBorder="1" applyAlignment="1">
      <alignment horizontal="left" indent="2"/>
    </xf>
    <xf numFmtId="0" fontId="5" fillId="0" borderId="0" xfId="2" applyFont="1" applyFill="1"/>
    <xf numFmtId="0" fontId="5" fillId="0" borderId="0" xfId="7" applyFont="1"/>
    <xf numFmtId="0" fontId="5" fillId="0" borderId="0" xfId="2" applyFont="1" applyFill="1" applyBorder="1"/>
    <xf numFmtId="0" fontId="5" fillId="0" borderId="0" xfId="7" applyFont="1" applyFill="1"/>
    <xf numFmtId="0" fontId="6" fillId="0" borderId="0" xfId="7" applyFont="1"/>
    <xf numFmtId="0" fontId="5" fillId="0" borderId="0" xfId="0" applyFont="1" applyAlignment="1">
      <alignment wrapText="1"/>
    </xf>
    <xf numFmtId="164" fontId="10" fillId="51" borderId="2" xfId="16" applyNumberFormat="1" applyFill="1" applyBorder="1" applyAlignment="1">
      <alignment horizontal="centerContinuous" readingOrder="1"/>
    </xf>
    <xf numFmtId="164" fontId="10" fillId="51" borderId="3" xfId="16" applyNumberFormat="1" applyFill="1" applyBorder="1" applyAlignment="1">
      <alignment horizontal="centerContinuous" readingOrder="1"/>
    </xf>
    <xf numFmtId="9" fontId="5" fillId="0" borderId="0" xfId="6" applyFont="1" applyAlignment="1">
      <alignment horizontal="right"/>
    </xf>
    <xf numFmtId="186" fontId="0" fillId="0" borderId="0" xfId="6" applyNumberFormat="1" applyFont="1" applyBorder="1"/>
    <xf numFmtId="0" fontId="76" fillId="0" borderId="0" xfId="0" applyFont="1" applyBorder="1" applyAlignment="1">
      <alignment horizontal="right"/>
    </xf>
    <xf numFmtId="0" fontId="5" fillId="0" borderId="0" xfId="2" applyFont="1" applyFill="1" applyBorder="1" applyAlignment="1" applyProtection="1">
      <alignment readingOrder="1"/>
      <protection locked="0"/>
    </xf>
    <xf numFmtId="0" fontId="5" fillId="0" borderId="0" xfId="0" applyFont="1" applyAlignment="1" applyProtection="1">
      <alignment horizontal="left" readingOrder="1"/>
      <protection locked="0"/>
    </xf>
    <xf numFmtId="0" fontId="5" fillId="0" borderId="0" xfId="0" applyFont="1" applyFill="1" applyAlignment="1" applyProtection="1">
      <alignment horizontal="left" readingOrder="1"/>
      <protection locked="0"/>
    </xf>
    <xf numFmtId="0" fontId="5" fillId="0" borderId="0" xfId="0" applyFont="1" applyAlignment="1" applyProtection="1">
      <alignment horizontal="left"/>
      <protection locked="0"/>
    </xf>
    <xf numFmtId="0" fontId="5" fillId="0" borderId="0" xfId="0" applyFont="1" applyProtection="1">
      <protection locked="0"/>
    </xf>
    <xf numFmtId="165" fontId="5" fillId="0" borderId="0" xfId="0" applyNumberFormat="1" applyFont="1" applyProtection="1">
      <protection locked="0"/>
    </xf>
    <xf numFmtId="38" fontId="5" fillId="0" borderId="0" xfId="0" applyNumberFormat="1" applyFont="1" applyBorder="1" applyProtection="1">
      <protection locked="0"/>
    </xf>
    <xf numFmtId="164" fontId="10" fillId="10" borderId="2" xfId="16" applyNumberFormat="1" applyBorder="1" applyAlignment="1" applyProtection="1">
      <alignment horizontal="centerContinuous" readingOrder="1"/>
      <protection locked="0"/>
    </xf>
    <xf numFmtId="164" fontId="10" fillId="16" borderId="2" xfId="22" applyNumberFormat="1" applyBorder="1" applyAlignment="1" applyProtection="1">
      <alignment horizontal="centerContinuous" readingOrder="1"/>
      <protection locked="0"/>
    </xf>
    <xf numFmtId="1" fontId="11" fillId="0" borderId="0" xfId="1" applyNumberFormat="1" applyFont="1" applyAlignment="1" applyProtection="1">
      <alignment horizontal="center" readingOrder="1"/>
      <protection locked="0"/>
    </xf>
    <xf numFmtId="0" fontId="11" fillId="0" borderId="0" xfId="0" applyFont="1" applyAlignment="1" applyProtection="1">
      <alignment horizontal="center" readingOrder="1"/>
      <protection locked="0"/>
    </xf>
    <xf numFmtId="185" fontId="11" fillId="0" borderId="0" xfId="6" applyNumberFormat="1" applyFont="1" applyAlignment="1" applyProtection="1">
      <alignment horizontal="center" readingOrder="1"/>
      <protection locked="0"/>
    </xf>
    <xf numFmtId="0" fontId="5" fillId="0" borderId="0" xfId="0" applyFont="1" applyAlignment="1" applyProtection="1">
      <alignment horizontal="center"/>
      <protection locked="0"/>
    </xf>
    <xf numFmtId="0" fontId="0" fillId="0" borderId="0" xfId="0" applyProtection="1">
      <protection locked="0"/>
    </xf>
    <xf numFmtId="0" fontId="5" fillId="0" borderId="0" xfId="0" applyFont="1" applyFill="1" applyProtection="1">
      <protection locked="0"/>
    </xf>
    <xf numFmtId="0" fontId="0" fillId="0" borderId="0" xfId="0" applyBorder="1" applyProtection="1">
      <protection locked="0"/>
    </xf>
    <xf numFmtId="38" fontId="0" fillId="0" borderId="0" xfId="0" applyNumberFormat="1" applyBorder="1" applyProtection="1">
      <protection locked="0"/>
    </xf>
    <xf numFmtId="44" fontId="0" fillId="0" borderId="0" xfId="1" applyFont="1" applyProtection="1">
      <protection locked="0"/>
    </xf>
    <xf numFmtId="0" fontId="5" fillId="0" borderId="0" xfId="0" applyFont="1" applyAlignment="1" applyProtection="1">
      <alignment horizontal="right"/>
      <protection locked="0"/>
    </xf>
    <xf numFmtId="166" fontId="6" fillId="0" borderId="0" xfId="1" applyNumberFormat="1" applyFont="1" applyAlignment="1" applyProtection="1">
      <alignment horizontal="right" readingOrder="1"/>
      <protection locked="0"/>
    </xf>
    <xf numFmtId="44" fontId="5" fillId="0" borderId="0" xfId="1" applyFont="1" applyFill="1" applyAlignment="1" applyProtection="1">
      <alignment horizontal="center" wrapText="1"/>
      <protection locked="0"/>
    </xf>
    <xf numFmtId="0" fontId="24" fillId="0" borderId="0" xfId="0" applyFont="1" applyFill="1" applyProtection="1">
      <protection locked="0"/>
    </xf>
    <xf numFmtId="0" fontId="24" fillId="0" borderId="0" xfId="0" applyFont="1" applyProtection="1">
      <protection locked="0"/>
    </xf>
    <xf numFmtId="38" fontId="5" fillId="0" borderId="0" xfId="1" applyNumberFormat="1" applyFont="1" applyAlignment="1">
      <alignment horizontal="right" readingOrder="1"/>
    </xf>
    <xf numFmtId="2" fontId="5" fillId="0" borderId="0" xfId="0" applyNumberFormat="1" applyFont="1"/>
    <xf numFmtId="0" fontId="10" fillId="0" borderId="0" xfId="0" applyFont="1"/>
    <xf numFmtId="14" fontId="6" fillId="14" borderId="0" xfId="0" applyNumberFormat="1" applyFont="1" applyFill="1" applyAlignment="1">
      <alignment horizontal="center"/>
    </xf>
    <xf numFmtId="187" fontId="5" fillId="0" borderId="0" xfId="4" applyNumberFormat="1" applyFont="1" applyBorder="1"/>
    <xf numFmtId="187" fontId="6" fillId="0" borderId="0" xfId="4" applyNumberFormat="1" applyFont="1" applyBorder="1"/>
    <xf numFmtId="0" fontId="6" fillId="0" borderId="0" xfId="2" applyFont="1" applyFill="1" applyBorder="1"/>
    <xf numFmtId="0" fontId="6" fillId="0" borderId="0" xfId="7" applyFont="1" applyFill="1" applyBorder="1"/>
    <xf numFmtId="165" fontId="5" fillId="0" borderId="0" xfId="7" applyNumberFormat="1" applyFont="1"/>
    <xf numFmtId="165" fontId="5" fillId="0" borderId="0" xfId="4" applyNumberFormat="1" applyFont="1" applyBorder="1"/>
    <xf numFmtId="188" fontId="5" fillId="0" borderId="0" xfId="4" applyNumberFormat="1" applyFont="1" applyBorder="1"/>
    <xf numFmtId="0" fontId="5" fillId="0" borderId="0" xfId="2" applyFont="1" applyBorder="1" applyAlignment="1">
      <alignment horizontal="left"/>
    </xf>
    <xf numFmtId="0" fontId="5" fillId="0" borderId="0" xfId="3" applyFont="1" applyFill="1" applyBorder="1" applyAlignment="1">
      <alignment horizontal="left"/>
    </xf>
    <xf numFmtId="0" fontId="5" fillId="0" borderId="0" xfId="2" applyFont="1" applyAlignment="1">
      <alignment horizontal="left"/>
    </xf>
    <xf numFmtId="187" fontId="77" fillId="0" borderId="0" xfId="4" applyNumberFormat="1" applyFont="1" applyBorder="1"/>
    <xf numFmtId="0" fontId="6" fillId="0" borderId="0" xfId="7" applyFont="1" applyAlignment="1">
      <alignment horizontal="center"/>
    </xf>
    <xf numFmtId="0" fontId="5" fillId="0" borderId="0" xfId="2" applyFont="1" applyBorder="1" applyAlignment="1">
      <alignment horizontal="center"/>
    </xf>
    <xf numFmtId="165" fontId="6" fillId="0" borderId="0" xfId="7" applyNumberFormat="1" applyFont="1" applyAlignment="1">
      <alignment horizontal="center"/>
    </xf>
    <xf numFmtId="14" fontId="5" fillId="0" borderId="0" xfId="0" applyNumberFormat="1" applyFont="1" applyAlignment="1">
      <alignment horizontal="left"/>
    </xf>
    <xf numFmtId="14" fontId="5" fillId="0" borderId="0" xfId="7" applyNumberFormat="1" applyFont="1" applyAlignment="1">
      <alignment horizontal="left"/>
    </xf>
    <xf numFmtId="165" fontId="78" fillId="0" borderId="0" xfId="7" applyNumberFormat="1" applyFont="1"/>
    <xf numFmtId="9" fontId="78" fillId="0" borderId="0" xfId="7" applyNumberFormat="1" applyFont="1"/>
    <xf numFmtId="165" fontId="6" fillId="0" borderId="0" xfId="4" applyNumberFormat="1" applyFont="1" applyBorder="1"/>
    <xf numFmtId="188" fontId="6" fillId="0" borderId="0" xfId="4" applyNumberFormat="1" applyFont="1" applyBorder="1"/>
    <xf numFmtId="0" fontId="5" fillId="0" borderId="0" xfId="7" applyFont="1" applyAlignment="1">
      <alignment horizontal="left" indent="1"/>
    </xf>
    <xf numFmtId="0" fontId="0" fillId="0" borderId="0" xfId="0" applyAlignment="1"/>
    <xf numFmtId="14" fontId="21" fillId="0" borderId="0" xfId="0" applyNumberFormat="1" applyFont="1"/>
    <xf numFmtId="0" fontId="0" fillId="0" borderId="0" xfId="0" applyBorder="1" applyAlignment="1"/>
    <xf numFmtId="38" fontId="0" fillId="0" borderId="0" xfId="0" applyNumberFormat="1" applyBorder="1" applyAlignment="1"/>
    <xf numFmtId="6" fontId="6" fillId="0" borderId="0" xfId="0" applyNumberFormat="1" applyFont="1" applyBorder="1" applyAlignment="1"/>
    <xf numFmtId="6" fontId="8" fillId="0" borderId="0" xfId="0" applyNumberFormat="1" applyFont="1" applyBorder="1" applyAlignment="1"/>
    <xf numFmtId="44" fontId="0" fillId="0" borderId="0" xfId="1" applyFont="1" applyBorder="1" applyAlignment="1"/>
    <xf numFmtId="6" fontId="0" fillId="0" borderId="0" xfId="1" applyNumberFormat="1" applyFont="1" applyBorder="1" applyAlignment="1"/>
    <xf numFmtId="44" fontId="0" fillId="0" borderId="0" xfId="1" applyFont="1" applyAlignment="1"/>
    <xf numFmtId="0" fontId="78" fillId="0" borderId="0" xfId="0" applyFont="1" applyBorder="1" applyAlignment="1">
      <alignment readingOrder="1"/>
    </xf>
    <xf numFmtId="0" fontId="78" fillId="0" borderId="0" xfId="0" applyFont="1" applyBorder="1" applyAlignment="1"/>
    <xf numFmtId="0" fontId="78" fillId="0" borderId="0" xfId="0" applyFont="1" applyAlignment="1"/>
    <xf numFmtId="38" fontId="5" fillId="0" borderId="0" xfId="0" applyNumberFormat="1" applyFont="1"/>
    <xf numFmtId="0" fontId="6" fillId="0" borderId="0" xfId="0" applyFont="1" applyAlignment="1">
      <alignment horizontal="center"/>
    </xf>
    <xf numFmtId="0" fontId="21" fillId="0" borderId="0" xfId="0" applyFont="1" applyAlignment="1" applyProtection="1">
      <alignment horizontal="center"/>
      <protection locked="0"/>
    </xf>
    <xf numFmtId="0" fontId="79" fillId="0" borderId="0" xfId="0" applyFont="1" applyAlignment="1" applyProtection="1">
      <alignment horizontal="center"/>
      <protection locked="0"/>
    </xf>
    <xf numFmtId="0" fontId="78" fillId="0" borderId="0" xfId="0" applyFont="1" applyAlignment="1" applyProtection="1">
      <alignment horizontal="center"/>
      <protection locked="0"/>
    </xf>
    <xf numFmtId="0" fontId="80" fillId="0" borderId="0" xfId="0" applyFont="1" applyAlignment="1" applyProtection="1">
      <alignment horizontal="center"/>
      <protection locked="0"/>
    </xf>
    <xf numFmtId="0" fontId="6" fillId="0" borderId="0" xfId="0" applyFont="1" applyAlignment="1">
      <alignment horizontal="left" readingOrder="1"/>
    </xf>
    <xf numFmtId="0" fontId="6" fillId="0" borderId="0" xfId="0" applyFont="1" applyFill="1" applyBorder="1" applyAlignment="1">
      <alignment horizontal="left" readingOrder="1"/>
    </xf>
    <xf numFmtId="0" fontId="6" fillId="0" borderId="0" xfId="0" applyFont="1" applyBorder="1" applyAlignment="1">
      <alignment horizontal="left" readingOrder="1"/>
    </xf>
    <xf numFmtId="0" fontId="26" fillId="0" borderId="0" xfId="0" applyFont="1" applyAlignment="1">
      <alignment horizontal="center" vertical="center"/>
    </xf>
    <xf numFmtId="0" fontId="9" fillId="0" borderId="0" xfId="0" applyFont="1" applyAlignment="1">
      <alignment vertical="top" wrapText="1"/>
    </xf>
    <xf numFmtId="177" fontId="66" fillId="49" borderId="0" xfId="0" applyNumberFormat="1" applyFont="1" applyFill="1" applyAlignment="1">
      <alignment horizontal="center"/>
    </xf>
    <xf numFmtId="179" fontId="72" fillId="49" borderId="0" xfId="0" applyNumberFormat="1" applyFont="1" applyFill="1" applyAlignment="1">
      <alignment horizontal="center"/>
    </xf>
    <xf numFmtId="9" fontId="64" fillId="0" borderId="0" xfId="0" applyNumberFormat="1" applyFont="1" applyFill="1" applyBorder="1"/>
    <xf numFmtId="9" fontId="64" fillId="0" borderId="0" xfId="0" applyNumberFormat="1" applyFont="1" applyFill="1" applyBorder="1" applyAlignment="1">
      <alignment horizontal="right"/>
    </xf>
    <xf numFmtId="0" fontId="19" fillId="46" borderId="0" xfId="0" applyFont="1" applyFill="1" applyBorder="1" applyAlignment="1">
      <alignment horizontal="center" vertical="center" wrapText="1"/>
    </xf>
    <xf numFmtId="179" fontId="72" fillId="0" borderId="0" xfId="0" applyNumberFormat="1" applyFont="1" applyFill="1" applyBorder="1" applyAlignment="1">
      <alignment horizontal="right"/>
    </xf>
    <xf numFmtId="0" fontId="82" fillId="0" borderId="0" xfId="0" applyFont="1" applyAlignment="1">
      <alignment horizontal="center"/>
    </xf>
    <xf numFmtId="0" fontId="82" fillId="0" borderId="0" xfId="0" applyFont="1" applyAlignment="1" applyProtection="1">
      <alignment horizontal="center"/>
      <protection locked="0"/>
    </xf>
    <xf numFmtId="0" fontId="82" fillId="0" borderId="0" xfId="0" applyFont="1" applyFill="1" applyAlignment="1" applyProtection="1">
      <alignment horizontal="center"/>
      <protection locked="0"/>
    </xf>
    <xf numFmtId="0" fontId="82" fillId="0" borderId="0" xfId="0" applyFont="1" applyBorder="1" applyAlignment="1" applyProtection="1">
      <alignment horizontal="center"/>
      <protection locked="0"/>
    </xf>
    <xf numFmtId="0" fontId="82" fillId="0" borderId="0" xfId="0" applyFont="1" applyBorder="1" applyAlignment="1">
      <alignment horizontal="center"/>
    </xf>
    <xf numFmtId="0" fontId="81" fillId="0" borderId="0" xfId="0" applyFont="1" applyAlignment="1">
      <alignment horizontal="right"/>
    </xf>
    <xf numFmtId="0" fontId="81" fillId="0" borderId="0" xfId="0" applyFont="1" applyFill="1" applyAlignment="1" applyProtection="1">
      <alignment horizontal="right"/>
      <protection locked="0"/>
    </xf>
    <xf numFmtId="0" fontId="81" fillId="0" borderId="0" xfId="0" applyFont="1" applyBorder="1" applyAlignment="1" applyProtection="1">
      <alignment horizontal="right"/>
      <protection locked="0"/>
    </xf>
    <xf numFmtId="0" fontId="81" fillId="0" borderId="0" xfId="0" applyFont="1" applyBorder="1" applyAlignment="1">
      <alignment horizontal="right"/>
    </xf>
    <xf numFmtId="164" fontId="10" fillId="51" borderId="4" xfId="16" applyNumberFormat="1" applyFill="1" applyBorder="1" applyAlignment="1">
      <alignment horizontal="centerContinuous" readingOrder="1"/>
    </xf>
    <xf numFmtId="166" fontId="33" fillId="0" borderId="0" xfId="1" applyNumberFormat="1" applyFont="1" applyAlignment="1" applyProtection="1">
      <alignment horizontal="right" readingOrder="1"/>
      <protection locked="0"/>
    </xf>
    <xf numFmtId="0" fontId="0" fillId="0" borderId="0" xfId="0" applyAlignment="1"/>
    <xf numFmtId="0" fontId="9" fillId="49" borderId="0" xfId="0" applyFont="1" applyFill="1" applyBorder="1" applyAlignment="1">
      <alignment horizontal="left" vertical="top" wrapText="1"/>
    </xf>
    <xf numFmtId="0" fontId="64" fillId="0" borderId="0" xfId="0" applyFont="1" applyAlignment="1"/>
    <xf numFmtId="0" fontId="9" fillId="0" borderId="0" xfId="0" applyFont="1" applyAlignment="1"/>
    <xf numFmtId="0" fontId="6" fillId="0" borderId="0" xfId="2" applyFont="1" applyFill="1" applyBorder="1" applyAlignment="1" applyProtection="1">
      <alignment readingOrder="1"/>
      <protection locked="0"/>
    </xf>
    <xf numFmtId="0" fontId="5" fillId="0" borderId="0" xfId="0" applyFont="1" applyFill="1" applyAlignment="1" applyProtection="1">
      <alignment horizontal="right"/>
      <protection locked="0"/>
    </xf>
    <xf numFmtId="0" fontId="5" fillId="0" borderId="0" xfId="0" applyFont="1" applyFill="1" applyAlignment="1" applyProtection="1">
      <alignment horizontal="center"/>
      <protection locked="0"/>
    </xf>
    <xf numFmtId="182" fontId="64" fillId="49" borderId="0" xfId="0" applyNumberFormat="1" applyFont="1" applyFill="1" applyAlignment="1">
      <alignment horizontal="center"/>
    </xf>
    <xf numFmtId="0" fontId="6" fillId="0" borderId="0" xfId="0" applyFont="1" applyFill="1" applyAlignment="1" applyProtection="1">
      <alignment horizontal="left" readingOrder="1"/>
      <protection locked="0"/>
    </xf>
    <xf numFmtId="0" fontId="83" fillId="0" borderId="0" xfId="0" applyFont="1" applyAlignment="1">
      <alignment horizontal="right"/>
    </xf>
    <xf numFmtId="0" fontId="84" fillId="0" borderId="0" xfId="0" applyFont="1" applyAlignment="1">
      <alignment horizontal="center"/>
    </xf>
    <xf numFmtId="38" fontId="10" fillId="0" borderId="0" xfId="0" applyNumberFormat="1" applyFont="1" applyBorder="1" applyProtection="1">
      <protection locked="0"/>
    </xf>
    <xf numFmtId="0" fontId="5" fillId="0" borderId="0" xfId="0" applyFont="1" applyFill="1" applyAlignment="1">
      <alignment horizontal="center"/>
    </xf>
    <xf numFmtId="6" fontId="6" fillId="0" borderId="55" xfId="0" applyNumberFormat="1" applyFont="1" applyBorder="1"/>
    <xf numFmtId="0" fontId="5" fillId="0" borderId="53" xfId="0" applyFont="1" applyBorder="1"/>
    <xf numFmtId="0" fontId="5" fillId="0" borderId="46" xfId="0" applyFont="1" applyBorder="1"/>
    <xf numFmtId="0" fontId="5" fillId="0" borderId="54" xfId="0" applyFont="1" applyBorder="1"/>
    <xf numFmtId="0" fontId="5" fillId="53" borderId="53" xfId="0" applyFont="1" applyFill="1" applyBorder="1"/>
    <xf numFmtId="0" fontId="5" fillId="54" borderId="46" xfId="0" applyFont="1" applyFill="1" applyBorder="1"/>
    <xf numFmtId="0" fontId="5" fillId="55" borderId="46" xfId="0" applyFont="1" applyFill="1" applyBorder="1"/>
    <xf numFmtId="0" fontId="5" fillId="17" borderId="54" xfId="22053" applyFont="1" applyBorder="1"/>
    <xf numFmtId="0" fontId="5" fillId="53" borderId="53" xfId="0" applyFont="1" applyFill="1" applyBorder="1" applyAlignment="1">
      <alignment wrapText="1"/>
    </xf>
    <xf numFmtId="0" fontId="5" fillId="0" borderId="50" xfId="0" applyFont="1" applyBorder="1"/>
    <xf numFmtId="0" fontId="5" fillId="0" borderId="51" xfId="0" applyFont="1" applyBorder="1"/>
    <xf numFmtId="0" fontId="5" fillId="0" borderId="52" xfId="0" applyFont="1" applyBorder="1"/>
    <xf numFmtId="0" fontId="5" fillId="53" borderId="50" xfId="0" applyFont="1" applyFill="1" applyBorder="1"/>
    <xf numFmtId="0" fontId="5" fillId="54" borderId="51" xfId="0" applyFont="1" applyFill="1" applyBorder="1"/>
    <xf numFmtId="0" fontId="5" fillId="55" borderId="51" xfId="0" applyFont="1" applyFill="1" applyBorder="1"/>
    <xf numFmtId="0" fontId="5" fillId="17" borderId="52" xfId="22053" applyFont="1" applyBorder="1"/>
    <xf numFmtId="0" fontId="5" fillId="53" borderId="50" xfId="0" applyFont="1" applyFill="1" applyBorder="1" applyAlignment="1">
      <alignment wrapText="1"/>
    </xf>
    <xf numFmtId="0" fontId="34" fillId="0" borderId="0" xfId="2" applyFont="1" applyBorder="1" applyAlignment="1">
      <alignment horizontal="left"/>
    </xf>
    <xf numFmtId="0" fontId="6" fillId="52" borderId="47" xfId="0" applyFont="1" applyFill="1" applyBorder="1" applyAlignment="1">
      <alignment horizontal="center" wrapText="1"/>
    </xf>
    <xf numFmtId="0" fontId="6" fillId="52" borderId="48" xfId="0" applyFont="1" applyFill="1" applyBorder="1" applyAlignment="1">
      <alignment horizontal="center" wrapText="1"/>
    </xf>
    <xf numFmtId="0" fontId="6" fillId="52" borderId="49" xfId="0" applyFont="1" applyFill="1" applyBorder="1" applyAlignment="1">
      <alignment horizontal="center" wrapText="1"/>
    </xf>
    <xf numFmtId="0" fontId="34" fillId="53" borderId="47" xfId="0" applyFont="1" applyFill="1" applyBorder="1" applyAlignment="1">
      <alignment horizontal="center" wrapText="1"/>
    </xf>
    <xf numFmtId="0" fontId="34" fillId="54" borderId="48" xfId="0" applyFont="1" applyFill="1" applyBorder="1" applyAlignment="1">
      <alignment horizontal="center" wrapText="1"/>
    </xf>
    <xf numFmtId="0" fontId="34" fillId="55" borderId="48" xfId="0" applyFont="1" applyFill="1" applyBorder="1" applyAlignment="1">
      <alignment horizontal="center" wrapText="1"/>
    </xf>
    <xf numFmtId="0" fontId="34" fillId="17" borderId="49" xfId="22053" applyFont="1" applyBorder="1" applyAlignment="1">
      <alignment horizontal="center" wrapText="1"/>
    </xf>
    <xf numFmtId="6" fontId="5" fillId="0" borderId="0" xfId="0" applyNumberFormat="1" applyFont="1"/>
    <xf numFmtId="4" fontId="5" fillId="0" borderId="0" xfId="0" applyNumberFormat="1" applyFont="1"/>
    <xf numFmtId="0" fontId="5" fillId="14" borderId="46" xfId="0" applyFont="1" applyFill="1" applyBorder="1"/>
    <xf numFmtId="0" fontId="5" fillId="14" borderId="51" xfId="0" applyFont="1" applyFill="1" applyBorder="1"/>
    <xf numFmtId="190" fontId="5" fillId="0" borderId="46" xfId="0" applyNumberFormat="1" applyFont="1" applyBorder="1"/>
    <xf numFmtId="190" fontId="5" fillId="0" borderId="54" xfId="0" applyNumberFormat="1" applyFont="1" applyBorder="1"/>
    <xf numFmtId="0" fontId="27" fillId="58" borderId="16" xfId="21" applyFont="1" applyFill="1" applyBorder="1"/>
    <xf numFmtId="0" fontId="27" fillId="58" borderId="17" xfId="21" applyFont="1" applyFill="1" applyBorder="1"/>
    <xf numFmtId="0" fontId="27" fillId="58" borderId="18" xfId="21" applyFont="1" applyFill="1" applyBorder="1"/>
    <xf numFmtId="0" fontId="29" fillId="58" borderId="19" xfId="21" applyFont="1" applyFill="1" applyBorder="1"/>
    <xf numFmtId="0" fontId="29" fillId="58" borderId="21" xfId="21" applyFont="1" applyFill="1" applyBorder="1"/>
    <xf numFmtId="0" fontId="27" fillId="58" borderId="31" xfId="21" applyFont="1" applyFill="1" applyBorder="1"/>
    <xf numFmtId="0" fontId="27" fillId="58" borderId="32" xfId="21" applyFont="1" applyFill="1" applyBorder="1"/>
    <xf numFmtId="0" fontId="27" fillId="58" borderId="33" xfId="21" applyFont="1" applyFill="1" applyBorder="1"/>
    <xf numFmtId="0" fontId="27" fillId="13" borderId="22" xfId="21" applyFont="1" applyFill="1" applyBorder="1" applyAlignment="1">
      <alignment vertical="center"/>
    </xf>
    <xf numFmtId="0" fontId="27" fillId="13" borderId="23" xfId="21" applyFont="1" applyFill="1" applyBorder="1" applyAlignment="1">
      <alignment horizontal="center" vertical="center"/>
    </xf>
    <xf numFmtId="0" fontId="27" fillId="13" borderId="24" xfId="21" applyFont="1" applyFill="1" applyBorder="1" applyAlignment="1">
      <alignment horizontal="center" vertical="center"/>
    </xf>
    <xf numFmtId="0" fontId="28" fillId="13" borderId="25" xfId="21" applyFont="1" applyFill="1" applyBorder="1" applyAlignment="1">
      <alignment vertical="center"/>
    </xf>
    <xf numFmtId="38" fontId="27" fillId="13" borderId="25" xfId="21" applyNumberFormat="1" applyFont="1" applyFill="1" applyBorder="1" applyAlignment="1">
      <alignment horizontal="left" vertical="center" indent="1"/>
    </xf>
    <xf numFmtId="37" fontId="27" fillId="13" borderId="0" xfId="4" applyNumberFormat="1" applyFont="1" applyFill="1" applyBorder="1" applyAlignment="1">
      <alignment horizontal="right" vertical="center" indent="1"/>
    </xf>
    <xf numFmtId="170" fontId="27" fillId="13" borderId="26" xfId="21" applyNumberFormat="1" applyFont="1" applyFill="1" applyBorder="1" applyAlignment="1">
      <alignment horizontal="right" vertical="center" indent="1"/>
    </xf>
    <xf numFmtId="0" fontId="85" fillId="13" borderId="25" xfId="21" applyFont="1" applyFill="1" applyBorder="1" applyAlignment="1">
      <alignment horizontal="left" vertical="center" indent="2"/>
    </xf>
    <xf numFmtId="170" fontId="27" fillId="13" borderId="27" xfId="4" applyNumberFormat="1" applyFont="1" applyFill="1" applyBorder="1" applyAlignment="1">
      <alignment horizontal="right" vertical="center" indent="1"/>
    </xf>
    <xf numFmtId="170" fontId="27" fillId="13" borderId="28" xfId="4" applyNumberFormat="1" applyFont="1" applyFill="1" applyBorder="1" applyAlignment="1">
      <alignment horizontal="right" vertical="center" indent="1"/>
    </xf>
    <xf numFmtId="0" fontId="31" fillId="13" borderId="25" xfId="21" applyFont="1" applyFill="1" applyBorder="1" applyAlignment="1">
      <alignment horizontal="left" vertical="center" indent="2"/>
    </xf>
    <xf numFmtId="170" fontId="27" fillId="13" borderId="0" xfId="4" applyNumberFormat="1" applyFont="1" applyFill="1" applyBorder="1" applyAlignment="1">
      <alignment horizontal="right" vertical="center" indent="1"/>
    </xf>
    <xf numFmtId="170" fontId="27" fillId="13" borderId="26" xfId="4" applyNumberFormat="1" applyFont="1" applyFill="1" applyBorder="1" applyAlignment="1">
      <alignment horizontal="right" vertical="center" indent="1"/>
    </xf>
    <xf numFmtId="0" fontId="27" fillId="13" borderId="25" xfId="21" applyFont="1" applyFill="1" applyBorder="1" applyAlignment="1">
      <alignment horizontal="left" vertical="center" indent="1"/>
    </xf>
    <xf numFmtId="170" fontId="27" fillId="13" borderId="0" xfId="20" applyNumberFormat="1" applyFont="1" applyFill="1" applyBorder="1" applyAlignment="1">
      <alignment horizontal="center" vertical="center"/>
    </xf>
    <xf numFmtId="0" fontId="27" fillId="13" borderId="29" xfId="21" applyFont="1" applyFill="1" applyBorder="1" applyAlignment="1">
      <alignment vertical="center"/>
    </xf>
    <xf numFmtId="0" fontId="27" fillId="13" borderId="5" xfId="21" applyFont="1" applyFill="1" applyBorder="1" applyAlignment="1">
      <alignment horizontal="center" vertical="center"/>
    </xf>
    <xf numFmtId="0" fontId="27" fillId="13" borderId="30" xfId="21" applyFont="1" applyFill="1" applyBorder="1" applyAlignment="1">
      <alignment horizontal="center" vertical="center"/>
    </xf>
    <xf numFmtId="191" fontId="86" fillId="0" borderId="0" xfId="0" applyNumberFormat="1" applyFont="1" applyFill="1"/>
    <xf numFmtId="40" fontId="5" fillId="0" borderId="0" xfId="0" applyNumberFormat="1" applyFont="1"/>
    <xf numFmtId="191" fontId="5" fillId="0" borderId="0" xfId="0" applyNumberFormat="1" applyFont="1" applyFill="1"/>
    <xf numFmtId="191" fontId="89" fillId="0" borderId="0" xfId="0" applyNumberFormat="1" applyFont="1"/>
    <xf numFmtId="4" fontId="86" fillId="0" borderId="0" xfId="0" applyNumberFormat="1" applyFont="1" applyFill="1"/>
    <xf numFmtId="10" fontId="5" fillId="0" borderId="0" xfId="0" applyNumberFormat="1" applyFont="1"/>
    <xf numFmtId="10" fontId="86" fillId="0" borderId="0" xfId="0" applyNumberFormat="1" applyFont="1" applyFill="1"/>
    <xf numFmtId="192" fontId="86" fillId="0" borderId="0" xfId="0" applyNumberFormat="1" applyFont="1" applyFill="1"/>
    <xf numFmtId="191" fontId="88" fillId="59" borderId="56" xfId="0" applyNumberFormat="1" applyFont="1" applyFill="1" applyBorder="1" applyAlignment="1">
      <alignment horizontal="center"/>
    </xf>
    <xf numFmtId="193" fontId="5" fillId="0" borderId="0" xfId="0" applyNumberFormat="1" applyFont="1"/>
    <xf numFmtId="193" fontId="86" fillId="0" borderId="0" xfId="0" applyNumberFormat="1" applyFont="1" applyFill="1"/>
    <xf numFmtId="0" fontId="5" fillId="0" borderId="0" xfId="0" applyFont="1" applyFill="1" applyAlignment="1">
      <alignment horizontal="right"/>
    </xf>
    <xf numFmtId="0" fontId="91" fillId="60" borderId="0" xfId="0" applyFont="1" applyFill="1" applyBorder="1" applyAlignment="1">
      <alignment vertical="center"/>
    </xf>
    <xf numFmtId="0" fontId="91" fillId="60" borderId="0" xfId="0" applyFont="1" applyFill="1" applyBorder="1" applyAlignment="1">
      <alignment vertical="center" wrapText="1"/>
    </xf>
    <xf numFmtId="0" fontId="92" fillId="60" borderId="0" xfId="0" applyFont="1" applyFill="1" applyBorder="1" applyAlignment="1">
      <alignment horizontal="center" wrapText="1"/>
    </xf>
    <xf numFmtId="0" fontId="0" fillId="0" borderId="0" xfId="0" applyBorder="1" applyAlignment="1">
      <alignment horizontal="center" wrapText="1"/>
    </xf>
    <xf numFmtId="0" fontId="94" fillId="0" borderId="0" xfId="0" applyFont="1" applyFill="1" applyBorder="1" applyAlignment="1">
      <alignment vertical="center" wrapText="1"/>
    </xf>
    <xf numFmtId="0" fontId="94" fillId="0" borderId="0" xfId="0" applyFont="1" applyBorder="1" applyAlignment="1">
      <alignment vertical="center"/>
    </xf>
    <xf numFmtId="0" fontId="94" fillId="61" borderId="0" xfId="0" applyFont="1" applyFill="1" applyBorder="1" applyAlignment="1">
      <alignment vertical="center" wrapText="1"/>
    </xf>
    <xf numFmtId="0" fontId="94" fillId="0" borderId="0" xfId="0" applyFont="1" applyFill="1" applyBorder="1" applyAlignment="1">
      <alignment horizontal="center" vertical="center"/>
    </xf>
    <xf numFmtId="38" fontId="94" fillId="0" borderId="0" xfId="0" applyNumberFormat="1" applyFont="1" applyFill="1" applyBorder="1" applyAlignment="1">
      <alignment horizontal="right" vertical="center" indent="2"/>
    </xf>
    <xf numFmtId="0" fontId="94" fillId="0" borderId="0" xfId="0" applyFont="1" applyFill="1" applyBorder="1" applyAlignment="1">
      <alignment vertical="center"/>
    </xf>
    <xf numFmtId="1" fontId="94" fillId="0" borderId="0" xfId="0" applyNumberFormat="1" applyFont="1" applyFill="1" applyBorder="1" applyAlignment="1">
      <alignment horizontal="center" vertical="center"/>
    </xf>
    <xf numFmtId="0" fontId="0" fillId="0" borderId="0" xfId="0" applyBorder="1" applyAlignment="1">
      <alignment wrapText="1"/>
    </xf>
    <xf numFmtId="0" fontId="93" fillId="56" borderId="0" xfId="0" applyFont="1" applyFill="1" applyBorder="1" applyAlignment="1">
      <alignment vertical="center" wrapText="1"/>
    </xf>
    <xf numFmtId="0" fontId="93" fillId="56" borderId="0" xfId="0" applyFont="1" applyFill="1" applyBorder="1" applyAlignment="1">
      <alignment vertical="center"/>
    </xf>
    <xf numFmtId="0" fontId="93" fillId="56" borderId="0" xfId="0" applyFont="1" applyFill="1" applyBorder="1" applyAlignment="1">
      <alignment horizontal="center" vertical="center"/>
    </xf>
    <xf numFmtId="38" fontId="93" fillId="56" borderId="0" xfId="0" applyNumberFormat="1" applyFont="1" applyFill="1" applyBorder="1" applyAlignment="1">
      <alignment horizontal="right" vertical="center" indent="2"/>
    </xf>
    <xf numFmtId="0" fontId="90" fillId="56" borderId="0" xfId="0" applyFont="1" applyFill="1" applyBorder="1" applyAlignment="1">
      <alignment vertical="center"/>
    </xf>
    <xf numFmtId="0" fontId="94" fillId="62" borderId="0" xfId="0" applyFont="1" applyFill="1" applyBorder="1" applyAlignment="1">
      <alignment vertical="center"/>
    </xf>
    <xf numFmtId="0" fontId="94" fillId="62" borderId="0" xfId="0" applyFont="1" applyFill="1" applyBorder="1" applyAlignment="1">
      <alignment horizontal="center" vertical="center"/>
    </xf>
    <xf numFmtId="0" fontId="92" fillId="6" borderId="0" xfId="0" applyFont="1" applyFill="1" applyBorder="1" applyAlignment="1">
      <alignment horizontal="center" wrapText="1"/>
    </xf>
    <xf numFmtId="0" fontId="0" fillId="0" borderId="0" xfId="0" applyBorder="1" applyAlignment="1">
      <alignment horizontal="right"/>
    </xf>
    <xf numFmtId="0" fontId="0" fillId="0" borderId="0" xfId="0" applyBorder="1" applyAlignment="1">
      <alignment horizontal="right" wrapText="1"/>
    </xf>
    <xf numFmtId="0" fontId="4" fillId="0" borderId="0" xfId="0" applyFont="1"/>
    <xf numFmtId="3" fontId="5" fillId="0" borderId="0" xfId="0" applyNumberFormat="1" applyFont="1" applyAlignment="1">
      <alignment horizontal="center"/>
    </xf>
    <xf numFmtId="10" fontId="11" fillId="0" borderId="0" xfId="6" applyNumberFormat="1" applyFont="1" applyAlignment="1" applyProtection="1">
      <alignment horizontal="center" readingOrder="1"/>
      <protection locked="0"/>
    </xf>
    <xf numFmtId="0" fontId="5" fillId="0" borderId="0" xfId="0" applyFont="1" applyAlignment="1"/>
    <xf numFmtId="0" fontId="6" fillId="0" borderId="0" xfId="0" applyFont="1" applyAlignment="1"/>
    <xf numFmtId="0" fontId="4" fillId="0" borderId="0" xfId="0" applyFont="1" applyAlignment="1" applyProtection="1">
      <alignment horizontal="left" readingOrder="1"/>
      <protection locked="0"/>
    </xf>
    <xf numFmtId="0" fontId="4" fillId="0" borderId="0" xfId="0" applyFont="1" applyAlignment="1" applyProtection="1">
      <alignment horizontal="center" readingOrder="1"/>
      <protection locked="0"/>
    </xf>
    <xf numFmtId="193" fontId="5" fillId="0" borderId="0" xfId="0" quotePrefix="1" applyNumberFormat="1" applyFont="1"/>
    <xf numFmtId="0" fontId="74" fillId="0" borderId="0" xfId="19" applyFont="1" applyAlignment="1" applyProtection="1"/>
    <xf numFmtId="8" fontId="5" fillId="0" borderId="0" xfId="0" applyNumberFormat="1" applyFont="1"/>
    <xf numFmtId="3" fontId="5" fillId="0" borderId="0" xfId="0" applyNumberFormat="1" applyFont="1"/>
    <xf numFmtId="0" fontId="6"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0" xfId="0" applyFont="1" applyFill="1" applyBorder="1" applyAlignment="1">
      <alignment horizontal="left" vertical="center" wrapText="1" indent="1"/>
    </xf>
    <xf numFmtId="4" fontId="6" fillId="0" borderId="0" xfId="0" applyNumberFormat="1" applyFont="1" applyAlignment="1">
      <alignment horizontal="right"/>
    </xf>
    <xf numFmtId="38" fontId="5" fillId="0" borderId="0" xfId="0" quotePrefix="1" applyNumberFormat="1" applyFont="1"/>
    <xf numFmtId="38" fontId="86" fillId="0" borderId="0" xfId="0" applyNumberFormat="1" applyFont="1" applyFill="1"/>
    <xf numFmtId="0" fontId="92" fillId="63" borderId="0" xfId="0" applyFont="1" applyFill="1" applyBorder="1" applyAlignment="1">
      <alignment horizontal="center" wrapText="1"/>
    </xf>
    <xf numFmtId="0" fontId="93" fillId="56" borderId="0" xfId="0" applyFont="1" applyFill="1" applyBorder="1" applyAlignment="1">
      <alignment horizontal="left" vertical="center"/>
    </xf>
    <xf numFmtId="0" fontId="95" fillId="0" borderId="0" xfId="0" applyFont="1" applyFill="1" applyBorder="1" applyAlignment="1">
      <alignment horizontal="left" vertical="center"/>
    </xf>
    <xf numFmtId="0" fontId="96" fillId="0" borderId="0" xfId="0" applyFont="1" applyFill="1" applyBorder="1" applyAlignment="1">
      <alignment horizontal="left"/>
    </xf>
    <xf numFmtId="0" fontId="92" fillId="6" borderId="0" xfId="0" applyFont="1" applyFill="1" applyBorder="1" applyAlignment="1">
      <alignment horizontal="left" wrapText="1"/>
    </xf>
    <xf numFmtId="0" fontId="0" fillId="0" borderId="0" xfId="0" applyBorder="1" applyAlignment="1">
      <alignment horizontal="left"/>
    </xf>
    <xf numFmtId="0" fontId="91" fillId="6" borderId="16" xfId="0" applyFont="1" applyFill="1" applyBorder="1" applyAlignment="1">
      <alignment horizontal="centerContinuous" vertical="center"/>
    </xf>
    <xf numFmtId="0" fontId="91" fillId="6" borderId="17" xfId="0" applyFont="1" applyFill="1" applyBorder="1" applyAlignment="1">
      <alignment horizontal="centerContinuous" vertical="center"/>
    </xf>
    <xf numFmtId="0" fontId="91" fillId="6" borderId="18" xfId="0" applyFont="1" applyFill="1" applyBorder="1" applyAlignment="1">
      <alignment horizontal="centerContinuous" vertical="center"/>
    </xf>
    <xf numFmtId="0" fontId="92" fillId="6" borderId="19" xfId="0" applyFont="1" applyFill="1" applyBorder="1" applyAlignment="1">
      <alignment horizontal="center" wrapText="1"/>
    </xf>
    <xf numFmtId="0" fontId="92" fillId="6" borderId="21" xfId="0" applyFont="1" applyFill="1" applyBorder="1" applyAlignment="1">
      <alignment horizontal="center" wrapText="1"/>
    </xf>
    <xf numFmtId="0" fontId="93" fillId="56" borderId="19" xfId="0" applyFont="1" applyFill="1" applyBorder="1" applyAlignment="1">
      <alignment horizontal="center" vertical="center"/>
    </xf>
    <xf numFmtId="0" fontId="93" fillId="56" borderId="21" xfId="0" applyFont="1" applyFill="1" applyBorder="1" applyAlignment="1">
      <alignment horizontal="left" vertical="center"/>
    </xf>
    <xf numFmtId="0" fontId="95" fillId="0" borderId="19" xfId="0" applyFont="1" applyFill="1" applyBorder="1" applyAlignment="1">
      <alignment horizontal="center" vertical="center"/>
    </xf>
    <xf numFmtId="0" fontId="96" fillId="0" borderId="21" xfId="0" applyFont="1" applyFill="1" applyBorder="1" applyAlignment="1">
      <alignment horizontal="left"/>
    </xf>
    <xf numFmtId="0" fontId="91" fillId="63" borderId="16" xfId="0" applyFont="1" applyFill="1" applyBorder="1" applyAlignment="1">
      <alignment horizontal="centerContinuous" vertical="center"/>
    </xf>
    <xf numFmtId="0" fontId="91" fillId="63" borderId="17" xfId="0" applyFont="1" applyFill="1" applyBorder="1" applyAlignment="1">
      <alignment horizontal="centerContinuous" vertical="center"/>
    </xf>
    <xf numFmtId="0" fontId="91" fillId="63" borderId="18" xfId="0" applyFont="1" applyFill="1" applyBorder="1" applyAlignment="1">
      <alignment horizontal="centerContinuous" vertical="center"/>
    </xf>
    <xf numFmtId="0" fontId="92" fillId="63" borderId="19" xfId="0" applyFont="1" applyFill="1" applyBorder="1" applyAlignment="1">
      <alignment horizontal="center" wrapText="1"/>
    </xf>
    <xf numFmtId="0" fontId="92" fillId="63" borderId="21" xfId="0" applyFont="1" applyFill="1" applyBorder="1" applyAlignment="1">
      <alignment horizontal="center" wrapText="1"/>
    </xf>
    <xf numFmtId="0" fontId="96" fillId="0" borderId="32" xfId="0" applyFont="1" applyFill="1" applyBorder="1" applyAlignment="1">
      <alignment horizontal="left"/>
    </xf>
    <xf numFmtId="0" fontId="96" fillId="0" borderId="33" xfId="0" applyFont="1" applyFill="1" applyBorder="1" applyAlignment="1">
      <alignment horizontal="left"/>
    </xf>
    <xf numFmtId="0" fontId="95" fillId="0" borderId="21" xfId="0" applyFont="1" applyFill="1" applyBorder="1" applyAlignment="1">
      <alignment horizontal="left" vertical="center"/>
    </xf>
    <xf numFmtId="0" fontId="0" fillId="0" borderId="0" xfId="0" applyAlignment="1">
      <alignment horizontal="left"/>
    </xf>
    <xf numFmtId="14" fontId="97" fillId="0" borderId="0" xfId="0" applyNumberFormat="1" applyFont="1" applyAlignment="1">
      <alignment wrapText="1"/>
    </xf>
    <xf numFmtId="0" fontId="11" fillId="0" borderId="0" xfId="0" applyFont="1"/>
    <xf numFmtId="164" fontId="10" fillId="57" borderId="2" xfId="13" applyNumberFormat="1" applyFill="1" applyBorder="1" applyAlignment="1" applyProtection="1">
      <alignment horizontal="centerContinuous" readingOrder="1"/>
      <protection locked="0"/>
    </xf>
    <xf numFmtId="164" fontId="10" fillId="57" borderId="4" xfId="13" applyNumberFormat="1" applyFill="1" applyBorder="1" applyAlignment="1">
      <alignment horizontal="centerContinuous" readingOrder="1"/>
    </xf>
    <xf numFmtId="164" fontId="10" fillId="57" borderId="3" xfId="13" applyNumberFormat="1" applyFill="1" applyBorder="1" applyAlignment="1">
      <alignment horizontal="centerContinuous" readingOrder="1"/>
    </xf>
    <xf numFmtId="0" fontId="10" fillId="57" borderId="1" xfId="13" applyFill="1" applyBorder="1" applyAlignment="1">
      <alignment horizontal="center" wrapText="1" readingOrder="1"/>
    </xf>
    <xf numFmtId="164" fontId="10" fillId="57" borderId="1" xfId="13" applyNumberFormat="1" applyFill="1" applyBorder="1" applyAlignment="1">
      <alignment horizontal="center" wrapText="1" readingOrder="1"/>
    </xf>
    <xf numFmtId="0" fontId="5" fillId="64" borderId="0" xfId="0" applyFont="1" applyFill="1"/>
    <xf numFmtId="0" fontId="6" fillId="0" borderId="0" xfId="0" applyFont="1" applyAlignment="1">
      <alignment wrapText="1"/>
    </xf>
    <xf numFmtId="0" fontId="6" fillId="0" borderId="0" xfId="0" applyFont="1" applyFill="1"/>
    <xf numFmtId="0" fontId="6" fillId="64" borderId="0" xfId="0" applyFont="1" applyFill="1"/>
    <xf numFmtId="0" fontId="6" fillId="64" borderId="0" xfId="0" applyFont="1" applyFill="1" applyAlignment="1">
      <alignment wrapText="1"/>
    </xf>
    <xf numFmtId="0" fontId="34" fillId="0" borderId="0" xfId="0" applyFont="1" applyAlignment="1"/>
    <xf numFmtId="0" fontId="5" fillId="64" borderId="0" xfId="2" applyFont="1" applyFill="1"/>
    <xf numFmtId="0" fontId="34" fillId="0" borderId="0" xfId="0" applyFont="1" applyAlignment="1">
      <alignment wrapText="1"/>
    </xf>
    <xf numFmtId="0" fontId="64" fillId="0" borderId="0" xfId="0" applyFont="1" applyFill="1" applyBorder="1" applyAlignment="1">
      <alignment horizontal="left" vertical="top" wrapText="1"/>
    </xf>
    <xf numFmtId="0" fontId="64" fillId="13" borderId="0" xfId="0" applyFont="1" applyFill="1" applyAlignment="1"/>
    <xf numFmtId="0" fontId="64" fillId="0" borderId="0" xfId="0" applyFont="1" applyFill="1" applyBorder="1" applyAlignment="1">
      <alignment horizontal="right" vertical="top" wrapText="1"/>
    </xf>
    <xf numFmtId="0" fontId="64" fillId="49" borderId="0" xfId="0" applyFont="1" applyFill="1" applyAlignment="1">
      <alignment vertical="top" wrapText="1"/>
    </xf>
    <xf numFmtId="0" fontId="64" fillId="49" borderId="0" xfId="0" applyFont="1" applyFill="1" applyBorder="1" applyAlignment="1">
      <alignment horizontal="left" vertical="center" wrapText="1"/>
    </xf>
    <xf numFmtId="0" fontId="64" fillId="49" borderId="0" xfId="0" applyFont="1" applyFill="1" applyBorder="1" applyAlignment="1">
      <alignment horizontal="left" vertical="top" wrapText="1"/>
    </xf>
    <xf numFmtId="0" fontId="5" fillId="0" borderId="46" xfId="0" applyFont="1" applyFill="1" applyBorder="1"/>
    <xf numFmtId="0" fontId="5" fillId="0" borderId="51" xfId="0" applyFont="1" applyFill="1" applyBorder="1"/>
    <xf numFmtId="0" fontId="18" fillId="65" borderId="0" xfId="6848" applyFont="1" applyFill="1" applyBorder="1" applyAlignment="1">
      <alignment horizontal="center" vertical="center"/>
    </xf>
    <xf numFmtId="49" fontId="18" fillId="5" borderId="0" xfId="9067" applyNumberFormat="1" applyFont="1" applyFill="1" applyAlignment="1">
      <alignment horizontal="center"/>
    </xf>
    <xf numFmtId="14" fontId="20" fillId="0" borderId="0" xfId="0" applyNumberFormat="1" applyFont="1" applyAlignment="1">
      <alignment wrapText="1"/>
    </xf>
    <xf numFmtId="0" fontId="25" fillId="0" borderId="0" xfId="19" applyFill="1" applyBorder="1" applyAlignment="1" applyProtection="1">
      <alignment horizontal="left" vertical="center" wrapText="1"/>
    </xf>
    <xf numFmtId="0" fontId="0" fillId="0" borderId="0" xfId="0" applyAlignment="1">
      <alignment wrapText="1"/>
    </xf>
    <xf numFmtId="9" fontId="11" fillId="0" borderId="0" xfId="0" applyNumberFormat="1" applyFont="1" applyAlignment="1">
      <alignment horizontal="center"/>
    </xf>
    <xf numFmtId="0" fontId="0" fillId="0" borderId="0" xfId="0" applyAlignment="1">
      <alignment horizontal="right"/>
    </xf>
    <xf numFmtId="0" fontId="0" fillId="0" borderId="0" xfId="0" applyAlignment="1">
      <alignment horizontal="right" indent="1"/>
    </xf>
    <xf numFmtId="0" fontId="18" fillId="65" borderId="0" xfId="6848" applyFont="1" applyFill="1" applyBorder="1" applyAlignment="1">
      <alignment horizontal="right" vertical="center" indent="1"/>
    </xf>
    <xf numFmtId="0" fontId="78" fillId="0" borderId="0" xfId="0" applyFont="1" applyAlignment="1">
      <alignment horizontal="center"/>
    </xf>
    <xf numFmtId="0" fontId="9" fillId="0" borderId="59" xfId="6848" applyFont="1" applyFill="1" applyBorder="1" applyAlignment="1">
      <alignment horizontal="center"/>
    </xf>
    <xf numFmtId="0" fontId="9" fillId="0" borderId="60" xfId="6848" applyFont="1" applyFill="1" applyBorder="1" applyAlignment="1">
      <alignment horizontal="center"/>
    </xf>
    <xf numFmtId="37" fontId="9" fillId="0" borderId="60" xfId="22051" applyNumberFormat="1" applyFont="1" applyFill="1" applyBorder="1" applyAlignment="1">
      <alignment horizontal="right"/>
    </xf>
    <xf numFmtId="9" fontId="9" fillId="0" borderId="60" xfId="22051" applyNumberFormat="1" applyFont="1" applyFill="1" applyBorder="1" applyAlignment="1">
      <alignment horizontal="right"/>
    </xf>
    <xf numFmtId="0" fontId="9" fillId="0" borderId="61" xfId="6848" applyFont="1" applyFill="1" applyBorder="1" applyAlignment="1">
      <alignment horizontal="center"/>
    </xf>
    <xf numFmtId="0" fontId="99" fillId="65" borderId="0" xfId="6848" applyFont="1" applyFill="1" applyBorder="1" applyAlignment="1">
      <alignment horizontal="right" vertical="center" indent="2"/>
    </xf>
    <xf numFmtId="0" fontId="10" fillId="5" borderId="62" xfId="13" applyFill="1" applyBorder="1" applyAlignment="1">
      <alignment horizontal="left" wrapText="1" indent="1" readingOrder="1"/>
    </xf>
    <xf numFmtId="0" fontId="10" fillId="5" borderId="63" xfId="13" applyFill="1" applyBorder="1" applyAlignment="1">
      <alignment horizontal="center" wrapText="1" readingOrder="1"/>
    </xf>
    <xf numFmtId="164" fontId="10" fillId="5" borderId="63" xfId="13" applyNumberFormat="1" applyFill="1" applyBorder="1" applyAlignment="1">
      <alignment horizontal="center" wrapText="1" readingOrder="1"/>
    </xf>
    <xf numFmtId="0" fontId="9" fillId="0" borderId="65" xfId="6848" applyFont="1" applyFill="1" applyBorder="1" applyAlignment="1">
      <alignment horizontal="left" indent="1"/>
    </xf>
    <xf numFmtId="0" fontId="9" fillId="0" borderId="66" xfId="6848" applyFont="1" applyFill="1" applyBorder="1" applyAlignment="1">
      <alignment horizontal="left" indent="1"/>
    </xf>
    <xf numFmtId="194" fontId="9" fillId="0" borderId="67" xfId="6848" applyNumberFormat="1" applyFont="1" applyFill="1" applyBorder="1" applyAlignment="1">
      <alignment horizontal="right" indent="1"/>
    </xf>
    <xf numFmtId="0" fontId="9" fillId="0" borderId="68" xfId="6848" applyFont="1" applyFill="1" applyBorder="1" applyAlignment="1">
      <alignment horizontal="left" indent="1"/>
    </xf>
    <xf numFmtId="194" fontId="99" fillId="65" borderId="70" xfId="1" applyNumberFormat="1" applyFont="1" applyFill="1" applyBorder="1" applyAlignment="1">
      <alignment horizontal="right" vertical="center" indent="1"/>
    </xf>
    <xf numFmtId="0" fontId="18" fillId="65" borderId="72" xfId="6848" applyFont="1" applyFill="1" applyBorder="1" applyAlignment="1">
      <alignment horizontal="center" vertical="center"/>
    </xf>
    <xf numFmtId="0" fontId="18" fillId="65" borderId="72" xfId="6848" applyFont="1" applyFill="1" applyBorder="1" applyAlignment="1">
      <alignment horizontal="right" vertical="center" indent="1"/>
    </xf>
    <xf numFmtId="0" fontId="99" fillId="65" borderId="72" xfId="6848" applyFont="1" applyFill="1" applyBorder="1" applyAlignment="1">
      <alignment horizontal="right" vertical="center" indent="2"/>
    </xf>
    <xf numFmtId="194" fontId="99" fillId="65" borderId="73" xfId="1" applyNumberFormat="1" applyFont="1" applyFill="1" applyBorder="1" applyAlignment="1">
      <alignment horizontal="right" vertical="center" indent="1"/>
    </xf>
    <xf numFmtId="38" fontId="78" fillId="0" borderId="0" xfId="0" applyNumberFormat="1" applyFont="1" applyAlignment="1">
      <alignment horizontal="right" indent="1"/>
    </xf>
    <xf numFmtId="164" fontId="10" fillId="5" borderId="64" xfId="13" applyNumberFormat="1" applyFill="1" applyBorder="1" applyAlignment="1">
      <alignment horizontal="right" wrapText="1" indent="1" readingOrder="1"/>
    </xf>
    <xf numFmtId="3" fontId="9" fillId="0" borderId="60" xfId="6848" applyNumberFormat="1" applyFont="1" applyFill="1" applyBorder="1" applyAlignment="1">
      <alignment horizontal="right" indent="1"/>
    </xf>
    <xf numFmtId="9" fontId="9" fillId="0" borderId="60" xfId="6" applyFont="1" applyFill="1" applyBorder="1" applyAlignment="1">
      <alignment horizontal="right" indent="2"/>
    </xf>
    <xf numFmtId="0" fontId="18" fillId="65" borderId="69" xfId="6848" applyFont="1" applyFill="1" applyBorder="1" applyAlignment="1">
      <alignment horizontal="left" vertical="center" indent="1"/>
    </xf>
    <xf numFmtId="0" fontId="18" fillId="65" borderId="71" xfId="6848" applyFont="1" applyFill="1" applyBorder="1" applyAlignment="1">
      <alignment horizontal="left" vertical="center" indent="1"/>
    </xf>
    <xf numFmtId="194" fontId="0" fillId="0" borderId="0" xfId="0" applyNumberFormat="1" applyAlignment="1">
      <alignment wrapText="1"/>
    </xf>
    <xf numFmtId="194" fontId="0" fillId="0" borderId="0" xfId="0" applyNumberFormat="1"/>
    <xf numFmtId="194" fontId="5" fillId="0" borderId="0" xfId="0" applyNumberFormat="1" applyFont="1" applyAlignment="1">
      <alignment wrapText="1"/>
    </xf>
    <xf numFmtId="194" fontId="5" fillId="0" borderId="0" xfId="0" applyNumberFormat="1" applyFont="1"/>
    <xf numFmtId="49" fontId="18" fillId="5" borderId="0" xfId="9067" applyNumberFormat="1" applyFont="1" applyFill="1" applyBorder="1" applyAlignment="1">
      <alignment horizontal="center"/>
    </xf>
    <xf numFmtId="0" fontId="100" fillId="0" borderId="0" xfId="0" applyFont="1"/>
    <xf numFmtId="0" fontId="25" fillId="0" borderId="0" xfId="19" applyAlignment="1" applyProtection="1">
      <alignment horizontal="left"/>
    </xf>
    <xf numFmtId="164" fontId="10" fillId="57" borderId="2" xfId="13" applyNumberFormat="1" applyFill="1" applyBorder="1" applyAlignment="1">
      <alignment horizontal="centerContinuous" readingOrder="1"/>
    </xf>
    <xf numFmtId="0" fontId="5" fillId="0" borderId="0" xfId="20" applyFont="1"/>
    <xf numFmtId="0" fontId="97" fillId="0" borderId="0" xfId="20" applyFont="1" applyFill="1"/>
    <xf numFmtId="38" fontId="5" fillId="0" borderId="0" xfId="20" applyNumberFormat="1" applyFont="1"/>
    <xf numFmtId="38" fontId="101" fillId="0" borderId="0" xfId="20" applyNumberFormat="1" applyFont="1"/>
    <xf numFmtId="38" fontId="97" fillId="0" borderId="0" xfId="20" applyNumberFormat="1" applyFont="1" applyFill="1"/>
    <xf numFmtId="14" fontId="97" fillId="0" borderId="0" xfId="0" applyNumberFormat="1" applyFont="1" applyAlignment="1">
      <alignment horizontal="center" wrapText="1"/>
    </xf>
    <xf numFmtId="0" fontId="32" fillId="57" borderId="0" xfId="21" applyFont="1" applyFill="1" applyBorder="1" applyAlignment="1">
      <alignment horizontal="right" vertical="center" indent="3"/>
    </xf>
    <xf numFmtId="0" fontId="32" fillId="57" borderId="26" xfId="21" applyFont="1" applyFill="1" applyBorder="1" applyAlignment="1">
      <alignment horizontal="right" vertical="center" indent="1"/>
    </xf>
    <xf numFmtId="0" fontId="5" fillId="0" borderId="74" xfId="0" applyFont="1" applyBorder="1"/>
    <xf numFmtId="0" fontId="5" fillId="14" borderId="75" xfId="0" applyFont="1" applyFill="1" applyBorder="1"/>
    <xf numFmtId="0" fontId="5" fillId="0" borderId="75" xfId="0" applyFont="1" applyBorder="1"/>
    <xf numFmtId="0" fontId="5" fillId="0" borderId="76" xfId="0" applyFont="1" applyBorder="1"/>
    <xf numFmtId="0" fontId="5" fillId="0" borderId="47" xfId="0" applyFont="1" applyBorder="1"/>
    <xf numFmtId="0" fontId="5" fillId="14" borderId="48" xfId="0" applyFont="1" applyFill="1" applyBorder="1"/>
    <xf numFmtId="0" fontId="5" fillId="0" borderId="48" xfId="0" applyFont="1" applyBorder="1"/>
    <xf numFmtId="0" fontId="5" fillId="0" borderId="49" xfId="0" applyFont="1" applyBorder="1"/>
    <xf numFmtId="0" fontId="5" fillId="0" borderId="77" xfId="0" applyFont="1" applyBorder="1"/>
    <xf numFmtId="0" fontId="5" fillId="14" borderId="78" xfId="0" applyFont="1" applyFill="1" applyBorder="1"/>
    <xf numFmtId="0" fontId="5" fillId="0" borderId="78" xfId="0" applyFont="1" applyBorder="1"/>
    <xf numFmtId="190" fontId="5" fillId="0" borderId="78" xfId="0" applyNumberFormat="1" applyFont="1" applyBorder="1"/>
    <xf numFmtId="190" fontId="5" fillId="0" borderId="79" xfId="0" applyNumberFormat="1" applyFont="1" applyBorder="1"/>
    <xf numFmtId="0" fontId="5" fillId="0" borderId="80" xfId="0" applyFont="1" applyBorder="1"/>
    <xf numFmtId="0" fontId="5" fillId="14" borderId="81" xfId="0" applyFont="1" applyFill="1" applyBorder="1"/>
    <xf numFmtId="0" fontId="5" fillId="0" borderId="81" xfId="0" applyFont="1" applyBorder="1"/>
    <xf numFmtId="0" fontId="5" fillId="0" borderId="82" xfId="0" applyFont="1" applyBorder="1"/>
    <xf numFmtId="0" fontId="5" fillId="13" borderId="0" xfId="0" applyFont="1" applyFill="1" applyAlignment="1">
      <alignment horizontal="left"/>
    </xf>
    <xf numFmtId="0" fontId="5" fillId="13" borderId="0" xfId="0" applyFont="1" applyFill="1" applyAlignment="1">
      <alignment horizontal="center"/>
    </xf>
    <xf numFmtId="166" fontId="6" fillId="13" borderId="0" xfId="1" applyNumberFormat="1" applyFont="1" applyFill="1" applyAlignment="1">
      <alignment horizontal="right" readingOrder="1"/>
    </xf>
    <xf numFmtId="0" fontId="5" fillId="13" borderId="0" xfId="0" applyFont="1" applyFill="1"/>
    <xf numFmtId="38" fontId="5" fillId="13" borderId="0" xfId="0" applyNumberFormat="1" applyFont="1" applyFill="1" applyBorder="1"/>
    <xf numFmtId="0" fontId="0" fillId="13" borderId="0" xfId="0" applyFill="1"/>
    <xf numFmtId="0" fontId="75" fillId="13" borderId="0" xfId="0" applyFont="1" applyFill="1" applyAlignment="1">
      <alignment horizontal="left" indent="1"/>
    </xf>
    <xf numFmtId="0" fontId="4" fillId="13" borderId="0" xfId="0" applyFont="1" applyFill="1" applyAlignment="1">
      <alignment horizontal="left" wrapText="1" readingOrder="1"/>
    </xf>
    <xf numFmtId="38" fontId="6" fillId="13" borderId="0" xfId="0" applyNumberFormat="1" applyFont="1" applyFill="1" applyBorder="1"/>
    <xf numFmtId="0" fontId="6" fillId="13" borderId="0" xfId="0" applyFont="1" applyFill="1"/>
    <xf numFmtId="38" fontId="6" fillId="13" borderId="55" xfId="0" applyNumberFormat="1" applyFont="1" applyFill="1" applyBorder="1"/>
    <xf numFmtId="0" fontId="6" fillId="13" borderId="0" xfId="0" applyFont="1" applyFill="1" applyAlignment="1">
      <alignment horizontal="left" wrapText="1" readingOrder="1"/>
    </xf>
    <xf numFmtId="0" fontId="0" fillId="13" borderId="0" xfId="0" applyFill="1" applyBorder="1" applyAlignment="1">
      <alignment horizontal="left"/>
    </xf>
    <xf numFmtId="0" fontId="0" fillId="13" borderId="0" xfId="0" applyFill="1" applyBorder="1"/>
    <xf numFmtId="6" fontId="6" fillId="13" borderId="0" xfId="0" applyNumberFormat="1" applyFont="1" applyFill="1" applyBorder="1"/>
    <xf numFmtId="0" fontId="8" fillId="13" borderId="0" xfId="0" applyFont="1" applyFill="1" applyBorder="1"/>
    <xf numFmtId="38" fontId="0" fillId="13" borderId="0" xfId="0" applyNumberFormat="1" applyFill="1" applyBorder="1"/>
    <xf numFmtId="0" fontId="5" fillId="13" borderId="83" xfId="0" applyFont="1" applyFill="1" applyBorder="1" applyAlignment="1">
      <alignment horizontal="left"/>
    </xf>
    <xf numFmtId="166" fontId="6" fillId="13" borderId="83" xfId="1" applyNumberFormat="1" applyFont="1" applyFill="1" applyBorder="1" applyAlignment="1">
      <alignment horizontal="right" readingOrder="1"/>
    </xf>
    <xf numFmtId="0" fontId="10" fillId="57" borderId="84" xfId="13" applyFill="1" applyBorder="1" applyAlignment="1">
      <alignment horizontal="center" wrapText="1" readingOrder="1"/>
    </xf>
    <xf numFmtId="164" fontId="10" fillId="57" borderId="84" xfId="13" applyNumberFormat="1" applyFill="1" applyBorder="1" applyAlignment="1">
      <alignment horizontal="center" wrapText="1" readingOrder="1"/>
    </xf>
    <xf numFmtId="0" fontId="10" fillId="10" borderId="84" xfId="16" applyBorder="1" applyAlignment="1">
      <alignment horizontal="center" wrapText="1" readingOrder="1"/>
    </xf>
    <xf numFmtId="164" fontId="10" fillId="10" borderId="84" xfId="16" applyNumberFormat="1" applyBorder="1" applyAlignment="1">
      <alignment horizontal="center" wrapText="1" readingOrder="1"/>
    </xf>
    <xf numFmtId="0" fontId="10" fillId="51" borderId="84" xfId="16" applyFill="1" applyBorder="1" applyAlignment="1">
      <alignment horizontal="center" wrapText="1" readingOrder="1"/>
    </xf>
    <xf numFmtId="164" fontId="10" fillId="51" borderId="84" xfId="16" applyNumberFormat="1" applyFill="1" applyBorder="1" applyAlignment="1">
      <alignment horizontal="center" wrapText="1" readingOrder="1"/>
    </xf>
    <xf numFmtId="0" fontId="5" fillId="13" borderId="0" xfId="0" applyFont="1" applyFill="1" applyAlignment="1">
      <alignment horizontal="right"/>
    </xf>
    <xf numFmtId="0" fontId="10" fillId="57" borderId="85" xfId="13" applyFill="1" applyBorder="1" applyAlignment="1">
      <alignment horizontal="center" wrapText="1" readingOrder="1"/>
    </xf>
    <xf numFmtId="0" fontId="3" fillId="0" borderId="83" xfId="0" applyFont="1" applyFill="1" applyBorder="1" applyAlignment="1">
      <alignment horizontal="right" wrapText="1" readingOrder="1"/>
    </xf>
    <xf numFmtId="0" fontId="0" fillId="13" borderId="0" xfId="0" applyFont="1" applyFill="1" applyAlignment="1">
      <alignment horizontal="center"/>
    </xf>
    <xf numFmtId="0" fontId="10" fillId="13" borderId="0" xfId="0" applyFont="1" applyFill="1"/>
    <xf numFmtId="0" fontId="10" fillId="13" borderId="0" xfId="0" applyFont="1" applyFill="1" applyAlignment="1">
      <alignment horizontal="center"/>
    </xf>
    <xf numFmtId="44" fontId="10" fillId="13" borderId="0" xfId="1" applyFont="1" applyFill="1"/>
    <xf numFmtId="0" fontId="10" fillId="0" borderId="0" xfId="0" applyFont="1" applyFill="1"/>
    <xf numFmtId="0" fontId="0" fillId="0" borderId="0" xfId="0" applyFill="1"/>
    <xf numFmtId="0" fontId="0" fillId="0" borderId="0" xfId="0" applyFill="1" applyBorder="1"/>
    <xf numFmtId="0" fontId="32" fillId="67" borderId="0" xfId="21" applyFont="1" applyFill="1" applyBorder="1" applyAlignment="1">
      <alignment horizontal="center" vertical="center"/>
    </xf>
    <xf numFmtId="0" fontId="32" fillId="13" borderId="0" xfId="21" applyFont="1" applyFill="1" applyBorder="1" applyAlignment="1">
      <alignment horizontal="center" vertical="center"/>
    </xf>
    <xf numFmtId="0" fontId="32" fillId="57" borderId="0" xfId="21" applyFont="1" applyFill="1" applyBorder="1" applyAlignment="1">
      <alignment horizontal="center" vertical="center"/>
    </xf>
    <xf numFmtId="0" fontId="32" fillId="13" borderId="26" xfId="21" applyFont="1" applyFill="1" applyBorder="1" applyAlignment="1">
      <alignment horizontal="center" vertical="center"/>
    </xf>
    <xf numFmtId="37" fontId="27" fillId="13" borderId="26" xfId="4" applyNumberFormat="1" applyFont="1" applyFill="1" applyBorder="1" applyAlignment="1">
      <alignment horizontal="right" vertical="center" indent="1"/>
    </xf>
    <xf numFmtId="170" fontId="27" fillId="13" borderId="0" xfId="21" applyNumberFormat="1" applyFont="1" applyFill="1" applyBorder="1" applyAlignment="1">
      <alignment horizontal="right" vertical="center" indent="1"/>
    </xf>
    <xf numFmtId="170" fontId="27" fillId="13" borderId="23" xfId="4" applyNumberFormat="1" applyFont="1" applyFill="1" applyBorder="1" applyAlignment="1">
      <alignment horizontal="right" vertical="center" indent="1"/>
    </xf>
    <xf numFmtId="38" fontId="102" fillId="13" borderId="25" xfId="21" applyNumberFormat="1" applyFont="1" applyFill="1" applyBorder="1" applyAlignment="1">
      <alignment horizontal="left" vertical="center" indent="1"/>
    </xf>
    <xf numFmtId="0" fontId="30" fillId="0" borderId="0" xfId="20" applyFont="1" applyFill="1" applyAlignment="1">
      <alignment horizontal="right"/>
    </xf>
    <xf numFmtId="170" fontId="32" fillId="57" borderId="86" xfId="21" applyNumberFormat="1" applyFont="1" applyFill="1" applyBorder="1" applyAlignment="1">
      <alignment horizontal="right" vertical="center" indent="1"/>
    </xf>
    <xf numFmtId="170" fontId="27" fillId="13" borderId="26" xfId="20" applyNumberFormat="1" applyFont="1" applyFill="1" applyBorder="1" applyAlignment="1">
      <alignment horizontal="center" vertical="center"/>
    </xf>
    <xf numFmtId="170" fontId="32" fillId="57" borderId="87" xfId="21" applyNumberFormat="1" applyFont="1" applyFill="1" applyBorder="1" applyAlignment="1">
      <alignment horizontal="right" vertical="center" indent="1"/>
    </xf>
    <xf numFmtId="175" fontId="16" fillId="13" borderId="0" xfId="9067" applyFont="1" applyFill="1"/>
    <xf numFmtId="175" fontId="16" fillId="13" borderId="0" xfId="9067" applyFont="1" applyFill="1" applyAlignment="1">
      <alignment horizontal="center"/>
    </xf>
    <xf numFmtId="0" fontId="16" fillId="13" borderId="0" xfId="0" applyFont="1" applyFill="1"/>
    <xf numFmtId="0" fontId="16" fillId="0" borderId="0" xfId="0" applyFont="1"/>
    <xf numFmtId="189" fontId="9" fillId="13" borderId="0" xfId="22057" applyNumberFormat="1" applyFont="1" applyFill="1" applyBorder="1" applyAlignment="1">
      <alignment horizontal="center"/>
    </xf>
    <xf numFmtId="175" fontId="16" fillId="13" borderId="0" xfId="9067" applyFont="1" applyFill="1" applyBorder="1" applyAlignment="1">
      <alignment horizontal="center"/>
    </xf>
    <xf numFmtId="175" fontId="9" fillId="13" borderId="0" xfId="9067" applyFont="1" applyFill="1" applyBorder="1" applyAlignment="1"/>
    <xf numFmtId="6" fontId="103" fillId="13" borderId="0" xfId="22056" applyNumberFormat="1" applyFont="1" applyFill="1" applyBorder="1" applyAlignment="1">
      <alignment horizontal="center"/>
    </xf>
    <xf numFmtId="6" fontId="9" fillId="13" borderId="0" xfId="22056" applyNumberFormat="1" applyFont="1" applyFill="1" applyBorder="1" applyAlignment="1">
      <alignment horizontal="center"/>
    </xf>
    <xf numFmtId="175" fontId="16" fillId="13" borderId="0" xfId="9067" applyFont="1" applyFill="1" applyBorder="1" applyAlignment="1"/>
    <xf numFmtId="6" fontId="99" fillId="5" borderId="6" xfId="22056" applyNumberFormat="1" applyFont="1" applyFill="1" applyBorder="1" applyAlignment="1">
      <alignment horizontal="center" wrapText="1"/>
    </xf>
    <xf numFmtId="0" fontId="99" fillId="5" borderId="6" xfId="22056" applyFont="1" applyFill="1" applyBorder="1" applyAlignment="1">
      <alignment horizontal="centerContinuous" vertical="center" wrapText="1"/>
    </xf>
    <xf numFmtId="0" fontId="18" fillId="5" borderId="20" xfId="22056" applyFont="1" applyFill="1" applyBorder="1" applyAlignment="1">
      <alignment horizontal="centerContinuous" vertical="center" wrapText="1"/>
    </xf>
    <xf numFmtId="0" fontId="99" fillId="5" borderId="16" xfId="22056" applyFont="1" applyFill="1" applyBorder="1" applyAlignment="1">
      <alignment horizontal="center"/>
    </xf>
    <xf numFmtId="0" fontId="99" fillId="5" borderId="18" xfId="22056" applyFont="1" applyFill="1" applyBorder="1" applyAlignment="1">
      <alignment horizontal="center"/>
    </xf>
    <xf numFmtId="0" fontId="18" fillId="5" borderId="16" xfId="22056" applyFont="1" applyFill="1" applyBorder="1" applyAlignment="1">
      <alignment horizontal="center"/>
    </xf>
    <xf numFmtId="0" fontId="18" fillId="5" borderId="44" xfId="22056" applyFont="1" applyFill="1" applyBorder="1" applyAlignment="1">
      <alignment horizontal="center" vertical="center"/>
    </xf>
    <xf numFmtId="0" fontId="18" fillId="5" borderId="33" xfId="22056" applyFont="1" applyFill="1" applyBorder="1" applyAlignment="1">
      <alignment horizontal="center" vertical="center"/>
    </xf>
    <xf numFmtId="0" fontId="9" fillId="13" borderId="0" xfId="20" applyFont="1" applyFill="1" applyAlignment="1">
      <alignment horizontal="left" indent="2"/>
    </xf>
    <xf numFmtId="2" fontId="103" fillId="13" borderId="21" xfId="14289" applyNumberFormat="1" applyFont="1" applyFill="1" applyBorder="1" applyAlignment="1">
      <alignment horizontal="center" vertical="center"/>
    </xf>
    <xf numFmtId="165" fontId="18" fillId="66" borderId="57" xfId="22056" applyNumberFormat="1" applyFont="1" applyFill="1" applyBorder="1" applyAlignment="1">
      <alignment horizontal="center"/>
    </xf>
    <xf numFmtId="2" fontId="9" fillId="13" borderId="57" xfId="14289" applyNumberFormat="1" applyFont="1" applyFill="1" applyBorder="1" applyAlignment="1">
      <alignment horizontal="center" vertical="center"/>
    </xf>
    <xf numFmtId="2" fontId="18" fillId="66" borderId="21" xfId="14289" applyNumberFormat="1" applyFont="1" applyFill="1" applyBorder="1" applyAlignment="1">
      <alignment horizontal="center" vertical="center"/>
    </xf>
    <xf numFmtId="165" fontId="18" fillId="66" borderId="45" xfId="22056" applyNumberFormat="1" applyFont="1" applyFill="1" applyBorder="1" applyAlignment="1">
      <alignment horizontal="center"/>
    </xf>
    <xf numFmtId="2" fontId="9" fillId="13" borderId="45" xfId="14289" applyNumberFormat="1" applyFont="1" applyFill="1" applyBorder="1" applyAlignment="1">
      <alignment horizontal="center" vertical="center"/>
    </xf>
    <xf numFmtId="165" fontId="18" fillId="66" borderId="58" xfId="22056" applyNumberFormat="1" applyFont="1" applyFill="1" applyBorder="1" applyAlignment="1">
      <alignment horizontal="center"/>
    </xf>
    <xf numFmtId="2" fontId="9" fillId="13" borderId="58" xfId="14289" applyNumberFormat="1" applyFont="1" applyFill="1" applyBorder="1" applyAlignment="1">
      <alignment horizontal="center" vertical="center"/>
    </xf>
    <xf numFmtId="165" fontId="16" fillId="13" borderId="0" xfId="0" applyNumberFormat="1" applyFont="1" applyFill="1" applyAlignment="1">
      <alignment horizontal="center"/>
    </xf>
    <xf numFmtId="2" fontId="19" fillId="13" borderId="58" xfId="0" applyNumberFormat="1" applyFont="1" applyFill="1" applyBorder="1" applyAlignment="1">
      <alignment horizontal="center"/>
    </xf>
    <xf numFmtId="2" fontId="19" fillId="13" borderId="20" xfId="0" applyNumberFormat="1" applyFont="1" applyFill="1" applyBorder="1" applyAlignment="1">
      <alignment horizontal="center"/>
    </xf>
    <xf numFmtId="2" fontId="19" fillId="13" borderId="44" xfId="0" applyNumberFormat="1" applyFont="1" applyFill="1" applyBorder="1" applyAlignment="1">
      <alignment horizontal="center"/>
    </xf>
    <xf numFmtId="175" fontId="9" fillId="13" borderId="0" xfId="9067" applyFont="1" applyFill="1"/>
    <xf numFmtId="9" fontId="103" fillId="13" borderId="0" xfId="6" applyFont="1" applyFill="1" applyAlignment="1">
      <alignment horizontal="center"/>
    </xf>
    <xf numFmtId="38" fontId="9" fillId="13" borderId="0" xfId="0" applyNumberFormat="1" applyFont="1" applyFill="1" applyAlignment="1">
      <alignment horizontal="right" indent="1"/>
    </xf>
    <xf numFmtId="0" fontId="9" fillId="13" borderId="0" xfId="0" applyFont="1" applyFill="1"/>
    <xf numFmtId="0" fontId="27" fillId="13" borderId="0" xfId="21" applyFont="1" applyFill="1" applyBorder="1" applyAlignment="1">
      <alignment horizontal="right" vertical="center" indent="3"/>
    </xf>
    <xf numFmtId="0" fontId="27" fillId="13" borderId="26" xfId="21" applyFont="1" applyFill="1" applyBorder="1" applyAlignment="1">
      <alignment horizontal="right" vertical="center" indent="1"/>
    </xf>
    <xf numFmtId="0" fontId="104" fillId="0" borderId="0" xfId="0" applyFont="1" applyAlignment="1">
      <alignment wrapText="1"/>
    </xf>
    <xf numFmtId="0" fontId="104" fillId="0" borderId="0" xfId="0" applyFont="1"/>
    <xf numFmtId="0" fontId="104" fillId="0" borderId="0" xfId="0" applyFont="1" applyFill="1"/>
    <xf numFmtId="0" fontId="104" fillId="64" borderId="0" xfId="0" applyFont="1" applyFill="1"/>
    <xf numFmtId="0" fontId="104" fillId="64" borderId="0" xfId="0" applyFont="1" applyFill="1" applyAlignment="1">
      <alignment wrapText="1"/>
    </xf>
    <xf numFmtId="0" fontId="105" fillId="0" borderId="0" xfId="0" applyFont="1" applyAlignment="1"/>
    <xf numFmtId="0" fontId="106" fillId="0" borderId="0" xfId="0" applyFont="1"/>
    <xf numFmtId="0" fontId="106" fillId="64" borderId="0" xfId="0" applyFont="1" applyFill="1"/>
    <xf numFmtId="0" fontId="106" fillId="0" borderId="0" xfId="0" applyFont="1" applyAlignment="1">
      <alignment wrapText="1"/>
    </xf>
    <xf numFmtId="0" fontId="106" fillId="64" borderId="0" xfId="2" applyFont="1" applyFill="1"/>
    <xf numFmtId="0" fontId="105" fillId="0" borderId="0" xfId="0" applyFont="1" applyAlignment="1">
      <alignment wrapText="1"/>
    </xf>
    <xf numFmtId="0" fontId="106" fillId="0" borderId="0" xfId="0" applyFont="1" applyFill="1"/>
    <xf numFmtId="14" fontId="10" fillId="13" borderId="0" xfId="0" applyNumberFormat="1" applyFont="1" applyFill="1" applyAlignment="1">
      <alignment horizontal="right"/>
    </xf>
    <xf numFmtId="0" fontId="10" fillId="13" borderId="0" xfId="0" applyFont="1" applyFill="1" applyAlignment="1">
      <alignment horizontal="left"/>
    </xf>
    <xf numFmtId="0" fontId="11" fillId="13" borderId="0" xfId="0" applyFont="1" applyFill="1" applyAlignment="1">
      <alignment horizontal="right" readingOrder="1"/>
    </xf>
    <xf numFmtId="0" fontId="21" fillId="0" borderId="0" xfId="0" applyFont="1"/>
    <xf numFmtId="164" fontId="10" fillId="15" borderId="2" xfId="15" applyNumberFormat="1" applyFill="1" applyBorder="1" applyAlignment="1" applyProtection="1">
      <alignment horizontal="centerContinuous" readingOrder="1"/>
      <protection locked="0"/>
    </xf>
    <xf numFmtId="164" fontId="10" fillId="15" borderId="4" xfId="15" applyNumberFormat="1" applyFill="1" applyBorder="1" applyAlignment="1">
      <alignment horizontal="centerContinuous" readingOrder="1"/>
    </xf>
    <xf numFmtId="164" fontId="10" fillId="15" borderId="3" xfId="15" applyNumberFormat="1" applyFill="1" applyBorder="1" applyAlignment="1">
      <alignment horizontal="centerContinuous" readingOrder="1"/>
    </xf>
    <xf numFmtId="0" fontId="10" fillId="15" borderId="1" xfId="15" applyFill="1" applyBorder="1" applyAlignment="1">
      <alignment horizontal="center" wrapText="1" readingOrder="1"/>
    </xf>
    <xf numFmtId="164" fontId="10" fillId="15" borderId="1" xfId="15" applyNumberFormat="1" applyFill="1" applyBorder="1" applyAlignment="1">
      <alignment horizontal="center" wrapText="1" readingOrder="1"/>
    </xf>
    <xf numFmtId="164" fontId="10" fillId="15" borderId="2" xfId="15" applyNumberFormat="1" applyFill="1" applyBorder="1" applyAlignment="1">
      <alignment horizontal="centerContinuous" readingOrder="1"/>
    </xf>
    <xf numFmtId="0" fontId="10" fillId="15" borderId="84" xfId="15" applyFill="1" applyBorder="1" applyAlignment="1">
      <alignment horizontal="center" wrapText="1" readingOrder="1"/>
    </xf>
    <xf numFmtId="164" fontId="10" fillId="15" borderId="84" xfId="15" applyNumberFormat="1" applyFill="1" applyBorder="1" applyAlignment="1">
      <alignment horizontal="center" wrapText="1" readingOrder="1"/>
    </xf>
    <xf numFmtId="14" fontId="5" fillId="69" borderId="0" xfId="0" applyNumberFormat="1" applyFont="1" applyFill="1" applyAlignment="1">
      <alignment horizontal="left"/>
    </xf>
    <xf numFmtId="164" fontId="10" fillId="70" borderId="1" xfId="22" applyNumberFormat="1" applyFont="1" applyFill="1" applyBorder="1" applyAlignment="1">
      <alignment horizontal="right" readingOrder="1"/>
    </xf>
    <xf numFmtId="164" fontId="10" fillId="70" borderId="1" xfId="22" applyNumberFormat="1" applyFont="1" applyFill="1" applyBorder="1" applyAlignment="1">
      <alignment horizontal="center" wrapText="1" readingOrder="1"/>
    </xf>
    <xf numFmtId="164" fontId="10" fillId="71" borderId="2" xfId="17" applyNumberFormat="1" applyFont="1" applyFill="1" applyBorder="1" applyAlignment="1">
      <alignment horizontal="centerContinuous" readingOrder="1"/>
    </xf>
    <xf numFmtId="164" fontId="10" fillId="71" borderId="4" xfId="17" applyNumberFormat="1" applyFont="1" applyFill="1" applyBorder="1" applyAlignment="1">
      <alignment horizontal="centerContinuous" readingOrder="1"/>
    </xf>
    <xf numFmtId="164" fontId="10" fillId="71" borderId="3" xfId="17" applyNumberFormat="1" applyFont="1" applyFill="1" applyBorder="1" applyAlignment="1">
      <alignment horizontal="centerContinuous" readingOrder="1"/>
    </xf>
    <xf numFmtId="0" fontId="10" fillId="71" borderId="1" xfId="17" applyFont="1" applyFill="1" applyBorder="1" applyAlignment="1">
      <alignment horizontal="center" wrapText="1" readingOrder="1"/>
    </xf>
    <xf numFmtId="164" fontId="10" fillId="71" borderId="2" xfId="17" applyNumberFormat="1" applyFill="1" applyBorder="1" applyAlignment="1">
      <alignment horizontal="centerContinuous" readingOrder="1"/>
    </xf>
    <xf numFmtId="164" fontId="10" fillId="71" borderId="3" xfId="17" applyNumberFormat="1" applyFill="1" applyBorder="1" applyAlignment="1">
      <alignment horizontal="centerContinuous" readingOrder="1"/>
    </xf>
    <xf numFmtId="0" fontId="10" fillId="71" borderId="84" xfId="17" applyFill="1" applyBorder="1" applyAlignment="1">
      <alignment horizontal="center" wrapText="1" readingOrder="1"/>
    </xf>
    <xf numFmtId="164" fontId="10" fillId="73" borderId="2" xfId="13" applyNumberFormat="1" applyFill="1" applyBorder="1" applyAlignment="1" applyProtection="1">
      <alignment horizontal="centerContinuous" readingOrder="1"/>
      <protection locked="0"/>
    </xf>
    <xf numFmtId="164" fontId="10" fillId="73" borderId="4" xfId="13" applyNumberFormat="1" applyFill="1" applyBorder="1" applyAlignment="1">
      <alignment horizontal="centerContinuous" readingOrder="1"/>
    </xf>
    <xf numFmtId="164" fontId="10" fillId="73" borderId="3" xfId="13" applyNumberFormat="1" applyFill="1" applyBorder="1" applyAlignment="1">
      <alignment horizontal="centerContinuous" readingOrder="1"/>
    </xf>
    <xf numFmtId="0" fontId="10" fillId="73" borderId="1" xfId="13" applyFill="1" applyBorder="1" applyAlignment="1">
      <alignment horizontal="center" wrapText="1" readingOrder="1"/>
    </xf>
    <xf numFmtId="164" fontId="10" fillId="73" borderId="1" xfId="13" applyNumberFormat="1" applyFill="1" applyBorder="1" applyAlignment="1">
      <alignment horizontal="center" wrapText="1" readingOrder="1"/>
    </xf>
    <xf numFmtId="164" fontId="10" fillId="70" borderId="2" xfId="17" applyNumberFormat="1" applyFont="1" applyFill="1" applyBorder="1" applyAlignment="1">
      <alignment horizontal="centerContinuous" readingOrder="1"/>
    </xf>
    <xf numFmtId="0" fontId="10" fillId="70" borderId="1" xfId="17" applyFont="1" applyFill="1" applyBorder="1" applyAlignment="1">
      <alignment horizontal="center" wrapText="1" readingOrder="1"/>
    </xf>
    <xf numFmtId="0" fontId="10" fillId="71" borderId="0" xfId="0" applyFont="1" applyFill="1"/>
    <xf numFmtId="191" fontId="87" fillId="71" borderId="0" xfId="0" applyNumberFormat="1" applyFont="1" applyFill="1"/>
    <xf numFmtId="191" fontId="88" fillId="74" borderId="56" xfId="0" applyNumberFormat="1" applyFont="1" applyFill="1" applyBorder="1" applyAlignment="1">
      <alignment horizontal="center"/>
    </xf>
    <xf numFmtId="38" fontId="88" fillId="74" borderId="56" xfId="0" applyNumberFormat="1" applyFont="1" applyFill="1" applyBorder="1" applyAlignment="1">
      <alignment horizontal="center"/>
    </xf>
    <xf numFmtId="193" fontId="88" fillId="74" borderId="56" xfId="0" applyNumberFormat="1" applyFont="1" applyFill="1" applyBorder="1" applyAlignment="1">
      <alignment horizontal="center"/>
    </xf>
    <xf numFmtId="40" fontId="10" fillId="71" borderId="0" xfId="0" applyNumberFormat="1" applyFont="1" applyFill="1"/>
    <xf numFmtId="164" fontId="10" fillId="73" borderId="2" xfId="13" applyNumberFormat="1" applyFill="1" applyBorder="1" applyAlignment="1">
      <alignment horizontal="centerContinuous" readingOrder="1"/>
    </xf>
    <xf numFmtId="164" fontId="10" fillId="71" borderId="4" xfId="17" applyNumberFormat="1" applyFill="1" applyBorder="1" applyAlignment="1">
      <alignment horizontal="centerContinuous" readingOrder="1"/>
    </xf>
    <xf numFmtId="0" fontId="10" fillId="71" borderId="1" xfId="17" applyFill="1" applyBorder="1" applyAlignment="1">
      <alignment horizontal="center" wrapText="1" readingOrder="1"/>
    </xf>
    <xf numFmtId="164" fontId="10" fillId="73" borderId="2" xfId="17" applyNumberFormat="1" applyFill="1" applyBorder="1" applyAlignment="1">
      <alignment horizontal="centerContinuous" readingOrder="1"/>
    </xf>
    <xf numFmtId="164" fontId="10" fillId="73" borderId="4" xfId="17" applyNumberFormat="1" applyFill="1" applyBorder="1" applyAlignment="1">
      <alignment horizontal="centerContinuous" readingOrder="1"/>
    </xf>
    <xf numFmtId="164" fontId="10" fillId="73" borderId="3" xfId="17" applyNumberFormat="1" applyFill="1" applyBorder="1" applyAlignment="1">
      <alignment horizontal="centerContinuous" readingOrder="1"/>
    </xf>
    <xf numFmtId="0" fontId="10" fillId="73" borderId="1" xfId="17" applyFill="1" applyBorder="1" applyAlignment="1">
      <alignment horizontal="center" wrapText="1" readingOrder="1"/>
    </xf>
    <xf numFmtId="164" fontId="10" fillId="15" borderId="2" xfId="17" applyNumberFormat="1" applyFill="1" applyBorder="1" applyAlignment="1">
      <alignment horizontal="centerContinuous" readingOrder="1"/>
    </xf>
    <xf numFmtId="164" fontId="10" fillId="15" borderId="4" xfId="17" applyNumberFormat="1" applyFill="1" applyBorder="1" applyAlignment="1">
      <alignment horizontal="centerContinuous" readingOrder="1"/>
    </xf>
    <xf numFmtId="164" fontId="10" fillId="15" borderId="3" xfId="17" applyNumberFormat="1" applyFill="1" applyBorder="1" applyAlignment="1">
      <alignment horizontal="centerContinuous" readingOrder="1"/>
    </xf>
    <xf numFmtId="0" fontId="10" fillId="15" borderId="1" xfId="17" applyFill="1" applyBorder="1" applyAlignment="1">
      <alignment horizontal="center" wrapText="1" readingOrder="1"/>
    </xf>
    <xf numFmtId="0" fontId="107" fillId="72" borderId="0" xfId="0" applyFont="1" applyFill="1" applyBorder="1" applyAlignment="1">
      <alignment wrapText="1" readingOrder="1"/>
    </xf>
    <xf numFmtId="0" fontId="108" fillId="0" borderId="0" xfId="0" applyFont="1"/>
    <xf numFmtId="0" fontId="107" fillId="3" borderId="0" xfId="0" applyFont="1" applyFill="1" applyBorder="1" applyAlignment="1">
      <alignment horizontal="center" wrapText="1" readingOrder="1"/>
    </xf>
    <xf numFmtId="0" fontId="107" fillId="73" borderId="0" xfId="0" applyFont="1" applyFill="1" applyBorder="1" applyAlignment="1">
      <alignment wrapText="1" readingOrder="1"/>
    </xf>
    <xf numFmtId="0" fontId="109" fillId="0" borderId="0" xfId="0" applyFont="1" applyBorder="1" applyAlignment="1">
      <alignment horizontal="left" vertical="center" wrapText="1" readingOrder="1"/>
    </xf>
    <xf numFmtId="0" fontId="109" fillId="0" borderId="0" xfId="0" applyFont="1"/>
    <xf numFmtId="0" fontId="110" fillId="75" borderId="0" xfId="0" applyFont="1" applyFill="1" applyBorder="1" applyAlignment="1">
      <alignment horizontal="right" vertical="center" wrapText="1" readingOrder="1"/>
    </xf>
    <xf numFmtId="0" fontId="109" fillId="0" borderId="0" xfId="0" applyFont="1" applyBorder="1" applyAlignment="1">
      <alignment horizontal="right" vertical="center" wrapText="1" readingOrder="1"/>
    </xf>
    <xf numFmtId="0" fontId="109" fillId="75" borderId="0" xfId="0" applyFont="1" applyFill="1"/>
    <xf numFmtId="9" fontId="109" fillId="0" borderId="0" xfId="0" applyNumberFormat="1" applyFont="1" applyBorder="1" applyAlignment="1">
      <alignment horizontal="right" vertical="center" wrapText="1" readingOrder="1"/>
    </xf>
    <xf numFmtId="6" fontId="110" fillId="75" borderId="0" xfId="0" applyNumberFormat="1" applyFont="1" applyFill="1" applyBorder="1" applyAlignment="1">
      <alignment horizontal="right" vertical="center" wrapText="1" readingOrder="1"/>
    </xf>
    <xf numFmtId="6" fontId="109" fillId="0" borderId="0" xfId="0" applyNumberFormat="1" applyFont="1" applyBorder="1" applyAlignment="1">
      <alignment horizontal="right" vertical="center" wrapText="1" readingOrder="1"/>
    </xf>
    <xf numFmtId="9" fontId="110" fillId="75" borderId="0" xfId="0" applyNumberFormat="1" applyFont="1" applyFill="1" applyBorder="1" applyAlignment="1">
      <alignment horizontal="right" vertical="center" wrapText="1" readingOrder="1"/>
    </xf>
    <xf numFmtId="0" fontId="109" fillId="0" borderId="0" xfId="0" applyFont="1" applyBorder="1" applyAlignment="1">
      <alignment horizontal="left" wrapText="1" readingOrder="1"/>
    </xf>
    <xf numFmtId="8" fontId="110" fillId="75" borderId="0" xfId="0" applyNumberFormat="1" applyFont="1" applyFill="1" applyBorder="1" applyAlignment="1">
      <alignment horizontal="right" vertical="center" wrapText="1" readingOrder="1"/>
    </xf>
    <xf numFmtId="8" fontId="109" fillId="0" borderId="0" xfId="0" applyNumberFormat="1" applyFont="1" applyBorder="1" applyAlignment="1">
      <alignment horizontal="right" vertical="center" wrapText="1" readingOrder="1"/>
    </xf>
    <xf numFmtId="0" fontId="109" fillId="0" borderId="0" xfId="0" applyFont="1" applyFill="1" applyBorder="1" applyAlignment="1">
      <alignment horizontal="left" vertical="center" wrapText="1" readingOrder="1"/>
    </xf>
    <xf numFmtId="0" fontId="109" fillId="0" borderId="0" xfId="0" applyFont="1" applyAlignment="1">
      <alignment horizontal="left" indent="1"/>
    </xf>
    <xf numFmtId="2" fontId="109" fillId="0" borderId="0" xfId="0" applyNumberFormat="1" applyFont="1"/>
    <xf numFmtId="6" fontId="109" fillId="76" borderId="0" xfId="0" applyNumberFormat="1" applyFont="1" applyFill="1" applyBorder="1" applyAlignment="1">
      <alignment horizontal="right" vertical="center" wrapText="1" readingOrder="1"/>
    </xf>
    <xf numFmtId="164" fontId="10" fillId="77" borderId="2" xfId="14" applyNumberFormat="1" applyFill="1" applyBorder="1" applyAlignment="1">
      <alignment horizontal="centerContinuous" readingOrder="1"/>
    </xf>
    <xf numFmtId="164" fontId="10" fillId="77" borderId="4" xfId="14" applyNumberFormat="1" applyFill="1" applyBorder="1" applyAlignment="1">
      <alignment horizontal="centerContinuous" readingOrder="1"/>
    </xf>
    <xf numFmtId="164" fontId="10" fillId="77" borderId="3" xfId="14" applyNumberFormat="1" applyFill="1" applyBorder="1" applyAlignment="1">
      <alignment horizontal="centerContinuous" readingOrder="1"/>
    </xf>
    <xf numFmtId="0" fontId="10" fillId="77" borderId="84" xfId="14" applyFill="1" applyBorder="1" applyAlignment="1">
      <alignment horizontal="center" wrapText="1" readingOrder="1"/>
    </xf>
    <xf numFmtId="164" fontId="10" fillId="77" borderId="84" xfId="14" applyNumberFormat="1" applyFill="1" applyBorder="1" applyAlignment="1">
      <alignment horizontal="center" wrapText="1" readingOrder="1"/>
    </xf>
    <xf numFmtId="0" fontId="10" fillId="77" borderId="1" xfId="14" applyFill="1" applyBorder="1" applyAlignment="1">
      <alignment horizontal="center" wrapText="1" readingOrder="1"/>
    </xf>
    <xf numFmtId="164" fontId="10" fillId="77" borderId="2" xfId="14" applyNumberFormat="1" applyFill="1" applyBorder="1" applyAlignment="1" applyProtection="1">
      <alignment horizontal="centerContinuous" readingOrder="1"/>
      <protection locked="0"/>
    </xf>
    <xf numFmtId="164" fontId="10" fillId="77" borderId="1" xfId="14" applyNumberFormat="1" applyFill="1" applyBorder="1" applyAlignment="1">
      <alignment horizontal="center" wrapText="1" readingOrder="1"/>
    </xf>
    <xf numFmtId="0" fontId="3" fillId="68" borderId="0" xfId="0" applyFont="1" applyFill="1" applyAlignment="1">
      <alignment horizontal="left" wrapText="1" readingOrder="1"/>
    </xf>
    <xf numFmtId="0" fontId="3" fillId="68" borderId="0" xfId="0" applyFont="1" applyFill="1" applyAlignment="1">
      <alignment horizontal="center" readingOrder="1"/>
    </xf>
    <xf numFmtId="44" fontId="3" fillId="68" borderId="0" xfId="1" applyFont="1" applyFill="1" applyAlignment="1">
      <alignment horizontal="center" wrapText="1" readingOrder="1"/>
    </xf>
    <xf numFmtId="0" fontId="3" fillId="68" borderId="0" xfId="0" applyFont="1" applyFill="1" applyAlignment="1">
      <alignment horizontal="center" wrapText="1" readingOrder="1"/>
    </xf>
    <xf numFmtId="44" fontId="3" fillId="68" borderId="0" xfId="1" applyFont="1" applyFill="1" applyAlignment="1">
      <alignment horizontal="right" wrapText="1" readingOrder="1"/>
    </xf>
    <xf numFmtId="0" fontId="43" fillId="68" borderId="0" xfId="0" applyFont="1" applyFill="1" applyAlignment="1">
      <alignment horizontal="left" wrapText="1" readingOrder="1"/>
    </xf>
    <xf numFmtId="0" fontId="43" fillId="68" borderId="0" xfId="0" applyFont="1" applyFill="1" applyAlignment="1">
      <alignment horizontal="center" wrapText="1" readingOrder="1"/>
    </xf>
    <xf numFmtId="0" fontId="111" fillId="0" borderId="0" xfId="0" applyFont="1" applyAlignment="1" applyProtection="1">
      <alignment horizontal="center"/>
      <protection locked="0"/>
    </xf>
    <xf numFmtId="165" fontId="3" fillId="68" borderId="0" xfId="1" applyNumberFormat="1" applyFont="1" applyFill="1" applyAlignment="1">
      <alignment horizontal="center" wrapText="1" readingOrder="1"/>
    </xf>
    <xf numFmtId="164" fontId="10" fillId="77" borderId="2" xfId="17" applyNumberFormat="1" applyFill="1" applyBorder="1" applyAlignment="1">
      <alignment horizontal="centerContinuous" readingOrder="1"/>
    </xf>
    <xf numFmtId="164" fontId="10" fillId="77" borderId="4" xfId="17" applyNumberFormat="1" applyFill="1" applyBorder="1" applyAlignment="1">
      <alignment horizontal="centerContinuous" readingOrder="1"/>
    </xf>
    <xf numFmtId="164" fontId="10" fillId="77" borderId="3" xfId="17" applyNumberFormat="1" applyFill="1" applyBorder="1" applyAlignment="1">
      <alignment horizontal="centerContinuous" readingOrder="1"/>
    </xf>
    <xf numFmtId="0" fontId="10" fillId="77" borderId="1" xfId="17" applyFill="1" applyBorder="1" applyAlignment="1">
      <alignment horizontal="center" wrapText="1" readingOrder="1"/>
    </xf>
    <xf numFmtId="164" fontId="10" fillId="51" borderId="2" xfId="22" applyNumberFormat="1" applyFill="1" applyBorder="1" applyAlignment="1" applyProtection="1">
      <alignment horizontal="centerContinuous" readingOrder="1"/>
      <protection locked="0"/>
    </xf>
    <xf numFmtId="164" fontId="10" fillId="51" borderId="4" xfId="22" applyNumberFormat="1" applyFill="1" applyBorder="1" applyAlignment="1">
      <alignment horizontal="centerContinuous" readingOrder="1"/>
    </xf>
    <xf numFmtId="164" fontId="10" fillId="51" borderId="3" xfId="22" applyNumberFormat="1" applyFill="1" applyBorder="1" applyAlignment="1">
      <alignment horizontal="centerContinuous" readingOrder="1"/>
    </xf>
    <xf numFmtId="0" fontId="10" fillId="51" borderId="1" xfId="22" applyFill="1" applyBorder="1" applyAlignment="1">
      <alignment horizontal="center" wrapText="1" readingOrder="1"/>
    </xf>
    <xf numFmtId="164" fontId="10" fillId="51" borderId="1" xfId="22" applyNumberFormat="1" applyFill="1" applyBorder="1" applyAlignment="1">
      <alignment horizontal="center" wrapText="1" readingOrder="1"/>
    </xf>
    <xf numFmtId="10" fontId="5" fillId="0" borderId="0" xfId="0" applyNumberFormat="1" applyFont="1" applyFill="1" applyProtection="1">
      <protection locked="0"/>
    </xf>
    <xf numFmtId="185" fontId="5" fillId="0" borderId="0" xfId="6" applyNumberFormat="1" applyFont="1"/>
    <xf numFmtId="185" fontId="5" fillId="0" borderId="0" xfId="0" applyNumberFormat="1" applyFont="1"/>
    <xf numFmtId="0" fontId="20" fillId="0" borderId="0" xfId="20" applyFont="1" applyFill="1" applyAlignment="1">
      <alignment horizontal="center"/>
    </xf>
    <xf numFmtId="0" fontId="30" fillId="0" borderId="0" xfId="20" applyFont="1" applyFill="1" applyAlignment="1">
      <alignment horizontal="center"/>
    </xf>
    <xf numFmtId="0" fontId="97" fillId="0" borderId="0" xfId="20" applyFont="1" applyFill="1" applyAlignment="1">
      <alignment horizontal="center"/>
    </xf>
    <xf numFmtId="38" fontId="97" fillId="0" borderId="0" xfId="20" applyNumberFormat="1" applyFont="1" applyFill="1" applyAlignment="1">
      <alignment horizontal="center"/>
    </xf>
    <xf numFmtId="10" fontId="0" fillId="0" borderId="0" xfId="6" applyNumberFormat="1" applyFont="1"/>
    <xf numFmtId="193" fontId="0" fillId="0" borderId="0" xfId="0" applyNumberFormat="1" applyAlignment="1">
      <alignment horizontal="right"/>
    </xf>
    <xf numFmtId="193" fontId="5" fillId="0" borderId="0" xfId="0" applyNumberFormat="1" applyFont="1" applyAlignment="1" applyProtection="1">
      <alignment horizontal="right"/>
      <protection locked="0"/>
    </xf>
    <xf numFmtId="193" fontId="0" fillId="0" borderId="0" xfId="0" applyNumberFormat="1" applyAlignment="1">
      <alignment horizontal="center"/>
    </xf>
    <xf numFmtId="0" fontId="0" fillId="0" borderId="0" xfId="0" applyFont="1"/>
    <xf numFmtId="0" fontId="104" fillId="0" borderId="0" xfId="0" applyFont="1" applyFill="1" applyAlignment="1">
      <alignment horizontal="right"/>
    </xf>
    <xf numFmtId="3" fontId="0" fillId="0" borderId="0" xfId="0" applyNumberFormat="1"/>
    <xf numFmtId="0" fontId="10" fillId="71" borderId="0" xfId="11" applyFont="1" applyFill="1" applyAlignment="1">
      <alignment horizontal="center"/>
    </xf>
    <xf numFmtId="38" fontId="12" fillId="71" borderId="0" xfId="12" applyNumberFormat="1" applyFont="1" applyFill="1"/>
    <xf numFmtId="168" fontId="10" fillId="71" borderId="0" xfId="12" applyNumberFormat="1" applyFont="1" applyFill="1"/>
    <xf numFmtId="38" fontId="10" fillId="71" borderId="0" xfId="12" applyNumberFormat="1" applyFont="1" applyFill="1"/>
    <xf numFmtId="1" fontId="10" fillId="71" borderId="0" xfId="11" applyNumberFormat="1" applyFont="1" applyFill="1" applyAlignment="1">
      <alignment horizontal="center"/>
    </xf>
    <xf numFmtId="0" fontId="12" fillId="3" borderId="0" xfId="2" applyFont="1" applyFill="1"/>
    <xf numFmtId="38" fontId="10" fillId="3" borderId="0" xfId="2" applyNumberFormat="1" applyFont="1" applyFill="1"/>
    <xf numFmtId="167" fontId="14" fillId="3" borderId="0" xfId="11" applyNumberFormat="1" applyFont="1" applyFill="1" applyAlignment="1">
      <alignment horizontal="center"/>
    </xf>
    <xf numFmtId="38" fontId="5" fillId="0" borderId="0" xfId="0" applyNumberFormat="1" applyFont="1" applyBorder="1" applyAlignment="1" applyProtection="1">
      <alignment horizontal="center"/>
      <protection locked="0"/>
    </xf>
    <xf numFmtId="166" fontId="5" fillId="0" borderId="0" xfId="2" applyNumberFormat="1" applyFont="1"/>
    <xf numFmtId="166" fontId="6" fillId="0" borderId="0" xfId="2" applyNumberFormat="1" applyFont="1"/>
    <xf numFmtId="166" fontId="6" fillId="0" borderId="0" xfId="12" applyNumberFormat="1" applyFont="1"/>
    <xf numFmtId="166" fontId="5" fillId="0" borderId="0" xfId="12" applyNumberFormat="1" applyFont="1"/>
    <xf numFmtId="166" fontId="5" fillId="0" borderId="0" xfId="12" applyNumberFormat="1" applyFont="1" applyFill="1"/>
    <xf numFmtId="166" fontId="13" fillId="0" borderId="0" xfId="11" applyNumberFormat="1"/>
    <xf numFmtId="38" fontId="11" fillId="0" borderId="0" xfId="2" applyNumberFormat="1" applyFont="1" applyAlignment="1">
      <alignment horizontal="left"/>
    </xf>
    <xf numFmtId="38" fontId="13" fillId="0" borderId="0" xfId="11" applyNumberFormat="1"/>
    <xf numFmtId="166" fontId="3" fillId="68" borderId="0" xfId="0" applyNumberFormat="1" applyFont="1" applyFill="1" applyAlignment="1">
      <alignment horizontal="center" wrapText="1" readingOrder="1"/>
    </xf>
    <xf numFmtId="38" fontId="3" fillId="68" borderId="0" xfId="0" applyNumberFormat="1" applyFont="1" applyFill="1" applyAlignment="1">
      <alignment horizontal="center" wrapText="1" readingOrder="1"/>
    </xf>
    <xf numFmtId="38" fontId="5" fillId="0" borderId="0" xfId="2" applyNumberFormat="1" applyFont="1" applyFill="1"/>
    <xf numFmtId="166" fontId="3" fillId="0" borderId="0" xfId="0" applyNumberFormat="1" applyFont="1" applyFill="1" applyAlignment="1">
      <alignment horizontal="center" wrapText="1" readingOrder="1"/>
    </xf>
    <xf numFmtId="38" fontId="5" fillId="0" borderId="0" xfId="0" applyNumberFormat="1" applyFont="1" applyFill="1" applyBorder="1"/>
    <xf numFmtId="38" fontId="6" fillId="0" borderId="0" xfId="2" applyNumberFormat="1" applyFont="1" applyFill="1"/>
    <xf numFmtId="38" fontId="6" fillId="0" borderId="0" xfId="12" applyNumberFormat="1" applyFont="1" applyFill="1"/>
    <xf numFmtId="0" fontId="13" fillId="0" borderId="0" xfId="11" applyFill="1"/>
    <xf numFmtId="38" fontId="34" fillId="0" borderId="0" xfId="2" applyNumberFormat="1" applyFont="1"/>
    <xf numFmtId="189" fontId="112" fillId="3" borderId="88" xfId="22058" applyNumberFormat="1" applyFont="1" applyFill="1" applyBorder="1" applyAlignment="1">
      <alignment wrapText="1"/>
    </xf>
    <xf numFmtId="189" fontId="10" fillId="3" borderId="55" xfId="22058" applyNumberFormat="1" applyFont="1" applyFill="1" applyBorder="1" applyAlignment="1">
      <alignment horizontal="center" wrapText="1"/>
    </xf>
    <xf numFmtId="189" fontId="5" fillId="0" borderId="55" xfId="22058" applyNumberFormat="1" applyFont="1" applyFill="1" applyBorder="1" applyAlignment="1">
      <alignment horizontal="center" wrapText="1"/>
    </xf>
    <xf numFmtId="189" fontId="10" fillId="5" borderId="55" xfId="22058" applyNumberFormat="1" applyFont="1" applyFill="1" applyBorder="1" applyAlignment="1">
      <alignment horizontal="center" wrapText="1"/>
    </xf>
    <xf numFmtId="189" fontId="10" fillId="5" borderId="89" xfId="22058" applyNumberFormat="1" applyFont="1" applyFill="1" applyBorder="1" applyAlignment="1">
      <alignment horizontal="center" wrapText="1"/>
    </xf>
    <xf numFmtId="189" fontId="5" fillId="0" borderId="25" xfId="22058" applyNumberFormat="1" applyFont="1" applyFill="1" applyBorder="1"/>
    <xf numFmtId="189" fontId="5" fillId="0" borderId="0" xfId="22058" applyNumberFormat="1" applyFont="1" applyFill="1" applyBorder="1"/>
    <xf numFmtId="189" fontId="5" fillId="0" borderId="26" xfId="22058" applyNumberFormat="1" applyFont="1" applyFill="1" applyBorder="1"/>
    <xf numFmtId="189" fontId="112" fillId="0" borderId="25" xfId="22058" applyNumberFormat="1" applyFont="1" applyFill="1" applyBorder="1" applyAlignment="1">
      <alignment wrapText="1"/>
    </xf>
    <xf numFmtId="189" fontId="10" fillId="3" borderId="0" xfId="22058" applyNumberFormat="1" applyFont="1" applyFill="1" applyBorder="1" applyAlignment="1">
      <alignment wrapText="1"/>
    </xf>
    <xf numFmtId="189" fontId="10" fillId="3" borderId="0" xfId="22058" applyNumberFormat="1" applyFont="1" applyFill="1" applyBorder="1" applyAlignment="1">
      <alignment horizontal="center" wrapText="1"/>
    </xf>
    <xf numFmtId="189" fontId="5" fillId="0" borderId="0" xfId="22058" applyNumberFormat="1" applyFont="1" applyFill="1" applyBorder="1" applyAlignment="1">
      <alignment horizontal="center" wrapText="1"/>
    </xf>
    <xf numFmtId="189" fontId="10" fillId="5" borderId="0" xfId="22058" applyNumberFormat="1" applyFont="1" applyFill="1" applyBorder="1" applyAlignment="1">
      <alignment horizontal="center" wrapText="1"/>
    </xf>
    <xf numFmtId="189" fontId="10" fillId="5" borderId="26" xfId="22058" applyNumberFormat="1" applyFont="1" applyFill="1" applyBorder="1" applyAlignment="1">
      <alignment horizontal="center" wrapText="1"/>
    </xf>
    <xf numFmtId="9" fontId="5" fillId="0" borderId="0" xfId="6" applyFont="1" applyFill="1" applyBorder="1"/>
    <xf numFmtId="195" fontId="5" fillId="0" borderId="0" xfId="22058" applyNumberFormat="1" applyFont="1" applyFill="1" applyBorder="1"/>
    <xf numFmtId="189" fontId="112" fillId="4" borderId="25" xfId="22058" applyNumberFormat="1" applyFont="1" applyFill="1" applyBorder="1" applyAlignment="1">
      <alignment wrapText="1"/>
    </xf>
    <xf numFmtId="189" fontId="10" fillId="4" borderId="0" xfId="22058" applyNumberFormat="1" applyFont="1" applyFill="1" applyBorder="1" applyAlignment="1">
      <alignment horizontal="center" wrapText="1"/>
    </xf>
    <xf numFmtId="189" fontId="112" fillId="51" borderId="25" xfId="22058" applyNumberFormat="1" applyFont="1" applyFill="1" applyBorder="1"/>
    <xf numFmtId="189" fontId="10" fillId="51" borderId="0" xfId="22058" applyNumberFormat="1" applyFont="1" applyFill="1" applyBorder="1" applyAlignment="1">
      <alignment horizontal="center"/>
    </xf>
    <xf numFmtId="189" fontId="10" fillId="51" borderId="0" xfId="22058" applyNumberFormat="1" applyFont="1" applyFill="1" applyBorder="1" applyAlignment="1">
      <alignment horizontal="center" wrapText="1"/>
    </xf>
    <xf numFmtId="189" fontId="5" fillId="0" borderId="0" xfId="22058" applyNumberFormat="1" applyFont="1" applyFill="1" applyBorder="1" applyAlignment="1">
      <alignment horizontal="center"/>
    </xf>
    <xf numFmtId="189" fontId="10" fillId="5" borderId="0" xfId="22058" applyNumberFormat="1" applyFont="1" applyFill="1" applyBorder="1" applyAlignment="1">
      <alignment horizontal="center"/>
    </xf>
    <xf numFmtId="189" fontId="5" fillId="0" borderId="25" xfId="22058" applyNumberFormat="1" applyFont="1" applyBorder="1"/>
    <xf numFmtId="189" fontId="5" fillId="0" borderId="0" xfId="22058" applyNumberFormat="1" applyFont="1" applyBorder="1"/>
    <xf numFmtId="189" fontId="5" fillId="0" borderId="26" xfId="22058" applyNumberFormat="1" applyFont="1" applyBorder="1"/>
    <xf numFmtId="189" fontId="5" fillId="78" borderId="0" xfId="22058" applyNumberFormat="1" applyFont="1" applyFill="1" applyBorder="1"/>
    <xf numFmtId="189" fontId="5" fillId="0" borderId="89" xfId="22058" applyNumberFormat="1" applyFont="1" applyFill="1" applyBorder="1"/>
    <xf numFmtId="189" fontId="5" fillId="0" borderId="29" xfId="22058" applyNumberFormat="1" applyFont="1" applyBorder="1"/>
    <xf numFmtId="189" fontId="5" fillId="0" borderId="5" xfId="22058" applyNumberFormat="1" applyFont="1" applyBorder="1"/>
    <xf numFmtId="189" fontId="5" fillId="0" borderId="5" xfId="22058" applyNumberFormat="1" applyFont="1" applyFill="1" applyBorder="1"/>
    <xf numFmtId="189" fontId="5" fillId="0" borderId="30" xfId="22058" applyNumberFormat="1" applyFont="1" applyBorder="1"/>
    <xf numFmtId="189" fontId="113" fillId="3" borderId="88" xfId="22058" applyNumberFormat="1" applyFont="1" applyFill="1" applyBorder="1" applyAlignment="1">
      <alignment wrapText="1"/>
    </xf>
    <xf numFmtId="189" fontId="5" fillId="0" borderId="0" xfId="22058" applyNumberFormat="1" applyFont="1"/>
    <xf numFmtId="189" fontId="5" fillId="0" borderId="0" xfId="22058" applyNumberFormat="1" applyFont="1" applyFill="1"/>
    <xf numFmtId="189" fontId="113" fillId="4" borderId="25" xfId="22058" applyNumberFormat="1" applyFont="1" applyFill="1" applyBorder="1" applyAlignment="1">
      <alignment wrapText="1"/>
    </xf>
    <xf numFmtId="189" fontId="113" fillId="51" borderId="25" xfId="22058" applyNumberFormat="1" applyFont="1" applyFill="1" applyBorder="1"/>
    <xf numFmtId="170" fontId="32" fillId="3" borderId="26" xfId="21" applyNumberFormat="1" applyFont="1" applyFill="1" applyBorder="1" applyAlignment="1">
      <alignment horizontal="right" vertical="center" indent="1"/>
    </xf>
    <xf numFmtId="6" fontId="10" fillId="13" borderId="0" xfId="0" applyNumberFormat="1" applyFont="1" applyFill="1" applyBorder="1" applyAlignment="1">
      <alignment horizontal="right"/>
    </xf>
    <xf numFmtId="0" fontId="10" fillId="13" borderId="0" xfId="0" applyFont="1" applyFill="1" applyAlignment="1">
      <alignment horizontal="right"/>
    </xf>
    <xf numFmtId="0" fontId="43" fillId="68" borderId="0" xfId="0" applyFont="1" applyFill="1" applyAlignment="1">
      <alignment horizontal="right" wrapText="1" readingOrder="1"/>
    </xf>
    <xf numFmtId="0" fontId="0" fillId="13" borderId="0" xfId="0" applyFill="1" applyBorder="1" applyAlignment="1">
      <alignment horizontal="right"/>
    </xf>
    <xf numFmtId="196" fontId="5" fillId="13" borderId="83" xfId="0" applyNumberFormat="1" applyFont="1" applyFill="1" applyBorder="1" applyAlignment="1">
      <alignment horizontal="right"/>
    </xf>
    <xf numFmtId="38" fontId="5" fillId="13" borderId="83" xfId="0" applyNumberFormat="1" applyFont="1" applyFill="1" applyBorder="1" applyAlignment="1">
      <alignment horizontal="right"/>
    </xf>
    <xf numFmtId="0" fontId="0" fillId="55" borderId="0" xfId="0" applyFill="1"/>
    <xf numFmtId="0" fontId="5" fillId="55" borderId="0" xfId="2" applyFont="1" applyFill="1" applyBorder="1" applyAlignment="1" applyProtection="1">
      <alignment readingOrder="1"/>
      <protection locked="0"/>
    </xf>
    <xf numFmtId="0" fontId="4" fillId="55" borderId="0" xfId="0" applyFont="1" applyFill="1"/>
    <xf numFmtId="0" fontId="106" fillId="55" borderId="0" xfId="0" applyFont="1" applyFill="1" applyAlignment="1">
      <alignment wrapText="1"/>
    </xf>
    <xf numFmtId="0" fontId="5" fillId="55" borderId="0" xfId="0" applyFont="1" applyFill="1" applyAlignment="1" applyProtection="1">
      <alignment horizontal="left" readingOrder="1"/>
      <protection locked="0"/>
    </xf>
    <xf numFmtId="0" fontId="5" fillId="55" borderId="0" xfId="0" applyFont="1" applyFill="1" applyAlignment="1" applyProtection="1">
      <alignment horizontal="left"/>
      <protection locked="0"/>
    </xf>
    <xf numFmtId="0" fontId="5" fillId="55" borderId="0" xfId="0" applyFont="1" applyFill="1" applyAlignment="1">
      <alignment wrapText="1"/>
    </xf>
    <xf numFmtId="0" fontId="99" fillId="5" borderId="6" xfId="22056" applyFont="1" applyFill="1" applyBorder="1" applyAlignment="1">
      <alignment horizontal="center"/>
    </xf>
    <xf numFmtId="0" fontId="99" fillId="5" borderId="7" xfId="22056" applyFont="1" applyFill="1" applyBorder="1" applyAlignment="1">
      <alignment horizontal="center"/>
    </xf>
    <xf numFmtId="0" fontId="99" fillId="5" borderId="20" xfId="22056" applyFont="1" applyFill="1" applyBorder="1" applyAlignment="1">
      <alignment horizontal="center"/>
    </xf>
    <xf numFmtId="0" fontId="65" fillId="46" borderId="0" xfId="0" applyFont="1" applyFill="1" applyAlignment="1">
      <alignment horizontal="left"/>
    </xf>
    <xf numFmtId="0" fontId="28" fillId="49" borderId="0" xfId="0" applyFont="1" applyFill="1" applyAlignment="1">
      <alignment horizontal="center" vertical="center" wrapText="1"/>
    </xf>
    <xf numFmtId="177" fontId="66" fillId="49" borderId="0" xfId="0" applyNumberFormat="1" applyFont="1" applyFill="1" applyAlignment="1">
      <alignment horizontal="center" vertical="center" wrapText="1"/>
    </xf>
    <xf numFmtId="0" fontId="66" fillId="49" borderId="0" xfId="0" applyFont="1" applyFill="1" applyAlignment="1">
      <alignment horizontal="center" vertical="center" wrapText="1"/>
    </xf>
    <xf numFmtId="0" fontId="64" fillId="13" borderId="0" xfId="0" applyFont="1" applyFill="1" applyAlignment="1"/>
    <xf numFmtId="0" fontId="65" fillId="46" borderId="0" xfId="0" applyFont="1" applyFill="1" applyAlignment="1"/>
    <xf numFmtId="0" fontId="65" fillId="49" borderId="0" xfId="0" applyFont="1" applyFill="1" applyAlignment="1"/>
    <xf numFmtId="0" fontId="64" fillId="0" borderId="0" xfId="0" applyFont="1" applyFill="1" applyBorder="1" applyAlignment="1">
      <alignment horizontal="right" vertical="top" wrapText="1"/>
    </xf>
    <xf numFmtId="0" fontId="64" fillId="49" borderId="0" xfId="0" applyFont="1" applyFill="1" applyAlignment="1">
      <alignment vertical="top" wrapText="1"/>
    </xf>
    <xf numFmtId="0" fontId="65" fillId="49" borderId="0" xfId="0" applyFont="1" applyFill="1" applyAlignment="1">
      <alignment vertical="top" wrapText="1"/>
    </xf>
    <xf numFmtId="0" fontId="64" fillId="0" borderId="0" xfId="0" applyFont="1" applyFill="1" applyAlignment="1">
      <alignment vertical="top" wrapText="1"/>
    </xf>
    <xf numFmtId="0" fontId="66" fillId="0" borderId="0" xfId="0" applyFont="1" applyAlignment="1">
      <alignment horizontal="center" vertical="center" wrapText="1"/>
    </xf>
    <xf numFmtId="0" fontId="64" fillId="49" borderId="0" xfId="0" applyFont="1" applyFill="1" applyBorder="1" applyAlignment="1">
      <alignment horizontal="left" vertical="center" wrapText="1"/>
    </xf>
    <xf numFmtId="0" fontId="65" fillId="46" borderId="0" xfId="0" applyFont="1" applyFill="1" applyAlignment="1">
      <alignment horizontal="left" vertical="center"/>
    </xf>
    <xf numFmtId="0" fontId="65" fillId="49" borderId="0" xfId="0" applyFont="1" applyFill="1" applyBorder="1" applyAlignment="1">
      <alignment horizontal="left" vertical="center" wrapText="1"/>
    </xf>
    <xf numFmtId="0" fontId="64" fillId="49" borderId="0" xfId="0" applyFont="1" applyFill="1" applyBorder="1" applyAlignment="1">
      <alignment vertical="top" wrapText="1"/>
    </xf>
    <xf numFmtId="0" fontId="64" fillId="49" borderId="0" xfId="0" applyFont="1" applyFill="1" applyBorder="1" applyAlignment="1">
      <alignment horizontal="left" vertical="top" wrapText="1"/>
    </xf>
    <xf numFmtId="0" fontId="0" fillId="0" borderId="0" xfId="0" applyAlignment="1">
      <alignment horizontal="left" vertical="top" wrapText="1"/>
    </xf>
  </cellXfs>
  <cellStyles count="22059">
    <cellStyle name="20% - Accent1 2" xfId="23" xr:uid="{00000000-0005-0000-0000-000000000000}"/>
    <cellStyle name="20% - Accent1 2 2" xfId="24" xr:uid="{00000000-0005-0000-0000-000001000000}"/>
    <cellStyle name="20% - Accent1 2 2 2" xfId="25" xr:uid="{00000000-0005-0000-0000-000002000000}"/>
    <cellStyle name="20% - Accent1 2 2 2 2" xfId="26" xr:uid="{00000000-0005-0000-0000-000003000000}"/>
    <cellStyle name="20% - Accent1 2 2 2 2 2" xfId="27" xr:uid="{00000000-0005-0000-0000-000004000000}"/>
    <cellStyle name="20% - Accent1 2 2 2 2 3" xfId="28" xr:uid="{00000000-0005-0000-0000-000005000000}"/>
    <cellStyle name="20% - Accent1 2 2 2 3" xfId="29" xr:uid="{00000000-0005-0000-0000-000006000000}"/>
    <cellStyle name="20% - Accent1 2 2 2 3 2" xfId="30" xr:uid="{00000000-0005-0000-0000-000007000000}"/>
    <cellStyle name="20% - Accent1 2 2 2 3 3" xfId="31" xr:uid="{00000000-0005-0000-0000-000008000000}"/>
    <cellStyle name="20% - Accent1 2 2 2 4" xfId="32" xr:uid="{00000000-0005-0000-0000-000009000000}"/>
    <cellStyle name="20% - Accent1 2 2 2 5" xfId="33" xr:uid="{00000000-0005-0000-0000-00000A000000}"/>
    <cellStyle name="20% - Accent1 2 2 3" xfId="34" xr:uid="{00000000-0005-0000-0000-00000B000000}"/>
    <cellStyle name="20% - Accent1 2 2 3 2" xfId="35" xr:uid="{00000000-0005-0000-0000-00000C000000}"/>
    <cellStyle name="20% - Accent1 2 2 3 2 2" xfId="36" xr:uid="{00000000-0005-0000-0000-00000D000000}"/>
    <cellStyle name="20% - Accent1 2 2 3 2 3" xfId="37" xr:uid="{00000000-0005-0000-0000-00000E000000}"/>
    <cellStyle name="20% - Accent1 2 2 3 3" xfId="38" xr:uid="{00000000-0005-0000-0000-00000F000000}"/>
    <cellStyle name="20% - Accent1 2 2 3 3 2" xfId="39" xr:uid="{00000000-0005-0000-0000-000010000000}"/>
    <cellStyle name="20% - Accent1 2 2 3 3 3" xfId="40" xr:uid="{00000000-0005-0000-0000-000011000000}"/>
    <cellStyle name="20% - Accent1 2 2 3 4" xfId="41" xr:uid="{00000000-0005-0000-0000-000012000000}"/>
    <cellStyle name="20% - Accent1 2 2 3 5" xfId="42" xr:uid="{00000000-0005-0000-0000-000013000000}"/>
    <cellStyle name="20% - Accent1 2 2 4" xfId="43" xr:uid="{00000000-0005-0000-0000-000014000000}"/>
    <cellStyle name="20% - Accent1 2 2 4 2" xfId="44" xr:uid="{00000000-0005-0000-0000-000015000000}"/>
    <cellStyle name="20% - Accent1 2 2 4 3" xfId="45" xr:uid="{00000000-0005-0000-0000-000016000000}"/>
    <cellStyle name="20% - Accent1 2 2 5" xfId="46" xr:uid="{00000000-0005-0000-0000-000017000000}"/>
    <cellStyle name="20% - Accent1 2 2 5 2" xfId="47" xr:uid="{00000000-0005-0000-0000-000018000000}"/>
    <cellStyle name="20% - Accent1 2 2 5 3" xfId="48" xr:uid="{00000000-0005-0000-0000-000019000000}"/>
    <cellStyle name="20% - Accent1 2 2 6" xfId="49" xr:uid="{00000000-0005-0000-0000-00001A000000}"/>
    <cellStyle name="20% - Accent1 2 2 7" xfId="50" xr:uid="{00000000-0005-0000-0000-00001B000000}"/>
    <cellStyle name="20% - Accent1 2 3" xfId="51" xr:uid="{00000000-0005-0000-0000-00001C000000}"/>
    <cellStyle name="20% - Accent1 2 3 2" xfId="52" xr:uid="{00000000-0005-0000-0000-00001D000000}"/>
    <cellStyle name="20% - Accent1 2 3 2 2" xfId="53" xr:uid="{00000000-0005-0000-0000-00001E000000}"/>
    <cellStyle name="20% - Accent1 2 3 2 3" xfId="54" xr:uid="{00000000-0005-0000-0000-00001F000000}"/>
    <cellStyle name="20% - Accent1 2 3 3" xfId="55" xr:uid="{00000000-0005-0000-0000-000020000000}"/>
    <cellStyle name="20% - Accent1 2 3 3 2" xfId="56" xr:uid="{00000000-0005-0000-0000-000021000000}"/>
    <cellStyle name="20% - Accent1 2 3 3 3" xfId="57" xr:uid="{00000000-0005-0000-0000-000022000000}"/>
    <cellStyle name="20% - Accent1 2 3 4" xfId="58" xr:uid="{00000000-0005-0000-0000-000023000000}"/>
    <cellStyle name="20% - Accent1 2 3 5" xfId="59" xr:uid="{00000000-0005-0000-0000-000024000000}"/>
    <cellStyle name="20% - Accent1 2 4" xfId="60" xr:uid="{00000000-0005-0000-0000-000025000000}"/>
    <cellStyle name="20% - Accent1 2 4 2" xfId="61" xr:uid="{00000000-0005-0000-0000-000026000000}"/>
    <cellStyle name="20% - Accent1 2 4 2 2" xfId="62" xr:uid="{00000000-0005-0000-0000-000027000000}"/>
    <cellStyle name="20% - Accent1 2 4 2 3" xfId="63" xr:uid="{00000000-0005-0000-0000-000028000000}"/>
    <cellStyle name="20% - Accent1 2 4 3" xfId="64" xr:uid="{00000000-0005-0000-0000-000029000000}"/>
    <cellStyle name="20% - Accent1 2 4 3 2" xfId="65" xr:uid="{00000000-0005-0000-0000-00002A000000}"/>
    <cellStyle name="20% - Accent1 2 4 3 3" xfId="66" xr:uid="{00000000-0005-0000-0000-00002B000000}"/>
    <cellStyle name="20% - Accent1 2 4 4" xfId="67" xr:uid="{00000000-0005-0000-0000-00002C000000}"/>
    <cellStyle name="20% - Accent1 2 4 5" xfId="68" xr:uid="{00000000-0005-0000-0000-00002D000000}"/>
    <cellStyle name="20% - Accent1 2 5" xfId="69" xr:uid="{00000000-0005-0000-0000-00002E000000}"/>
    <cellStyle name="20% - Accent1 2 5 2" xfId="70" xr:uid="{00000000-0005-0000-0000-00002F000000}"/>
    <cellStyle name="20% - Accent1 2 5 3" xfId="71" xr:uid="{00000000-0005-0000-0000-000030000000}"/>
    <cellStyle name="20% - Accent1 2 6" xfId="72" xr:uid="{00000000-0005-0000-0000-000031000000}"/>
    <cellStyle name="20% - Accent1 2 6 2" xfId="73" xr:uid="{00000000-0005-0000-0000-000032000000}"/>
    <cellStyle name="20% - Accent1 2 6 3" xfId="74" xr:uid="{00000000-0005-0000-0000-000033000000}"/>
    <cellStyle name="20% - Accent1 2 7" xfId="75" xr:uid="{00000000-0005-0000-0000-000034000000}"/>
    <cellStyle name="20% - Accent1 2 7 2" xfId="76" xr:uid="{00000000-0005-0000-0000-000035000000}"/>
    <cellStyle name="20% - Accent1 2 7 3" xfId="77" xr:uid="{00000000-0005-0000-0000-000036000000}"/>
    <cellStyle name="20% - Accent1 2 8" xfId="78" xr:uid="{00000000-0005-0000-0000-000037000000}"/>
    <cellStyle name="20% - Accent1 2 9" xfId="79" xr:uid="{00000000-0005-0000-0000-000038000000}"/>
    <cellStyle name="20% - Accent1 3" xfId="80" xr:uid="{00000000-0005-0000-0000-000039000000}"/>
    <cellStyle name="20% - Accent1 3 2" xfId="81" xr:uid="{00000000-0005-0000-0000-00003A000000}"/>
    <cellStyle name="20% - Accent1 3 2 2" xfId="82" xr:uid="{00000000-0005-0000-0000-00003B000000}"/>
    <cellStyle name="20% - Accent1 3 2 2 2" xfId="83" xr:uid="{00000000-0005-0000-0000-00003C000000}"/>
    <cellStyle name="20% - Accent1 3 2 2 3" xfId="84" xr:uid="{00000000-0005-0000-0000-00003D000000}"/>
    <cellStyle name="20% - Accent1 3 2 3" xfId="85" xr:uid="{00000000-0005-0000-0000-00003E000000}"/>
    <cellStyle name="20% - Accent1 3 2 3 2" xfId="86" xr:uid="{00000000-0005-0000-0000-00003F000000}"/>
    <cellStyle name="20% - Accent1 3 2 3 3" xfId="87" xr:uid="{00000000-0005-0000-0000-000040000000}"/>
    <cellStyle name="20% - Accent1 3 2 4" xfId="88" xr:uid="{00000000-0005-0000-0000-000041000000}"/>
    <cellStyle name="20% - Accent1 3 2 5" xfId="89" xr:uid="{00000000-0005-0000-0000-000042000000}"/>
    <cellStyle name="20% - Accent1 3 3" xfId="90" xr:uid="{00000000-0005-0000-0000-000043000000}"/>
    <cellStyle name="20% - Accent1 3 3 2" xfId="91" xr:uid="{00000000-0005-0000-0000-000044000000}"/>
    <cellStyle name="20% - Accent1 3 3 2 2" xfId="92" xr:uid="{00000000-0005-0000-0000-000045000000}"/>
    <cellStyle name="20% - Accent1 3 3 2 3" xfId="93" xr:uid="{00000000-0005-0000-0000-000046000000}"/>
    <cellStyle name="20% - Accent1 3 3 3" xfId="94" xr:uid="{00000000-0005-0000-0000-000047000000}"/>
    <cellStyle name="20% - Accent1 3 3 3 2" xfId="95" xr:uid="{00000000-0005-0000-0000-000048000000}"/>
    <cellStyle name="20% - Accent1 3 3 3 3" xfId="96" xr:uid="{00000000-0005-0000-0000-000049000000}"/>
    <cellStyle name="20% - Accent1 3 3 4" xfId="97" xr:uid="{00000000-0005-0000-0000-00004A000000}"/>
    <cellStyle name="20% - Accent1 3 3 5" xfId="98" xr:uid="{00000000-0005-0000-0000-00004B000000}"/>
    <cellStyle name="20% - Accent1 3 4" xfId="99" xr:uid="{00000000-0005-0000-0000-00004C000000}"/>
    <cellStyle name="20% - Accent1 3 4 2" xfId="100" xr:uid="{00000000-0005-0000-0000-00004D000000}"/>
    <cellStyle name="20% - Accent1 3 4 3" xfId="101" xr:uid="{00000000-0005-0000-0000-00004E000000}"/>
    <cellStyle name="20% - Accent1 3 5" xfId="102" xr:uid="{00000000-0005-0000-0000-00004F000000}"/>
    <cellStyle name="20% - Accent1 3 5 2" xfId="103" xr:uid="{00000000-0005-0000-0000-000050000000}"/>
    <cellStyle name="20% - Accent1 3 5 3" xfId="104" xr:uid="{00000000-0005-0000-0000-000051000000}"/>
    <cellStyle name="20% - Accent1 3 6" xfId="105" xr:uid="{00000000-0005-0000-0000-000052000000}"/>
    <cellStyle name="20% - Accent1 3 7" xfId="106" xr:uid="{00000000-0005-0000-0000-000053000000}"/>
    <cellStyle name="20% - Accent1 4" xfId="107" xr:uid="{00000000-0005-0000-0000-000054000000}"/>
    <cellStyle name="20% - Accent1 4 2" xfId="108" xr:uid="{00000000-0005-0000-0000-000055000000}"/>
    <cellStyle name="20% - Accent1 4 2 2" xfId="109" xr:uid="{00000000-0005-0000-0000-000056000000}"/>
    <cellStyle name="20% - Accent1 4 2 2 2" xfId="110" xr:uid="{00000000-0005-0000-0000-000057000000}"/>
    <cellStyle name="20% - Accent1 4 2 2 3" xfId="111" xr:uid="{00000000-0005-0000-0000-000058000000}"/>
    <cellStyle name="20% - Accent1 4 2 3" xfId="112" xr:uid="{00000000-0005-0000-0000-000059000000}"/>
    <cellStyle name="20% - Accent1 4 2 3 2" xfId="113" xr:uid="{00000000-0005-0000-0000-00005A000000}"/>
    <cellStyle name="20% - Accent1 4 2 3 3" xfId="114" xr:uid="{00000000-0005-0000-0000-00005B000000}"/>
    <cellStyle name="20% - Accent1 4 2 4" xfId="115" xr:uid="{00000000-0005-0000-0000-00005C000000}"/>
    <cellStyle name="20% - Accent1 4 2 5" xfId="116" xr:uid="{00000000-0005-0000-0000-00005D000000}"/>
    <cellStyle name="20% - Accent1 4 3" xfId="117" xr:uid="{00000000-0005-0000-0000-00005E000000}"/>
    <cellStyle name="20% - Accent1 4 3 2" xfId="118" xr:uid="{00000000-0005-0000-0000-00005F000000}"/>
    <cellStyle name="20% - Accent1 4 3 2 2" xfId="119" xr:uid="{00000000-0005-0000-0000-000060000000}"/>
    <cellStyle name="20% - Accent1 4 3 2 3" xfId="120" xr:uid="{00000000-0005-0000-0000-000061000000}"/>
    <cellStyle name="20% - Accent1 4 3 3" xfId="121" xr:uid="{00000000-0005-0000-0000-000062000000}"/>
    <cellStyle name="20% - Accent1 4 3 4" xfId="122" xr:uid="{00000000-0005-0000-0000-000063000000}"/>
    <cellStyle name="20% - Accent1 4 4" xfId="123" xr:uid="{00000000-0005-0000-0000-000064000000}"/>
    <cellStyle name="20% - Accent1 4 4 2" xfId="124" xr:uid="{00000000-0005-0000-0000-000065000000}"/>
    <cellStyle name="20% - Accent1 4 4 3" xfId="125" xr:uid="{00000000-0005-0000-0000-000066000000}"/>
    <cellStyle name="20% - Accent1 4 5" xfId="126" xr:uid="{00000000-0005-0000-0000-000067000000}"/>
    <cellStyle name="20% - Accent1 4 5 2" xfId="127" xr:uid="{00000000-0005-0000-0000-000068000000}"/>
    <cellStyle name="20% - Accent1 4 5 3" xfId="128" xr:uid="{00000000-0005-0000-0000-000069000000}"/>
    <cellStyle name="20% - Accent1 4 6" xfId="129" xr:uid="{00000000-0005-0000-0000-00006A000000}"/>
    <cellStyle name="20% - Accent1 4 7" xfId="130" xr:uid="{00000000-0005-0000-0000-00006B000000}"/>
    <cellStyle name="20% - Accent1 5" xfId="131" xr:uid="{00000000-0005-0000-0000-00006C000000}"/>
    <cellStyle name="20% - Accent1 5 2" xfId="132" xr:uid="{00000000-0005-0000-0000-00006D000000}"/>
    <cellStyle name="20% - Accent1 5 2 2" xfId="133" xr:uid="{00000000-0005-0000-0000-00006E000000}"/>
    <cellStyle name="20% - Accent1 5 2 3" xfId="134" xr:uid="{00000000-0005-0000-0000-00006F000000}"/>
    <cellStyle name="20% - Accent1 5 3" xfId="135" xr:uid="{00000000-0005-0000-0000-000070000000}"/>
    <cellStyle name="20% - Accent1 5 3 2" xfId="136" xr:uid="{00000000-0005-0000-0000-000071000000}"/>
    <cellStyle name="20% - Accent1 5 3 3" xfId="137" xr:uid="{00000000-0005-0000-0000-000072000000}"/>
    <cellStyle name="20% - Accent1 5 4" xfId="138" xr:uid="{00000000-0005-0000-0000-000073000000}"/>
    <cellStyle name="20% - Accent1 5 5" xfId="139" xr:uid="{00000000-0005-0000-0000-000074000000}"/>
    <cellStyle name="20% - Accent1 6" xfId="140" xr:uid="{00000000-0005-0000-0000-000075000000}"/>
    <cellStyle name="20% - Accent1 6 2" xfId="141" xr:uid="{00000000-0005-0000-0000-000076000000}"/>
    <cellStyle name="20% - Accent1 6 3" xfId="142" xr:uid="{00000000-0005-0000-0000-000077000000}"/>
    <cellStyle name="20% - Accent2 2" xfId="143" xr:uid="{00000000-0005-0000-0000-000078000000}"/>
    <cellStyle name="20% - Accent2 2 2" xfId="144" xr:uid="{00000000-0005-0000-0000-000079000000}"/>
    <cellStyle name="20% - Accent2 2 2 2" xfId="145" xr:uid="{00000000-0005-0000-0000-00007A000000}"/>
    <cellStyle name="20% - Accent2 2 2 2 2" xfId="146" xr:uid="{00000000-0005-0000-0000-00007B000000}"/>
    <cellStyle name="20% - Accent2 2 2 2 2 2" xfId="147" xr:uid="{00000000-0005-0000-0000-00007C000000}"/>
    <cellStyle name="20% - Accent2 2 2 2 2 3" xfId="148" xr:uid="{00000000-0005-0000-0000-00007D000000}"/>
    <cellStyle name="20% - Accent2 2 2 2 3" xfId="149" xr:uid="{00000000-0005-0000-0000-00007E000000}"/>
    <cellStyle name="20% - Accent2 2 2 2 3 2" xfId="150" xr:uid="{00000000-0005-0000-0000-00007F000000}"/>
    <cellStyle name="20% - Accent2 2 2 2 3 3" xfId="151" xr:uid="{00000000-0005-0000-0000-000080000000}"/>
    <cellStyle name="20% - Accent2 2 2 2 4" xfId="152" xr:uid="{00000000-0005-0000-0000-000081000000}"/>
    <cellStyle name="20% - Accent2 2 2 2 5" xfId="153" xr:uid="{00000000-0005-0000-0000-000082000000}"/>
    <cellStyle name="20% - Accent2 2 2 3" xfId="154" xr:uid="{00000000-0005-0000-0000-000083000000}"/>
    <cellStyle name="20% - Accent2 2 2 3 2" xfId="155" xr:uid="{00000000-0005-0000-0000-000084000000}"/>
    <cellStyle name="20% - Accent2 2 2 3 2 2" xfId="156" xr:uid="{00000000-0005-0000-0000-000085000000}"/>
    <cellStyle name="20% - Accent2 2 2 3 2 3" xfId="157" xr:uid="{00000000-0005-0000-0000-000086000000}"/>
    <cellStyle name="20% - Accent2 2 2 3 3" xfId="158" xr:uid="{00000000-0005-0000-0000-000087000000}"/>
    <cellStyle name="20% - Accent2 2 2 3 3 2" xfId="159" xr:uid="{00000000-0005-0000-0000-000088000000}"/>
    <cellStyle name="20% - Accent2 2 2 3 3 3" xfId="160" xr:uid="{00000000-0005-0000-0000-000089000000}"/>
    <cellStyle name="20% - Accent2 2 2 3 4" xfId="161" xr:uid="{00000000-0005-0000-0000-00008A000000}"/>
    <cellStyle name="20% - Accent2 2 2 3 5" xfId="162" xr:uid="{00000000-0005-0000-0000-00008B000000}"/>
    <cellStyle name="20% - Accent2 2 2 4" xfId="163" xr:uid="{00000000-0005-0000-0000-00008C000000}"/>
    <cellStyle name="20% - Accent2 2 2 4 2" xfId="164" xr:uid="{00000000-0005-0000-0000-00008D000000}"/>
    <cellStyle name="20% - Accent2 2 2 4 3" xfId="165" xr:uid="{00000000-0005-0000-0000-00008E000000}"/>
    <cellStyle name="20% - Accent2 2 2 5" xfId="166" xr:uid="{00000000-0005-0000-0000-00008F000000}"/>
    <cellStyle name="20% - Accent2 2 2 5 2" xfId="167" xr:uid="{00000000-0005-0000-0000-000090000000}"/>
    <cellStyle name="20% - Accent2 2 2 5 3" xfId="168" xr:uid="{00000000-0005-0000-0000-000091000000}"/>
    <cellStyle name="20% - Accent2 2 2 6" xfId="169" xr:uid="{00000000-0005-0000-0000-000092000000}"/>
    <cellStyle name="20% - Accent2 2 2 7" xfId="170" xr:uid="{00000000-0005-0000-0000-000093000000}"/>
    <cellStyle name="20% - Accent2 2 3" xfId="171" xr:uid="{00000000-0005-0000-0000-000094000000}"/>
    <cellStyle name="20% - Accent2 2 3 2" xfId="172" xr:uid="{00000000-0005-0000-0000-000095000000}"/>
    <cellStyle name="20% - Accent2 2 3 2 2" xfId="173" xr:uid="{00000000-0005-0000-0000-000096000000}"/>
    <cellStyle name="20% - Accent2 2 3 2 3" xfId="174" xr:uid="{00000000-0005-0000-0000-000097000000}"/>
    <cellStyle name="20% - Accent2 2 3 3" xfId="175" xr:uid="{00000000-0005-0000-0000-000098000000}"/>
    <cellStyle name="20% - Accent2 2 3 3 2" xfId="176" xr:uid="{00000000-0005-0000-0000-000099000000}"/>
    <cellStyle name="20% - Accent2 2 3 3 3" xfId="177" xr:uid="{00000000-0005-0000-0000-00009A000000}"/>
    <cellStyle name="20% - Accent2 2 3 4" xfId="178" xr:uid="{00000000-0005-0000-0000-00009B000000}"/>
    <cellStyle name="20% - Accent2 2 3 5" xfId="179" xr:uid="{00000000-0005-0000-0000-00009C000000}"/>
    <cellStyle name="20% - Accent2 2 4" xfId="180" xr:uid="{00000000-0005-0000-0000-00009D000000}"/>
    <cellStyle name="20% - Accent2 2 4 2" xfId="181" xr:uid="{00000000-0005-0000-0000-00009E000000}"/>
    <cellStyle name="20% - Accent2 2 4 2 2" xfId="182" xr:uid="{00000000-0005-0000-0000-00009F000000}"/>
    <cellStyle name="20% - Accent2 2 4 2 3" xfId="183" xr:uid="{00000000-0005-0000-0000-0000A0000000}"/>
    <cellStyle name="20% - Accent2 2 4 3" xfId="184" xr:uid="{00000000-0005-0000-0000-0000A1000000}"/>
    <cellStyle name="20% - Accent2 2 4 3 2" xfId="185" xr:uid="{00000000-0005-0000-0000-0000A2000000}"/>
    <cellStyle name="20% - Accent2 2 4 3 3" xfId="186" xr:uid="{00000000-0005-0000-0000-0000A3000000}"/>
    <cellStyle name="20% - Accent2 2 4 4" xfId="187" xr:uid="{00000000-0005-0000-0000-0000A4000000}"/>
    <cellStyle name="20% - Accent2 2 4 5" xfId="188" xr:uid="{00000000-0005-0000-0000-0000A5000000}"/>
    <cellStyle name="20% - Accent2 2 5" xfId="189" xr:uid="{00000000-0005-0000-0000-0000A6000000}"/>
    <cellStyle name="20% - Accent2 2 5 2" xfId="190" xr:uid="{00000000-0005-0000-0000-0000A7000000}"/>
    <cellStyle name="20% - Accent2 2 5 3" xfId="191" xr:uid="{00000000-0005-0000-0000-0000A8000000}"/>
    <cellStyle name="20% - Accent2 2 6" xfId="192" xr:uid="{00000000-0005-0000-0000-0000A9000000}"/>
    <cellStyle name="20% - Accent2 2 6 2" xfId="193" xr:uid="{00000000-0005-0000-0000-0000AA000000}"/>
    <cellStyle name="20% - Accent2 2 6 3" xfId="194" xr:uid="{00000000-0005-0000-0000-0000AB000000}"/>
    <cellStyle name="20% - Accent2 2 7" xfId="195" xr:uid="{00000000-0005-0000-0000-0000AC000000}"/>
    <cellStyle name="20% - Accent2 2 7 2" xfId="196" xr:uid="{00000000-0005-0000-0000-0000AD000000}"/>
    <cellStyle name="20% - Accent2 2 7 3" xfId="197" xr:uid="{00000000-0005-0000-0000-0000AE000000}"/>
    <cellStyle name="20% - Accent2 2 8" xfId="198" xr:uid="{00000000-0005-0000-0000-0000AF000000}"/>
    <cellStyle name="20% - Accent2 2 9" xfId="199" xr:uid="{00000000-0005-0000-0000-0000B0000000}"/>
    <cellStyle name="20% - Accent2 3" xfId="200" xr:uid="{00000000-0005-0000-0000-0000B1000000}"/>
    <cellStyle name="20% - Accent2 3 2" xfId="201" xr:uid="{00000000-0005-0000-0000-0000B2000000}"/>
    <cellStyle name="20% - Accent2 3 2 2" xfId="202" xr:uid="{00000000-0005-0000-0000-0000B3000000}"/>
    <cellStyle name="20% - Accent2 3 2 2 2" xfId="203" xr:uid="{00000000-0005-0000-0000-0000B4000000}"/>
    <cellStyle name="20% - Accent2 3 2 2 3" xfId="204" xr:uid="{00000000-0005-0000-0000-0000B5000000}"/>
    <cellStyle name="20% - Accent2 3 2 3" xfId="205" xr:uid="{00000000-0005-0000-0000-0000B6000000}"/>
    <cellStyle name="20% - Accent2 3 2 3 2" xfId="206" xr:uid="{00000000-0005-0000-0000-0000B7000000}"/>
    <cellStyle name="20% - Accent2 3 2 3 3" xfId="207" xr:uid="{00000000-0005-0000-0000-0000B8000000}"/>
    <cellStyle name="20% - Accent2 3 2 4" xfId="208" xr:uid="{00000000-0005-0000-0000-0000B9000000}"/>
    <cellStyle name="20% - Accent2 3 2 5" xfId="209" xr:uid="{00000000-0005-0000-0000-0000BA000000}"/>
    <cellStyle name="20% - Accent2 3 3" xfId="210" xr:uid="{00000000-0005-0000-0000-0000BB000000}"/>
    <cellStyle name="20% - Accent2 3 3 2" xfId="211" xr:uid="{00000000-0005-0000-0000-0000BC000000}"/>
    <cellStyle name="20% - Accent2 3 3 2 2" xfId="212" xr:uid="{00000000-0005-0000-0000-0000BD000000}"/>
    <cellStyle name="20% - Accent2 3 3 2 3" xfId="213" xr:uid="{00000000-0005-0000-0000-0000BE000000}"/>
    <cellStyle name="20% - Accent2 3 3 3" xfId="214" xr:uid="{00000000-0005-0000-0000-0000BF000000}"/>
    <cellStyle name="20% - Accent2 3 3 3 2" xfId="215" xr:uid="{00000000-0005-0000-0000-0000C0000000}"/>
    <cellStyle name="20% - Accent2 3 3 3 3" xfId="216" xr:uid="{00000000-0005-0000-0000-0000C1000000}"/>
    <cellStyle name="20% - Accent2 3 3 4" xfId="217" xr:uid="{00000000-0005-0000-0000-0000C2000000}"/>
    <cellStyle name="20% - Accent2 3 3 5" xfId="218" xr:uid="{00000000-0005-0000-0000-0000C3000000}"/>
    <cellStyle name="20% - Accent2 3 4" xfId="219" xr:uid="{00000000-0005-0000-0000-0000C4000000}"/>
    <cellStyle name="20% - Accent2 3 4 2" xfId="220" xr:uid="{00000000-0005-0000-0000-0000C5000000}"/>
    <cellStyle name="20% - Accent2 3 4 3" xfId="221" xr:uid="{00000000-0005-0000-0000-0000C6000000}"/>
    <cellStyle name="20% - Accent2 3 5" xfId="222" xr:uid="{00000000-0005-0000-0000-0000C7000000}"/>
    <cellStyle name="20% - Accent2 3 5 2" xfId="223" xr:uid="{00000000-0005-0000-0000-0000C8000000}"/>
    <cellStyle name="20% - Accent2 3 5 3" xfId="224" xr:uid="{00000000-0005-0000-0000-0000C9000000}"/>
    <cellStyle name="20% - Accent2 3 6" xfId="225" xr:uid="{00000000-0005-0000-0000-0000CA000000}"/>
    <cellStyle name="20% - Accent2 3 7" xfId="226" xr:uid="{00000000-0005-0000-0000-0000CB000000}"/>
    <cellStyle name="20% - Accent2 4" xfId="227" xr:uid="{00000000-0005-0000-0000-0000CC000000}"/>
    <cellStyle name="20% - Accent2 4 2" xfId="228" xr:uid="{00000000-0005-0000-0000-0000CD000000}"/>
    <cellStyle name="20% - Accent2 4 2 2" xfId="229" xr:uid="{00000000-0005-0000-0000-0000CE000000}"/>
    <cellStyle name="20% - Accent2 4 2 2 2" xfId="230" xr:uid="{00000000-0005-0000-0000-0000CF000000}"/>
    <cellStyle name="20% - Accent2 4 2 2 3" xfId="231" xr:uid="{00000000-0005-0000-0000-0000D0000000}"/>
    <cellStyle name="20% - Accent2 4 2 3" xfId="232" xr:uid="{00000000-0005-0000-0000-0000D1000000}"/>
    <cellStyle name="20% - Accent2 4 2 3 2" xfId="233" xr:uid="{00000000-0005-0000-0000-0000D2000000}"/>
    <cellStyle name="20% - Accent2 4 2 3 3" xfId="234" xr:uid="{00000000-0005-0000-0000-0000D3000000}"/>
    <cellStyle name="20% - Accent2 4 2 4" xfId="235" xr:uid="{00000000-0005-0000-0000-0000D4000000}"/>
    <cellStyle name="20% - Accent2 4 2 5" xfId="236" xr:uid="{00000000-0005-0000-0000-0000D5000000}"/>
    <cellStyle name="20% - Accent2 4 3" xfId="237" xr:uid="{00000000-0005-0000-0000-0000D6000000}"/>
    <cellStyle name="20% - Accent2 4 3 2" xfId="238" xr:uid="{00000000-0005-0000-0000-0000D7000000}"/>
    <cellStyle name="20% - Accent2 4 3 2 2" xfId="239" xr:uid="{00000000-0005-0000-0000-0000D8000000}"/>
    <cellStyle name="20% - Accent2 4 3 2 3" xfId="240" xr:uid="{00000000-0005-0000-0000-0000D9000000}"/>
    <cellStyle name="20% - Accent2 4 3 3" xfId="241" xr:uid="{00000000-0005-0000-0000-0000DA000000}"/>
    <cellStyle name="20% - Accent2 4 3 4" xfId="242" xr:uid="{00000000-0005-0000-0000-0000DB000000}"/>
    <cellStyle name="20% - Accent2 4 4" xfId="243" xr:uid="{00000000-0005-0000-0000-0000DC000000}"/>
    <cellStyle name="20% - Accent2 4 4 2" xfId="244" xr:uid="{00000000-0005-0000-0000-0000DD000000}"/>
    <cellStyle name="20% - Accent2 4 4 3" xfId="245" xr:uid="{00000000-0005-0000-0000-0000DE000000}"/>
    <cellStyle name="20% - Accent2 4 5" xfId="246" xr:uid="{00000000-0005-0000-0000-0000DF000000}"/>
    <cellStyle name="20% - Accent2 4 5 2" xfId="247" xr:uid="{00000000-0005-0000-0000-0000E0000000}"/>
    <cellStyle name="20% - Accent2 4 5 3" xfId="248" xr:uid="{00000000-0005-0000-0000-0000E1000000}"/>
    <cellStyle name="20% - Accent2 4 6" xfId="249" xr:uid="{00000000-0005-0000-0000-0000E2000000}"/>
    <cellStyle name="20% - Accent2 4 7" xfId="250" xr:uid="{00000000-0005-0000-0000-0000E3000000}"/>
    <cellStyle name="20% - Accent2 5" xfId="251" xr:uid="{00000000-0005-0000-0000-0000E4000000}"/>
    <cellStyle name="20% - Accent2 5 2" xfId="252" xr:uid="{00000000-0005-0000-0000-0000E5000000}"/>
    <cellStyle name="20% - Accent2 5 2 2" xfId="253" xr:uid="{00000000-0005-0000-0000-0000E6000000}"/>
    <cellStyle name="20% - Accent2 5 2 3" xfId="254" xr:uid="{00000000-0005-0000-0000-0000E7000000}"/>
    <cellStyle name="20% - Accent2 5 3" xfId="255" xr:uid="{00000000-0005-0000-0000-0000E8000000}"/>
    <cellStyle name="20% - Accent2 5 3 2" xfId="256" xr:uid="{00000000-0005-0000-0000-0000E9000000}"/>
    <cellStyle name="20% - Accent2 5 3 3" xfId="257" xr:uid="{00000000-0005-0000-0000-0000EA000000}"/>
    <cellStyle name="20% - Accent2 5 4" xfId="258" xr:uid="{00000000-0005-0000-0000-0000EB000000}"/>
    <cellStyle name="20% - Accent2 5 5" xfId="259" xr:uid="{00000000-0005-0000-0000-0000EC000000}"/>
    <cellStyle name="20% - Accent2 6" xfId="260" xr:uid="{00000000-0005-0000-0000-0000ED000000}"/>
    <cellStyle name="20% - Accent2 6 2" xfId="261" xr:uid="{00000000-0005-0000-0000-0000EE000000}"/>
    <cellStyle name="20% - Accent2 6 3" xfId="262" xr:uid="{00000000-0005-0000-0000-0000EF000000}"/>
    <cellStyle name="20% - Accent3 2" xfId="263" xr:uid="{00000000-0005-0000-0000-0000F0000000}"/>
    <cellStyle name="20% - Accent3 2 2" xfId="264" xr:uid="{00000000-0005-0000-0000-0000F1000000}"/>
    <cellStyle name="20% - Accent3 2 2 2" xfId="265" xr:uid="{00000000-0005-0000-0000-0000F2000000}"/>
    <cellStyle name="20% - Accent3 2 2 2 2" xfId="266" xr:uid="{00000000-0005-0000-0000-0000F3000000}"/>
    <cellStyle name="20% - Accent3 2 2 2 2 2" xfId="267" xr:uid="{00000000-0005-0000-0000-0000F4000000}"/>
    <cellStyle name="20% - Accent3 2 2 2 2 3" xfId="268" xr:uid="{00000000-0005-0000-0000-0000F5000000}"/>
    <cellStyle name="20% - Accent3 2 2 2 3" xfId="269" xr:uid="{00000000-0005-0000-0000-0000F6000000}"/>
    <cellStyle name="20% - Accent3 2 2 2 3 2" xfId="270" xr:uid="{00000000-0005-0000-0000-0000F7000000}"/>
    <cellStyle name="20% - Accent3 2 2 2 3 3" xfId="271" xr:uid="{00000000-0005-0000-0000-0000F8000000}"/>
    <cellStyle name="20% - Accent3 2 2 2 4" xfId="272" xr:uid="{00000000-0005-0000-0000-0000F9000000}"/>
    <cellStyle name="20% - Accent3 2 2 2 5" xfId="273" xr:uid="{00000000-0005-0000-0000-0000FA000000}"/>
    <cellStyle name="20% - Accent3 2 2 3" xfId="274" xr:uid="{00000000-0005-0000-0000-0000FB000000}"/>
    <cellStyle name="20% - Accent3 2 2 3 2" xfId="275" xr:uid="{00000000-0005-0000-0000-0000FC000000}"/>
    <cellStyle name="20% - Accent3 2 2 3 2 2" xfId="276" xr:uid="{00000000-0005-0000-0000-0000FD000000}"/>
    <cellStyle name="20% - Accent3 2 2 3 2 3" xfId="277" xr:uid="{00000000-0005-0000-0000-0000FE000000}"/>
    <cellStyle name="20% - Accent3 2 2 3 3" xfId="278" xr:uid="{00000000-0005-0000-0000-0000FF000000}"/>
    <cellStyle name="20% - Accent3 2 2 3 3 2" xfId="279" xr:uid="{00000000-0005-0000-0000-000000010000}"/>
    <cellStyle name="20% - Accent3 2 2 3 3 3" xfId="280" xr:uid="{00000000-0005-0000-0000-000001010000}"/>
    <cellStyle name="20% - Accent3 2 2 3 4" xfId="281" xr:uid="{00000000-0005-0000-0000-000002010000}"/>
    <cellStyle name="20% - Accent3 2 2 3 5" xfId="282" xr:uid="{00000000-0005-0000-0000-000003010000}"/>
    <cellStyle name="20% - Accent3 2 2 4" xfId="283" xr:uid="{00000000-0005-0000-0000-000004010000}"/>
    <cellStyle name="20% - Accent3 2 2 4 2" xfId="284" xr:uid="{00000000-0005-0000-0000-000005010000}"/>
    <cellStyle name="20% - Accent3 2 2 4 3" xfId="285" xr:uid="{00000000-0005-0000-0000-000006010000}"/>
    <cellStyle name="20% - Accent3 2 2 5" xfId="286" xr:uid="{00000000-0005-0000-0000-000007010000}"/>
    <cellStyle name="20% - Accent3 2 2 5 2" xfId="287" xr:uid="{00000000-0005-0000-0000-000008010000}"/>
    <cellStyle name="20% - Accent3 2 2 5 3" xfId="288" xr:uid="{00000000-0005-0000-0000-000009010000}"/>
    <cellStyle name="20% - Accent3 2 2 6" xfId="289" xr:uid="{00000000-0005-0000-0000-00000A010000}"/>
    <cellStyle name="20% - Accent3 2 2 7" xfId="290" xr:uid="{00000000-0005-0000-0000-00000B010000}"/>
    <cellStyle name="20% - Accent3 2 3" xfId="291" xr:uid="{00000000-0005-0000-0000-00000C010000}"/>
    <cellStyle name="20% - Accent3 2 3 2" xfId="292" xr:uid="{00000000-0005-0000-0000-00000D010000}"/>
    <cellStyle name="20% - Accent3 2 3 2 2" xfId="293" xr:uid="{00000000-0005-0000-0000-00000E010000}"/>
    <cellStyle name="20% - Accent3 2 3 2 3" xfId="294" xr:uid="{00000000-0005-0000-0000-00000F010000}"/>
    <cellStyle name="20% - Accent3 2 3 3" xfId="295" xr:uid="{00000000-0005-0000-0000-000010010000}"/>
    <cellStyle name="20% - Accent3 2 3 3 2" xfId="296" xr:uid="{00000000-0005-0000-0000-000011010000}"/>
    <cellStyle name="20% - Accent3 2 3 3 3" xfId="297" xr:uid="{00000000-0005-0000-0000-000012010000}"/>
    <cellStyle name="20% - Accent3 2 3 4" xfId="298" xr:uid="{00000000-0005-0000-0000-000013010000}"/>
    <cellStyle name="20% - Accent3 2 3 5" xfId="299" xr:uid="{00000000-0005-0000-0000-000014010000}"/>
    <cellStyle name="20% - Accent3 2 4" xfId="300" xr:uid="{00000000-0005-0000-0000-000015010000}"/>
    <cellStyle name="20% - Accent3 2 4 2" xfId="301" xr:uid="{00000000-0005-0000-0000-000016010000}"/>
    <cellStyle name="20% - Accent3 2 4 2 2" xfId="302" xr:uid="{00000000-0005-0000-0000-000017010000}"/>
    <cellStyle name="20% - Accent3 2 4 2 3" xfId="303" xr:uid="{00000000-0005-0000-0000-000018010000}"/>
    <cellStyle name="20% - Accent3 2 4 3" xfId="304" xr:uid="{00000000-0005-0000-0000-000019010000}"/>
    <cellStyle name="20% - Accent3 2 4 3 2" xfId="305" xr:uid="{00000000-0005-0000-0000-00001A010000}"/>
    <cellStyle name="20% - Accent3 2 4 3 3" xfId="306" xr:uid="{00000000-0005-0000-0000-00001B010000}"/>
    <cellStyle name="20% - Accent3 2 4 4" xfId="307" xr:uid="{00000000-0005-0000-0000-00001C010000}"/>
    <cellStyle name="20% - Accent3 2 4 5" xfId="308" xr:uid="{00000000-0005-0000-0000-00001D010000}"/>
    <cellStyle name="20% - Accent3 2 5" xfId="309" xr:uid="{00000000-0005-0000-0000-00001E010000}"/>
    <cellStyle name="20% - Accent3 2 5 2" xfId="310" xr:uid="{00000000-0005-0000-0000-00001F010000}"/>
    <cellStyle name="20% - Accent3 2 5 3" xfId="311" xr:uid="{00000000-0005-0000-0000-000020010000}"/>
    <cellStyle name="20% - Accent3 2 6" xfId="312" xr:uid="{00000000-0005-0000-0000-000021010000}"/>
    <cellStyle name="20% - Accent3 2 6 2" xfId="313" xr:uid="{00000000-0005-0000-0000-000022010000}"/>
    <cellStyle name="20% - Accent3 2 6 3" xfId="314" xr:uid="{00000000-0005-0000-0000-000023010000}"/>
    <cellStyle name="20% - Accent3 2 7" xfId="315" xr:uid="{00000000-0005-0000-0000-000024010000}"/>
    <cellStyle name="20% - Accent3 2 7 2" xfId="316" xr:uid="{00000000-0005-0000-0000-000025010000}"/>
    <cellStyle name="20% - Accent3 2 7 3" xfId="317" xr:uid="{00000000-0005-0000-0000-000026010000}"/>
    <cellStyle name="20% - Accent3 2 8" xfId="318" xr:uid="{00000000-0005-0000-0000-000027010000}"/>
    <cellStyle name="20% - Accent3 2 9" xfId="319" xr:uid="{00000000-0005-0000-0000-000028010000}"/>
    <cellStyle name="20% - Accent3 3" xfId="320" xr:uid="{00000000-0005-0000-0000-000029010000}"/>
    <cellStyle name="20% - Accent3 3 2" xfId="321" xr:uid="{00000000-0005-0000-0000-00002A010000}"/>
    <cellStyle name="20% - Accent3 3 2 2" xfId="322" xr:uid="{00000000-0005-0000-0000-00002B010000}"/>
    <cellStyle name="20% - Accent3 3 2 2 2" xfId="323" xr:uid="{00000000-0005-0000-0000-00002C010000}"/>
    <cellStyle name="20% - Accent3 3 2 2 3" xfId="324" xr:uid="{00000000-0005-0000-0000-00002D010000}"/>
    <cellStyle name="20% - Accent3 3 2 3" xfId="325" xr:uid="{00000000-0005-0000-0000-00002E010000}"/>
    <cellStyle name="20% - Accent3 3 2 3 2" xfId="326" xr:uid="{00000000-0005-0000-0000-00002F010000}"/>
    <cellStyle name="20% - Accent3 3 2 3 3" xfId="327" xr:uid="{00000000-0005-0000-0000-000030010000}"/>
    <cellStyle name="20% - Accent3 3 2 4" xfId="328" xr:uid="{00000000-0005-0000-0000-000031010000}"/>
    <cellStyle name="20% - Accent3 3 2 5" xfId="329" xr:uid="{00000000-0005-0000-0000-000032010000}"/>
    <cellStyle name="20% - Accent3 3 3" xfId="330" xr:uid="{00000000-0005-0000-0000-000033010000}"/>
    <cellStyle name="20% - Accent3 3 3 2" xfId="331" xr:uid="{00000000-0005-0000-0000-000034010000}"/>
    <cellStyle name="20% - Accent3 3 3 2 2" xfId="332" xr:uid="{00000000-0005-0000-0000-000035010000}"/>
    <cellStyle name="20% - Accent3 3 3 2 3" xfId="333" xr:uid="{00000000-0005-0000-0000-000036010000}"/>
    <cellStyle name="20% - Accent3 3 3 3" xfId="334" xr:uid="{00000000-0005-0000-0000-000037010000}"/>
    <cellStyle name="20% - Accent3 3 3 3 2" xfId="335" xr:uid="{00000000-0005-0000-0000-000038010000}"/>
    <cellStyle name="20% - Accent3 3 3 3 3" xfId="336" xr:uid="{00000000-0005-0000-0000-000039010000}"/>
    <cellStyle name="20% - Accent3 3 3 4" xfId="337" xr:uid="{00000000-0005-0000-0000-00003A010000}"/>
    <cellStyle name="20% - Accent3 3 3 5" xfId="338" xr:uid="{00000000-0005-0000-0000-00003B010000}"/>
    <cellStyle name="20% - Accent3 3 4" xfId="339" xr:uid="{00000000-0005-0000-0000-00003C010000}"/>
    <cellStyle name="20% - Accent3 3 4 2" xfId="340" xr:uid="{00000000-0005-0000-0000-00003D010000}"/>
    <cellStyle name="20% - Accent3 3 4 3" xfId="341" xr:uid="{00000000-0005-0000-0000-00003E010000}"/>
    <cellStyle name="20% - Accent3 3 5" xfId="342" xr:uid="{00000000-0005-0000-0000-00003F010000}"/>
    <cellStyle name="20% - Accent3 3 5 2" xfId="343" xr:uid="{00000000-0005-0000-0000-000040010000}"/>
    <cellStyle name="20% - Accent3 3 5 3" xfId="344" xr:uid="{00000000-0005-0000-0000-000041010000}"/>
    <cellStyle name="20% - Accent3 3 6" xfId="345" xr:uid="{00000000-0005-0000-0000-000042010000}"/>
    <cellStyle name="20% - Accent3 3 7" xfId="346" xr:uid="{00000000-0005-0000-0000-000043010000}"/>
    <cellStyle name="20% - Accent3 4" xfId="347" xr:uid="{00000000-0005-0000-0000-000044010000}"/>
    <cellStyle name="20% - Accent3 4 2" xfId="348" xr:uid="{00000000-0005-0000-0000-000045010000}"/>
    <cellStyle name="20% - Accent3 4 2 2" xfId="349" xr:uid="{00000000-0005-0000-0000-000046010000}"/>
    <cellStyle name="20% - Accent3 4 2 2 2" xfId="350" xr:uid="{00000000-0005-0000-0000-000047010000}"/>
    <cellStyle name="20% - Accent3 4 2 2 3" xfId="351" xr:uid="{00000000-0005-0000-0000-000048010000}"/>
    <cellStyle name="20% - Accent3 4 2 3" xfId="352" xr:uid="{00000000-0005-0000-0000-000049010000}"/>
    <cellStyle name="20% - Accent3 4 2 3 2" xfId="353" xr:uid="{00000000-0005-0000-0000-00004A010000}"/>
    <cellStyle name="20% - Accent3 4 2 3 3" xfId="354" xr:uid="{00000000-0005-0000-0000-00004B010000}"/>
    <cellStyle name="20% - Accent3 4 2 4" xfId="355" xr:uid="{00000000-0005-0000-0000-00004C010000}"/>
    <cellStyle name="20% - Accent3 4 2 5" xfId="356" xr:uid="{00000000-0005-0000-0000-00004D010000}"/>
    <cellStyle name="20% - Accent3 4 3" xfId="357" xr:uid="{00000000-0005-0000-0000-00004E010000}"/>
    <cellStyle name="20% - Accent3 4 3 2" xfId="358" xr:uid="{00000000-0005-0000-0000-00004F010000}"/>
    <cellStyle name="20% - Accent3 4 3 2 2" xfId="359" xr:uid="{00000000-0005-0000-0000-000050010000}"/>
    <cellStyle name="20% - Accent3 4 3 2 3" xfId="360" xr:uid="{00000000-0005-0000-0000-000051010000}"/>
    <cellStyle name="20% - Accent3 4 3 3" xfId="361" xr:uid="{00000000-0005-0000-0000-000052010000}"/>
    <cellStyle name="20% - Accent3 4 3 4" xfId="362" xr:uid="{00000000-0005-0000-0000-000053010000}"/>
    <cellStyle name="20% - Accent3 4 4" xfId="363" xr:uid="{00000000-0005-0000-0000-000054010000}"/>
    <cellStyle name="20% - Accent3 4 4 2" xfId="364" xr:uid="{00000000-0005-0000-0000-000055010000}"/>
    <cellStyle name="20% - Accent3 4 4 3" xfId="365" xr:uid="{00000000-0005-0000-0000-000056010000}"/>
    <cellStyle name="20% - Accent3 4 5" xfId="366" xr:uid="{00000000-0005-0000-0000-000057010000}"/>
    <cellStyle name="20% - Accent3 4 5 2" xfId="367" xr:uid="{00000000-0005-0000-0000-000058010000}"/>
    <cellStyle name="20% - Accent3 4 5 3" xfId="368" xr:uid="{00000000-0005-0000-0000-000059010000}"/>
    <cellStyle name="20% - Accent3 4 6" xfId="369" xr:uid="{00000000-0005-0000-0000-00005A010000}"/>
    <cellStyle name="20% - Accent3 4 7" xfId="370" xr:uid="{00000000-0005-0000-0000-00005B010000}"/>
    <cellStyle name="20% - Accent3 5" xfId="371" xr:uid="{00000000-0005-0000-0000-00005C010000}"/>
    <cellStyle name="20% - Accent3 5 2" xfId="372" xr:uid="{00000000-0005-0000-0000-00005D010000}"/>
    <cellStyle name="20% - Accent3 5 2 2" xfId="373" xr:uid="{00000000-0005-0000-0000-00005E010000}"/>
    <cellStyle name="20% - Accent3 5 2 3" xfId="374" xr:uid="{00000000-0005-0000-0000-00005F010000}"/>
    <cellStyle name="20% - Accent3 5 3" xfId="375" xr:uid="{00000000-0005-0000-0000-000060010000}"/>
    <cellStyle name="20% - Accent3 5 3 2" xfId="376" xr:uid="{00000000-0005-0000-0000-000061010000}"/>
    <cellStyle name="20% - Accent3 5 3 3" xfId="377" xr:uid="{00000000-0005-0000-0000-000062010000}"/>
    <cellStyle name="20% - Accent3 5 4" xfId="378" xr:uid="{00000000-0005-0000-0000-000063010000}"/>
    <cellStyle name="20% - Accent3 5 5" xfId="379" xr:uid="{00000000-0005-0000-0000-000064010000}"/>
    <cellStyle name="20% - Accent3 6" xfId="380" xr:uid="{00000000-0005-0000-0000-000065010000}"/>
    <cellStyle name="20% - Accent3 6 2" xfId="381" xr:uid="{00000000-0005-0000-0000-000066010000}"/>
    <cellStyle name="20% - Accent3 6 3" xfId="382" xr:uid="{00000000-0005-0000-0000-000067010000}"/>
    <cellStyle name="20% - Accent4 2" xfId="383" xr:uid="{00000000-0005-0000-0000-000068010000}"/>
    <cellStyle name="20% - Accent4 2 2" xfId="384" xr:uid="{00000000-0005-0000-0000-000069010000}"/>
    <cellStyle name="20% - Accent4 2 2 2" xfId="385" xr:uid="{00000000-0005-0000-0000-00006A010000}"/>
    <cellStyle name="20% - Accent4 2 2 2 2" xfId="386" xr:uid="{00000000-0005-0000-0000-00006B010000}"/>
    <cellStyle name="20% - Accent4 2 2 2 2 2" xfId="387" xr:uid="{00000000-0005-0000-0000-00006C010000}"/>
    <cellStyle name="20% - Accent4 2 2 2 2 3" xfId="388" xr:uid="{00000000-0005-0000-0000-00006D010000}"/>
    <cellStyle name="20% - Accent4 2 2 2 3" xfId="389" xr:uid="{00000000-0005-0000-0000-00006E010000}"/>
    <cellStyle name="20% - Accent4 2 2 2 3 2" xfId="390" xr:uid="{00000000-0005-0000-0000-00006F010000}"/>
    <cellStyle name="20% - Accent4 2 2 2 3 3" xfId="391" xr:uid="{00000000-0005-0000-0000-000070010000}"/>
    <cellStyle name="20% - Accent4 2 2 2 4" xfId="392" xr:uid="{00000000-0005-0000-0000-000071010000}"/>
    <cellStyle name="20% - Accent4 2 2 2 5" xfId="393" xr:uid="{00000000-0005-0000-0000-000072010000}"/>
    <cellStyle name="20% - Accent4 2 2 3" xfId="394" xr:uid="{00000000-0005-0000-0000-000073010000}"/>
    <cellStyle name="20% - Accent4 2 2 3 2" xfId="395" xr:uid="{00000000-0005-0000-0000-000074010000}"/>
    <cellStyle name="20% - Accent4 2 2 3 2 2" xfId="396" xr:uid="{00000000-0005-0000-0000-000075010000}"/>
    <cellStyle name="20% - Accent4 2 2 3 2 3" xfId="397" xr:uid="{00000000-0005-0000-0000-000076010000}"/>
    <cellStyle name="20% - Accent4 2 2 3 3" xfId="398" xr:uid="{00000000-0005-0000-0000-000077010000}"/>
    <cellStyle name="20% - Accent4 2 2 3 3 2" xfId="399" xr:uid="{00000000-0005-0000-0000-000078010000}"/>
    <cellStyle name="20% - Accent4 2 2 3 3 3" xfId="400" xr:uid="{00000000-0005-0000-0000-000079010000}"/>
    <cellStyle name="20% - Accent4 2 2 3 4" xfId="401" xr:uid="{00000000-0005-0000-0000-00007A010000}"/>
    <cellStyle name="20% - Accent4 2 2 3 5" xfId="402" xr:uid="{00000000-0005-0000-0000-00007B010000}"/>
    <cellStyle name="20% - Accent4 2 2 4" xfId="403" xr:uid="{00000000-0005-0000-0000-00007C010000}"/>
    <cellStyle name="20% - Accent4 2 2 4 2" xfId="404" xr:uid="{00000000-0005-0000-0000-00007D010000}"/>
    <cellStyle name="20% - Accent4 2 2 4 3" xfId="405" xr:uid="{00000000-0005-0000-0000-00007E010000}"/>
    <cellStyle name="20% - Accent4 2 2 5" xfId="406" xr:uid="{00000000-0005-0000-0000-00007F010000}"/>
    <cellStyle name="20% - Accent4 2 2 5 2" xfId="407" xr:uid="{00000000-0005-0000-0000-000080010000}"/>
    <cellStyle name="20% - Accent4 2 2 5 3" xfId="408" xr:uid="{00000000-0005-0000-0000-000081010000}"/>
    <cellStyle name="20% - Accent4 2 2 6" xfId="409" xr:uid="{00000000-0005-0000-0000-000082010000}"/>
    <cellStyle name="20% - Accent4 2 2 7" xfId="410" xr:uid="{00000000-0005-0000-0000-000083010000}"/>
    <cellStyle name="20% - Accent4 2 3" xfId="411" xr:uid="{00000000-0005-0000-0000-000084010000}"/>
    <cellStyle name="20% - Accent4 2 3 2" xfId="412" xr:uid="{00000000-0005-0000-0000-000085010000}"/>
    <cellStyle name="20% - Accent4 2 3 2 2" xfId="413" xr:uid="{00000000-0005-0000-0000-000086010000}"/>
    <cellStyle name="20% - Accent4 2 3 2 3" xfId="414" xr:uid="{00000000-0005-0000-0000-000087010000}"/>
    <cellStyle name="20% - Accent4 2 3 3" xfId="415" xr:uid="{00000000-0005-0000-0000-000088010000}"/>
    <cellStyle name="20% - Accent4 2 3 3 2" xfId="416" xr:uid="{00000000-0005-0000-0000-000089010000}"/>
    <cellStyle name="20% - Accent4 2 3 3 3" xfId="417" xr:uid="{00000000-0005-0000-0000-00008A010000}"/>
    <cellStyle name="20% - Accent4 2 3 4" xfId="418" xr:uid="{00000000-0005-0000-0000-00008B010000}"/>
    <cellStyle name="20% - Accent4 2 3 5" xfId="419" xr:uid="{00000000-0005-0000-0000-00008C010000}"/>
    <cellStyle name="20% - Accent4 2 4" xfId="420" xr:uid="{00000000-0005-0000-0000-00008D010000}"/>
    <cellStyle name="20% - Accent4 2 4 2" xfId="421" xr:uid="{00000000-0005-0000-0000-00008E010000}"/>
    <cellStyle name="20% - Accent4 2 4 2 2" xfId="422" xr:uid="{00000000-0005-0000-0000-00008F010000}"/>
    <cellStyle name="20% - Accent4 2 4 2 3" xfId="423" xr:uid="{00000000-0005-0000-0000-000090010000}"/>
    <cellStyle name="20% - Accent4 2 4 3" xfId="424" xr:uid="{00000000-0005-0000-0000-000091010000}"/>
    <cellStyle name="20% - Accent4 2 4 3 2" xfId="425" xr:uid="{00000000-0005-0000-0000-000092010000}"/>
    <cellStyle name="20% - Accent4 2 4 3 3" xfId="426" xr:uid="{00000000-0005-0000-0000-000093010000}"/>
    <cellStyle name="20% - Accent4 2 4 4" xfId="427" xr:uid="{00000000-0005-0000-0000-000094010000}"/>
    <cellStyle name="20% - Accent4 2 4 5" xfId="428" xr:uid="{00000000-0005-0000-0000-000095010000}"/>
    <cellStyle name="20% - Accent4 2 5" xfId="429" xr:uid="{00000000-0005-0000-0000-000096010000}"/>
    <cellStyle name="20% - Accent4 2 5 2" xfId="430" xr:uid="{00000000-0005-0000-0000-000097010000}"/>
    <cellStyle name="20% - Accent4 2 5 3" xfId="431" xr:uid="{00000000-0005-0000-0000-000098010000}"/>
    <cellStyle name="20% - Accent4 2 6" xfId="432" xr:uid="{00000000-0005-0000-0000-000099010000}"/>
    <cellStyle name="20% - Accent4 2 6 2" xfId="433" xr:uid="{00000000-0005-0000-0000-00009A010000}"/>
    <cellStyle name="20% - Accent4 2 6 3" xfId="434" xr:uid="{00000000-0005-0000-0000-00009B010000}"/>
    <cellStyle name="20% - Accent4 2 7" xfId="435" xr:uid="{00000000-0005-0000-0000-00009C010000}"/>
    <cellStyle name="20% - Accent4 2 7 2" xfId="436" xr:uid="{00000000-0005-0000-0000-00009D010000}"/>
    <cellStyle name="20% - Accent4 2 7 3" xfId="437" xr:uid="{00000000-0005-0000-0000-00009E010000}"/>
    <cellStyle name="20% - Accent4 2 8" xfId="438" xr:uid="{00000000-0005-0000-0000-00009F010000}"/>
    <cellStyle name="20% - Accent4 2 9" xfId="439" xr:uid="{00000000-0005-0000-0000-0000A0010000}"/>
    <cellStyle name="20% - Accent4 3" xfId="440" xr:uid="{00000000-0005-0000-0000-0000A1010000}"/>
    <cellStyle name="20% - Accent4 3 2" xfId="441" xr:uid="{00000000-0005-0000-0000-0000A2010000}"/>
    <cellStyle name="20% - Accent4 3 2 2" xfId="442" xr:uid="{00000000-0005-0000-0000-0000A3010000}"/>
    <cellStyle name="20% - Accent4 3 2 2 2" xfId="443" xr:uid="{00000000-0005-0000-0000-0000A4010000}"/>
    <cellStyle name="20% - Accent4 3 2 2 3" xfId="444" xr:uid="{00000000-0005-0000-0000-0000A5010000}"/>
    <cellStyle name="20% - Accent4 3 2 3" xfId="445" xr:uid="{00000000-0005-0000-0000-0000A6010000}"/>
    <cellStyle name="20% - Accent4 3 2 3 2" xfId="446" xr:uid="{00000000-0005-0000-0000-0000A7010000}"/>
    <cellStyle name="20% - Accent4 3 2 3 3" xfId="447" xr:uid="{00000000-0005-0000-0000-0000A8010000}"/>
    <cellStyle name="20% - Accent4 3 2 4" xfId="448" xr:uid="{00000000-0005-0000-0000-0000A9010000}"/>
    <cellStyle name="20% - Accent4 3 2 5" xfId="449" xr:uid="{00000000-0005-0000-0000-0000AA010000}"/>
    <cellStyle name="20% - Accent4 3 3" xfId="450" xr:uid="{00000000-0005-0000-0000-0000AB010000}"/>
    <cellStyle name="20% - Accent4 3 3 2" xfId="451" xr:uid="{00000000-0005-0000-0000-0000AC010000}"/>
    <cellStyle name="20% - Accent4 3 3 2 2" xfId="452" xr:uid="{00000000-0005-0000-0000-0000AD010000}"/>
    <cellStyle name="20% - Accent4 3 3 2 3" xfId="453" xr:uid="{00000000-0005-0000-0000-0000AE010000}"/>
    <cellStyle name="20% - Accent4 3 3 3" xfId="454" xr:uid="{00000000-0005-0000-0000-0000AF010000}"/>
    <cellStyle name="20% - Accent4 3 3 3 2" xfId="455" xr:uid="{00000000-0005-0000-0000-0000B0010000}"/>
    <cellStyle name="20% - Accent4 3 3 3 3" xfId="456" xr:uid="{00000000-0005-0000-0000-0000B1010000}"/>
    <cellStyle name="20% - Accent4 3 3 4" xfId="457" xr:uid="{00000000-0005-0000-0000-0000B2010000}"/>
    <cellStyle name="20% - Accent4 3 3 5" xfId="458" xr:uid="{00000000-0005-0000-0000-0000B3010000}"/>
    <cellStyle name="20% - Accent4 3 4" xfId="459" xr:uid="{00000000-0005-0000-0000-0000B4010000}"/>
    <cellStyle name="20% - Accent4 3 4 2" xfId="460" xr:uid="{00000000-0005-0000-0000-0000B5010000}"/>
    <cellStyle name="20% - Accent4 3 4 3" xfId="461" xr:uid="{00000000-0005-0000-0000-0000B6010000}"/>
    <cellStyle name="20% - Accent4 3 5" xfId="462" xr:uid="{00000000-0005-0000-0000-0000B7010000}"/>
    <cellStyle name="20% - Accent4 3 5 2" xfId="463" xr:uid="{00000000-0005-0000-0000-0000B8010000}"/>
    <cellStyle name="20% - Accent4 3 5 3" xfId="464" xr:uid="{00000000-0005-0000-0000-0000B9010000}"/>
    <cellStyle name="20% - Accent4 3 6" xfId="465" xr:uid="{00000000-0005-0000-0000-0000BA010000}"/>
    <cellStyle name="20% - Accent4 3 7" xfId="466" xr:uid="{00000000-0005-0000-0000-0000BB010000}"/>
    <cellStyle name="20% - Accent4 4" xfId="467" xr:uid="{00000000-0005-0000-0000-0000BC010000}"/>
    <cellStyle name="20% - Accent4 4 2" xfId="468" xr:uid="{00000000-0005-0000-0000-0000BD010000}"/>
    <cellStyle name="20% - Accent4 4 2 2" xfId="469" xr:uid="{00000000-0005-0000-0000-0000BE010000}"/>
    <cellStyle name="20% - Accent4 4 2 2 2" xfId="470" xr:uid="{00000000-0005-0000-0000-0000BF010000}"/>
    <cellStyle name="20% - Accent4 4 2 2 3" xfId="471" xr:uid="{00000000-0005-0000-0000-0000C0010000}"/>
    <cellStyle name="20% - Accent4 4 2 3" xfId="472" xr:uid="{00000000-0005-0000-0000-0000C1010000}"/>
    <cellStyle name="20% - Accent4 4 2 3 2" xfId="473" xr:uid="{00000000-0005-0000-0000-0000C2010000}"/>
    <cellStyle name="20% - Accent4 4 2 3 3" xfId="474" xr:uid="{00000000-0005-0000-0000-0000C3010000}"/>
    <cellStyle name="20% - Accent4 4 2 4" xfId="475" xr:uid="{00000000-0005-0000-0000-0000C4010000}"/>
    <cellStyle name="20% - Accent4 4 2 5" xfId="476" xr:uid="{00000000-0005-0000-0000-0000C5010000}"/>
    <cellStyle name="20% - Accent4 4 3" xfId="477" xr:uid="{00000000-0005-0000-0000-0000C6010000}"/>
    <cellStyle name="20% - Accent4 4 3 2" xfId="478" xr:uid="{00000000-0005-0000-0000-0000C7010000}"/>
    <cellStyle name="20% - Accent4 4 3 2 2" xfId="479" xr:uid="{00000000-0005-0000-0000-0000C8010000}"/>
    <cellStyle name="20% - Accent4 4 3 2 3" xfId="480" xr:uid="{00000000-0005-0000-0000-0000C9010000}"/>
    <cellStyle name="20% - Accent4 4 3 3" xfId="481" xr:uid="{00000000-0005-0000-0000-0000CA010000}"/>
    <cellStyle name="20% - Accent4 4 3 4" xfId="482" xr:uid="{00000000-0005-0000-0000-0000CB010000}"/>
    <cellStyle name="20% - Accent4 4 4" xfId="483" xr:uid="{00000000-0005-0000-0000-0000CC010000}"/>
    <cellStyle name="20% - Accent4 4 4 2" xfId="484" xr:uid="{00000000-0005-0000-0000-0000CD010000}"/>
    <cellStyle name="20% - Accent4 4 4 3" xfId="485" xr:uid="{00000000-0005-0000-0000-0000CE010000}"/>
    <cellStyle name="20% - Accent4 4 5" xfId="486" xr:uid="{00000000-0005-0000-0000-0000CF010000}"/>
    <cellStyle name="20% - Accent4 4 5 2" xfId="487" xr:uid="{00000000-0005-0000-0000-0000D0010000}"/>
    <cellStyle name="20% - Accent4 4 5 3" xfId="488" xr:uid="{00000000-0005-0000-0000-0000D1010000}"/>
    <cellStyle name="20% - Accent4 4 6" xfId="489" xr:uid="{00000000-0005-0000-0000-0000D2010000}"/>
    <cellStyle name="20% - Accent4 4 7" xfId="490" xr:uid="{00000000-0005-0000-0000-0000D3010000}"/>
    <cellStyle name="20% - Accent4 5" xfId="491" xr:uid="{00000000-0005-0000-0000-0000D4010000}"/>
    <cellStyle name="20% - Accent4 5 2" xfId="492" xr:uid="{00000000-0005-0000-0000-0000D5010000}"/>
    <cellStyle name="20% - Accent4 5 2 2" xfId="493" xr:uid="{00000000-0005-0000-0000-0000D6010000}"/>
    <cellStyle name="20% - Accent4 5 2 3" xfId="494" xr:uid="{00000000-0005-0000-0000-0000D7010000}"/>
    <cellStyle name="20% - Accent4 5 3" xfId="495" xr:uid="{00000000-0005-0000-0000-0000D8010000}"/>
    <cellStyle name="20% - Accent4 5 3 2" xfId="496" xr:uid="{00000000-0005-0000-0000-0000D9010000}"/>
    <cellStyle name="20% - Accent4 5 3 3" xfId="497" xr:uid="{00000000-0005-0000-0000-0000DA010000}"/>
    <cellStyle name="20% - Accent4 5 4" xfId="498" xr:uid="{00000000-0005-0000-0000-0000DB010000}"/>
    <cellStyle name="20% - Accent4 5 5" xfId="499" xr:uid="{00000000-0005-0000-0000-0000DC010000}"/>
    <cellStyle name="20% - Accent4 6" xfId="500" xr:uid="{00000000-0005-0000-0000-0000DD010000}"/>
    <cellStyle name="20% - Accent4 6 2" xfId="501" xr:uid="{00000000-0005-0000-0000-0000DE010000}"/>
    <cellStyle name="20% - Accent4 6 3" xfId="502" xr:uid="{00000000-0005-0000-0000-0000DF010000}"/>
    <cellStyle name="20% - Accent5 2" xfId="503" xr:uid="{00000000-0005-0000-0000-0000E0010000}"/>
    <cellStyle name="20% - Accent5 2 2" xfId="504" xr:uid="{00000000-0005-0000-0000-0000E1010000}"/>
    <cellStyle name="20% - Accent5 2 2 2" xfId="505" xr:uid="{00000000-0005-0000-0000-0000E2010000}"/>
    <cellStyle name="20% - Accent5 2 2 2 2" xfId="506" xr:uid="{00000000-0005-0000-0000-0000E3010000}"/>
    <cellStyle name="20% - Accent5 2 2 2 2 2" xfId="507" xr:uid="{00000000-0005-0000-0000-0000E4010000}"/>
    <cellStyle name="20% - Accent5 2 2 2 2 3" xfId="508" xr:uid="{00000000-0005-0000-0000-0000E5010000}"/>
    <cellStyle name="20% - Accent5 2 2 2 3" xfId="509" xr:uid="{00000000-0005-0000-0000-0000E6010000}"/>
    <cellStyle name="20% - Accent5 2 2 2 3 2" xfId="510" xr:uid="{00000000-0005-0000-0000-0000E7010000}"/>
    <cellStyle name="20% - Accent5 2 2 2 3 3" xfId="511" xr:uid="{00000000-0005-0000-0000-0000E8010000}"/>
    <cellStyle name="20% - Accent5 2 2 2 4" xfId="512" xr:uid="{00000000-0005-0000-0000-0000E9010000}"/>
    <cellStyle name="20% - Accent5 2 2 2 5" xfId="513" xr:uid="{00000000-0005-0000-0000-0000EA010000}"/>
    <cellStyle name="20% - Accent5 2 2 3" xfId="514" xr:uid="{00000000-0005-0000-0000-0000EB010000}"/>
    <cellStyle name="20% - Accent5 2 2 3 2" xfId="515" xr:uid="{00000000-0005-0000-0000-0000EC010000}"/>
    <cellStyle name="20% - Accent5 2 2 3 2 2" xfId="516" xr:uid="{00000000-0005-0000-0000-0000ED010000}"/>
    <cellStyle name="20% - Accent5 2 2 3 2 3" xfId="517" xr:uid="{00000000-0005-0000-0000-0000EE010000}"/>
    <cellStyle name="20% - Accent5 2 2 3 3" xfId="518" xr:uid="{00000000-0005-0000-0000-0000EF010000}"/>
    <cellStyle name="20% - Accent5 2 2 3 3 2" xfId="519" xr:uid="{00000000-0005-0000-0000-0000F0010000}"/>
    <cellStyle name="20% - Accent5 2 2 3 3 3" xfId="520" xr:uid="{00000000-0005-0000-0000-0000F1010000}"/>
    <cellStyle name="20% - Accent5 2 2 3 4" xfId="521" xr:uid="{00000000-0005-0000-0000-0000F2010000}"/>
    <cellStyle name="20% - Accent5 2 2 3 5" xfId="522" xr:uid="{00000000-0005-0000-0000-0000F3010000}"/>
    <cellStyle name="20% - Accent5 2 2 4" xfId="523" xr:uid="{00000000-0005-0000-0000-0000F4010000}"/>
    <cellStyle name="20% - Accent5 2 2 4 2" xfId="524" xr:uid="{00000000-0005-0000-0000-0000F5010000}"/>
    <cellStyle name="20% - Accent5 2 2 4 3" xfId="525" xr:uid="{00000000-0005-0000-0000-0000F6010000}"/>
    <cellStyle name="20% - Accent5 2 2 5" xfId="526" xr:uid="{00000000-0005-0000-0000-0000F7010000}"/>
    <cellStyle name="20% - Accent5 2 2 5 2" xfId="527" xr:uid="{00000000-0005-0000-0000-0000F8010000}"/>
    <cellStyle name="20% - Accent5 2 2 5 3" xfId="528" xr:uid="{00000000-0005-0000-0000-0000F9010000}"/>
    <cellStyle name="20% - Accent5 2 2 6" xfId="529" xr:uid="{00000000-0005-0000-0000-0000FA010000}"/>
    <cellStyle name="20% - Accent5 2 2 7" xfId="530" xr:uid="{00000000-0005-0000-0000-0000FB010000}"/>
    <cellStyle name="20% - Accent5 2 3" xfId="531" xr:uid="{00000000-0005-0000-0000-0000FC010000}"/>
    <cellStyle name="20% - Accent5 2 3 2" xfId="532" xr:uid="{00000000-0005-0000-0000-0000FD010000}"/>
    <cellStyle name="20% - Accent5 2 3 2 2" xfId="533" xr:uid="{00000000-0005-0000-0000-0000FE010000}"/>
    <cellStyle name="20% - Accent5 2 3 2 3" xfId="534" xr:uid="{00000000-0005-0000-0000-0000FF010000}"/>
    <cellStyle name="20% - Accent5 2 3 3" xfId="535" xr:uid="{00000000-0005-0000-0000-000000020000}"/>
    <cellStyle name="20% - Accent5 2 3 3 2" xfId="536" xr:uid="{00000000-0005-0000-0000-000001020000}"/>
    <cellStyle name="20% - Accent5 2 3 3 3" xfId="537" xr:uid="{00000000-0005-0000-0000-000002020000}"/>
    <cellStyle name="20% - Accent5 2 3 4" xfId="538" xr:uid="{00000000-0005-0000-0000-000003020000}"/>
    <cellStyle name="20% - Accent5 2 3 5" xfId="539" xr:uid="{00000000-0005-0000-0000-000004020000}"/>
    <cellStyle name="20% - Accent5 2 4" xfId="540" xr:uid="{00000000-0005-0000-0000-000005020000}"/>
    <cellStyle name="20% - Accent5 2 4 2" xfId="541" xr:uid="{00000000-0005-0000-0000-000006020000}"/>
    <cellStyle name="20% - Accent5 2 4 2 2" xfId="542" xr:uid="{00000000-0005-0000-0000-000007020000}"/>
    <cellStyle name="20% - Accent5 2 4 2 3" xfId="543" xr:uid="{00000000-0005-0000-0000-000008020000}"/>
    <cellStyle name="20% - Accent5 2 4 3" xfId="544" xr:uid="{00000000-0005-0000-0000-000009020000}"/>
    <cellStyle name="20% - Accent5 2 4 3 2" xfId="545" xr:uid="{00000000-0005-0000-0000-00000A020000}"/>
    <cellStyle name="20% - Accent5 2 4 3 3" xfId="546" xr:uid="{00000000-0005-0000-0000-00000B020000}"/>
    <cellStyle name="20% - Accent5 2 4 4" xfId="547" xr:uid="{00000000-0005-0000-0000-00000C020000}"/>
    <cellStyle name="20% - Accent5 2 4 5" xfId="548" xr:uid="{00000000-0005-0000-0000-00000D020000}"/>
    <cellStyle name="20% - Accent5 2 5" xfId="549" xr:uid="{00000000-0005-0000-0000-00000E020000}"/>
    <cellStyle name="20% - Accent5 2 5 2" xfId="550" xr:uid="{00000000-0005-0000-0000-00000F020000}"/>
    <cellStyle name="20% - Accent5 2 5 3" xfId="551" xr:uid="{00000000-0005-0000-0000-000010020000}"/>
    <cellStyle name="20% - Accent5 2 6" xfId="552" xr:uid="{00000000-0005-0000-0000-000011020000}"/>
    <cellStyle name="20% - Accent5 2 6 2" xfId="553" xr:uid="{00000000-0005-0000-0000-000012020000}"/>
    <cellStyle name="20% - Accent5 2 6 3" xfId="554" xr:uid="{00000000-0005-0000-0000-000013020000}"/>
    <cellStyle name="20% - Accent5 2 7" xfId="555" xr:uid="{00000000-0005-0000-0000-000014020000}"/>
    <cellStyle name="20% - Accent5 2 7 2" xfId="556" xr:uid="{00000000-0005-0000-0000-000015020000}"/>
    <cellStyle name="20% - Accent5 2 7 3" xfId="557" xr:uid="{00000000-0005-0000-0000-000016020000}"/>
    <cellStyle name="20% - Accent5 2 8" xfId="558" xr:uid="{00000000-0005-0000-0000-000017020000}"/>
    <cellStyle name="20% - Accent5 2 9" xfId="559" xr:uid="{00000000-0005-0000-0000-000018020000}"/>
    <cellStyle name="20% - Accent5 3" xfId="560" xr:uid="{00000000-0005-0000-0000-000019020000}"/>
    <cellStyle name="20% - Accent5 3 2" xfId="561" xr:uid="{00000000-0005-0000-0000-00001A020000}"/>
    <cellStyle name="20% - Accent5 3 2 2" xfId="562" xr:uid="{00000000-0005-0000-0000-00001B020000}"/>
    <cellStyle name="20% - Accent5 3 2 2 2" xfId="563" xr:uid="{00000000-0005-0000-0000-00001C020000}"/>
    <cellStyle name="20% - Accent5 3 2 2 3" xfId="564" xr:uid="{00000000-0005-0000-0000-00001D020000}"/>
    <cellStyle name="20% - Accent5 3 2 3" xfId="565" xr:uid="{00000000-0005-0000-0000-00001E020000}"/>
    <cellStyle name="20% - Accent5 3 2 3 2" xfId="566" xr:uid="{00000000-0005-0000-0000-00001F020000}"/>
    <cellStyle name="20% - Accent5 3 2 3 3" xfId="567" xr:uid="{00000000-0005-0000-0000-000020020000}"/>
    <cellStyle name="20% - Accent5 3 2 4" xfId="568" xr:uid="{00000000-0005-0000-0000-000021020000}"/>
    <cellStyle name="20% - Accent5 3 2 5" xfId="569" xr:uid="{00000000-0005-0000-0000-000022020000}"/>
    <cellStyle name="20% - Accent5 3 3" xfId="570" xr:uid="{00000000-0005-0000-0000-000023020000}"/>
    <cellStyle name="20% - Accent5 3 3 2" xfId="571" xr:uid="{00000000-0005-0000-0000-000024020000}"/>
    <cellStyle name="20% - Accent5 3 3 2 2" xfId="572" xr:uid="{00000000-0005-0000-0000-000025020000}"/>
    <cellStyle name="20% - Accent5 3 3 2 3" xfId="573" xr:uid="{00000000-0005-0000-0000-000026020000}"/>
    <cellStyle name="20% - Accent5 3 3 3" xfId="574" xr:uid="{00000000-0005-0000-0000-000027020000}"/>
    <cellStyle name="20% - Accent5 3 3 3 2" xfId="575" xr:uid="{00000000-0005-0000-0000-000028020000}"/>
    <cellStyle name="20% - Accent5 3 3 3 3" xfId="576" xr:uid="{00000000-0005-0000-0000-000029020000}"/>
    <cellStyle name="20% - Accent5 3 3 4" xfId="577" xr:uid="{00000000-0005-0000-0000-00002A020000}"/>
    <cellStyle name="20% - Accent5 3 3 5" xfId="578" xr:uid="{00000000-0005-0000-0000-00002B020000}"/>
    <cellStyle name="20% - Accent5 3 4" xfId="579" xr:uid="{00000000-0005-0000-0000-00002C020000}"/>
    <cellStyle name="20% - Accent5 3 4 2" xfId="580" xr:uid="{00000000-0005-0000-0000-00002D020000}"/>
    <cellStyle name="20% - Accent5 3 4 3" xfId="581" xr:uid="{00000000-0005-0000-0000-00002E020000}"/>
    <cellStyle name="20% - Accent5 3 5" xfId="582" xr:uid="{00000000-0005-0000-0000-00002F020000}"/>
    <cellStyle name="20% - Accent5 3 5 2" xfId="583" xr:uid="{00000000-0005-0000-0000-000030020000}"/>
    <cellStyle name="20% - Accent5 3 5 3" xfId="584" xr:uid="{00000000-0005-0000-0000-000031020000}"/>
    <cellStyle name="20% - Accent5 3 6" xfId="585" xr:uid="{00000000-0005-0000-0000-000032020000}"/>
    <cellStyle name="20% - Accent5 3 7" xfId="586" xr:uid="{00000000-0005-0000-0000-000033020000}"/>
    <cellStyle name="20% - Accent5 4" xfId="587" xr:uid="{00000000-0005-0000-0000-000034020000}"/>
    <cellStyle name="20% - Accent5 4 2" xfId="588" xr:uid="{00000000-0005-0000-0000-000035020000}"/>
    <cellStyle name="20% - Accent5 4 2 2" xfId="589" xr:uid="{00000000-0005-0000-0000-000036020000}"/>
    <cellStyle name="20% - Accent5 4 2 2 2" xfId="590" xr:uid="{00000000-0005-0000-0000-000037020000}"/>
    <cellStyle name="20% - Accent5 4 2 2 3" xfId="591" xr:uid="{00000000-0005-0000-0000-000038020000}"/>
    <cellStyle name="20% - Accent5 4 2 3" xfId="592" xr:uid="{00000000-0005-0000-0000-000039020000}"/>
    <cellStyle name="20% - Accent5 4 2 3 2" xfId="593" xr:uid="{00000000-0005-0000-0000-00003A020000}"/>
    <cellStyle name="20% - Accent5 4 2 3 3" xfId="594" xr:uid="{00000000-0005-0000-0000-00003B020000}"/>
    <cellStyle name="20% - Accent5 4 2 4" xfId="595" xr:uid="{00000000-0005-0000-0000-00003C020000}"/>
    <cellStyle name="20% - Accent5 4 2 5" xfId="596" xr:uid="{00000000-0005-0000-0000-00003D020000}"/>
    <cellStyle name="20% - Accent5 4 3" xfId="597" xr:uid="{00000000-0005-0000-0000-00003E020000}"/>
    <cellStyle name="20% - Accent5 4 3 2" xfId="598" xr:uid="{00000000-0005-0000-0000-00003F020000}"/>
    <cellStyle name="20% - Accent5 4 3 2 2" xfId="599" xr:uid="{00000000-0005-0000-0000-000040020000}"/>
    <cellStyle name="20% - Accent5 4 3 2 3" xfId="600" xr:uid="{00000000-0005-0000-0000-000041020000}"/>
    <cellStyle name="20% - Accent5 4 3 3" xfId="601" xr:uid="{00000000-0005-0000-0000-000042020000}"/>
    <cellStyle name="20% - Accent5 4 3 4" xfId="602" xr:uid="{00000000-0005-0000-0000-000043020000}"/>
    <cellStyle name="20% - Accent5 4 4" xfId="603" xr:uid="{00000000-0005-0000-0000-000044020000}"/>
    <cellStyle name="20% - Accent5 4 4 2" xfId="604" xr:uid="{00000000-0005-0000-0000-000045020000}"/>
    <cellStyle name="20% - Accent5 4 4 3" xfId="605" xr:uid="{00000000-0005-0000-0000-000046020000}"/>
    <cellStyle name="20% - Accent5 4 5" xfId="606" xr:uid="{00000000-0005-0000-0000-000047020000}"/>
    <cellStyle name="20% - Accent5 4 5 2" xfId="607" xr:uid="{00000000-0005-0000-0000-000048020000}"/>
    <cellStyle name="20% - Accent5 4 5 3" xfId="608" xr:uid="{00000000-0005-0000-0000-000049020000}"/>
    <cellStyle name="20% - Accent5 4 6" xfId="609" xr:uid="{00000000-0005-0000-0000-00004A020000}"/>
    <cellStyle name="20% - Accent5 4 7" xfId="610" xr:uid="{00000000-0005-0000-0000-00004B020000}"/>
    <cellStyle name="20% - Accent5 5" xfId="611" xr:uid="{00000000-0005-0000-0000-00004C020000}"/>
    <cellStyle name="20% - Accent5 5 2" xfId="612" xr:uid="{00000000-0005-0000-0000-00004D020000}"/>
    <cellStyle name="20% - Accent5 5 2 2" xfId="613" xr:uid="{00000000-0005-0000-0000-00004E020000}"/>
    <cellStyle name="20% - Accent5 5 2 3" xfId="614" xr:uid="{00000000-0005-0000-0000-00004F020000}"/>
    <cellStyle name="20% - Accent5 5 3" xfId="615" xr:uid="{00000000-0005-0000-0000-000050020000}"/>
    <cellStyle name="20% - Accent5 5 3 2" xfId="616" xr:uid="{00000000-0005-0000-0000-000051020000}"/>
    <cellStyle name="20% - Accent5 5 3 3" xfId="617" xr:uid="{00000000-0005-0000-0000-000052020000}"/>
    <cellStyle name="20% - Accent5 5 4" xfId="618" xr:uid="{00000000-0005-0000-0000-000053020000}"/>
    <cellStyle name="20% - Accent5 5 5" xfId="619" xr:uid="{00000000-0005-0000-0000-000054020000}"/>
    <cellStyle name="20% - Accent5 6" xfId="620" xr:uid="{00000000-0005-0000-0000-000055020000}"/>
    <cellStyle name="20% - Accent5 6 2" xfId="621" xr:uid="{00000000-0005-0000-0000-000056020000}"/>
    <cellStyle name="20% - Accent5 6 3" xfId="622" xr:uid="{00000000-0005-0000-0000-000057020000}"/>
    <cellStyle name="20% - Accent6 2" xfId="623" xr:uid="{00000000-0005-0000-0000-000058020000}"/>
    <cellStyle name="20% - Accent6 2 2" xfId="624" xr:uid="{00000000-0005-0000-0000-000059020000}"/>
    <cellStyle name="20% - Accent6 2 2 2" xfId="625" xr:uid="{00000000-0005-0000-0000-00005A020000}"/>
    <cellStyle name="20% - Accent6 2 2 2 2" xfId="626" xr:uid="{00000000-0005-0000-0000-00005B020000}"/>
    <cellStyle name="20% - Accent6 2 2 2 2 2" xfId="627" xr:uid="{00000000-0005-0000-0000-00005C020000}"/>
    <cellStyle name="20% - Accent6 2 2 2 2 3" xfId="628" xr:uid="{00000000-0005-0000-0000-00005D020000}"/>
    <cellStyle name="20% - Accent6 2 2 2 3" xfId="629" xr:uid="{00000000-0005-0000-0000-00005E020000}"/>
    <cellStyle name="20% - Accent6 2 2 2 3 2" xfId="630" xr:uid="{00000000-0005-0000-0000-00005F020000}"/>
    <cellStyle name="20% - Accent6 2 2 2 3 3" xfId="631" xr:uid="{00000000-0005-0000-0000-000060020000}"/>
    <cellStyle name="20% - Accent6 2 2 2 4" xfId="632" xr:uid="{00000000-0005-0000-0000-000061020000}"/>
    <cellStyle name="20% - Accent6 2 2 2 5" xfId="633" xr:uid="{00000000-0005-0000-0000-000062020000}"/>
    <cellStyle name="20% - Accent6 2 2 3" xfId="634" xr:uid="{00000000-0005-0000-0000-000063020000}"/>
    <cellStyle name="20% - Accent6 2 2 3 2" xfId="635" xr:uid="{00000000-0005-0000-0000-000064020000}"/>
    <cellStyle name="20% - Accent6 2 2 3 2 2" xfId="636" xr:uid="{00000000-0005-0000-0000-000065020000}"/>
    <cellStyle name="20% - Accent6 2 2 3 2 3" xfId="637" xr:uid="{00000000-0005-0000-0000-000066020000}"/>
    <cellStyle name="20% - Accent6 2 2 3 3" xfId="638" xr:uid="{00000000-0005-0000-0000-000067020000}"/>
    <cellStyle name="20% - Accent6 2 2 3 3 2" xfId="639" xr:uid="{00000000-0005-0000-0000-000068020000}"/>
    <cellStyle name="20% - Accent6 2 2 3 3 3" xfId="640" xr:uid="{00000000-0005-0000-0000-000069020000}"/>
    <cellStyle name="20% - Accent6 2 2 3 4" xfId="641" xr:uid="{00000000-0005-0000-0000-00006A020000}"/>
    <cellStyle name="20% - Accent6 2 2 3 5" xfId="642" xr:uid="{00000000-0005-0000-0000-00006B020000}"/>
    <cellStyle name="20% - Accent6 2 2 4" xfId="643" xr:uid="{00000000-0005-0000-0000-00006C020000}"/>
    <cellStyle name="20% - Accent6 2 2 4 2" xfId="644" xr:uid="{00000000-0005-0000-0000-00006D020000}"/>
    <cellStyle name="20% - Accent6 2 2 4 3" xfId="645" xr:uid="{00000000-0005-0000-0000-00006E020000}"/>
    <cellStyle name="20% - Accent6 2 2 5" xfId="646" xr:uid="{00000000-0005-0000-0000-00006F020000}"/>
    <cellStyle name="20% - Accent6 2 2 5 2" xfId="647" xr:uid="{00000000-0005-0000-0000-000070020000}"/>
    <cellStyle name="20% - Accent6 2 2 5 3" xfId="648" xr:uid="{00000000-0005-0000-0000-000071020000}"/>
    <cellStyle name="20% - Accent6 2 2 6" xfId="649" xr:uid="{00000000-0005-0000-0000-000072020000}"/>
    <cellStyle name="20% - Accent6 2 2 7" xfId="650" xr:uid="{00000000-0005-0000-0000-000073020000}"/>
    <cellStyle name="20% - Accent6 2 3" xfId="651" xr:uid="{00000000-0005-0000-0000-000074020000}"/>
    <cellStyle name="20% - Accent6 2 3 2" xfId="652" xr:uid="{00000000-0005-0000-0000-000075020000}"/>
    <cellStyle name="20% - Accent6 2 3 2 2" xfId="653" xr:uid="{00000000-0005-0000-0000-000076020000}"/>
    <cellStyle name="20% - Accent6 2 3 2 3" xfId="654" xr:uid="{00000000-0005-0000-0000-000077020000}"/>
    <cellStyle name="20% - Accent6 2 3 3" xfId="655" xr:uid="{00000000-0005-0000-0000-000078020000}"/>
    <cellStyle name="20% - Accent6 2 3 3 2" xfId="656" xr:uid="{00000000-0005-0000-0000-000079020000}"/>
    <cellStyle name="20% - Accent6 2 3 3 3" xfId="657" xr:uid="{00000000-0005-0000-0000-00007A020000}"/>
    <cellStyle name="20% - Accent6 2 3 4" xfId="658" xr:uid="{00000000-0005-0000-0000-00007B020000}"/>
    <cellStyle name="20% - Accent6 2 3 5" xfId="659" xr:uid="{00000000-0005-0000-0000-00007C020000}"/>
    <cellStyle name="20% - Accent6 2 4" xfId="660" xr:uid="{00000000-0005-0000-0000-00007D020000}"/>
    <cellStyle name="20% - Accent6 2 4 2" xfId="661" xr:uid="{00000000-0005-0000-0000-00007E020000}"/>
    <cellStyle name="20% - Accent6 2 4 2 2" xfId="662" xr:uid="{00000000-0005-0000-0000-00007F020000}"/>
    <cellStyle name="20% - Accent6 2 4 2 3" xfId="663" xr:uid="{00000000-0005-0000-0000-000080020000}"/>
    <cellStyle name="20% - Accent6 2 4 3" xfId="664" xr:uid="{00000000-0005-0000-0000-000081020000}"/>
    <cellStyle name="20% - Accent6 2 4 3 2" xfId="665" xr:uid="{00000000-0005-0000-0000-000082020000}"/>
    <cellStyle name="20% - Accent6 2 4 3 3" xfId="666" xr:uid="{00000000-0005-0000-0000-000083020000}"/>
    <cellStyle name="20% - Accent6 2 4 4" xfId="667" xr:uid="{00000000-0005-0000-0000-000084020000}"/>
    <cellStyle name="20% - Accent6 2 4 5" xfId="668" xr:uid="{00000000-0005-0000-0000-000085020000}"/>
    <cellStyle name="20% - Accent6 2 5" xfId="669" xr:uid="{00000000-0005-0000-0000-000086020000}"/>
    <cellStyle name="20% - Accent6 2 5 2" xfId="670" xr:uid="{00000000-0005-0000-0000-000087020000}"/>
    <cellStyle name="20% - Accent6 2 5 3" xfId="671" xr:uid="{00000000-0005-0000-0000-000088020000}"/>
    <cellStyle name="20% - Accent6 2 6" xfId="672" xr:uid="{00000000-0005-0000-0000-000089020000}"/>
    <cellStyle name="20% - Accent6 2 6 2" xfId="673" xr:uid="{00000000-0005-0000-0000-00008A020000}"/>
    <cellStyle name="20% - Accent6 2 6 3" xfId="674" xr:uid="{00000000-0005-0000-0000-00008B020000}"/>
    <cellStyle name="20% - Accent6 2 7" xfId="675" xr:uid="{00000000-0005-0000-0000-00008C020000}"/>
    <cellStyle name="20% - Accent6 2 7 2" xfId="676" xr:uid="{00000000-0005-0000-0000-00008D020000}"/>
    <cellStyle name="20% - Accent6 2 7 3" xfId="677" xr:uid="{00000000-0005-0000-0000-00008E020000}"/>
    <cellStyle name="20% - Accent6 2 8" xfId="678" xr:uid="{00000000-0005-0000-0000-00008F020000}"/>
    <cellStyle name="20% - Accent6 2 9" xfId="679" xr:uid="{00000000-0005-0000-0000-000090020000}"/>
    <cellStyle name="20% - Accent6 3" xfId="680" xr:uid="{00000000-0005-0000-0000-000091020000}"/>
    <cellStyle name="20% - Accent6 3 2" xfId="681" xr:uid="{00000000-0005-0000-0000-000092020000}"/>
    <cellStyle name="20% - Accent6 3 2 2" xfId="682" xr:uid="{00000000-0005-0000-0000-000093020000}"/>
    <cellStyle name="20% - Accent6 3 2 2 2" xfId="683" xr:uid="{00000000-0005-0000-0000-000094020000}"/>
    <cellStyle name="20% - Accent6 3 2 2 3" xfId="684" xr:uid="{00000000-0005-0000-0000-000095020000}"/>
    <cellStyle name="20% - Accent6 3 2 3" xfId="685" xr:uid="{00000000-0005-0000-0000-000096020000}"/>
    <cellStyle name="20% - Accent6 3 2 3 2" xfId="686" xr:uid="{00000000-0005-0000-0000-000097020000}"/>
    <cellStyle name="20% - Accent6 3 2 3 3" xfId="687" xr:uid="{00000000-0005-0000-0000-000098020000}"/>
    <cellStyle name="20% - Accent6 3 2 4" xfId="688" xr:uid="{00000000-0005-0000-0000-000099020000}"/>
    <cellStyle name="20% - Accent6 3 2 5" xfId="689" xr:uid="{00000000-0005-0000-0000-00009A020000}"/>
    <cellStyle name="20% - Accent6 3 3" xfId="690" xr:uid="{00000000-0005-0000-0000-00009B020000}"/>
    <cellStyle name="20% - Accent6 3 3 2" xfId="691" xr:uid="{00000000-0005-0000-0000-00009C020000}"/>
    <cellStyle name="20% - Accent6 3 3 2 2" xfId="692" xr:uid="{00000000-0005-0000-0000-00009D020000}"/>
    <cellStyle name="20% - Accent6 3 3 2 3" xfId="693" xr:uid="{00000000-0005-0000-0000-00009E020000}"/>
    <cellStyle name="20% - Accent6 3 3 3" xfId="694" xr:uid="{00000000-0005-0000-0000-00009F020000}"/>
    <cellStyle name="20% - Accent6 3 3 3 2" xfId="695" xr:uid="{00000000-0005-0000-0000-0000A0020000}"/>
    <cellStyle name="20% - Accent6 3 3 3 3" xfId="696" xr:uid="{00000000-0005-0000-0000-0000A1020000}"/>
    <cellStyle name="20% - Accent6 3 3 4" xfId="697" xr:uid="{00000000-0005-0000-0000-0000A2020000}"/>
    <cellStyle name="20% - Accent6 3 3 5" xfId="698" xr:uid="{00000000-0005-0000-0000-0000A3020000}"/>
    <cellStyle name="20% - Accent6 3 4" xfId="699" xr:uid="{00000000-0005-0000-0000-0000A4020000}"/>
    <cellStyle name="20% - Accent6 3 4 2" xfId="700" xr:uid="{00000000-0005-0000-0000-0000A5020000}"/>
    <cellStyle name="20% - Accent6 3 4 3" xfId="701" xr:uid="{00000000-0005-0000-0000-0000A6020000}"/>
    <cellStyle name="20% - Accent6 3 5" xfId="702" xr:uid="{00000000-0005-0000-0000-0000A7020000}"/>
    <cellStyle name="20% - Accent6 3 5 2" xfId="703" xr:uid="{00000000-0005-0000-0000-0000A8020000}"/>
    <cellStyle name="20% - Accent6 3 5 3" xfId="704" xr:uid="{00000000-0005-0000-0000-0000A9020000}"/>
    <cellStyle name="20% - Accent6 3 6" xfId="705" xr:uid="{00000000-0005-0000-0000-0000AA020000}"/>
    <cellStyle name="20% - Accent6 3 7" xfId="706" xr:uid="{00000000-0005-0000-0000-0000AB020000}"/>
    <cellStyle name="20% - Accent6 4" xfId="707" xr:uid="{00000000-0005-0000-0000-0000AC020000}"/>
    <cellStyle name="20% - Accent6 4 2" xfId="708" xr:uid="{00000000-0005-0000-0000-0000AD020000}"/>
    <cellStyle name="20% - Accent6 4 2 2" xfId="709" xr:uid="{00000000-0005-0000-0000-0000AE020000}"/>
    <cellStyle name="20% - Accent6 4 2 2 2" xfId="710" xr:uid="{00000000-0005-0000-0000-0000AF020000}"/>
    <cellStyle name="20% - Accent6 4 2 2 3" xfId="711" xr:uid="{00000000-0005-0000-0000-0000B0020000}"/>
    <cellStyle name="20% - Accent6 4 2 3" xfId="712" xr:uid="{00000000-0005-0000-0000-0000B1020000}"/>
    <cellStyle name="20% - Accent6 4 2 3 2" xfId="713" xr:uid="{00000000-0005-0000-0000-0000B2020000}"/>
    <cellStyle name="20% - Accent6 4 2 3 3" xfId="714" xr:uid="{00000000-0005-0000-0000-0000B3020000}"/>
    <cellStyle name="20% - Accent6 4 2 4" xfId="715" xr:uid="{00000000-0005-0000-0000-0000B4020000}"/>
    <cellStyle name="20% - Accent6 4 2 5" xfId="716" xr:uid="{00000000-0005-0000-0000-0000B5020000}"/>
    <cellStyle name="20% - Accent6 4 3" xfId="717" xr:uid="{00000000-0005-0000-0000-0000B6020000}"/>
    <cellStyle name="20% - Accent6 4 3 2" xfId="718" xr:uid="{00000000-0005-0000-0000-0000B7020000}"/>
    <cellStyle name="20% - Accent6 4 3 2 2" xfId="719" xr:uid="{00000000-0005-0000-0000-0000B8020000}"/>
    <cellStyle name="20% - Accent6 4 3 2 3" xfId="720" xr:uid="{00000000-0005-0000-0000-0000B9020000}"/>
    <cellStyle name="20% - Accent6 4 3 3" xfId="721" xr:uid="{00000000-0005-0000-0000-0000BA020000}"/>
    <cellStyle name="20% - Accent6 4 3 4" xfId="722" xr:uid="{00000000-0005-0000-0000-0000BB020000}"/>
    <cellStyle name="20% - Accent6 4 4" xfId="723" xr:uid="{00000000-0005-0000-0000-0000BC020000}"/>
    <cellStyle name="20% - Accent6 4 4 2" xfId="724" xr:uid="{00000000-0005-0000-0000-0000BD020000}"/>
    <cellStyle name="20% - Accent6 4 4 3" xfId="725" xr:uid="{00000000-0005-0000-0000-0000BE020000}"/>
    <cellStyle name="20% - Accent6 4 5" xfId="726" xr:uid="{00000000-0005-0000-0000-0000BF020000}"/>
    <cellStyle name="20% - Accent6 4 5 2" xfId="727" xr:uid="{00000000-0005-0000-0000-0000C0020000}"/>
    <cellStyle name="20% - Accent6 4 5 3" xfId="728" xr:uid="{00000000-0005-0000-0000-0000C1020000}"/>
    <cellStyle name="20% - Accent6 4 6" xfId="729" xr:uid="{00000000-0005-0000-0000-0000C2020000}"/>
    <cellStyle name="20% - Accent6 4 7" xfId="730" xr:uid="{00000000-0005-0000-0000-0000C3020000}"/>
    <cellStyle name="20% - Accent6 5" xfId="731" xr:uid="{00000000-0005-0000-0000-0000C4020000}"/>
    <cellStyle name="20% - Accent6 5 2" xfId="732" xr:uid="{00000000-0005-0000-0000-0000C5020000}"/>
    <cellStyle name="20% - Accent6 5 2 2" xfId="733" xr:uid="{00000000-0005-0000-0000-0000C6020000}"/>
    <cellStyle name="20% - Accent6 5 2 3" xfId="734" xr:uid="{00000000-0005-0000-0000-0000C7020000}"/>
    <cellStyle name="20% - Accent6 5 3" xfId="735" xr:uid="{00000000-0005-0000-0000-0000C8020000}"/>
    <cellStyle name="20% - Accent6 5 3 2" xfId="736" xr:uid="{00000000-0005-0000-0000-0000C9020000}"/>
    <cellStyle name="20% - Accent6 5 3 3" xfId="737" xr:uid="{00000000-0005-0000-0000-0000CA020000}"/>
    <cellStyle name="20% - Accent6 5 4" xfId="738" xr:uid="{00000000-0005-0000-0000-0000CB020000}"/>
    <cellStyle name="20% - Accent6 5 4 2" xfId="739" xr:uid="{00000000-0005-0000-0000-0000CC020000}"/>
    <cellStyle name="20% - Accent6 5 5" xfId="740" xr:uid="{00000000-0005-0000-0000-0000CD020000}"/>
    <cellStyle name="20% - Accent6 5 6" xfId="741" xr:uid="{00000000-0005-0000-0000-0000CE020000}"/>
    <cellStyle name="20% - Accent6 6" xfId="742" xr:uid="{00000000-0005-0000-0000-0000CF020000}"/>
    <cellStyle name="20% - Accent6 6 2" xfId="743" xr:uid="{00000000-0005-0000-0000-0000D0020000}"/>
    <cellStyle name="20% - Accent6 6 3" xfId="744" xr:uid="{00000000-0005-0000-0000-0000D1020000}"/>
    <cellStyle name="40% - Accent1 2" xfId="745" xr:uid="{00000000-0005-0000-0000-0000D2020000}"/>
    <cellStyle name="40% - Accent1 2 2" xfId="746" xr:uid="{00000000-0005-0000-0000-0000D3020000}"/>
    <cellStyle name="40% - Accent1 2 2 2" xfId="747" xr:uid="{00000000-0005-0000-0000-0000D4020000}"/>
    <cellStyle name="40% - Accent1 2 2 2 2" xfId="748" xr:uid="{00000000-0005-0000-0000-0000D5020000}"/>
    <cellStyle name="40% - Accent1 2 2 2 2 2" xfId="749" xr:uid="{00000000-0005-0000-0000-0000D6020000}"/>
    <cellStyle name="40% - Accent1 2 2 2 2 3" xfId="750" xr:uid="{00000000-0005-0000-0000-0000D7020000}"/>
    <cellStyle name="40% - Accent1 2 2 2 3" xfId="751" xr:uid="{00000000-0005-0000-0000-0000D8020000}"/>
    <cellStyle name="40% - Accent1 2 2 2 3 2" xfId="752" xr:uid="{00000000-0005-0000-0000-0000D9020000}"/>
    <cellStyle name="40% - Accent1 2 2 2 3 3" xfId="753" xr:uid="{00000000-0005-0000-0000-0000DA020000}"/>
    <cellStyle name="40% - Accent1 2 2 2 4" xfId="754" xr:uid="{00000000-0005-0000-0000-0000DB020000}"/>
    <cellStyle name="40% - Accent1 2 2 2 5" xfId="755" xr:uid="{00000000-0005-0000-0000-0000DC020000}"/>
    <cellStyle name="40% - Accent1 2 2 3" xfId="756" xr:uid="{00000000-0005-0000-0000-0000DD020000}"/>
    <cellStyle name="40% - Accent1 2 2 3 2" xfId="757" xr:uid="{00000000-0005-0000-0000-0000DE020000}"/>
    <cellStyle name="40% - Accent1 2 2 3 2 2" xfId="758" xr:uid="{00000000-0005-0000-0000-0000DF020000}"/>
    <cellStyle name="40% - Accent1 2 2 3 2 3" xfId="759" xr:uid="{00000000-0005-0000-0000-0000E0020000}"/>
    <cellStyle name="40% - Accent1 2 2 3 3" xfId="760" xr:uid="{00000000-0005-0000-0000-0000E1020000}"/>
    <cellStyle name="40% - Accent1 2 2 3 3 2" xfId="761" xr:uid="{00000000-0005-0000-0000-0000E2020000}"/>
    <cellStyle name="40% - Accent1 2 2 3 3 3" xfId="762" xr:uid="{00000000-0005-0000-0000-0000E3020000}"/>
    <cellStyle name="40% - Accent1 2 2 3 4" xfId="763" xr:uid="{00000000-0005-0000-0000-0000E4020000}"/>
    <cellStyle name="40% - Accent1 2 2 3 5" xfId="764" xr:uid="{00000000-0005-0000-0000-0000E5020000}"/>
    <cellStyle name="40% - Accent1 2 2 4" xfId="765" xr:uid="{00000000-0005-0000-0000-0000E6020000}"/>
    <cellStyle name="40% - Accent1 2 2 4 2" xfId="766" xr:uid="{00000000-0005-0000-0000-0000E7020000}"/>
    <cellStyle name="40% - Accent1 2 2 4 3" xfId="767" xr:uid="{00000000-0005-0000-0000-0000E8020000}"/>
    <cellStyle name="40% - Accent1 2 2 5" xfId="768" xr:uid="{00000000-0005-0000-0000-0000E9020000}"/>
    <cellStyle name="40% - Accent1 2 2 5 2" xfId="769" xr:uid="{00000000-0005-0000-0000-0000EA020000}"/>
    <cellStyle name="40% - Accent1 2 2 5 3" xfId="770" xr:uid="{00000000-0005-0000-0000-0000EB020000}"/>
    <cellStyle name="40% - Accent1 2 2 6" xfId="771" xr:uid="{00000000-0005-0000-0000-0000EC020000}"/>
    <cellStyle name="40% - Accent1 2 2 7" xfId="772" xr:uid="{00000000-0005-0000-0000-0000ED020000}"/>
    <cellStyle name="40% - Accent1 2 3" xfId="773" xr:uid="{00000000-0005-0000-0000-0000EE020000}"/>
    <cellStyle name="40% - Accent1 2 3 2" xfId="774" xr:uid="{00000000-0005-0000-0000-0000EF020000}"/>
    <cellStyle name="40% - Accent1 2 3 2 2" xfId="775" xr:uid="{00000000-0005-0000-0000-0000F0020000}"/>
    <cellStyle name="40% - Accent1 2 3 2 3" xfId="776" xr:uid="{00000000-0005-0000-0000-0000F1020000}"/>
    <cellStyle name="40% - Accent1 2 3 3" xfId="777" xr:uid="{00000000-0005-0000-0000-0000F2020000}"/>
    <cellStyle name="40% - Accent1 2 3 3 2" xfId="778" xr:uid="{00000000-0005-0000-0000-0000F3020000}"/>
    <cellStyle name="40% - Accent1 2 3 3 3" xfId="779" xr:uid="{00000000-0005-0000-0000-0000F4020000}"/>
    <cellStyle name="40% - Accent1 2 3 4" xfId="780" xr:uid="{00000000-0005-0000-0000-0000F5020000}"/>
    <cellStyle name="40% - Accent1 2 3 5" xfId="781" xr:uid="{00000000-0005-0000-0000-0000F6020000}"/>
    <cellStyle name="40% - Accent1 2 4" xfId="782" xr:uid="{00000000-0005-0000-0000-0000F7020000}"/>
    <cellStyle name="40% - Accent1 2 4 2" xfId="783" xr:uid="{00000000-0005-0000-0000-0000F8020000}"/>
    <cellStyle name="40% - Accent1 2 4 2 2" xfId="784" xr:uid="{00000000-0005-0000-0000-0000F9020000}"/>
    <cellStyle name="40% - Accent1 2 4 2 3" xfId="785" xr:uid="{00000000-0005-0000-0000-0000FA020000}"/>
    <cellStyle name="40% - Accent1 2 4 3" xfId="786" xr:uid="{00000000-0005-0000-0000-0000FB020000}"/>
    <cellStyle name="40% - Accent1 2 4 3 2" xfId="787" xr:uid="{00000000-0005-0000-0000-0000FC020000}"/>
    <cellStyle name="40% - Accent1 2 4 3 3" xfId="788" xr:uid="{00000000-0005-0000-0000-0000FD020000}"/>
    <cellStyle name="40% - Accent1 2 4 4" xfId="789" xr:uid="{00000000-0005-0000-0000-0000FE020000}"/>
    <cellStyle name="40% - Accent1 2 4 5" xfId="790" xr:uid="{00000000-0005-0000-0000-0000FF020000}"/>
    <cellStyle name="40% - Accent1 2 5" xfId="791" xr:uid="{00000000-0005-0000-0000-000000030000}"/>
    <cellStyle name="40% - Accent1 2 5 2" xfId="792" xr:uid="{00000000-0005-0000-0000-000001030000}"/>
    <cellStyle name="40% - Accent1 2 5 3" xfId="793" xr:uid="{00000000-0005-0000-0000-000002030000}"/>
    <cellStyle name="40% - Accent1 2 6" xfId="794" xr:uid="{00000000-0005-0000-0000-000003030000}"/>
    <cellStyle name="40% - Accent1 2 6 2" xfId="795" xr:uid="{00000000-0005-0000-0000-000004030000}"/>
    <cellStyle name="40% - Accent1 2 6 3" xfId="796" xr:uid="{00000000-0005-0000-0000-000005030000}"/>
    <cellStyle name="40% - Accent1 2 7" xfId="797" xr:uid="{00000000-0005-0000-0000-000006030000}"/>
    <cellStyle name="40% - Accent1 2 7 2" xfId="798" xr:uid="{00000000-0005-0000-0000-000007030000}"/>
    <cellStyle name="40% - Accent1 2 7 3" xfId="799" xr:uid="{00000000-0005-0000-0000-000008030000}"/>
    <cellStyle name="40% - Accent1 2 8" xfId="800" xr:uid="{00000000-0005-0000-0000-000009030000}"/>
    <cellStyle name="40% - Accent1 2 9" xfId="801" xr:uid="{00000000-0005-0000-0000-00000A030000}"/>
    <cellStyle name="40% - Accent1 3" xfId="802" xr:uid="{00000000-0005-0000-0000-00000B030000}"/>
    <cellStyle name="40% - Accent1 3 2" xfId="803" xr:uid="{00000000-0005-0000-0000-00000C030000}"/>
    <cellStyle name="40% - Accent1 3 2 2" xfId="804" xr:uid="{00000000-0005-0000-0000-00000D030000}"/>
    <cellStyle name="40% - Accent1 3 2 2 2" xfId="805" xr:uid="{00000000-0005-0000-0000-00000E030000}"/>
    <cellStyle name="40% - Accent1 3 2 2 3" xfId="806" xr:uid="{00000000-0005-0000-0000-00000F030000}"/>
    <cellStyle name="40% - Accent1 3 2 3" xfId="807" xr:uid="{00000000-0005-0000-0000-000010030000}"/>
    <cellStyle name="40% - Accent1 3 2 3 2" xfId="808" xr:uid="{00000000-0005-0000-0000-000011030000}"/>
    <cellStyle name="40% - Accent1 3 2 3 3" xfId="809" xr:uid="{00000000-0005-0000-0000-000012030000}"/>
    <cellStyle name="40% - Accent1 3 2 4" xfId="810" xr:uid="{00000000-0005-0000-0000-000013030000}"/>
    <cellStyle name="40% - Accent1 3 2 5" xfId="811" xr:uid="{00000000-0005-0000-0000-000014030000}"/>
    <cellStyle name="40% - Accent1 3 3" xfId="812" xr:uid="{00000000-0005-0000-0000-000015030000}"/>
    <cellStyle name="40% - Accent1 3 3 2" xfId="813" xr:uid="{00000000-0005-0000-0000-000016030000}"/>
    <cellStyle name="40% - Accent1 3 3 2 2" xfId="814" xr:uid="{00000000-0005-0000-0000-000017030000}"/>
    <cellStyle name="40% - Accent1 3 3 2 3" xfId="815" xr:uid="{00000000-0005-0000-0000-000018030000}"/>
    <cellStyle name="40% - Accent1 3 3 3" xfId="816" xr:uid="{00000000-0005-0000-0000-000019030000}"/>
    <cellStyle name="40% - Accent1 3 3 3 2" xfId="817" xr:uid="{00000000-0005-0000-0000-00001A030000}"/>
    <cellStyle name="40% - Accent1 3 3 3 3" xfId="818" xr:uid="{00000000-0005-0000-0000-00001B030000}"/>
    <cellStyle name="40% - Accent1 3 3 4" xfId="819" xr:uid="{00000000-0005-0000-0000-00001C030000}"/>
    <cellStyle name="40% - Accent1 3 3 5" xfId="820" xr:uid="{00000000-0005-0000-0000-00001D030000}"/>
    <cellStyle name="40% - Accent1 3 4" xfId="821" xr:uid="{00000000-0005-0000-0000-00001E030000}"/>
    <cellStyle name="40% - Accent1 3 4 2" xfId="822" xr:uid="{00000000-0005-0000-0000-00001F030000}"/>
    <cellStyle name="40% - Accent1 3 4 3" xfId="823" xr:uid="{00000000-0005-0000-0000-000020030000}"/>
    <cellStyle name="40% - Accent1 3 5" xfId="824" xr:uid="{00000000-0005-0000-0000-000021030000}"/>
    <cellStyle name="40% - Accent1 3 5 2" xfId="825" xr:uid="{00000000-0005-0000-0000-000022030000}"/>
    <cellStyle name="40% - Accent1 3 5 3" xfId="826" xr:uid="{00000000-0005-0000-0000-000023030000}"/>
    <cellStyle name="40% - Accent1 3 6" xfId="827" xr:uid="{00000000-0005-0000-0000-000024030000}"/>
    <cellStyle name="40% - Accent1 3 7" xfId="828" xr:uid="{00000000-0005-0000-0000-000025030000}"/>
    <cellStyle name="40% - Accent1 4" xfId="829" xr:uid="{00000000-0005-0000-0000-000026030000}"/>
    <cellStyle name="40% - Accent1 4 2" xfId="830" xr:uid="{00000000-0005-0000-0000-000027030000}"/>
    <cellStyle name="40% - Accent1 4 2 2" xfId="831" xr:uid="{00000000-0005-0000-0000-000028030000}"/>
    <cellStyle name="40% - Accent1 4 2 2 2" xfId="832" xr:uid="{00000000-0005-0000-0000-000029030000}"/>
    <cellStyle name="40% - Accent1 4 2 2 3" xfId="833" xr:uid="{00000000-0005-0000-0000-00002A030000}"/>
    <cellStyle name="40% - Accent1 4 2 3" xfId="834" xr:uid="{00000000-0005-0000-0000-00002B030000}"/>
    <cellStyle name="40% - Accent1 4 2 3 2" xfId="835" xr:uid="{00000000-0005-0000-0000-00002C030000}"/>
    <cellStyle name="40% - Accent1 4 2 3 3" xfId="836" xr:uid="{00000000-0005-0000-0000-00002D030000}"/>
    <cellStyle name="40% - Accent1 4 2 4" xfId="837" xr:uid="{00000000-0005-0000-0000-00002E030000}"/>
    <cellStyle name="40% - Accent1 4 2 5" xfId="838" xr:uid="{00000000-0005-0000-0000-00002F030000}"/>
    <cellStyle name="40% - Accent1 4 3" xfId="839" xr:uid="{00000000-0005-0000-0000-000030030000}"/>
    <cellStyle name="40% - Accent1 4 3 2" xfId="840" xr:uid="{00000000-0005-0000-0000-000031030000}"/>
    <cellStyle name="40% - Accent1 4 3 2 2" xfId="841" xr:uid="{00000000-0005-0000-0000-000032030000}"/>
    <cellStyle name="40% - Accent1 4 3 2 3" xfId="842" xr:uid="{00000000-0005-0000-0000-000033030000}"/>
    <cellStyle name="40% - Accent1 4 3 3" xfId="843" xr:uid="{00000000-0005-0000-0000-000034030000}"/>
    <cellStyle name="40% - Accent1 4 3 4" xfId="844" xr:uid="{00000000-0005-0000-0000-000035030000}"/>
    <cellStyle name="40% - Accent1 4 4" xfId="845" xr:uid="{00000000-0005-0000-0000-000036030000}"/>
    <cellStyle name="40% - Accent1 4 4 2" xfId="846" xr:uid="{00000000-0005-0000-0000-000037030000}"/>
    <cellStyle name="40% - Accent1 4 4 3" xfId="847" xr:uid="{00000000-0005-0000-0000-000038030000}"/>
    <cellStyle name="40% - Accent1 4 5" xfId="848" xr:uid="{00000000-0005-0000-0000-000039030000}"/>
    <cellStyle name="40% - Accent1 4 5 2" xfId="849" xr:uid="{00000000-0005-0000-0000-00003A030000}"/>
    <cellStyle name="40% - Accent1 4 5 3" xfId="850" xr:uid="{00000000-0005-0000-0000-00003B030000}"/>
    <cellStyle name="40% - Accent1 4 6" xfId="851" xr:uid="{00000000-0005-0000-0000-00003C030000}"/>
    <cellStyle name="40% - Accent1 4 7" xfId="852" xr:uid="{00000000-0005-0000-0000-00003D030000}"/>
    <cellStyle name="40% - Accent1 5" xfId="853" xr:uid="{00000000-0005-0000-0000-00003E030000}"/>
    <cellStyle name="40% - Accent1 5 2" xfId="854" xr:uid="{00000000-0005-0000-0000-00003F030000}"/>
    <cellStyle name="40% - Accent1 5 2 2" xfId="855" xr:uid="{00000000-0005-0000-0000-000040030000}"/>
    <cellStyle name="40% - Accent1 5 2 3" xfId="856" xr:uid="{00000000-0005-0000-0000-000041030000}"/>
    <cellStyle name="40% - Accent1 5 3" xfId="857" xr:uid="{00000000-0005-0000-0000-000042030000}"/>
    <cellStyle name="40% - Accent1 5 3 2" xfId="858" xr:uid="{00000000-0005-0000-0000-000043030000}"/>
    <cellStyle name="40% - Accent1 5 3 3" xfId="859" xr:uid="{00000000-0005-0000-0000-000044030000}"/>
    <cellStyle name="40% - Accent1 5 4" xfId="860" xr:uid="{00000000-0005-0000-0000-000045030000}"/>
    <cellStyle name="40% - Accent1 5 5" xfId="861" xr:uid="{00000000-0005-0000-0000-000046030000}"/>
    <cellStyle name="40% - Accent1 6" xfId="862" xr:uid="{00000000-0005-0000-0000-000047030000}"/>
    <cellStyle name="40% - Accent1 6 2" xfId="863" xr:uid="{00000000-0005-0000-0000-000048030000}"/>
    <cellStyle name="40% - Accent1 6 3" xfId="864" xr:uid="{00000000-0005-0000-0000-000049030000}"/>
    <cellStyle name="40% - Accent2 2" xfId="865" xr:uid="{00000000-0005-0000-0000-00004A030000}"/>
    <cellStyle name="40% - Accent2 2 2" xfId="866" xr:uid="{00000000-0005-0000-0000-00004B030000}"/>
    <cellStyle name="40% - Accent2 2 2 2" xfId="867" xr:uid="{00000000-0005-0000-0000-00004C030000}"/>
    <cellStyle name="40% - Accent2 2 2 2 2" xfId="868" xr:uid="{00000000-0005-0000-0000-00004D030000}"/>
    <cellStyle name="40% - Accent2 2 2 2 2 2" xfId="869" xr:uid="{00000000-0005-0000-0000-00004E030000}"/>
    <cellStyle name="40% - Accent2 2 2 2 2 3" xfId="870" xr:uid="{00000000-0005-0000-0000-00004F030000}"/>
    <cellStyle name="40% - Accent2 2 2 2 3" xfId="871" xr:uid="{00000000-0005-0000-0000-000050030000}"/>
    <cellStyle name="40% - Accent2 2 2 2 3 2" xfId="872" xr:uid="{00000000-0005-0000-0000-000051030000}"/>
    <cellStyle name="40% - Accent2 2 2 2 3 3" xfId="873" xr:uid="{00000000-0005-0000-0000-000052030000}"/>
    <cellStyle name="40% - Accent2 2 2 2 4" xfId="874" xr:uid="{00000000-0005-0000-0000-000053030000}"/>
    <cellStyle name="40% - Accent2 2 2 2 5" xfId="875" xr:uid="{00000000-0005-0000-0000-000054030000}"/>
    <cellStyle name="40% - Accent2 2 2 3" xfId="876" xr:uid="{00000000-0005-0000-0000-000055030000}"/>
    <cellStyle name="40% - Accent2 2 2 3 2" xfId="877" xr:uid="{00000000-0005-0000-0000-000056030000}"/>
    <cellStyle name="40% - Accent2 2 2 3 2 2" xfId="878" xr:uid="{00000000-0005-0000-0000-000057030000}"/>
    <cellStyle name="40% - Accent2 2 2 3 2 3" xfId="879" xr:uid="{00000000-0005-0000-0000-000058030000}"/>
    <cellStyle name="40% - Accent2 2 2 3 3" xfId="880" xr:uid="{00000000-0005-0000-0000-000059030000}"/>
    <cellStyle name="40% - Accent2 2 2 3 3 2" xfId="881" xr:uid="{00000000-0005-0000-0000-00005A030000}"/>
    <cellStyle name="40% - Accent2 2 2 3 3 3" xfId="882" xr:uid="{00000000-0005-0000-0000-00005B030000}"/>
    <cellStyle name="40% - Accent2 2 2 3 4" xfId="883" xr:uid="{00000000-0005-0000-0000-00005C030000}"/>
    <cellStyle name="40% - Accent2 2 2 3 5" xfId="884" xr:uid="{00000000-0005-0000-0000-00005D030000}"/>
    <cellStyle name="40% - Accent2 2 2 4" xfId="885" xr:uid="{00000000-0005-0000-0000-00005E030000}"/>
    <cellStyle name="40% - Accent2 2 2 4 2" xfId="886" xr:uid="{00000000-0005-0000-0000-00005F030000}"/>
    <cellStyle name="40% - Accent2 2 2 4 3" xfId="887" xr:uid="{00000000-0005-0000-0000-000060030000}"/>
    <cellStyle name="40% - Accent2 2 2 5" xfId="888" xr:uid="{00000000-0005-0000-0000-000061030000}"/>
    <cellStyle name="40% - Accent2 2 2 5 2" xfId="889" xr:uid="{00000000-0005-0000-0000-000062030000}"/>
    <cellStyle name="40% - Accent2 2 2 5 3" xfId="890" xr:uid="{00000000-0005-0000-0000-000063030000}"/>
    <cellStyle name="40% - Accent2 2 2 6" xfId="891" xr:uid="{00000000-0005-0000-0000-000064030000}"/>
    <cellStyle name="40% - Accent2 2 2 7" xfId="892" xr:uid="{00000000-0005-0000-0000-000065030000}"/>
    <cellStyle name="40% - Accent2 2 3" xfId="893" xr:uid="{00000000-0005-0000-0000-000066030000}"/>
    <cellStyle name="40% - Accent2 2 3 2" xfId="894" xr:uid="{00000000-0005-0000-0000-000067030000}"/>
    <cellStyle name="40% - Accent2 2 3 2 2" xfId="895" xr:uid="{00000000-0005-0000-0000-000068030000}"/>
    <cellStyle name="40% - Accent2 2 3 2 3" xfId="896" xr:uid="{00000000-0005-0000-0000-000069030000}"/>
    <cellStyle name="40% - Accent2 2 3 3" xfId="897" xr:uid="{00000000-0005-0000-0000-00006A030000}"/>
    <cellStyle name="40% - Accent2 2 3 3 2" xfId="898" xr:uid="{00000000-0005-0000-0000-00006B030000}"/>
    <cellStyle name="40% - Accent2 2 3 3 3" xfId="899" xr:uid="{00000000-0005-0000-0000-00006C030000}"/>
    <cellStyle name="40% - Accent2 2 3 4" xfId="900" xr:uid="{00000000-0005-0000-0000-00006D030000}"/>
    <cellStyle name="40% - Accent2 2 3 5" xfId="901" xr:uid="{00000000-0005-0000-0000-00006E030000}"/>
    <cellStyle name="40% - Accent2 2 4" xfId="902" xr:uid="{00000000-0005-0000-0000-00006F030000}"/>
    <cellStyle name="40% - Accent2 2 4 2" xfId="903" xr:uid="{00000000-0005-0000-0000-000070030000}"/>
    <cellStyle name="40% - Accent2 2 4 2 2" xfId="904" xr:uid="{00000000-0005-0000-0000-000071030000}"/>
    <cellStyle name="40% - Accent2 2 4 2 3" xfId="905" xr:uid="{00000000-0005-0000-0000-000072030000}"/>
    <cellStyle name="40% - Accent2 2 4 3" xfId="906" xr:uid="{00000000-0005-0000-0000-000073030000}"/>
    <cellStyle name="40% - Accent2 2 4 3 2" xfId="907" xr:uid="{00000000-0005-0000-0000-000074030000}"/>
    <cellStyle name="40% - Accent2 2 4 3 3" xfId="908" xr:uid="{00000000-0005-0000-0000-000075030000}"/>
    <cellStyle name="40% - Accent2 2 4 4" xfId="909" xr:uid="{00000000-0005-0000-0000-000076030000}"/>
    <cellStyle name="40% - Accent2 2 4 5" xfId="910" xr:uid="{00000000-0005-0000-0000-000077030000}"/>
    <cellStyle name="40% - Accent2 2 5" xfId="911" xr:uid="{00000000-0005-0000-0000-000078030000}"/>
    <cellStyle name="40% - Accent2 2 5 2" xfId="912" xr:uid="{00000000-0005-0000-0000-000079030000}"/>
    <cellStyle name="40% - Accent2 2 5 3" xfId="913" xr:uid="{00000000-0005-0000-0000-00007A030000}"/>
    <cellStyle name="40% - Accent2 2 6" xfId="914" xr:uid="{00000000-0005-0000-0000-00007B030000}"/>
    <cellStyle name="40% - Accent2 2 6 2" xfId="915" xr:uid="{00000000-0005-0000-0000-00007C030000}"/>
    <cellStyle name="40% - Accent2 2 6 3" xfId="916" xr:uid="{00000000-0005-0000-0000-00007D030000}"/>
    <cellStyle name="40% - Accent2 2 7" xfId="917" xr:uid="{00000000-0005-0000-0000-00007E030000}"/>
    <cellStyle name="40% - Accent2 2 7 2" xfId="918" xr:uid="{00000000-0005-0000-0000-00007F030000}"/>
    <cellStyle name="40% - Accent2 2 7 3" xfId="919" xr:uid="{00000000-0005-0000-0000-000080030000}"/>
    <cellStyle name="40% - Accent2 2 8" xfId="920" xr:uid="{00000000-0005-0000-0000-000081030000}"/>
    <cellStyle name="40% - Accent2 2 9" xfId="921" xr:uid="{00000000-0005-0000-0000-000082030000}"/>
    <cellStyle name="40% - Accent2 3" xfId="922" xr:uid="{00000000-0005-0000-0000-000083030000}"/>
    <cellStyle name="40% - Accent2 3 2" xfId="923" xr:uid="{00000000-0005-0000-0000-000084030000}"/>
    <cellStyle name="40% - Accent2 3 2 2" xfId="924" xr:uid="{00000000-0005-0000-0000-000085030000}"/>
    <cellStyle name="40% - Accent2 3 2 2 2" xfId="925" xr:uid="{00000000-0005-0000-0000-000086030000}"/>
    <cellStyle name="40% - Accent2 3 2 2 3" xfId="926" xr:uid="{00000000-0005-0000-0000-000087030000}"/>
    <cellStyle name="40% - Accent2 3 2 3" xfId="927" xr:uid="{00000000-0005-0000-0000-000088030000}"/>
    <cellStyle name="40% - Accent2 3 2 3 2" xfId="928" xr:uid="{00000000-0005-0000-0000-000089030000}"/>
    <cellStyle name="40% - Accent2 3 2 3 3" xfId="929" xr:uid="{00000000-0005-0000-0000-00008A030000}"/>
    <cellStyle name="40% - Accent2 3 2 4" xfId="930" xr:uid="{00000000-0005-0000-0000-00008B030000}"/>
    <cellStyle name="40% - Accent2 3 2 5" xfId="931" xr:uid="{00000000-0005-0000-0000-00008C030000}"/>
    <cellStyle name="40% - Accent2 3 3" xfId="932" xr:uid="{00000000-0005-0000-0000-00008D030000}"/>
    <cellStyle name="40% - Accent2 3 3 2" xfId="933" xr:uid="{00000000-0005-0000-0000-00008E030000}"/>
    <cellStyle name="40% - Accent2 3 3 2 2" xfId="934" xr:uid="{00000000-0005-0000-0000-00008F030000}"/>
    <cellStyle name="40% - Accent2 3 3 2 3" xfId="935" xr:uid="{00000000-0005-0000-0000-000090030000}"/>
    <cellStyle name="40% - Accent2 3 3 3" xfId="936" xr:uid="{00000000-0005-0000-0000-000091030000}"/>
    <cellStyle name="40% - Accent2 3 3 3 2" xfId="937" xr:uid="{00000000-0005-0000-0000-000092030000}"/>
    <cellStyle name="40% - Accent2 3 3 3 3" xfId="938" xr:uid="{00000000-0005-0000-0000-000093030000}"/>
    <cellStyle name="40% - Accent2 3 3 4" xfId="939" xr:uid="{00000000-0005-0000-0000-000094030000}"/>
    <cellStyle name="40% - Accent2 3 3 5" xfId="940" xr:uid="{00000000-0005-0000-0000-000095030000}"/>
    <cellStyle name="40% - Accent2 3 4" xfId="941" xr:uid="{00000000-0005-0000-0000-000096030000}"/>
    <cellStyle name="40% - Accent2 3 4 2" xfId="942" xr:uid="{00000000-0005-0000-0000-000097030000}"/>
    <cellStyle name="40% - Accent2 3 4 3" xfId="943" xr:uid="{00000000-0005-0000-0000-000098030000}"/>
    <cellStyle name="40% - Accent2 3 5" xfId="944" xr:uid="{00000000-0005-0000-0000-000099030000}"/>
    <cellStyle name="40% - Accent2 3 5 2" xfId="945" xr:uid="{00000000-0005-0000-0000-00009A030000}"/>
    <cellStyle name="40% - Accent2 3 5 3" xfId="946" xr:uid="{00000000-0005-0000-0000-00009B030000}"/>
    <cellStyle name="40% - Accent2 3 6" xfId="947" xr:uid="{00000000-0005-0000-0000-00009C030000}"/>
    <cellStyle name="40% - Accent2 3 7" xfId="948" xr:uid="{00000000-0005-0000-0000-00009D030000}"/>
    <cellStyle name="40% - Accent2 4" xfId="949" xr:uid="{00000000-0005-0000-0000-00009E030000}"/>
    <cellStyle name="40% - Accent2 4 2" xfId="950" xr:uid="{00000000-0005-0000-0000-00009F030000}"/>
    <cellStyle name="40% - Accent2 4 2 2" xfId="951" xr:uid="{00000000-0005-0000-0000-0000A0030000}"/>
    <cellStyle name="40% - Accent2 4 2 2 2" xfId="952" xr:uid="{00000000-0005-0000-0000-0000A1030000}"/>
    <cellStyle name="40% - Accent2 4 2 2 3" xfId="953" xr:uid="{00000000-0005-0000-0000-0000A2030000}"/>
    <cellStyle name="40% - Accent2 4 2 3" xfId="954" xr:uid="{00000000-0005-0000-0000-0000A3030000}"/>
    <cellStyle name="40% - Accent2 4 2 3 2" xfId="955" xr:uid="{00000000-0005-0000-0000-0000A4030000}"/>
    <cellStyle name="40% - Accent2 4 2 3 3" xfId="956" xr:uid="{00000000-0005-0000-0000-0000A5030000}"/>
    <cellStyle name="40% - Accent2 4 2 4" xfId="957" xr:uid="{00000000-0005-0000-0000-0000A6030000}"/>
    <cellStyle name="40% - Accent2 4 2 5" xfId="958" xr:uid="{00000000-0005-0000-0000-0000A7030000}"/>
    <cellStyle name="40% - Accent2 4 3" xfId="959" xr:uid="{00000000-0005-0000-0000-0000A8030000}"/>
    <cellStyle name="40% - Accent2 4 3 2" xfId="960" xr:uid="{00000000-0005-0000-0000-0000A9030000}"/>
    <cellStyle name="40% - Accent2 4 3 2 2" xfId="961" xr:uid="{00000000-0005-0000-0000-0000AA030000}"/>
    <cellStyle name="40% - Accent2 4 3 2 3" xfId="962" xr:uid="{00000000-0005-0000-0000-0000AB030000}"/>
    <cellStyle name="40% - Accent2 4 3 3" xfId="963" xr:uid="{00000000-0005-0000-0000-0000AC030000}"/>
    <cellStyle name="40% - Accent2 4 3 4" xfId="964" xr:uid="{00000000-0005-0000-0000-0000AD030000}"/>
    <cellStyle name="40% - Accent2 4 4" xfId="965" xr:uid="{00000000-0005-0000-0000-0000AE030000}"/>
    <cellStyle name="40% - Accent2 4 4 2" xfId="966" xr:uid="{00000000-0005-0000-0000-0000AF030000}"/>
    <cellStyle name="40% - Accent2 4 4 3" xfId="967" xr:uid="{00000000-0005-0000-0000-0000B0030000}"/>
    <cellStyle name="40% - Accent2 4 5" xfId="968" xr:uid="{00000000-0005-0000-0000-0000B1030000}"/>
    <cellStyle name="40% - Accent2 4 5 2" xfId="969" xr:uid="{00000000-0005-0000-0000-0000B2030000}"/>
    <cellStyle name="40% - Accent2 4 5 3" xfId="970" xr:uid="{00000000-0005-0000-0000-0000B3030000}"/>
    <cellStyle name="40% - Accent2 4 6" xfId="971" xr:uid="{00000000-0005-0000-0000-0000B4030000}"/>
    <cellStyle name="40% - Accent2 4 7" xfId="972" xr:uid="{00000000-0005-0000-0000-0000B5030000}"/>
    <cellStyle name="40% - Accent2 5" xfId="973" xr:uid="{00000000-0005-0000-0000-0000B6030000}"/>
    <cellStyle name="40% - Accent2 5 2" xfId="974" xr:uid="{00000000-0005-0000-0000-0000B7030000}"/>
    <cellStyle name="40% - Accent2 5 2 2" xfId="975" xr:uid="{00000000-0005-0000-0000-0000B8030000}"/>
    <cellStyle name="40% - Accent2 5 2 3" xfId="976" xr:uid="{00000000-0005-0000-0000-0000B9030000}"/>
    <cellStyle name="40% - Accent2 5 3" xfId="977" xr:uid="{00000000-0005-0000-0000-0000BA030000}"/>
    <cellStyle name="40% - Accent2 5 3 2" xfId="978" xr:uid="{00000000-0005-0000-0000-0000BB030000}"/>
    <cellStyle name="40% - Accent2 5 3 3" xfId="979" xr:uid="{00000000-0005-0000-0000-0000BC030000}"/>
    <cellStyle name="40% - Accent2 5 4" xfId="980" xr:uid="{00000000-0005-0000-0000-0000BD030000}"/>
    <cellStyle name="40% - Accent2 5 5" xfId="981" xr:uid="{00000000-0005-0000-0000-0000BE030000}"/>
    <cellStyle name="40% - Accent2 6" xfId="982" xr:uid="{00000000-0005-0000-0000-0000BF030000}"/>
    <cellStyle name="40% - Accent2 6 2" xfId="983" xr:uid="{00000000-0005-0000-0000-0000C0030000}"/>
    <cellStyle name="40% - Accent2 6 3" xfId="984" xr:uid="{00000000-0005-0000-0000-0000C1030000}"/>
    <cellStyle name="40% - Accent3 2" xfId="985" xr:uid="{00000000-0005-0000-0000-0000C2030000}"/>
    <cellStyle name="40% - Accent3 2 2" xfId="986" xr:uid="{00000000-0005-0000-0000-0000C3030000}"/>
    <cellStyle name="40% - Accent3 2 2 2" xfId="987" xr:uid="{00000000-0005-0000-0000-0000C4030000}"/>
    <cellStyle name="40% - Accent3 2 2 2 2" xfId="988" xr:uid="{00000000-0005-0000-0000-0000C5030000}"/>
    <cellStyle name="40% - Accent3 2 2 2 2 2" xfId="989" xr:uid="{00000000-0005-0000-0000-0000C6030000}"/>
    <cellStyle name="40% - Accent3 2 2 2 2 3" xfId="990" xr:uid="{00000000-0005-0000-0000-0000C7030000}"/>
    <cellStyle name="40% - Accent3 2 2 2 3" xfId="991" xr:uid="{00000000-0005-0000-0000-0000C8030000}"/>
    <cellStyle name="40% - Accent3 2 2 2 3 2" xfId="992" xr:uid="{00000000-0005-0000-0000-0000C9030000}"/>
    <cellStyle name="40% - Accent3 2 2 2 3 3" xfId="993" xr:uid="{00000000-0005-0000-0000-0000CA030000}"/>
    <cellStyle name="40% - Accent3 2 2 2 4" xfId="994" xr:uid="{00000000-0005-0000-0000-0000CB030000}"/>
    <cellStyle name="40% - Accent3 2 2 2 5" xfId="995" xr:uid="{00000000-0005-0000-0000-0000CC030000}"/>
    <cellStyle name="40% - Accent3 2 2 3" xfId="996" xr:uid="{00000000-0005-0000-0000-0000CD030000}"/>
    <cellStyle name="40% - Accent3 2 2 3 2" xfId="997" xr:uid="{00000000-0005-0000-0000-0000CE030000}"/>
    <cellStyle name="40% - Accent3 2 2 3 2 2" xfId="998" xr:uid="{00000000-0005-0000-0000-0000CF030000}"/>
    <cellStyle name="40% - Accent3 2 2 3 2 3" xfId="999" xr:uid="{00000000-0005-0000-0000-0000D0030000}"/>
    <cellStyle name="40% - Accent3 2 2 3 3" xfId="1000" xr:uid="{00000000-0005-0000-0000-0000D1030000}"/>
    <cellStyle name="40% - Accent3 2 2 3 3 2" xfId="1001" xr:uid="{00000000-0005-0000-0000-0000D2030000}"/>
    <cellStyle name="40% - Accent3 2 2 3 3 3" xfId="1002" xr:uid="{00000000-0005-0000-0000-0000D3030000}"/>
    <cellStyle name="40% - Accent3 2 2 3 4" xfId="1003" xr:uid="{00000000-0005-0000-0000-0000D4030000}"/>
    <cellStyle name="40% - Accent3 2 2 3 5" xfId="1004" xr:uid="{00000000-0005-0000-0000-0000D5030000}"/>
    <cellStyle name="40% - Accent3 2 2 4" xfId="1005" xr:uid="{00000000-0005-0000-0000-0000D6030000}"/>
    <cellStyle name="40% - Accent3 2 2 4 2" xfId="1006" xr:uid="{00000000-0005-0000-0000-0000D7030000}"/>
    <cellStyle name="40% - Accent3 2 2 4 3" xfId="1007" xr:uid="{00000000-0005-0000-0000-0000D8030000}"/>
    <cellStyle name="40% - Accent3 2 2 5" xfId="1008" xr:uid="{00000000-0005-0000-0000-0000D9030000}"/>
    <cellStyle name="40% - Accent3 2 2 5 2" xfId="1009" xr:uid="{00000000-0005-0000-0000-0000DA030000}"/>
    <cellStyle name="40% - Accent3 2 2 5 3" xfId="1010" xr:uid="{00000000-0005-0000-0000-0000DB030000}"/>
    <cellStyle name="40% - Accent3 2 2 6" xfId="1011" xr:uid="{00000000-0005-0000-0000-0000DC030000}"/>
    <cellStyle name="40% - Accent3 2 2 7" xfId="1012" xr:uid="{00000000-0005-0000-0000-0000DD030000}"/>
    <cellStyle name="40% - Accent3 2 3" xfId="1013" xr:uid="{00000000-0005-0000-0000-0000DE030000}"/>
    <cellStyle name="40% - Accent3 2 3 2" xfId="1014" xr:uid="{00000000-0005-0000-0000-0000DF030000}"/>
    <cellStyle name="40% - Accent3 2 3 2 2" xfId="1015" xr:uid="{00000000-0005-0000-0000-0000E0030000}"/>
    <cellStyle name="40% - Accent3 2 3 2 3" xfId="1016" xr:uid="{00000000-0005-0000-0000-0000E1030000}"/>
    <cellStyle name="40% - Accent3 2 3 3" xfId="1017" xr:uid="{00000000-0005-0000-0000-0000E2030000}"/>
    <cellStyle name="40% - Accent3 2 3 3 2" xfId="1018" xr:uid="{00000000-0005-0000-0000-0000E3030000}"/>
    <cellStyle name="40% - Accent3 2 3 3 3" xfId="1019" xr:uid="{00000000-0005-0000-0000-0000E4030000}"/>
    <cellStyle name="40% - Accent3 2 3 4" xfId="1020" xr:uid="{00000000-0005-0000-0000-0000E5030000}"/>
    <cellStyle name="40% - Accent3 2 3 5" xfId="1021" xr:uid="{00000000-0005-0000-0000-0000E6030000}"/>
    <cellStyle name="40% - Accent3 2 4" xfId="1022" xr:uid="{00000000-0005-0000-0000-0000E7030000}"/>
    <cellStyle name="40% - Accent3 2 4 2" xfId="1023" xr:uid="{00000000-0005-0000-0000-0000E8030000}"/>
    <cellStyle name="40% - Accent3 2 4 2 2" xfId="1024" xr:uid="{00000000-0005-0000-0000-0000E9030000}"/>
    <cellStyle name="40% - Accent3 2 4 2 3" xfId="1025" xr:uid="{00000000-0005-0000-0000-0000EA030000}"/>
    <cellStyle name="40% - Accent3 2 4 3" xfId="1026" xr:uid="{00000000-0005-0000-0000-0000EB030000}"/>
    <cellStyle name="40% - Accent3 2 4 3 2" xfId="1027" xr:uid="{00000000-0005-0000-0000-0000EC030000}"/>
    <cellStyle name="40% - Accent3 2 4 3 3" xfId="1028" xr:uid="{00000000-0005-0000-0000-0000ED030000}"/>
    <cellStyle name="40% - Accent3 2 4 4" xfId="1029" xr:uid="{00000000-0005-0000-0000-0000EE030000}"/>
    <cellStyle name="40% - Accent3 2 4 5" xfId="1030" xr:uid="{00000000-0005-0000-0000-0000EF030000}"/>
    <cellStyle name="40% - Accent3 2 5" xfId="1031" xr:uid="{00000000-0005-0000-0000-0000F0030000}"/>
    <cellStyle name="40% - Accent3 2 5 2" xfId="1032" xr:uid="{00000000-0005-0000-0000-0000F1030000}"/>
    <cellStyle name="40% - Accent3 2 5 3" xfId="1033" xr:uid="{00000000-0005-0000-0000-0000F2030000}"/>
    <cellStyle name="40% - Accent3 2 6" xfId="1034" xr:uid="{00000000-0005-0000-0000-0000F3030000}"/>
    <cellStyle name="40% - Accent3 2 6 2" xfId="1035" xr:uid="{00000000-0005-0000-0000-0000F4030000}"/>
    <cellStyle name="40% - Accent3 2 6 3" xfId="1036" xr:uid="{00000000-0005-0000-0000-0000F5030000}"/>
    <cellStyle name="40% - Accent3 2 7" xfId="1037" xr:uid="{00000000-0005-0000-0000-0000F6030000}"/>
    <cellStyle name="40% - Accent3 2 7 2" xfId="1038" xr:uid="{00000000-0005-0000-0000-0000F7030000}"/>
    <cellStyle name="40% - Accent3 2 7 3" xfId="1039" xr:uid="{00000000-0005-0000-0000-0000F8030000}"/>
    <cellStyle name="40% - Accent3 2 8" xfId="1040" xr:uid="{00000000-0005-0000-0000-0000F9030000}"/>
    <cellStyle name="40% - Accent3 2 9" xfId="1041" xr:uid="{00000000-0005-0000-0000-0000FA030000}"/>
    <cellStyle name="40% - Accent3 3" xfId="1042" xr:uid="{00000000-0005-0000-0000-0000FB030000}"/>
    <cellStyle name="40% - Accent3 3 2" xfId="1043" xr:uid="{00000000-0005-0000-0000-0000FC030000}"/>
    <cellStyle name="40% - Accent3 3 2 2" xfId="1044" xr:uid="{00000000-0005-0000-0000-0000FD030000}"/>
    <cellStyle name="40% - Accent3 3 2 2 2" xfId="1045" xr:uid="{00000000-0005-0000-0000-0000FE030000}"/>
    <cellStyle name="40% - Accent3 3 2 2 3" xfId="1046" xr:uid="{00000000-0005-0000-0000-0000FF030000}"/>
    <cellStyle name="40% - Accent3 3 2 3" xfId="1047" xr:uid="{00000000-0005-0000-0000-000000040000}"/>
    <cellStyle name="40% - Accent3 3 2 3 2" xfId="1048" xr:uid="{00000000-0005-0000-0000-000001040000}"/>
    <cellStyle name="40% - Accent3 3 2 3 3" xfId="1049" xr:uid="{00000000-0005-0000-0000-000002040000}"/>
    <cellStyle name="40% - Accent3 3 2 4" xfId="1050" xr:uid="{00000000-0005-0000-0000-000003040000}"/>
    <cellStyle name="40% - Accent3 3 2 5" xfId="1051" xr:uid="{00000000-0005-0000-0000-000004040000}"/>
    <cellStyle name="40% - Accent3 3 3" xfId="1052" xr:uid="{00000000-0005-0000-0000-000005040000}"/>
    <cellStyle name="40% - Accent3 3 3 2" xfId="1053" xr:uid="{00000000-0005-0000-0000-000006040000}"/>
    <cellStyle name="40% - Accent3 3 3 2 2" xfId="1054" xr:uid="{00000000-0005-0000-0000-000007040000}"/>
    <cellStyle name="40% - Accent3 3 3 2 3" xfId="1055" xr:uid="{00000000-0005-0000-0000-000008040000}"/>
    <cellStyle name="40% - Accent3 3 3 3" xfId="1056" xr:uid="{00000000-0005-0000-0000-000009040000}"/>
    <cellStyle name="40% - Accent3 3 3 3 2" xfId="1057" xr:uid="{00000000-0005-0000-0000-00000A040000}"/>
    <cellStyle name="40% - Accent3 3 3 3 3" xfId="1058" xr:uid="{00000000-0005-0000-0000-00000B040000}"/>
    <cellStyle name="40% - Accent3 3 3 4" xfId="1059" xr:uid="{00000000-0005-0000-0000-00000C040000}"/>
    <cellStyle name="40% - Accent3 3 3 5" xfId="1060" xr:uid="{00000000-0005-0000-0000-00000D040000}"/>
    <cellStyle name="40% - Accent3 3 4" xfId="1061" xr:uid="{00000000-0005-0000-0000-00000E040000}"/>
    <cellStyle name="40% - Accent3 3 4 2" xfId="1062" xr:uid="{00000000-0005-0000-0000-00000F040000}"/>
    <cellStyle name="40% - Accent3 3 4 3" xfId="1063" xr:uid="{00000000-0005-0000-0000-000010040000}"/>
    <cellStyle name="40% - Accent3 3 5" xfId="1064" xr:uid="{00000000-0005-0000-0000-000011040000}"/>
    <cellStyle name="40% - Accent3 3 5 2" xfId="1065" xr:uid="{00000000-0005-0000-0000-000012040000}"/>
    <cellStyle name="40% - Accent3 3 5 3" xfId="1066" xr:uid="{00000000-0005-0000-0000-000013040000}"/>
    <cellStyle name="40% - Accent3 3 6" xfId="1067" xr:uid="{00000000-0005-0000-0000-000014040000}"/>
    <cellStyle name="40% - Accent3 3 7" xfId="1068" xr:uid="{00000000-0005-0000-0000-000015040000}"/>
    <cellStyle name="40% - Accent3 4" xfId="1069" xr:uid="{00000000-0005-0000-0000-000016040000}"/>
    <cellStyle name="40% - Accent3 4 2" xfId="1070" xr:uid="{00000000-0005-0000-0000-000017040000}"/>
    <cellStyle name="40% - Accent3 4 2 2" xfId="1071" xr:uid="{00000000-0005-0000-0000-000018040000}"/>
    <cellStyle name="40% - Accent3 4 2 2 2" xfId="1072" xr:uid="{00000000-0005-0000-0000-000019040000}"/>
    <cellStyle name="40% - Accent3 4 2 2 3" xfId="1073" xr:uid="{00000000-0005-0000-0000-00001A040000}"/>
    <cellStyle name="40% - Accent3 4 2 3" xfId="1074" xr:uid="{00000000-0005-0000-0000-00001B040000}"/>
    <cellStyle name="40% - Accent3 4 2 3 2" xfId="1075" xr:uid="{00000000-0005-0000-0000-00001C040000}"/>
    <cellStyle name="40% - Accent3 4 2 3 3" xfId="1076" xr:uid="{00000000-0005-0000-0000-00001D040000}"/>
    <cellStyle name="40% - Accent3 4 2 4" xfId="1077" xr:uid="{00000000-0005-0000-0000-00001E040000}"/>
    <cellStyle name="40% - Accent3 4 2 5" xfId="1078" xr:uid="{00000000-0005-0000-0000-00001F040000}"/>
    <cellStyle name="40% - Accent3 4 3" xfId="1079" xr:uid="{00000000-0005-0000-0000-000020040000}"/>
    <cellStyle name="40% - Accent3 4 3 2" xfId="1080" xr:uid="{00000000-0005-0000-0000-000021040000}"/>
    <cellStyle name="40% - Accent3 4 3 2 2" xfId="1081" xr:uid="{00000000-0005-0000-0000-000022040000}"/>
    <cellStyle name="40% - Accent3 4 3 2 3" xfId="1082" xr:uid="{00000000-0005-0000-0000-000023040000}"/>
    <cellStyle name="40% - Accent3 4 3 3" xfId="1083" xr:uid="{00000000-0005-0000-0000-000024040000}"/>
    <cellStyle name="40% - Accent3 4 3 4" xfId="1084" xr:uid="{00000000-0005-0000-0000-000025040000}"/>
    <cellStyle name="40% - Accent3 4 4" xfId="1085" xr:uid="{00000000-0005-0000-0000-000026040000}"/>
    <cellStyle name="40% - Accent3 4 4 2" xfId="1086" xr:uid="{00000000-0005-0000-0000-000027040000}"/>
    <cellStyle name="40% - Accent3 4 4 3" xfId="1087" xr:uid="{00000000-0005-0000-0000-000028040000}"/>
    <cellStyle name="40% - Accent3 4 5" xfId="1088" xr:uid="{00000000-0005-0000-0000-000029040000}"/>
    <cellStyle name="40% - Accent3 4 5 2" xfId="1089" xr:uid="{00000000-0005-0000-0000-00002A040000}"/>
    <cellStyle name="40% - Accent3 4 5 3" xfId="1090" xr:uid="{00000000-0005-0000-0000-00002B040000}"/>
    <cellStyle name="40% - Accent3 4 6" xfId="1091" xr:uid="{00000000-0005-0000-0000-00002C040000}"/>
    <cellStyle name="40% - Accent3 4 7" xfId="1092" xr:uid="{00000000-0005-0000-0000-00002D040000}"/>
    <cellStyle name="40% - Accent3 5" xfId="1093" xr:uid="{00000000-0005-0000-0000-00002E040000}"/>
    <cellStyle name="40% - Accent3 5 2" xfId="1094" xr:uid="{00000000-0005-0000-0000-00002F040000}"/>
    <cellStyle name="40% - Accent3 5 2 2" xfId="1095" xr:uid="{00000000-0005-0000-0000-000030040000}"/>
    <cellStyle name="40% - Accent3 5 2 3" xfId="1096" xr:uid="{00000000-0005-0000-0000-000031040000}"/>
    <cellStyle name="40% - Accent3 5 3" xfId="1097" xr:uid="{00000000-0005-0000-0000-000032040000}"/>
    <cellStyle name="40% - Accent3 5 3 2" xfId="1098" xr:uid="{00000000-0005-0000-0000-000033040000}"/>
    <cellStyle name="40% - Accent3 5 3 3" xfId="1099" xr:uid="{00000000-0005-0000-0000-000034040000}"/>
    <cellStyle name="40% - Accent3 5 4" xfId="1100" xr:uid="{00000000-0005-0000-0000-000035040000}"/>
    <cellStyle name="40% - Accent3 5 5" xfId="1101" xr:uid="{00000000-0005-0000-0000-000036040000}"/>
    <cellStyle name="40% - Accent3 6" xfId="1102" xr:uid="{00000000-0005-0000-0000-000037040000}"/>
    <cellStyle name="40% - Accent3 6 2" xfId="1103" xr:uid="{00000000-0005-0000-0000-000038040000}"/>
    <cellStyle name="40% - Accent3 6 3" xfId="1104" xr:uid="{00000000-0005-0000-0000-000039040000}"/>
    <cellStyle name="40% - Accent4 2" xfId="1105" xr:uid="{00000000-0005-0000-0000-00003A040000}"/>
    <cellStyle name="40% - Accent4 2 2" xfId="1106" xr:uid="{00000000-0005-0000-0000-00003B040000}"/>
    <cellStyle name="40% - Accent4 2 2 2" xfId="1107" xr:uid="{00000000-0005-0000-0000-00003C040000}"/>
    <cellStyle name="40% - Accent4 2 2 2 2" xfId="1108" xr:uid="{00000000-0005-0000-0000-00003D040000}"/>
    <cellStyle name="40% - Accent4 2 2 2 2 2" xfId="1109" xr:uid="{00000000-0005-0000-0000-00003E040000}"/>
    <cellStyle name="40% - Accent4 2 2 2 2 3" xfId="1110" xr:uid="{00000000-0005-0000-0000-00003F040000}"/>
    <cellStyle name="40% - Accent4 2 2 2 3" xfId="1111" xr:uid="{00000000-0005-0000-0000-000040040000}"/>
    <cellStyle name="40% - Accent4 2 2 2 3 2" xfId="1112" xr:uid="{00000000-0005-0000-0000-000041040000}"/>
    <cellStyle name="40% - Accent4 2 2 2 3 3" xfId="1113" xr:uid="{00000000-0005-0000-0000-000042040000}"/>
    <cellStyle name="40% - Accent4 2 2 2 4" xfId="1114" xr:uid="{00000000-0005-0000-0000-000043040000}"/>
    <cellStyle name="40% - Accent4 2 2 2 5" xfId="1115" xr:uid="{00000000-0005-0000-0000-000044040000}"/>
    <cellStyle name="40% - Accent4 2 2 3" xfId="1116" xr:uid="{00000000-0005-0000-0000-000045040000}"/>
    <cellStyle name="40% - Accent4 2 2 3 2" xfId="1117" xr:uid="{00000000-0005-0000-0000-000046040000}"/>
    <cellStyle name="40% - Accent4 2 2 3 2 2" xfId="1118" xr:uid="{00000000-0005-0000-0000-000047040000}"/>
    <cellStyle name="40% - Accent4 2 2 3 2 3" xfId="1119" xr:uid="{00000000-0005-0000-0000-000048040000}"/>
    <cellStyle name="40% - Accent4 2 2 3 3" xfId="1120" xr:uid="{00000000-0005-0000-0000-000049040000}"/>
    <cellStyle name="40% - Accent4 2 2 3 3 2" xfId="1121" xr:uid="{00000000-0005-0000-0000-00004A040000}"/>
    <cellStyle name="40% - Accent4 2 2 3 3 3" xfId="1122" xr:uid="{00000000-0005-0000-0000-00004B040000}"/>
    <cellStyle name="40% - Accent4 2 2 3 4" xfId="1123" xr:uid="{00000000-0005-0000-0000-00004C040000}"/>
    <cellStyle name="40% - Accent4 2 2 3 5" xfId="1124" xr:uid="{00000000-0005-0000-0000-00004D040000}"/>
    <cellStyle name="40% - Accent4 2 2 4" xfId="1125" xr:uid="{00000000-0005-0000-0000-00004E040000}"/>
    <cellStyle name="40% - Accent4 2 2 4 2" xfId="1126" xr:uid="{00000000-0005-0000-0000-00004F040000}"/>
    <cellStyle name="40% - Accent4 2 2 4 3" xfId="1127" xr:uid="{00000000-0005-0000-0000-000050040000}"/>
    <cellStyle name="40% - Accent4 2 2 5" xfId="1128" xr:uid="{00000000-0005-0000-0000-000051040000}"/>
    <cellStyle name="40% - Accent4 2 2 5 2" xfId="1129" xr:uid="{00000000-0005-0000-0000-000052040000}"/>
    <cellStyle name="40% - Accent4 2 2 5 3" xfId="1130" xr:uid="{00000000-0005-0000-0000-000053040000}"/>
    <cellStyle name="40% - Accent4 2 2 6" xfId="1131" xr:uid="{00000000-0005-0000-0000-000054040000}"/>
    <cellStyle name="40% - Accent4 2 2 7" xfId="1132" xr:uid="{00000000-0005-0000-0000-000055040000}"/>
    <cellStyle name="40% - Accent4 2 3" xfId="1133" xr:uid="{00000000-0005-0000-0000-000056040000}"/>
    <cellStyle name="40% - Accent4 2 3 2" xfId="1134" xr:uid="{00000000-0005-0000-0000-000057040000}"/>
    <cellStyle name="40% - Accent4 2 3 2 2" xfId="1135" xr:uid="{00000000-0005-0000-0000-000058040000}"/>
    <cellStyle name="40% - Accent4 2 3 2 3" xfId="1136" xr:uid="{00000000-0005-0000-0000-000059040000}"/>
    <cellStyle name="40% - Accent4 2 3 3" xfId="1137" xr:uid="{00000000-0005-0000-0000-00005A040000}"/>
    <cellStyle name="40% - Accent4 2 3 3 2" xfId="1138" xr:uid="{00000000-0005-0000-0000-00005B040000}"/>
    <cellStyle name="40% - Accent4 2 3 3 3" xfId="1139" xr:uid="{00000000-0005-0000-0000-00005C040000}"/>
    <cellStyle name="40% - Accent4 2 3 4" xfId="1140" xr:uid="{00000000-0005-0000-0000-00005D040000}"/>
    <cellStyle name="40% - Accent4 2 3 5" xfId="1141" xr:uid="{00000000-0005-0000-0000-00005E040000}"/>
    <cellStyle name="40% - Accent4 2 4" xfId="1142" xr:uid="{00000000-0005-0000-0000-00005F040000}"/>
    <cellStyle name="40% - Accent4 2 4 2" xfId="1143" xr:uid="{00000000-0005-0000-0000-000060040000}"/>
    <cellStyle name="40% - Accent4 2 4 2 2" xfId="1144" xr:uid="{00000000-0005-0000-0000-000061040000}"/>
    <cellStyle name="40% - Accent4 2 4 2 3" xfId="1145" xr:uid="{00000000-0005-0000-0000-000062040000}"/>
    <cellStyle name="40% - Accent4 2 4 3" xfId="1146" xr:uid="{00000000-0005-0000-0000-000063040000}"/>
    <cellStyle name="40% - Accent4 2 4 3 2" xfId="1147" xr:uid="{00000000-0005-0000-0000-000064040000}"/>
    <cellStyle name="40% - Accent4 2 4 3 3" xfId="1148" xr:uid="{00000000-0005-0000-0000-000065040000}"/>
    <cellStyle name="40% - Accent4 2 4 4" xfId="1149" xr:uid="{00000000-0005-0000-0000-000066040000}"/>
    <cellStyle name="40% - Accent4 2 4 5" xfId="1150" xr:uid="{00000000-0005-0000-0000-000067040000}"/>
    <cellStyle name="40% - Accent4 2 5" xfId="1151" xr:uid="{00000000-0005-0000-0000-000068040000}"/>
    <cellStyle name="40% - Accent4 2 5 2" xfId="1152" xr:uid="{00000000-0005-0000-0000-000069040000}"/>
    <cellStyle name="40% - Accent4 2 5 3" xfId="1153" xr:uid="{00000000-0005-0000-0000-00006A040000}"/>
    <cellStyle name="40% - Accent4 2 6" xfId="1154" xr:uid="{00000000-0005-0000-0000-00006B040000}"/>
    <cellStyle name="40% - Accent4 2 6 2" xfId="1155" xr:uid="{00000000-0005-0000-0000-00006C040000}"/>
    <cellStyle name="40% - Accent4 2 6 3" xfId="1156" xr:uid="{00000000-0005-0000-0000-00006D040000}"/>
    <cellStyle name="40% - Accent4 2 7" xfId="1157" xr:uid="{00000000-0005-0000-0000-00006E040000}"/>
    <cellStyle name="40% - Accent4 2 7 2" xfId="1158" xr:uid="{00000000-0005-0000-0000-00006F040000}"/>
    <cellStyle name="40% - Accent4 2 7 3" xfId="1159" xr:uid="{00000000-0005-0000-0000-000070040000}"/>
    <cellStyle name="40% - Accent4 2 8" xfId="1160" xr:uid="{00000000-0005-0000-0000-000071040000}"/>
    <cellStyle name="40% - Accent4 2 9" xfId="1161" xr:uid="{00000000-0005-0000-0000-000072040000}"/>
    <cellStyle name="40% - Accent4 3" xfId="1162" xr:uid="{00000000-0005-0000-0000-000073040000}"/>
    <cellStyle name="40% - Accent4 3 2" xfId="1163" xr:uid="{00000000-0005-0000-0000-000074040000}"/>
    <cellStyle name="40% - Accent4 3 2 2" xfId="1164" xr:uid="{00000000-0005-0000-0000-000075040000}"/>
    <cellStyle name="40% - Accent4 3 2 2 2" xfId="1165" xr:uid="{00000000-0005-0000-0000-000076040000}"/>
    <cellStyle name="40% - Accent4 3 2 2 3" xfId="1166" xr:uid="{00000000-0005-0000-0000-000077040000}"/>
    <cellStyle name="40% - Accent4 3 2 3" xfId="1167" xr:uid="{00000000-0005-0000-0000-000078040000}"/>
    <cellStyle name="40% - Accent4 3 2 3 2" xfId="1168" xr:uid="{00000000-0005-0000-0000-000079040000}"/>
    <cellStyle name="40% - Accent4 3 2 3 3" xfId="1169" xr:uid="{00000000-0005-0000-0000-00007A040000}"/>
    <cellStyle name="40% - Accent4 3 2 4" xfId="1170" xr:uid="{00000000-0005-0000-0000-00007B040000}"/>
    <cellStyle name="40% - Accent4 3 2 5" xfId="1171" xr:uid="{00000000-0005-0000-0000-00007C040000}"/>
    <cellStyle name="40% - Accent4 3 3" xfId="1172" xr:uid="{00000000-0005-0000-0000-00007D040000}"/>
    <cellStyle name="40% - Accent4 3 3 2" xfId="1173" xr:uid="{00000000-0005-0000-0000-00007E040000}"/>
    <cellStyle name="40% - Accent4 3 3 2 2" xfId="1174" xr:uid="{00000000-0005-0000-0000-00007F040000}"/>
    <cellStyle name="40% - Accent4 3 3 2 3" xfId="1175" xr:uid="{00000000-0005-0000-0000-000080040000}"/>
    <cellStyle name="40% - Accent4 3 3 3" xfId="1176" xr:uid="{00000000-0005-0000-0000-000081040000}"/>
    <cellStyle name="40% - Accent4 3 3 3 2" xfId="1177" xr:uid="{00000000-0005-0000-0000-000082040000}"/>
    <cellStyle name="40% - Accent4 3 3 3 3" xfId="1178" xr:uid="{00000000-0005-0000-0000-000083040000}"/>
    <cellStyle name="40% - Accent4 3 3 4" xfId="1179" xr:uid="{00000000-0005-0000-0000-000084040000}"/>
    <cellStyle name="40% - Accent4 3 3 5" xfId="1180" xr:uid="{00000000-0005-0000-0000-000085040000}"/>
    <cellStyle name="40% - Accent4 3 4" xfId="1181" xr:uid="{00000000-0005-0000-0000-000086040000}"/>
    <cellStyle name="40% - Accent4 3 4 2" xfId="1182" xr:uid="{00000000-0005-0000-0000-000087040000}"/>
    <cellStyle name="40% - Accent4 3 4 3" xfId="1183" xr:uid="{00000000-0005-0000-0000-000088040000}"/>
    <cellStyle name="40% - Accent4 3 5" xfId="1184" xr:uid="{00000000-0005-0000-0000-000089040000}"/>
    <cellStyle name="40% - Accent4 3 5 2" xfId="1185" xr:uid="{00000000-0005-0000-0000-00008A040000}"/>
    <cellStyle name="40% - Accent4 3 5 3" xfId="1186" xr:uid="{00000000-0005-0000-0000-00008B040000}"/>
    <cellStyle name="40% - Accent4 3 6" xfId="1187" xr:uid="{00000000-0005-0000-0000-00008C040000}"/>
    <cellStyle name="40% - Accent4 3 7" xfId="1188" xr:uid="{00000000-0005-0000-0000-00008D040000}"/>
    <cellStyle name="40% - Accent4 4" xfId="1189" xr:uid="{00000000-0005-0000-0000-00008E040000}"/>
    <cellStyle name="40% - Accent4 4 2" xfId="1190" xr:uid="{00000000-0005-0000-0000-00008F040000}"/>
    <cellStyle name="40% - Accent4 4 2 2" xfId="1191" xr:uid="{00000000-0005-0000-0000-000090040000}"/>
    <cellStyle name="40% - Accent4 4 2 2 2" xfId="1192" xr:uid="{00000000-0005-0000-0000-000091040000}"/>
    <cellStyle name="40% - Accent4 4 2 2 3" xfId="1193" xr:uid="{00000000-0005-0000-0000-000092040000}"/>
    <cellStyle name="40% - Accent4 4 2 3" xfId="1194" xr:uid="{00000000-0005-0000-0000-000093040000}"/>
    <cellStyle name="40% - Accent4 4 2 3 2" xfId="1195" xr:uid="{00000000-0005-0000-0000-000094040000}"/>
    <cellStyle name="40% - Accent4 4 2 3 3" xfId="1196" xr:uid="{00000000-0005-0000-0000-000095040000}"/>
    <cellStyle name="40% - Accent4 4 2 4" xfId="1197" xr:uid="{00000000-0005-0000-0000-000096040000}"/>
    <cellStyle name="40% - Accent4 4 2 5" xfId="1198" xr:uid="{00000000-0005-0000-0000-000097040000}"/>
    <cellStyle name="40% - Accent4 4 3" xfId="1199" xr:uid="{00000000-0005-0000-0000-000098040000}"/>
    <cellStyle name="40% - Accent4 4 3 2" xfId="1200" xr:uid="{00000000-0005-0000-0000-000099040000}"/>
    <cellStyle name="40% - Accent4 4 3 2 2" xfId="1201" xr:uid="{00000000-0005-0000-0000-00009A040000}"/>
    <cellStyle name="40% - Accent4 4 3 2 3" xfId="1202" xr:uid="{00000000-0005-0000-0000-00009B040000}"/>
    <cellStyle name="40% - Accent4 4 3 3" xfId="1203" xr:uid="{00000000-0005-0000-0000-00009C040000}"/>
    <cellStyle name="40% - Accent4 4 3 4" xfId="1204" xr:uid="{00000000-0005-0000-0000-00009D040000}"/>
    <cellStyle name="40% - Accent4 4 4" xfId="1205" xr:uid="{00000000-0005-0000-0000-00009E040000}"/>
    <cellStyle name="40% - Accent4 4 4 2" xfId="1206" xr:uid="{00000000-0005-0000-0000-00009F040000}"/>
    <cellStyle name="40% - Accent4 4 4 3" xfId="1207" xr:uid="{00000000-0005-0000-0000-0000A0040000}"/>
    <cellStyle name="40% - Accent4 4 5" xfId="1208" xr:uid="{00000000-0005-0000-0000-0000A1040000}"/>
    <cellStyle name="40% - Accent4 4 5 2" xfId="1209" xr:uid="{00000000-0005-0000-0000-0000A2040000}"/>
    <cellStyle name="40% - Accent4 4 5 3" xfId="1210" xr:uid="{00000000-0005-0000-0000-0000A3040000}"/>
    <cellStyle name="40% - Accent4 4 6" xfId="1211" xr:uid="{00000000-0005-0000-0000-0000A4040000}"/>
    <cellStyle name="40% - Accent4 4 7" xfId="1212" xr:uid="{00000000-0005-0000-0000-0000A5040000}"/>
    <cellStyle name="40% - Accent4 5" xfId="1213" xr:uid="{00000000-0005-0000-0000-0000A6040000}"/>
    <cellStyle name="40% - Accent4 5 2" xfId="1214" xr:uid="{00000000-0005-0000-0000-0000A7040000}"/>
    <cellStyle name="40% - Accent4 5 2 2" xfId="1215" xr:uid="{00000000-0005-0000-0000-0000A8040000}"/>
    <cellStyle name="40% - Accent4 5 2 3" xfId="1216" xr:uid="{00000000-0005-0000-0000-0000A9040000}"/>
    <cellStyle name="40% - Accent4 5 3" xfId="1217" xr:uid="{00000000-0005-0000-0000-0000AA040000}"/>
    <cellStyle name="40% - Accent4 5 3 2" xfId="1218" xr:uid="{00000000-0005-0000-0000-0000AB040000}"/>
    <cellStyle name="40% - Accent4 5 3 3" xfId="1219" xr:uid="{00000000-0005-0000-0000-0000AC040000}"/>
    <cellStyle name="40% - Accent4 5 4" xfId="1220" xr:uid="{00000000-0005-0000-0000-0000AD040000}"/>
    <cellStyle name="40% - Accent4 5 5" xfId="1221" xr:uid="{00000000-0005-0000-0000-0000AE040000}"/>
    <cellStyle name="40% - Accent4 6" xfId="1222" xr:uid="{00000000-0005-0000-0000-0000AF040000}"/>
    <cellStyle name="40% - Accent4 6 2" xfId="1223" xr:uid="{00000000-0005-0000-0000-0000B0040000}"/>
    <cellStyle name="40% - Accent4 6 3" xfId="1224" xr:uid="{00000000-0005-0000-0000-0000B1040000}"/>
    <cellStyle name="40% - Accent5 2" xfId="1225" xr:uid="{00000000-0005-0000-0000-0000B2040000}"/>
    <cellStyle name="40% - Accent5 2 2" xfId="1226" xr:uid="{00000000-0005-0000-0000-0000B3040000}"/>
    <cellStyle name="40% - Accent5 2 2 2" xfId="1227" xr:uid="{00000000-0005-0000-0000-0000B4040000}"/>
    <cellStyle name="40% - Accent5 2 2 2 2" xfId="1228" xr:uid="{00000000-0005-0000-0000-0000B5040000}"/>
    <cellStyle name="40% - Accent5 2 2 2 2 2" xfId="1229" xr:uid="{00000000-0005-0000-0000-0000B6040000}"/>
    <cellStyle name="40% - Accent5 2 2 2 2 3" xfId="1230" xr:uid="{00000000-0005-0000-0000-0000B7040000}"/>
    <cellStyle name="40% - Accent5 2 2 2 3" xfId="1231" xr:uid="{00000000-0005-0000-0000-0000B8040000}"/>
    <cellStyle name="40% - Accent5 2 2 2 3 2" xfId="1232" xr:uid="{00000000-0005-0000-0000-0000B9040000}"/>
    <cellStyle name="40% - Accent5 2 2 2 3 3" xfId="1233" xr:uid="{00000000-0005-0000-0000-0000BA040000}"/>
    <cellStyle name="40% - Accent5 2 2 2 4" xfId="1234" xr:uid="{00000000-0005-0000-0000-0000BB040000}"/>
    <cellStyle name="40% - Accent5 2 2 2 5" xfId="1235" xr:uid="{00000000-0005-0000-0000-0000BC040000}"/>
    <cellStyle name="40% - Accent5 2 2 3" xfId="1236" xr:uid="{00000000-0005-0000-0000-0000BD040000}"/>
    <cellStyle name="40% - Accent5 2 2 3 2" xfId="1237" xr:uid="{00000000-0005-0000-0000-0000BE040000}"/>
    <cellStyle name="40% - Accent5 2 2 3 2 2" xfId="1238" xr:uid="{00000000-0005-0000-0000-0000BF040000}"/>
    <cellStyle name="40% - Accent5 2 2 3 2 3" xfId="1239" xr:uid="{00000000-0005-0000-0000-0000C0040000}"/>
    <cellStyle name="40% - Accent5 2 2 3 3" xfId="1240" xr:uid="{00000000-0005-0000-0000-0000C1040000}"/>
    <cellStyle name="40% - Accent5 2 2 3 3 2" xfId="1241" xr:uid="{00000000-0005-0000-0000-0000C2040000}"/>
    <cellStyle name="40% - Accent5 2 2 3 3 3" xfId="1242" xr:uid="{00000000-0005-0000-0000-0000C3040000}"/>
    <cellStyle name="40% - Accent5 2 2 3 4" xfId="1243" xr:uid="{00000000-0005-0000-0000-0000C4040000}"/>
    <cellStyle name="40% - Accent5 2 2 3 5" xfId="1244" xr:uid="{00000000-0005-0000-0000-0000C5040000}"/>
    <cellStyle name="40% - Accent5 2 2 4" xfId="1245" xr:uid="{00000000-0005-0000-0000-0000C6040000}"/>
    <cellStyle name="40% - Accent5 2 2 4 2" xfId="1246" xr:uid="{00000000-0005-0000-0000-0000C7040000}"/>
    <cellStyle name="40% - Accent5 2 2 4 3" xfId="1247" xr:uid="{00000000-0005-0000-0000-0000C8040000}"/>
    <cellStyle name="40% - Accent5 2 2 5" xfId="1248" xr:uid="{00000000-0005-0000-0000-0000C9040000}"/>
    <cellStyle name="40% - Accent5 2 2 5 2" xfId="1249" xr:uid="{00000000-0005-0000-0000-0000CA040000}"/>
    <cellStyle name="40% - Accent5 2 2 5 3" xfId="1250" xr:uid="{00000000-0005-0000-0000-0000CB040000}"/>
    <cellStyle name="40% - Accent5 2 2 6" xfId="1251" xr:uid="{00000000-0005-0000-0000-0000CC040000}"/>
    <cellStyle name="40% - Accent5 2 2 7" xfId="1252" xr:uid="{00000000-0005-0000-0000-0000CD040000}"/>
    <cellStyle name="40% - Accent5 2 3" xfId="1253" xr:uid="{00000000-0005-0000-0000-0000CE040000}"/>
    <cellStyle name="40% - Accent5 2 3 2" xfId="1254" xr:uid="{00000000-0005-0000-0000-0000CF040000}"/>
    <cellStyle name="40% - Accent5 2 3 2 2" xfId="1255" xr:uid="{00000000-0005-0000-0000-0000D0040000}"/>
    <cellStyle name="40% - Accent5 2 3 2 3" xfId="1256" xr:uid="{00000000-0005-0000-0000-0000D1040000}"/>
    <cellStyle name="40% - Accent5 2 3 3" xfId="1257" xr:uid="{00000000-0005-0000-0000-0000D2040000}"/>
    <cellStyle name="40% - Accent5 2 3 3 2" xfId="1258" xr:uid="{00000000-0005-0000-0000-0000D3040000}"/>
    <cellStyle name="40% - Accent5 2 3 3 3" xfId="1259" xr:uid="{00000000-0005-0000-0000-0000D4040000}"/>
    <cellStyle name="40% - Accent5 2 3 4" xfId="1260" xr:uid="{00000000-0005-0000-0000-0000D5040000}"/>
    <cellStyle name="40% - Accent5 2 3 5" xfId="1261" xr:uid="{00000000-0005-0000-0000-0000D6040000}"/>
    <cellStyle name="40% - Accent5 2 4" xfId="1262" xr:uid="{00000000-0005-0000-0000-0000D7040000}"/>
    <cellStyle name="40% - Accent5 2 4 2" xfId="1263" xr:uid="{00000000-0005-0000-0000-0000D8040000}"/>
    <cellStyle name="40% - Accent5 2 4 2 2" xfId="1264" xr:uid="{00000000-0005-0000-0000-0000D9040000}"/>
    <cellStyle name="40% - Accent5 2 4 2 3" xfId="1265" xr:uid="{00000000-0005-0000-0000-0000DA040000}"/>
    <cellStyle name="40% - Accent5 2 4 3" xfId="1266" xr:uid="{00000000-0005-0000-0000-0000DB040000}"/>
    <cellStyle name="40% - Accent5 2 4 3 2" xfId="1267" xr:uid="{00000000-0005-0000-0000-0000DC040000}"/>
    <cellStyle name="40% - Accent5 2 4 3 3" xfId="1268" xr:uid="{00000000-0005-0000-0000-0000DD040000}"/>
    <cellStyle name="40% - Accent5 2 4 4" xfId="1269" xr:uid="{00000000-0005-0000-0000-0000DE040000}"/>
    <cellStyle name="40% - Accent5 2 4 5" xfId="1270" xr:uid="{00000000-0005-0000-0000-0000DF040000}"/>
    <cellStyle name="40% - Accent5 2 5" xfId="1271" xr:uid="{00000000-0005-0000-0000-0000E0040000}"/>
    <cellStyle name="40% - Accent5 2 5 2" xfId="1272" xr:uid="{00000000-0005-0000-0000-0000E1040000}"/>
    <cellStyle name="40% - Accent5 2 5 3" xfId="1273" xr:uid="{00000000-0005-0000-0000-0000E2040000}"/>
    <cellStyle name="40% - Accent5 2 6" xfId="1274" xr:uid="{00000000-0005-0000-0000-0000E3040000}"/>
    <cellStyle name="40% - Accent5 2 6 2" xfId="1275" xr:uid="{00000000-0005-0000-0000-0000E4040000}"/>
    <cellStyle name="40% - Accent5 2 6 3" xfId="1276" xr:uid="{00000000-0005-0000-0000-0000E5040000}"/>
    <cellStyle name="40% - Accent5 2 7" xfId="1277" xr:uid="{00000000-0005-0000-0000-0000E6040000}"/>
    <cellStyle name="40% - Accent5 2 7 2" xfId="1278" xr:uid="{00000000-0005-0000-0000-0000E7040000}"/>
    <cellStyle name="40% - Accent5 2 7 3" xfId="1279" xr:uid="{00000000-0005-0000-0000-0000E8040000}"/>
    <cellStyle name="40% - Accent5 2 8" xfId="1280" xr:uid="{00000000-0005-0000-0000-0000E9040000}"/>
    <cellStyle name="40% - Accent5 2 9" xfId="1281" xr:uid="{00000000-0005-0000-0000-0000EA040000}"/>
    <cellStyle name="40% - Accent5 3" xfId="1282" xr:uid="{00000000-0005-0000-0000-0000EB040000}"/>
    <cellStyle name="40% - Accent5 3 2" xfId="1283" xr:uid="{00000000-0005-0000-0000-0000EC040000}"/>
    <cellStyle name="40% - Accent5 3 2 2" xfId="1284" xr:uid="{00000000-0005-0000-0000-0000ED040000}"/>
    <cellStyle name="40% - Accent5 3 2 2 2" xfId="1285" xr:uid="{00000000-0005-0000-0000-0000EE040000}"/>
    <cellStyle name="40% - Accent5 3 2 2 3" xfId="1286" xr:uid="{00000000-0005-0000-0000-0000EF040000}"/>
    <cellStyle name="40% - Accent5 3 2 3" xfId="1287" xr:uid="{00000000-0005-0000-0000-0000F0040000}"/>
    <cellStyle name="40% - Accent5 3 2 3 2" xfId="1288" xr:uid="{00000000-0005-0000-0000-0000F1040000}"/>
    <cellStyle name="40% - Accent5 3 2 3 3" xfId="1289" xr:uid="{00000000-0005-0000-0000-0000F2040000}"/>
    <cellStyle name="40% - Accent5 3 2 4" xfId="1290" xr:uid="{00000000-0005-0000-0000-0000F3040000}"/>
    <cellStyle name="40% - Accent5 3 2 5" xfId="1291" xr:uid="{00000000-0005-0000-0000-0000F4040000}"/>
    <cellStyle name="40% - Accent5 3 3" xfId="1292" xr:uid="{00000000-0005-0000-0000-0000F5040000}"/>
    <cellStyle name="40% - Accent5 3 3 2" xfId="1293" xr:uid="{00000000-0005-0000-0000-0000F6040000}"/>
    <cellStyle name="40% - Accent5 3 3 2 2" xfId="1294" xr:uid="{00000000-0005-0000-0000-0000F7040000}"/>
    <cellStyle name="40% - Accent5 3 3 2 3" xfId="1295" xr:uid="{00000000-0005-0000-0000-0000F8040000}"/>
    <cellStyle name="40% - Accent5 3 3 3" xfId="1296" xr:uid="{00000000-0005-0000-0000-0000F9040000}"/>
    <cellStyle name="40% - Accent5 3 3 3 2" xfId="1297" xr:uid="{00000000-0005-0000-0000-0000FA040000}"/>
    <cellStyle name="40% - Accent5 3 3 3 3" xfId="1298" xr:uid="{00000000-0005-0000-0000-0000FB040000}"/>
    <cellStyle name="40% - Accent5 3 3 4" xfId="1299" xr:uid="{00000000-0005-0000-0000-0000FC040000}"/>
    <cellStyle name="40% - Accent5 3 3 5" xfId="1300" xr:uid="{00000000-0005-0000-0000-0000FD040000}"/>
    <cellStyle name="40% - Accent5 3 4" xfId="1301" xr:uid="{00000000-0005-0000-0000-0000FE040000}"/>
    <cellStyle name="40% - Accent5 3 4 2" xfId="1302" xr:uid="{00000000-0005-0000-0000-0000FF040000}"/>
    <cellStyle name="40% - Accent5 3 4 3" xfId="1303" xr:uid="{00000000-0005-0000-0000-000000050000}"/>
    <cellStyle name="40% - Accent5 3 5" xfId="1304" xr:uid="{00000000-0005-0000-0000-000001050000}"/>
    <cellStyle name="40% - Accent5 3 5 2" xfId="1305" xr:uid="{00000000-0005-0000-0000-000002050000}"/>
    <cellStyle name="40% - Accent5 3 5 3" xfId="1306" xr:uid="{00000000-0005-0000-0000-000003050000}"/>
    <cellStyle name="40% - Accent5 3 6" xfId="1307" xr:uid="{00000000-0005-0000-0000-000004050000}"/>
    <cellStyle name="40% - Accent5 3 7" xfId="1308" xr:uid="{00000000-0005-0000-0000-000005050000}"/>
    <cellStyle name="40% - Accent5 4" xfId="1309" xr:uid="{00000000-0005-0000-0000-000006050000}"/>
    <cellStyle name="40% - Accent5 4 2" xfId="1310" xr:uid="{00000000-0005-0000-0000-000007050000}"/>
    <cellStyle name="40% - Accent5 4 2 2" xfId="1311" xr:uid="{00000000-0005-0000-0000-000008050000}"/>
    <cellStyle name="40% - Accent5 4 2 2 2" xfId="1312" xr:uid="{00000000-0005-0000-0000-000009050000}"/>
    <cellStyle name="40% - Accent5 4 2 2 3" xfId="1313" xr:uid="{00000000-0005-0000-0000-00000A050000}"/>
    <cellStyle name="40% - Accent5 4 2 3" xfId="1314" xr:uid="{00000000-0005-0000-0000-00000B050000}"/>
    <cellStyle name="40% - Accent5 4 2 3 2" xfId="1315" xr:uid="{00000000-0005-0000-0000-00000C050000}"/>
    <cellStyle name="40% - Accent5 4 2 3 3" xfId="1316" xr:uid="{00000000-0005-0000-0000-00000D050000}"/>
    <cellStyle name="40% - Accent5 4 2 4" xfId="1317" xr:uid="{00000000-0005-0000-0000-00000E050000}"/>
    <cellStyle name="40% - Accent5 4 2 5" xfId="1318" xr:uid="{00000000-0005-0000-0000-00000F050000}"/>
    <cellStyle name="40% - Accent5 4 3" xfId="1319" xr:uid="{00000000-0005-0000-0000-000010050000}"/>
    <cellStyle name="40% - Accent5 4 3 2" xfId="1320" xr:uid="{00000000-0005-0000-0000-000011050000}"/>
    <cellStyle name="40% - Accent5 4 3 2 2" xfId="1321" xr:uid="{00000000-0005-0000-0000-000012050000}"/>
    <cellStyle name="40% - Accent5 4 3 2 3" xfId="1322" xr:uid="{00000000-0005-0000-0000-000013050000}"/>
    <cellStyle name="40% - Accent5 4 3 3" xfId="1323" xr:uid="{00000000-0005-0000-0000-000014050000}"/>
    <cellStyle name="40% - Accent5 4 3 4" xfId="1324" xr:uid="{00000000-0005-0000-0000-000015050000}"/>
    <cellStyle name="40% - Accent5 4 4" xfId="1325" xr:uid="{00000000-0005-0000-0000-000016050000}"/>
    <cellStyle name="40% - Accent5 4 4 2" xfId="1326" xr:uid="{00000000-0005-0000-0000-000017050000}"/>
    <cellStyle name="40% - Accent5 4 4 3" xfId="1327" xr:uid="{00000000-0005-0000-0000-000018050000}"/>
    <cellStyle name="40% - Accent5 4 5" xfId="1328" xr:uid="{00000000-0005-0000-0000-000019050000}"/>
    <cellStyle name="40% - Accent5 4 5 2" xfId="1329" xr:uid="{00000000-0005-0000-0000-00001A050000}"/>
    <cellStyle name="40% - Accent5 4 5 3" xfId="1330" xr:uid="{00000000-0005-0000-0000-00001B050000}"/>
    <cellStyle name="40% - Accent5 4 6" xfId="1331" xr:uid="{00000000-0005-0000-0000-00001C050000}"/>
    <cellStyle name="40% - Accent5 4 7" xfId="1332" xr:uid="{00000000-0005-0000-0000-00001D050000}"/>
    <cellStyle name="40% - Accent5 5" xfId="1333" xr:uid="{00000000-0005-0000-0000-00001E050000}"/>
    <cellStyle name="40% - Accent5 5 2" xfId="1334" xr:uid="{00000000-0005-0000-0000-00001F050000}"/>
    <cellStyle name="40% - Accent5 5 2 2" xfId="1335" xr:uid="{00000000-0005-0000-0000-000020050000}"/>
    <cellStyle name="40% - Accent5 5 2 3" xfId="1336" xr:uid="{00000000-0005-0000-0000-000021050000}"/>
    <cellStyle name="40% - Accent5 5 3" xfId="1337" xr:uid="{00000000-0005-0000-0000-000022050000}"/>
    <cellStyle name="40% - Accent5 5 3 2" xfId="1338" xr:uid="{00000000-0005-0000-0000-000023050000}"/>
    <cellStyle name="40% - Accent5 5 3 3" xfId="1339" xr:uid="{00000000-0005-0000-0000-000024050000}"/>
    <cellStyle name="40% - Accent5 5 4" xfId="1340" xr:uid="{00000000-0005-0000-0000-000025050000}"/>
    <cellStyle name="40% - Accent5 5 5" xfId="1341" xr:uid="{00000000-0005-0000-0000-000026050000}"/>
    <cellStyle name="40% - Accent5 6" xfId="1342" xr:uid="{00000000-0005-0000-0000-000027050000}"/>
    <cellStyle name="40% - Accent5 6 2" xfId="1343" xr:uid="{00000000-0005-0000-0000-000028050000}"/>
    <cellStyle name="40% - Accent5 6 3" xfId="1344" xr:uid="{00000000-0005-0000-0000-000029050000}"/>
    <cellStyle name="40% - Accent6 2" xfId="1345" xr:uid="{00000000-0005-0000-0000-00002A050000}"/>
    <cellStyle name="40% - Accent6 2 2" xfId="1346" xr:uid="{00000000-0005-0000-0000-00002B050000}"/>
    <cellStyle name="40% - Accent6 2 2 2" xfId="1347" xr:uid="{00000000-0005-0000-0000-00002C050000}"/>
    <cellStyle name="40% - Accent6 2 2 2 2" xfId="1348" xr:uid="{00000000-0005-0000-0000-00002D050000}"/>
    <cellStyle name="40% - Accent6 2 2 2 2 2" xfId="1349" xr:uid="{00000000-0005-0000-0000-00002E050000}"/>
    <cellStyle name="40% - Accent6 2 2 2 2 3" xfId="1350" xr:uid="{00000000-0005-0000-0000-00002F050000}"/>
    <cellStyle name="40% - Accent6 2 2 2 3" xfId="1351" xr:uid="{00000000-0005-0000-0000-000030050000}"/>
    <cellStyle name="40% - Accent6 2 2 2 3 2" xfId="1352" xr:uid="{00000000-0005-0000-0000-000031050000}"/>
    <cellStyle name="40% - Accent6 2 2 2 3 3" xfId="1353" xr:uid="{00000000-0005-0000-0000-000032050000}"/>
    <cellStyle name="40% - Accent6 2 2 2 4" xfId="1354" xr:uid="{00000000-0005-0000-0000-000033050000}"/>
    <cellStyle name="40% - Accent6 2 2 2 5" xfId="1355" xr:uid="{00000000-0005-0000-0000-000034050000}"/>
    <cellStyle name="40% - Accent6 2 2 3" xfId="1356" xr:uid="{00000000-0005-0000-0000-000035050000}"/>
    <cellStyle name="40% - Accent6 2 2 3 2" xfId="1357" xr:uid="{00000000-0005-0000-0000-000036050000}"/>
    <cellStyle name="40% - Accent6 2 2 3 2 2" xfId="1358" xr:uid="{00000000-0005-0000-0000-000037050000}"/>
    <cellStyle name="40% - Accent6 2 2 3 2 3" xfId="1359" xr:uid="{00000000-0005-0000-0000-000038050000}"/>
    <cellStyle name="40% - Accent6 2 2 3 3" xfId="1360" xr:uid="{00000000-0005-0000-0000-000039050000}"/>
    <cellStyle name="40% - Accent6 2 2 3 3 2" xfId="1361" xr:uid="{00000000-0005-0000-0000-00003A050000}"/>
    <cellStyle name="40% - Accent6 2 2 3 3 3" xfId="1362" xr:uid="{00000000-0005-0000-0000-00003B050000}"/>
    <cellStyle name="40% - Accent6 2 2 3 4" xfId="1363" xr:uid="{00000000-0005-0000-0000-00003C050000}"/>
    <cellStyle name="40% - Accent6 2 2 3 5" xfId="1364" xr:uid="{00000000-0005-0000-0000-00003D050000}"/>
    <cellStyle name="40% - Accent6 2 2 4" xfId="1365" xr:uid="{00000000-0005-0000-0000-00003E050000}"/>
    <cellStyle name="40% - Accent6 2 2 4 2" xfId="1366" xr:uid="{00000000-0005-0000-0000-00003F050000}"/>
    <cellStyle name="40% - Accent6 2 2 4 3" xfId="1367" xr:uid="{00000000-0005-0000-0000-000040050000}"/>
    <cellStyle name="40% - Accent6 2 2 5" xfId="1368" xr:uid="{00000000-0005-0000-0000-000041050000}"/>
    <cellStyle name="40% - Accent6 2 2 5 2" xfId="1369" xr:uid="{00000000-0005-0000-0000-000042050000}"/>
    <cellStyle name="40% - Accent6 2 2 5 3" xfId="1370" xr:uid="{00000000-0005-0000-0000-000043050000}"/>
    <cellStyle name="40% - Accent6 2 2 6" xfId="1371" xr:uid="{00000000-0005-0000-0000-000044050000}"/>
    <cellStyle name="40% - Accent6 2 2 7" xfId="1372" xr:uid="{00000000-0005-0000-0000-000045050000}"/>
    <cellStyle name="40% - Accent6 2 3" xfId="1373" xr:uid="{00000000-0005-0000-0000-000046050000}"/>
    <cellStyle name="40% - Accent6 2 3 2" xfId="1374" xr:uid="{00000000-0005-0000-0000-000047050000}"/>
    <cellStyle name="40% - Accent6 2 3 2 2" xfId="1375" xr:uid="{00000000-0005-0000-0000-000048050000}"/>
    <cellStyle name="40% - Accent6 2 3 2 3" xfId="1376" xr:uid="{00000000-0005-0000-0000-000049050000}"/>
    <cellStyle name="40% - Accent6 2 3 3" xfId="1377" xr:uid="{00000000-0005-0000-0000-00004A050000}"/>
    <cellStyle name="40% - Accent6 2 3 3 2" xfId="1378" xr:uid="{00000000-0005-0000-0000-00004B050000}"/>
    <cellStyle name="40% - Accent6 2 3 3 3" xfId="1379" xr:uid="{00000000-0005-0000-0000-00004C050000}"/>
    <cellStyle name="40% - Accent6 2 3 4" xfId="1380" xr:uid="{00000000-0005-0000-0000-00004D050000}"/>
    <cellStyle name="40% - Accent6 2 3 5" xfId="1381" xr:uid="{00000000-0005-0000-0000-00004E050000}"/>
    <cellStyle name="40% - Accent6 2 4" xfId="1382" xr:uid="{00000000-0005-0000-0000-00004F050000}"/>
    <cellStyle name="40% - Accent6 2 4 2" xfId="1383" xr:uid="{00000000-0005-0000-0000-000050050000}"/>
    <cellStyle name="40% - Accent6 2 4 2 2" xfId="1384" xr:uid="{00000000-0005-0000-0000-000051050000}"/>
    <cellStyle name="40% - Accent6 2 4 2 3" xfId="1385" xr:uid="{00000000-0005-0000-0000-000052050000}"/>
    <cellStyle name="40% - Accent6 2 4 3" xfId="1386" xr:uid="{00000000-0005-0000-0000-000053050000}"/>
    <cellStyle name="40% - Accent6 2 4 3 2" xfId="1387" xr:uid="{00000000-0005-0000-0000-000054050000}"/>
    <cellStyle name="40% - Accent6 2 4 3 3" xfId="1388" xr:uid="{00000000-0005-0000-0000-000055050000}"/>
    <cellStyle name="40% - Accent6 2 4 4" xfId="1389" xr:uid="{00000000-0005-0000-0000-000056050000}"/>
    <cellStyle name="40% - Accent6 2 4 5" xfId="1390" xr:uid="{00000000-0005-0000-0000-000057050000}"/>
    <cellStyle name="40% - Accent6 2 5" xfId="1391" xr:uid="{00000000-0005-0000-0000-000058050000}"/>
    <cellStyle name="40% - Accent6 2 5 2" xfId="1392" xr:uid="{00000000-0005-0000-0000-000059050000}"/>
    <cellStyle name="40% - Accent6 2 5 3" xfId="1393" xr:uid="{00000000-0005-0000-0000-00005A050000}"/>
    <cellStyle name="40% - Accent6 2 6" xfId="1394" xr:uid="{00000000-0005-0000-0000-00005B050000}"/>
    <cellStyle name="40% - Accent6 2 6 2" xfId="1395" xr:uid="{00000000-0005-0000-0000-00005C050000}"/>
    <cellStyle name="40% - Accent6 2 6 3" xfId="1396" xr:uid="{00000000-0005-0000-0000-00005D050000}"/>
    <cellStyle name="40% - Accent6 2 7" xfId="1397" xr:uid="{00000000-0005-0000-0000-00005E050000}"/>
    <cellStyle name="40% - Accent6 2 7 2" xfId="1398" xr:uid="{00000000-0005-0000-0000-00005F050000}"/>
    <cellStyle name="40% - Accent6 2 7 3" xfId="1399" xr:uid="{00000000-0005-0000-0000-000060050000}"/>
    <cellStyle name="40% - Accent6 2 8" xfId="1400" xr:uid="{00000000-0005-0000-0000-000061050000}"/>
    <cellStyle name="40% - Accent6 2 9" xfId="1401" xr:uid="{00000000-0005-0000-0000-000062050000}"/>
    <cellStyle name="40% - Accent6 3" xfId="1402" xr:uid="{00000000-0005-0000-0000-000063050000}"/>
    <cellStyle name="40% - Accent6 3 2" xfId="1403" xr:uid="{00000000-0005-0000-0000-000064050000}"/>
    <cellStyle name="40% - Accent6 3 2 2" xfId="1404" xr:uid="{00000000-0005-0000-0000-000065050000}"/>
    <cellStyle name="40% - Accent6 3 2 2 2" xfId="1405" xr:uid="{00000000-0005-0000-0000-000066050000}"/>
    <cellStyle name="40% - Accent6 3 2 2 3" xfId="1406" xr:uid="{00000000-0005-0000-0000-000067050000}"/>
    <cellStyle name="40% - Accent6 3 2 3" xfId="1407" xr:uid="{00000000-0005-0000-0000-000068050000}"/>
    <cellStyle name="40% - Accent6 3 2 3 2" xfId="1408" xr:uid="{00000000-0005-0000-0000-000069050000}"/>
    <cellStyle name="40% - Accent6 3 2 3 3" xfId="1409" xr:uid="{00000000-0005-0000-0000-00006A050000}"/>
    <cellStyle name="40% - Accent6 3 2 4" xfId="1410" xr:uid="{00000000-0005-0000-0000-00006B050000}"/>
    <cellStyle name="40% - Accent6 3 2 5" xfId="1411" xr:uid="{00000000-0005-0000-0000-00006C050000}"/>
    <cellStyle name="40% - Accent6 3 3" xfId="1412" xr:uid="{00000000-0005-0000-0000-00006D050000}"/>
    <cellStyle name="40% - Accent6 3 3 2" xfId="1413" xr:uid="{00000000-0005-0000-0000-00006E050000}"/>
    <cellStyle name="40% - Accent6 3 3 2 2" xfId="1414" xr:uid="{00000000-0005-0000-0000-00006F050000}"/>
    <cellStyle name="40% - Accent6 3 3 2 3" xfId="1415" xr:uid="{00000000-0005-0000-0000-000070050000}"/>
    <cellStyle name="40% - Accent6 3 3 3" xfId="1416" xr:uid="{00000000-0005-0000-0000-000071050000}"/>
    <cellStyle name="40% - Accent6 3 3 3 2" xfId="1417" xr:uid="{00000000-0005-0000-0000-000072050000}"/>
    <cellStyle name="40% - Accent6 3 3 3 3" xfId="1418" xr:uid="{00000000-0005-0000-0000-000073050000}"/>
    <cellStyle name="40% - Accent6 3 3 4" xfId="1419" xr:uid="{00000000-0005-0000-0000-000074050000}"/>
    <cellStyle name="40% - Accent6 3 3 5" xfId="1420" xr:uid="{00000000-0005-0000-0000-000075050000}"/>
    <cellStyle name="40% - Accent6 3 4" xfId="1421" xr:uid="{00000000-0005-0000-0000-000076050000}"/>
    <cellStyle name="40% - Accent6 3 4 2" xfId="1422" xr:uid="{00000000-0005-0000-0000-000077050000}"/>
    <cellStyle name="40% - Accent6 3 4 3" xfId="1423" xr:uid="{00000000-0005-0000-0000-000078050000}"/>
    <cellStyle name="40% - Accent6 3 5" xfId="1424" xr:uid="{00000000-0005-0000-0000-000079050000}"/>
    <cellStyle name="40% - Accent6 3 5 2" xfId="1425" xr:uid="{00000000-0005-0000-0000-00007A050000}"/>
    <cellStyle name="40% - Accent6 3 5 3" xfId="1426" xr:uid="{00000000-0005-0000-0000-00007B050000}"/>
    <cellStyle name="40% - Accent6 3 6" xfId="1427" xr:uid="{00000000-0005-0000-0000-00007C050000}"/>
    <cellStyle name="40% - Accent6 3 7" xfId="1428" xr:uid="{00000000-0005-0000-0000-00007D050000}"/>
    <cellStyle name="40% - Accent6 4" xfId="1429" xr:uid="{00000000-0005-0000-0000-00007E050000}"/>
    <cellStyle name="40% - Accent6 4 2" xfId="1430" xr:uid="{00000000-0005-0000-0000-00007F050000}"/>
    <cellStyle name="40% - Accent6 4 2 2" xfId="1431" xr:uid="{00000000-0005-0000-0000-000080050000}"/>
    <cellStyle name="40% - Accent6 4 2 2 2" xfId="1432" xr:uid="{00000000-0005-0000-0000-000081050000}"/>
    <cellStyle name="40% - Accent6 4 2 2 3" xfId="1433" xr:uid="{00000000-0005-0000-0000-000082050000}"/>
    <cellStyle name="40% - Accent6 4 2 3" xfId="1434" xr:uid="{00000000-0005-0000-0000-000083050000}"/>
    <cellStyle name="40% - Accent6 4 2 3 2" xfId="1435" xr:uid="{00000000-0005-0000-0000-000084050000}"/>
    <cellStyle name="40% - Accent6 4 2 3 3" xfId="1436" xr:uid="{00000000-0005-0000-0000-000085050000}"/>
    <cellStyle name="40% - Accent6 4 2 4" xfId="1437" xr:uid="{00000000-0005-0000-0000-000086050000}"/>
    <cellStyle name="40% - Accent6 4 2 5" xfId="1438" xr:uid="{00000000-0005-0000-0000-000087050000}"/>
    <cellStyle name="40% - Accent6 4 3" xfId="1439" xr:uid="{00000000-0005-0000-0000-000088050000}"/>
    <cellStyle name="40% - Accent6 4 3 2" xfId="1440" xr:uid="{00000000-0005-0000-0000-000089050000}"/>
    <cellStyle name="40% - Accent6 4 3 2 2" xfId="1441" xr:uid="{00000000-0005-0000-0000-00008A050000}"/>
    <cellStyle name="40% - Accent6 4 3 2 3" xfId="1442" xr:uid="{00000000-0005-0000-0000-00008B050000}"/>
    <cellStyle name="40% - Accent6 4 3 3" xfId="1443" xr:uid="{00000000-0005-0000-0000-00008C050000}"/>
    <cellStyle name="40% - Accent6 4 3 4" xfId="1444" xr:uid="{00000000-0005-0000-0000-00008D050000}"/>
    <cellStyle name="40% - Accent6 4 4" xfId="1445" xr:uid="{00000000-0005-0000-0000-00008E050000}"/>
    <cellStyle name="40% - Accent6 4 4 2" xfId="1446" xr:uid="{00000000-0005-0000-0000-00008F050000}"/>
    <cellStyle name="40% - Accent6 4 4 3" xfId="1447" xr:uid="{00000000-0005-0000-0000-000090050000}"/>
    <cellStyle name="40% - Accent6 4 5" xfId="1448" xr:uid="{00000000-0005-0000-0000-000091050000}"/>
    <cellStyle name="40% - Accent6 4 5 2" xfId="1449" xr:uid="{00000000-0005-0000-0000-000092050000}"/>
    <cellStyle name="40% - Accent6 4 5 3" xfId="1450" xr:uid="{00000000-0005-0000-0000-000093050000}"/>
    <cellStyle name="40% - Accent6 4 6" xfId="1451" xr:uid="{00000000-0005-0000-0000-000094050000}"/>
    <cellStyle name="40% - Accent6 4 7" xfId="1452" xr:uid="{00000000-0005-0000-0000-000095050000}"/>
    <cellStyle name="40% - Accent6 5" xfId="1453" xr:uid="{00000000-0005-0000-0000-000096050000}"/>
    <cellStyle name="40% - Accent6 5 2" xfId="1454" xr:uid="{00000000-0005-0000-0000-000097050000}"/>
    <cellStyle name="40% - Accent6 5 2 2" xfId="1455" xr:uid="{00000000-0005-0000-0000-000098050000}"/>
    <cellStyle name="40% - Accent6 5 2 3" xfId="1456" xr:uid="{00000000-0005-0000-0000-000099050000}"/>
    <cellStyle name="40% - Accent6 5 3" xfId="1457" xr:uid="{00000000-0005-0000-0000-00009A050000}"/>
    <cellStyle name="40% - Accent6 5 3 2" xfId="1458" xr:uid="{00000000-0005-0000-0000-00009B050000}"/>
    <cellStyle name="40% - Accent6 5 3 3" xfId="1459" xr:uid="{00000000-0005-0000-0000-00009C050000}"/>
    <cellStyle name="40% - Accent6 5 4" xfId="1460" xr:uid="{00000000-0005-0000-0000-00009D050000}"/>
    <cellStyle name="40% - Accent6 5 5" xfId="1461" xr:uid="{00000000-0005-0000-0000-00009E050000}"/>
    <cellStyle name="40% - Accent6 6" xfId="1462" xr:uid="{00000000-0005-0000-0000-00009F050000}"/>
    <cellStyle name="40% - Accent6 6 2" xfId="1463" xr:uid="{00000000-0005-0000-0000-0000A0050000}"/>
    <cellStyle name="40% - Accent6 6 3" xfId="1464" xr:uid="{00000000-0005-0000-0000-0000A1050000}"/>
    <cellStyle name="60% - Accent1 2" xfId="1465" xr:uid="{00000000-0005-0000-0000-0000A2050000}"/>
    <cellStyle name="60% - Accent2 2" xfId="1466" xr:uid="{00000000-0005-0000-0000-0000A3050000}"/>
    <cellStyle name="60% - Accent3 2" xfId="1467" xr:uid="{00000000-0005-0000-0000-0000A4050000}"/>
    <cellStyle name="60% - Accent4 2" xfId="1468" xr:uid="{00000000-0005-0000-0000-0000A5050000}"/>
    <cellStyle name="60% - Accent5 2" xfId="1469" xr:uid="{00000000-0005-0000-0000-0000A6050000}"/>
    <cellStyle name="60% - Accent6 2" xfId="1470" xr:uid="{00000000-0005-0000-0000-0000A7050000}"/>
    <cellStyle name="Accent1" xfId="13" builtinId="29"/>
    <cellStyle name="Accent1 2" xfId="1471" xr:uid="{00000000-0005-0000-0000-0000A9050000}"/>
    <cellStyle name="Accent2" xfId="14" builtinId="33"/>
    <cellStyle name="Accent2 2" xfId="1472" xr:uid="{00000000-0005-0000-0000-0000AB050000}"/>
    <cellStyle name="Accent3" xfId="15" builtinId="37"/>
    <cellStyle name="Accent3 2" xfId="1473" xr:uid="{00000000-0005-0000-0000-0000AD050000}"/>
    <cellStyle name="Accent4" xfId="16" builtinId="41"/>
    <cellStyle name="Accent4 2" xfId="1474" xr:uid="{00000000-0005-0000-0000-0000AF050000}"/>
    <cellStyle name="Accent5" xfId="17" builtinId="45"/>
    <cellStyle name="Accent5 2" xfId="1475" xr:uid="{00000000-0005-0000-0000-0000B1050000}"/>
    <cellStyle name="Accent6" xfId="22" builtinId="49"/>
    <cellStyle name="Accent6 2" xfId="1476" xr:uid="{00000000-0005-0000-0000-0000B3050000}"/>
    <cellStyle name="Bad 2" xfId="1477" xr:uid="{00000000-0005-0000-0000-0000B4050000}"/>
    <cellStyle name="Calculation 2" xfId="1478" xr:uid="{00000000-0005-0000-0000-0000B5050000}"/>
    <cellStyle name="Check Cell 2" xfId="1479" xr:uid="{00000000-0005-0000-0000-0000B6050000}"/>
    <cellStyle name="Comma" xfId="22058" builtinId="3"/>
    <cellStyle name="Comma [0] 2" xfId="1480" xr:uid="{00000000-0005-0000-0000-0000B7050000}"/>
    <cellStyle name="Comma [0] 2 2" xfId="1481" xr:uid="{00000000-0005-0000-0000-0000B8050000}"/>
    <cellStyle name="Comma [0] 2 2 2" xfId="1482" xr:uid="{00000000-0005-0000-0000-0000B9050000}"/>
    <cellStyle name="Comma [0] 2 3" xfId="1483" xr:uid="{00000000-0005-0000-0000-0000BA050000}"/>
    <cellStyle name="Comma [0] 2 3 2" xfId="1484" xr:uid="{00000000-0005-0000-0000-0000BB050000}"/>
    <cellStyle name="Comma [0] 2 4" xfId="1485" xr:uid="{00000000-0005-0000-0000-0000BC050000}"/>
    <cellStyle name="Comma [0] 2 5" xfId="1486" xr:uid="{00000000-0005-0000-0000-0000BD050000}"/>
    <cellStyle name="Comma [0] 2 5 2" xfId="1487" xr:uid="{00000000-0005-0000-0000-0000BE050000}"/>
    <cellStyle name="Comma 10" xfId="1488" xr:uid="{00000000-0005-0000-0000-0000BF050000}"/>
    <cellStyle name="Comma 10 2" xfId="1489" xr:uid="{00000000-0005-0000-0000-0000C0050000}"/>
    <cellStyle name="Comma 10 2 2" xfId="1490" xr:uid="{00000000-0005-0000-0000-0000C1050000}"/>
    <cellStyle name="Comma 10 3" xfId="1491" xr:uid="{00000000-0005-0000-0000-0000C2050000}"/>
    <cellStyle name="Comma 10 3 2" xfId="1492" xr:uid="{00000000-0005-0000-0000-0000C3050000}"/>
    <cellStyle name="Comma 10 4" xfId="1493" xr:uid="{00000000-0005-0000-0000-0000C4050000}"/>
    <cellStyle name="Comma 10 5" xfId="1494" xr:uid="{00000000-0005-0000-0000-0000C5050000}"/>
    <cellStyle name="Comma 10 5 2" xfId="1495" xr:uid="{00000000-0005-0000-0000-0000C6050000}"/>
    <cellStyle name="Comma 11" xfId="1496" xr:uid="{00000000-0005-0000-0000-0000C7050000}"/>
    <cellStyle name="Comma 11 2" xfId="1497" xr:uid="{00000000-0005-0000-0000-0000C8050000}"/>
    <cellStyle name="Comma 11 2 2" xfId="1498" xr:uid="{00000000-0005-0000-0000-0000C9050000}"/>
    <cellStyle name="Comma 11 3" xfId="1499" xr:uid="{00000000-0005-0000-0000-0000CA050000}"/>
    <cellStyle name="Comma 11 3 2" xfId="1500" xr:uid="{00000000-0005-0000-0000-0000CB050000}"/>
    <cellStyle name="Comma 11 4" xfId="1501" xr:uid="{00000000-0005-0000-0000-0000CC050000}"/>
    <cellStyle name="Comma 11 5" xfId="1502" xr:uid="{00000000-0005-0000-0000-0000CD050000}"/>
    <cellStyle name="Comma 11 5 2" xfId="1503" xr:uid="{00000000-0005-0000-0000-0000CE050000}"/>
    <cellStyle name="Comma 12" xfId="1504" xr:uid="{00000000-0005-0000-0000-0000CF050000}"/>
    <cellStyle name="Comma 12 2" xfId="1505" xr:uid="{00000000-0005-0000-0000-0000D0050000}"/>
    <cellStyle name="Comma 12 2 2" xfId="1506" xr:uid="{00000000-0005-0000-0000-0000D1050000}"/>
    <cellStyle name="Comma 12 3" xfId="1507" xr:uid="{00000000-0005-0000-0000-0000D2050000}"/>
    <cellStyle name="Comma 12 3 2" xfId="1508" xr:uid="{00000000-0005-0000-0000-0000D3050000}"/>
    <cellStyle name="Comma 12 4" xfId="1509" xr:uid="{00000000-0005-0000-0000-0000D4050000}"/>
    <cellStyle name="Comma 12 5" xfId="1510" xr:uid="{00000000-0005-0000-0000-0000D5050000}"/>
    <cellStyle name="Comma 12 5 2" xfId="1511" xr:uid="{00000000-0005-0000-0000-0000D6050000}"/>
    <cellStyle name="Comma 13" xfId="1512" xr:uid="{00000000-0005-0000-0000-0000D7050000}"/>
    <cellStyle name="Comma 13 2" xfId="1513" xr:uid="{00000000-0005-0000-0000-0000D8050000}"/>
    <cellStyle name="Comma 13 2 2" xfId="1514" xr:uid="{00000000-0005-0000-0000-0000D9050000}"/>
    <cellStyle name="Comma 13 3" xfId="1515" xr:uid="{00000000-0005-0000-0000-0000DA050000}"/>
    <cellStyle name="Comma 13 3 2" xfId="1516" xr:uid="{00000000-0005-0000-0000-0000DB050000}"/>
    <cellStyle name="Comma 13 4" xfId="1517" xr:uid="{00000000-0005-0000-0000-0000DC050000}"/>
    <cellStyle name="Comma 13 5" xfId="1518" xr:uid="{00000000-0005-0000-0000-0000DD050000}"/>
    <cellStyle name="Comma 13 5 2" xfId="1519" xr:uid="{00000000-0005-0000-0000-0000DE050000}"/>
    <cellStyle name="Comma 14" xfId="1520" xr:uid="{00000000-0005-0000-0000-0000DF050000}"/>
    <cellStyle name="Comma 14 2" xfId="1521" xr:uid="{00000000-0005-0000-0000-0000E0050000}"/>
    <cellStyle name="Comma 14 2 2" xfId="1522" xr:uid="{00000000-0005-0000-0000-0000E1050000}"/>
    <cellStyle name="Comma 14 3" xfId="1523" xr:uid="{00000000-0005-0000-0000-0000E2050000}"/>
    <cellStyle name="Comma 14 3 2" xfId="1524" xr:uid="{00000000-0005-0000-0000-0000E3050000}"/>
    <cellStyle name="Comma 14 4" xfId="1525" xr:uid="{00000000-0005-0000-0000-0000E4050000}"/>
    <cellStyle name="Comma 14 5" xfId="1526" xr:uid="{00000000-0005-0000-0000-0000E5050000}"/>
    <cellStyle name="Comma 14 5 2" xfId="1527" xr:uid="{00000000-0005-0000-0000-0000E6050000}"/>
    <cellStyle name="Comma 15" xfId="1528" xr:uid="{00000000-0005-0000-0000-0000E7050000}"/>
    <cellStyle name="Comma 15 2" xfId="1529" xr:uid="{00000000-0005-0000-0000-0000E8050000}"/>
    <cellStyle name="Comma 15 2 2" xfId="1530" xr:uid="{00000000-0005-0000-0000-0000E9050000}"/>
    <cellStyle name="Comma 15 3" xfId="1531" xr:uid="{00000000-0005-0000-0000-0000EA050000}"/>
    <cellStyle name="Comma 15 3 2" xfId="1532" xr:uid="{00000000-0005-0000-0000-0000EB050000}"/>
    <cellStyle name="Comma 15 4" xfId="1533" xr:uid="{00000000-0005-0000-0000-0000EC050000}"/>
    <cellStyle name="Comma 15 5" xfId="1534" xr:uid="{00000000-0005-0000-0000-0000ED050000}"/>
    <cellStyle name="Comma 15 5 2" xfId="1535" xr:uid="{00000000-0005-0000-0000-0000EE050000}"/>
    <cellStyle name="Comma 16" xfId="1536" xr:uid="{00000000-0005-0000-0000-0000EF050000}"/>
    <cellStyle name="Comma 16 2" xfId="1537" xr:uid="{00000000-0005-0000-0000-0000F0050000}"/>
    <cellStyle name="Comma 16 2 2" xfId="1538" xr:uid="{00000000-0005-0000-0000-0000F1050000}"/>
    <cellStyle name="Comma 16 3" xfId="1539" xr:uid="{00000000-0005-0000-0000-0000F2050000}"/>
    <cellStyle name="Comma 16 3 2" xfId="1540" xr:uid="{00000000-0005-0000-0000-0000F3050000}"/>
    <cellStyle name="Comma 16 4" xfId="1541" xr:uid="{00000000-0005-0000-0000-0000F4050000}"/>
    <cellStyle name="Comma 16 5" xfId="1542" xr:uid="{00000000-0005-0000-0000-0000F5050000}"/>
    <cellStyle name="Comma 16 5 2" xfId="1543" xr:uid="{00000000-0005-0000-0000-0000F6050000}"/>
    <cellStyle name="Comma 17" xfId="1544" xr:uid="{00000000-0005-0000-0000-0000F7050000}"/>
    <cellStyle name="Comma 17 2" xfId="1545" xr:uid="{00000000-0005-0000-0000-0000F8050000}"/>
    <cellStyle name="Comma 17 2 2" xfId="1546" xr:uid="{00000000-0005-0000-0000-0000F9050000}"/>
    <cellStyle name="Comma 17 3" xfId="1547" xr:uid="{00000000-0005-0000-0000-0000FA050000}"/>
    <cellStyle name="Comma 17 3 2" xfId="1548" xr:uid="{00000000-0005-0000-0000-0000FB050000}"/>
    <cellStyle name="Comma 17 4" xfId="1549" xr:uid="{00000000-0005-0000-0000-0000FC050000}"/>
    <cellStyle name="Comma 17 5" xfId="1550" xr:uid="{00000000-0005-0000-0000-0000FD050000}"/>
    <cellStyle name="Comma 17 5 2" xfId="1551" xr:uid="{00000000-0005-0000-0000-0000FE050000}"/>
    <cellStyle name="Comma 18" xfId="1552" xr:uid="{00000000-0005-0000-0000-0000FF050000}"/>
    <cellStyle name="Comma 18 2" xfId="1553" xr:uid="{00000000-0005-0000-0000-000000060000}"/>
    <cellStyle name="Comma 18 2 2" xfId="1554" xr:uid="{00000000-0005-0000-0000-000001060000}"/>
    <cellStyle name="Comma 18 2 3" xfId="1555" xr:uid="{00000000-0005-0000-0000-000002060000}"/>
    <cellStyle name="Comma 18 3" xfId="1556" xr:uid="{00000000-0005-0000-0000-000003060000}"/>
    <cellStyle name="Comma 18 3 2" xfId="1557" xr:uid="{00000000-0005-0000-0000-000004060000}"/>
    <cellStyle name="Comma 18 3 3" xfId="1558" xr:uid="{00000000-0005-0000-0000-000005060000}"/>
    <cellStyle name="Comma 18 4" xfId="1559" xr:uid="{00000000-0005-0000-0000-000006060000}"/>
    <cellStyle name="Comma 18 5" xfId="1560" xr:uid="{00000000-0005-0000-0000-000007060000}"/>
    <cellStyle name="Comma 19" xfId="1561" xr:uid="{00000000-0005-0000-0000-000008060000}"/>
    <cellStyle name="Comma 19 2" xfId="1562" xr:uid="{00000000-0005-0000-0000-000009060000}"/>
    <cellStyle name="Comma 19 3" xfId="1563" xr:uid="{00000000-0005-0000-0000-00000A060000}"/>
    <cellStyle name="Comma 2" xfId="1564" xr:uid="{00000000-0005-0000-0000-00000B060000}"/>
    <cellStyle name="Comma 2 2" xfId="1565" xr:uid="{00000000-0005-0000-0000-00000C060000}"/>
    <cellStyle name="Comma 2 2 2" xfId="1566" xr:uid="{00000000-0005-0000-0000-00000D060000}"/>
    <cellStyle name="Comma 2 2 2 2" xfId="1567" xr:uid="{00000000-0005-0000-0000-00000E060000}"/>
    <cellStyle name="Comma 2 2 2 3" xfId="1568" xr:uid="{00000000-0005-0000-0000-00000F060000}"/>
    <cellStyle name="Comma 2 2 3" xfId="1569" xr:uid="{00000000-0005-0000-0000-000010060000}"/>
    <cellStyle name="Comma 2 2 3 2" xfId="1570" xr:uid="{00000000-0005-0000-0000-000011060000}"/>
    <cellStyle name="Comma 2 2 3 3" xfId="1571" xr:uid="{00000000-0005-0000-0000-000012060000}"/>
    <cellStyle name="Comma 2 2 4" xfId="1572" xr:uid="{00000000-0005-0000-0000-000013060000}"/>
    <cellStyle name="Comma 2 3" xfId="1573" xr:uid="{00000000-0005-0000-0000-000014060000}"/>
    <cellStyle name="Comma 2 3 2" xfId="1574" xr:uid="{00000000-0005-0000-0000-000015060000}"/>
    <cellStyle name="Comma 2 3 2 2" xfId="1575" xr:uid="{00000000-0005-0000-0000-000016060000}"/>
    <cellStyle name="Comma 2 3 2 3" xfId="1576" xr:uid="{00000000-0005-0000-0000-000017060000}"/>
    <cellStyle name="Comma 2 3 3" xfId="1577" xr:uid="{00000000-0005-0000-0000-000018060000}"/>
    <cellStyle name="Comma 2 3 3 2" xfId="1578" xr:uid="{00000000-0005-0000-0000-000019060000}"/>
    <cellStyle name="Comma 2 3 3 3" xfId="1579" xr:uid="{00000000-0005-0000-0000-00001A060000}"/>
    <cellStyle name="Comma 2 3 4" xfId="1580" xr:uid="{00000000-0005-0000-0000-00001B060000}"/>
    <cellStyle name="Comma 2 3 5" xfId="1581" xr:uid="{00000000-0005-0000-0000-00001C060000}"/>
    <cellStyle name="Comma 2 4" xfId="1582" xr:uid="{00000000-0005-0000-0000-00001D060000}"/>
    <cellStyle name="Comma 2 4 2" xfId="1583" xr:uid="{00000000-0005-0000-0000-00001E060000}"/>
    <cellStyle name="Comma 2 4 2 2" xfId="1584" xr:uid="{00000000-0005-0000-0000-00001F060000}"/>
    <cellStyle name="Comma 2 4 3" xfId="1585" xr:uid="{00000000-0005-0000-0000-000020060000}"/>
    <cellStyle name="Comma 2 5" xfId="1586" xr:uid="{00000000-0005-0000-0000-000021060000}"/>
    <cellStyle name="Comma 2 5 2" xfId="1587" xr:uid="{00000000-0005-0000-0000-000022060000}"/>
    <cellStyle name="Comma 2 5 3" xfId="1588" xr:uid="{00000000-0005-0000-0000-000023060000}"/>
    <cellStyle name="Comma 2 6" xfId="1589" xr:uid="{00000000-0005-0000-0000-000024060000}"/>
    <cellStyle name="Comma 2 6 2" xfId="1590" xr:uid="{00000000-0005-0000-0000-000025060000}"/>
    <cellStyle name="Comma 2 6 3" xfId="1591" xr:uid="{00000000-0005-0000-0000-000026060000}"/>
    <cellStyle name="Comma 2 7" xfId="1592" xr:uid="{00000000-0005-0000-0000-000027060000}"/>
    <cellStyle name="Comma 2 8" xfId="1593" xr:uid="{00000000-0005-0000-0000-000028060000}"/>
    <cellStyle name="Comma 2 8 2" xfId="1594" xr:uid="{00000000-0005-0000-0000-000029060000}"/>
    <cellStyle name="Comma 2 8 3" xfId="1595" xr:uid="{00000000-0005-0000-0000-00002A060000}"/>
    <cellStyle name="Comma 2 9" xfId="1596" xr:uid="{00000000-0005-0000-0000-00002B060000}"/>
    <cellStyle name="Comma 2 9 2" xfId="1597" xr:uid="{00000000-0005-0000-0000-00002C060000}"/>
    <cellStyle name="Comma 2 9 3" xfId="1598" xr:uid="{00000000-0005-0000-0000-00002D060000}"/>
    <cellStyle name="Comma 2 9 3 2" xfId="1599" xr:uid="{00000000-0005-0000-0000-00002E060000}"/>
    <cellStyle name="Comma 2 9 4" xfId="1600" xr:uid="{00000000-0005-0000-0000-00002F060000}"/>
    <cellStyle name="Comma 20" xfId="1601" xr:uid="{00000000-0005-0000-0000-000030060000}"/>
    <cellStyle name="Comma 20 2" xfId="1602" xr:uid="{00000000-0005-0000-0000-000031060000}"/>
    <cellStyle name="Comma 20 3" xfId="1603" xr:uid="{00000000-0005-0000-0000-000032060000}"/>
    <cellStyle name="Comma 21" xfId="1604" xr:uid="{00000000-0005-0000-0000-000033060000}"/>
    <cellStyle name="Comma 21 2" xfId="1605" xr:uid="{00000000-0005-0000-0000-000034060000}"/>
    <cellStyle name="Comma 21 3" xfId="1606" xr:uid="{00000000-0005-0000-0000-000035060000}"/>
    <cellStyle name="Comma 22" xfId="1607" xr:uid="{00000000-0005-0000-0000-000036060000}"/>
    <cellStyle name="Comma 22 2" xfId="1608" xr:uid="{00000000-0005-0000-0000-000037060000}"/>
    <cellStyle name="Comma 22 3" xfId="1609" xr:uid="{00000000-0005-0000-0000-000038060000}"/>
    <cellStyle name="Comma 23" xfId="1610" xr:uid="{00000000-0005-0000-0000-000039060000}"/>
    <cellStyle name="Comma 23 2" xfId="1611" xr:uid="{00000000-0005-0000-0000-00003A060000}"/>
    <cellStyle name="Comma 23 3" xfId="1612" xr:uid="{00000000-0005-0000-0000-00003B060000}"/>
    <cellStyle name="Comma 24" xfId="1613" xr:uid="{00000000-0005-0000-0000-00003C060000}"/>
    <cellStyle name="Comma 24 2" xfId="1614" xr:uid="{00000000-0005-0000-0000-00003D060000}"/>
    <cellStyle name="Comma 24 3" xfId="1615" xr:uid="{00000000-0005-0000-0000-00003E060000}"/>
    <cellStyle name="Comma 25" xfId="1616" xr:uid="{00000000-0005-0000-0000-00003F060000}"/>
    <cellStyle name="Comma 25 2" xfId="1617" xr:uid="{00000000-0005-0000-0000-000040060000}"/>
    <cellStyle name="Comma 25 3" xfId="1618" xr:uid="{00000000-0005-0000-0000-000041060000}"/>
    <cellStyle name="Comma 26" xfId="1619" xr:uid="{00000000-0005-0000-0000-000042060000}"/>
    <cellStyle name="Comma 26 2" xfId="1620" xr:uid="{00000000-0005-0000-0000-000043060000}"/>
    <cellStyle name="Comma 26 3" xfId="1621" xr:uid="{00000000-0005-0000-0000-000044060000}"/>
    <cellStyle name="Comma 27" xfId="1622" xr:uid="{00000000-0005-0000-0000-000045060000}"/>
    <cellStyle name="Comma 27 2" xfId="1623" xr:uid="{00000000-0005-0000-0000-000046060000}"/>
    <cellStyle name="Comma 27 3" xfId="1624" xr:uid="{00000000-0005-0000-0000-000047060000}"/>
    <cellStyle name="Comma 28" xfId="1625" xr:uid="{00000000-0005-0000-0000-000048060000}"/>
    <cellStyle name="Comma 28 2" xfId="1626" xr:uid="{00000000-0005-0000-0000-000049060000}"/>
    <cellStyle name="Comma 28 3" xfId="1627" xr:uid="{00000000-0005-0000-0000-00004A060000}"/>
    <cellStyle name="Comma 29" xfId="1628" xr:uid="{00000000-0005-0000-0000-00004B060000}"/>
    <cellStyle name="Comma 29 2" xfId="1629" xr:uid="{00000000-0005-0000-0000-00004C060000}"/>
    <cellStyle name="Comma 29 3" xfId="1630" xr:uid="{00000000-0005-0000-0000-00004D060000}"/>
    <cellStyle name="Comma 3" xfId="1631" xr:uid="{00000000-0005-0000-0000-00004E060000}"/>
    <cellStyle name="Comma 3 2" xfId="1632" xr:uid="{00000000-0005-0000-0000-00004F060000}"/>
    <cellStyle name="Comma 3 2 2" xfId="1633" xr:uid="{00000000-0005-0000-0000-000050060000}"/>
    <cellStyle name="Comma 3 2 2 2" xfId="1634" xr:uid="{00000000-0005-0000-0000-000051060000}"/>
    <cellStyle name="Comma 3 2 3" xfId="1635" xr:uid="{00000000-0005-0000-0000-000052060000}"/>
    <cellStyle name="Comma 3 3" xfId="1636" xr:uid="{00000000-0005-0000-0000-000053060000}"/>
    <cellStyle name="Comma 3 3 2" xfId="1637" xr:uid="{00000000-0005-0000-0000-000054060000}"/>
    <cellStyle name="Comma 3 4" xfId="1638" xr:uid="{00000000-0005-0000-0000-000055060000}"/>
    <cellStyle name="Comma 3 4 2" xfId="1639" xr:uid="{00000000-0005-0000-0000-000056060000}"/>
    <cellStyle name="Comma 3 4 3" xfId="1640" xr:uid="{00000000-0005-0000-0000-000057060000}"/>
    <cellStyle name="Comma 3 5" xfId="1641" xr:uid="{00000000-0005-0000-0000-000058060000}"/>
    <cellStyle name="Comma 3 5 2" xfId="1642" xr:uid="{00000000-0005-0000-0000-000059060000}"/>
    <cellStyle name="Comma 3 5 3" xfId="1643" xr:uid="{00000000-0005-0000-0000-00005A060000}"/>
    <cellStyle name="Comma 3 6" xfId="1644" xr:uid="{00000000-0005-0000-0000-00005B060000}"/>
    <cellStyle name="Comma 3 7" xfId="1645" xr:uid="{00000000-0005-0000-0000-00005C060000}"/>
    <cellStyle name="Comma 3 7 2" xfId="1646" xr:uid="{00000000-0005-0000-0000-00005D060000}"/>
    <cellStyle name="Comma 3 7 3" xfId="1647" xr:uid="{00000000-0005-0000-0000-00005E060000}"/>
    <cellStyle name="Comma 30" xfId="1648" xr:uid="{00000000-0005-0000-0000-00005F060000}"/>
    <cellStyle name="Comma 30 2" xfId="1649" xr:uid="{00000000-0005-0000-0000-000060060000}"/>
    <cellStyle name="Comma 30 3" xfId="1650" xr:uid="{00000000-0005-0000-0000-000061060000}"/>
    <cellStyle name="Comma 31" xfId="1651" xr:uid="{00000000-0005-0000-0000-000062060000}"/>
    <cellStyle name="Comma 31 2" xfId="1652" xr:uid="{00000000-0005-0000-0000-000063060000}"/>
    <cellStyle name="Comma 31 3" xfId="1653" xr:uid="{00000000-0005-0000-0000-000064060000}"/>
    <cellStyle name="Comma 32" xfId="1654" xr:uid="{00000000-0005-0000-0000-000065060000}"/>
    <cellStyle name="Comma 32 2" xfId="1655" xr:uid="{00000000-0005-0000-0000-000066060000}"/>
    <cellStyle name="Comma 32 3" xfId="1656" xr:uid="{00000000-0005-0000-0000-000067060000}"/>
    <cellStyle name="Comma 32 3 2" xfId="1657" xr:uid="{00000000-0005-0000-0000-000068060000}"/>
    <cellStyle name="Comma 32 4" xfId="1658" xr:uid="{00000000-0005-0000-0000-000069060000}"/>
    <cellStyle name="Comma 33" xfId="1659" xr:uid="{00000000-0005-0000-0000-00006A060000}"/>
    <cellStyle name="Comma 33 2" xfId="1660" xr:uid="{00000000-0005-0000-0000-00006B060000}"/>
    <cellStyle name="Comma 33 3" xfId="1661" xr:uid="{00000000-0005-0000-0000-00006C060000}"/>
    <cellStyle name="Comma 33 3 2" xfId="1662" xr:uid="{00000000-0005-0000-0000-00006D060000}"/>
    <cellStyle name="Comma 33 4" xfId="1663" xr:uid="{00000000-0005-0000-0000-00006E060000}"/>
    <cellStyle name="Comma 34" xfId="1664" xr:uid="{00000000-0005-0000-0000-00006F060000}"/>
    <cellStyle name="Comma 34 2" xfId="1665" xr:uid="{00000000-0005-0000-0000-000070060000}"/>
    <cellStyle name="Comma 34 3" xfId="1666" xr:uid="{00000000-0005-0000-0000-000071060000}"/>
    <cellStyle name="Comma 34 3 2" xfId="1667" xr:uid="{00000000-0005-0000-0000-000072060000}"/>
    <cellStyle name="Comma 34 4" xfId="1668" xr:uid="{00000000-0005-0000-0000-000073060000}"/>
    <cellStyle name="Comma 35" xfId="1669" xr:uid="{00000000-0005-0000-0000-000074060000}"/>
    <cellStyle name="Comma 35 2" xfId="1670" xr:uid="{00000000-0005-0000-0000-000075060000}"/>
    <cellStyle name="Comma 35 3" xfId="1671" xr:uid="{00000000-0005-0000-0000-000076060000}"/>
    <cellStyle name="Comma 35 3 2" xfId="1672" xr:uid="{00000000-0005-0000-0000-000077060000}"/>
    <cellStyle name="Comma 35 4" xfId="1673" xr:uid="{00000000-0005-0000-0000-000078060000}"/>
    <cellStyle name="Comma 36" xfId="1674" xr:uid="{00000000-0005-0000-0000-000079060000}"/>
    <cellStyle name="Comma 36 2" xfId="1675" xr:uid="{00000000-0005-0000-0000-00007A060000}"/>
    <cellStyle name="Comma 36 3" xfId="1676" xr:uid="{00000000-0005-0000-0000-00007B060000}"/>
    <cellStyle name="Comma 36 3 2" xfId="1677" xr:uid="{00000000-0005-0000-0000-00007C060000}"/>
    <cellStyle name="Comma 36 4" xfId="1678" xr:uid="{00000000-0005-0000-0000-00007D060000}"/>
    <cellStyle name="Comma 37" xfId="1679" xr:uid="{00000000-0005-0000-0000-00007E060000}"/>
    <cellStyle name="Comma 4" xfId="1680" xr:uid="{00000000-0005-0000-0000-00007F060000}"/>
    <cellStyle name="Comma 4 2" xfId="1681" xr:uid="{00000000-0005-0000-0000-000080060000}"/>
    <cellStyle name="Comma 4 2 2" xfId="1682" xr:uid="{00000000-0005-0000-0000-000081060000}"/>
    <cellStyle name="Comma 4 2 2 2" xfId="1683" xr:uid="{00000000-0005-0000-0000-000082060000}"/>
    <cellStyle name="Comma 4 2 3" xfId="1684" xr:uid="{00000000-0005-0000-0000-000083060000}"/>
    <cellStyle name="Comma 4 3" xfId="1685" xr:uid="{00000000-0005-0000-0000-000084060000}"/>
    <cellStyle name="Comma 4 3 2" xfId="1686" xr:uid="{00000000-0005-0000-0000-000085060000}"/>
    <cellStyle name="Comma 4 3 3" xfId="1687" xr:uid="{00000000-0005-0000-0000-000086060000}"/>
    <cellStyle name="Comma 4 4" xfId="1688" xr:uid="{00000000-0005-0000-0000-000087060000}"/>
    <cellStyle name="Comma 4 4 2" xfId="1689" xr:uid="{00000000-0005-0000-0000-000088060000}"/>
    <cellStyle name="Comma 4 4 3" xfId="1690" xr:uid="{00000000-0005-0000-0000-000089060000}"/>
    <cellStyle name="Comma 4 5" xfId="1691" xr:uid="{00000000-0005-0000-0000-00008A060000}"/>
    <cellStyle name="Comma 4 6" xfId="1692" xr:uid="{00000000-0005-0000-0000-00008B060000}"/>
    <cellStyle name="Comma 4 6 2" xfId="1693" xr:uid="{00000000-0005-0000-0000-00008C060000}"/>
    <cellStyle name="Comma 5" xfId="1694" xr:uid="{00000000-0005-0000-0000-00008D060000}"/>
    <cellStyle name="Comma 5 2" xfId="1695" xr:uid="{00000000-0005-0000-0000-00008E060000}"/>
    <cellStyle name="Comma 5 2 2" xfId="1696" xr:uid="{00000000-0005-0000-0000-00008F060000}"/>
    <cellStyle name="Comma 5 3" xfId="1697" xr:uid="{00000000-0005-0000-0000-000090060000}"/>
    <cellStyle name="Comma 5 3 2" xfId="1698" xr:uid="{00000000-0005-0000-0000-000091060000}"/>
    <cellStyle name="Comma 5 4" xfId="1699" xr:uid="{00000000-0005-0000-0000-000092060000}"/>
    <cellStyle name="Comma 5 5" xfId="1700" xr:uid="{00000000-0005-0000-0000-000093060000}"/>
    <cellStyle name="Comma 5 5 2" xfId="1701" xr:uid="{00000000-0005-0000-0000-000094060000}"/>
    <cellStyle name="Comma 6" xfId="1702" xr:uid="{00000000-0005-0000-0000-000095060000}"/>
    <cellStyle name="Comma 6 2" xfId="1703" xr:uid="{00000000-0005-0000-0000-000096060000}"/>
    <cellStyle name="Comma 6 2 2" xfId="1704" xr:uid="{00000000-0005-0000-0000-000097060000}"/>
    <cellStyle name="Comma 6 3" xfId="1705" xr:uid="{00000000-0005-0000-0000-000098060000}"/>
    <cellStyle name="Comma 6 3 2" xfId="1706" xr:uid="{00000000-0005-0000-0000-000099060000}"/>
    <cellStyle name="Comma 6 4" xfId="1707" xr:uid="{00000000-0005-0000-0000-00009A060000}"/>
    <cellStyle name="Comma 6 5" xfId="1708" xr:uid="{00000000-0005-0000-0000-00009B060000}"/>
    <cellStyle name="Comma 6 5 2" xfId="1709" xr:uid="{00000000-0005-0000-0000-00009C060000}"/>
    <cellStyle name="Comma 7" xfId="1710" xr:uid="{00000000-0005-0000-0000-00009D060000}"/>
    <cellStyle name="Comma 7 2" xfId="1711" xr:uid="{00000000-0005-0000-0000-00009E060000}"/>
    <cellStyle name="Comma 7 2 2" xfId="1712" xr:uid="{00000000-0005-0000-0000-00009F060000}"/>
    <cellStyle name="Comma 7 3" xfId="1713" xr:uid="{00000000-0005-0000-0000-0000A0060000}"/>
    <cellStyle name="Comma 7 3 2" xfId="1714" xr:uid="{00000000-0005-0000-0000-0000A1060000}"/>
    <cellStyle name="Comma 7 4" xfId="1715" xr:uid="{00000000-0005-0000-0000-0000A2060000}"/>
    <cellStyle name="Comma 7 5" xfId="1716" xr:uid="{00000000-0005-0000-0000-0000A3060000}"/>
    <cellStyle name="Comma 7 5 2" xfId="1717" xr:uid="{00000000-0005-0000-0000-0000A4060000}"/>
    <cellStyle name="Comma 8" xfId="1718" xr:uid="{00000000-0005-0000-0000-0000A5060000}"/>
    <cellStyle name="Comma 8 2" xfId="1719" xr:uid="{00000000-0005-0000-0000-0000A6060000}"/>
    <cellStyle name="Comma 8 2 2" xfId="1720" xr:uid="{00000000-0005-0000-0000-0000A7060000}"/>
    <cellStyle name="Comma 8 3" xfId="1721" xr:uid="{00000000-0005-0000-0000-0000A8060000}"/>
    <cellStyle name="Comma 8 3 2" xfId="1722" xr:uid="{00000000-0005-0000-0000-0000A9060000}"/>
    <cellStyle name="Comma 8 3 2 2 3" xfId="22057" xr:uid="{4334C3CA-20F4-472B-B0DC-AE9C11C221BB}"/>
    <cellStyle name="Comma 8 4" xfId="1723" xr:uid="{00000000-0005-0000-0000-0000AA060000}"/>
    <cellStyle name="Comma 8 5" xfId="1724" xr:uid="{00000000-0005-0000-0000-0000AB060000}"/>
    <cellStyle name="Comma 8 5 2" xfId="1725" xr:uid="{00000000-0005-0000-0000-0000AC060000}"/>
    <cellStyle name="Comma 9" xfId="1726" xr:uid="{00000000-0005-0000-0000-0000AD060000}"/>
    <cellStyle name="Comma 9 2" xfId="1727" xr:uid="{00000000-0005-0000-0000-0000AE060000}"/>
    <cellStyle name="Comma 9 2 2" xfId="1728" xr:uid="{00000000-0005-0000-0000-0000AF060000}"/>
    <cellStyle name="Comma 9 3" xfId="1729" xr:uid="{00000000-0005-0000-0000-0000B0060000}"/>
    <cellStyle name="Comma 9 3 2" xfId="1730" xr:uid="{00000000-0005-0000-0000-0000B1060000}"/>
    <cellStyle name="Comma 9 4" xfId="1731" xr:uid="{00000000-0005-0000-0000-0000B2060000}"/>
    <cellStyle name="Comma 9 5" xfId="1732" xr:uid="{00000000-0005-0000-0000-0000B3060000}"/>
    <cellStyle name="Comma 9 5 2" xfId="1733" xr:uid="{00000000-0005-0000-0000-0000B4060000}"/>
    <cellStyle name="Currency" xfId="1" builtinId="4"/>
    <cellStyle name="Currency [0] 2" xfId="1734" xr:uid="{00000000-0005-0000-0000-0000B6060000}"/>
    <cellStyle name="Currency [0] 2 2" xfId="1735" xr:uid="{00000000-0005-0000-0000-0000B7060000}"/>
    <cellStyle name="Currency [0] 2 2 2" xfId="1736" xr:uid="{00000000-0005-0000-0000-0000B8060000}"/>
    <cellStyle name="Currency [0] 2 3" xfId="1737" xr:uid="{00000000-0005-0000-0000-0000B9060000}"/>
    <cellStyle name="Currency [0] 2 3 2" xfId="1738" xr:uid="{00000000-0005-0000-0000-0000BA060000}"/>
    <cellStyle name="Currency [0] 2 4" xfId="1739" xr:uid="{00000000-0005-0000-0000-0000BB060000}"/>
    <cellStyle name="Currency [0] 2 5" xfId="1740" xr:uid="{00000000-0005-0000-0000-0000BC060000}"/>
    <cellStyle name="Currency [0] 2 5 2" xfId="1741" xr:uid="{00000000-0005-0000-0000-0000BD060000}"/>
    <cellStyle name="Currency 10" xfId="1742" xr:uid="{00000000-0005-0000-0000-0000BE060000}"/>
    <cellStyle name="Currency 10 2" xfId="1743" xr:uid="{00000000-0005-0000-0000-0000BF060000}"/>
    <cellStyle name="Currency 10 2 2" xfId="1744" xr:uid="{00000000-0005-0000-0000-0000C0060000}"/>
    <cellStyle name="Currency 10 3" xfId="1745" xr:uid="{00000000-0005-0000-0000-0000C1060000}"/>
    <cellStyle name="Currency 10 3 2" xfId="1746" xr:uid="{00000000-0005-0000-0000-0000C2060000}"/>
    <cellStyle name="Currency 10 4" xfId="1747" xr:uid="{00000000-0005-0000-0000-0000C3060000}"/>
    <cellStyle name="Currency 10 5" xfId="1748" xr:uid="{00000000-0005-0000-0000-0000C4060000}"/>
    <cellStyle name="Currency 10 5 2" xfId="1749" xr:uid="{00000000-0005-0000-0000-0000C5060000}"/>
    <cellStyle name="Currency 11" xfId="1750" xr:uid="{00000000-0005-0000-0000-0000C6060000}"/>
    <cellStyle name="Currency 11 2" xfId="1751" xr:uid="{00000000-0005-0000-0000-0000C7060000}"/>
    <cellStyle name="Currency 11 2 2" xfId="1752" xr:uid="{00000000-0005-0000-0000-0000C8060000}"/>
    <cellStyle name="Currency 11 3" xfId="1753" xr:uid="{00000000-0005-0000-0000-0000C9060000}"/>
    <cellStyle name="Currency 11 3 2" xfId="1754" xr:uid="{00000000-0005-0000-0000-0000CA060000}"/>
    <cellStyle name="Currency 11 4" xfId="1755" xr:uid="{00000000-0005-0000-0000-0000CB060000}"/>
    <cellStyle name="Currency 11 5" xfId="1756" xr:uid="{00000000-0005-0000-0000-0000CC060000}"/>
    <cellStyle name="Currency 11 5 2" xfId="1757" xr:uid="{00000000-0005-0000-0000-0000CD060000}"/>
    <cellStyle name="Currency 12" xfId="1758" xr:uid="{00000000-0005-0000-0000-0000CE060000}"/>
    <cellStyle name="Currency 12 2" xfId="1759" xr:uid="{00000000-0005-0000-0000-0000CF060000}"/>
    <cellStyle name="Currency 12 2 2" xfId="1760" xr:uid="{00000000-0005-0000-0000-0000D0060000}"/>
    <cellStyle name="Currency 12 3" xfId="1761" xr:uid="{00000000-0005-0000-0000-0000D1060000}"/>
    <cellStyle name="Currency 12 3 2" xfId="1762" xr:uid="{00000000-0005-0000-0000-0000D2060000}"/>
    <cellStyle name="Currency 12 4" xfId="1763" xr:uid="{00000000-0005-0000-0000-0000D3060000}"/>
    <cellStyle name="Currency 12 5" xfId="1764" xr:uid="{00000000-0005-0000-0000-0000D4060000}"/>
    <cellStyle name="Currency 12 5 2" xfId="1765" xr:uid="{00000000-0005-0000-0000-0000D5060000}"/>
    <cellStyle name="Currency 13" xfId="1766" xr:uid="{00000000-0005-0000-0000-0000D6060000}"/>
    <cellStyle name="Currency 13 2" xfId="1767" xr:uid="{00000000-0005-0000-0000-0000D7060000}"/>
    <cellStyle name="Currency 13 2 2" xfId="1768" xr:uid="{00000000-0005-0000-0000-0000D8060000}"/>
    <cellStyle name="Currency 13 3" xfId="1769" xr:uid="{00000000-0005-0000-0000-0000D9060000}"/>
    <cellStyle name="Currency 13 3 2" xfId="1770" xr:uid="{00000000-0005-0000-0000-0000DA060000}"/>
    <cellStyle name="Currency 13 4" xfId="1771" xr:uid="{00000000-0005-0000-0000-0000DB060000}"/>
    <cellStyle name="Currency 13 5" xfId="1772" xr:uid="{00000000-0005-0000-0000-0000DC060000}"/>
    <cellStyle name="Currency 13 5 2" xfId="1773" xr:uid="{00000000-0005-0000-0000-0000DD060000}"/>
    <cellStyle name="Currency 14" xfId="1774" xr:uid="{00000000-0005-0000-0000-0000DE060000}"/>
    <cellStyle name="Currency 14 2" xfId="1775" xr:uid="{00000000-0005-0000-0000-0000DF060000}"/>
    <cellStyle name="Currency 14 2 2" xfId="1776" xr:uid="{00000000-0005-0000-0000-0000E0060000}"/>
    <cellStyle name="Currency 14 3" xfId="1777" xr:uid="{00000000-0005-0000-0000-0000E1060000}"/>
    <cellStyle name="Currency 14 3 2" xfId="1778" xr:uid="{00000000-0005-0000-0000-0000E2060000}"/>
    <cellStyle name="Currency 14 4" xfId="1779" xr:uid="{00000000-0005-0000-0000-0000E3060000}"/>
    <cellStyle name="Currency 14 5" xfId="1780" xr:uid="{00000000-0005-0000-0000-0000E4060000}"/>
    <cellStyle name="Currency 14 5 2" xfId="1781" xr:uid="{00000000-0005-0000-0000-0000E5060000}"/>
    <cellStyle name="Currency 15" xfId="1782" xr:uid="{00000000-0005-0000-0000-0000E6060000}"/>
    <cellStyle name="Currency 15 2" xfId="1783" xr:uid="{00000000-0005-0000-0000-0000E7060000}"/>
    <cellStyle name="Currency 15 2 2" xfId="1784" xr:uid="{00000000-0005-0000-0000-0000E8060000}"/>
    <cellStyle name="Currency 15 3" xfId="1785" xr:uid="{00000000-0005-0000-0000-0000E9060000}"/>
    <cellStyle name="Currency 15 3 2" xfId="1786" xr:uid="{00000000-0005-0000-0000-0000EA060000}"/>
    <cellStyle name="Currency 15 4" xfId="1787" xr:uid="{00000000-0005-0000-0000-0000EB060000}"/>
    <cellStyle name="Currency 15 5" xfId="1788" xr:uid="{00000000-0005-0000-0000-0000EC060000}"/>
    <cellStyle name="Currency 15 5 2" xfId="1789" xr:uid="{00000000-0005-0000-0000-0000ED060000}"/>
    <cellStyle name="Currency 16" xfId="1790" xr:uid="{00000000-0005-0000-0000-0000EE060000}"/>
    <cellStyle name="Currency 16 2" xfId="1791" xr:uid="{00000000-0005-0000-0000-0000EF060000}"/>
    <cellStyle name="Currency 16 2 2" xfId="1792" xr:uid="{00000000-0005-0000-0000-0000F0060000}"/>
    <cellStyle name="Currency 16 3" xfId="1793" xr:uid="{00000000-0005-0000-0000-0000F1060000}"/>
    <cellStyle name="Currency 16 3 2" xfId="1794" xr:uid="{00000000-0005-0000-0000-0000F2060000}"/>
    <cellStyle name="Currency 16 4" xfId="1795" xr:uid="{00000000-0005-0000-0000-0000F3060000}"/>
    <cellStyle name="Currency 16 5" xfId="1796" xr:uid="{00000000-0005-0000-0000-0000F4060000}"/>
    <cellStyle name="Currency 16 5 2" xfId="1797" xr:uid="{00000000-0005-0000-0000-0000F5060000}"/>
    <cellStyle name="Currency 17" xfId="1798" xr:uid="{00000000-0005-0000-0000-0000F6060000}"/>
    <cellStyle name="Currency 17 2" xfId="1799" xr:uid="{00000000-0005-0000-0000-0000F7060000}"/>
    <cellStyle name="Currency 17 2 2" xfId="1800" xr:uid="{00000000-0005-0000-0000-0000F8060000}"/>
    <cellStyle name="Currency 17 3" xfId="1801" xr:uid="{00000000-0005-0000-0000-0000F9060000}"/>
    <cellStyle name="Currency 17 3 2" xfId="1802" xr:uid="{00000000-0005-0000-0000-0000FA060000}"/>
    <cellStyle name="Currency 17 4" xfId="1803" xr:uid="{00000000-0005-0000-0000-0000FB060000}"/>
    <cellStyle name="Currency 17 5" xfId="1804" xr:uid="{00000000-0005-0000-0000-0000FC060000}"/>
    <cellStyle name="Currency 17 5 2" xfId="1805" xr:uid="{00000000-0005-0000-0000-0000FD060000}"/>
    <cellStyle name="Currency 18" xfId="1806" xr:uid="{00000000-0005-0000-0000-0000FE060000}"/>
    <cellStyle name="Currency 18 2" xfId="1807" xr:uid="{00000000-0005-0000-0000-0000FF060000}"/>
    <cellStyle name="Currency 19" xfId="1808" xr:uid="{00000000-0005-0000-0000-000000070000}"/>
    <cellStyle name="Currency 19 2" xfId="1809" xr:uid="{00000000-0005-0000-0000-000001070000}"/>
    <cellStyle name="Currency 2" xfId="1810" xr:uid="{00000000-0005-0000-0000-000002070000}"/>
    <cellStyle name="Currency 2 10" xfId="1811" xr:uid="{00000000-0005-0000-0000-000003070000}"/>
    <cellStyle name="Currency 2 10 2" xfId="1812" xr:uid="{00000000-0005-0000-0000-000004070000}"/>
    <cellStyle name="Currency 2 10 3" xfId="1813" xr:uid="{00000000-0005-0000-0000-000005070000}"/>
    <cellStyle name="Currency 2 10 4" xfId="22051" xr:uid="{09895A74-B2F1-4695-8C2F-F27D6BA5FB34}"/>
    <cellStyle name="Currency 2 11" xfId="1814" xr:uid="{00000000-0005-0000-0000-000006070000}"/>
    <cellStyle name="Currency 2 12" xfId="1815" xr:uid="{00000000-0005-0000-0000-000007070000}"/>
    <cellStyle name="Currency 2 12 2" xfId="1816" xr:uid="{00000000-0005-0000-0000-000008070000}"/>
    <cellStyle name="Currency 2 12 3" xfId="1817" xr:uid="{00000000-0005-0000-0000-000009070000}"/>
    <cellStyle name="Currency 2 13" xfId="1818" xr:uid="{00000000-0005-0000-0000-00000A070000}"/>
    <cellStyle name="Currency 2 13 2" xfId="1819" xr:uid="{00000000-0005-0000-0000-00000B070000}"/>
    <cellStyle name="Currency 2 13 3" xfId="1820" xr:uid="{00000000-0005-0000-0000-00000C070000}"/>
    <cellStyle name="Currency 2 13 3 2" xfId="1821" xr:uid="{00000000-0005-0000-0000-00000D070000}"/>
    <cellStyle name="Currency 2 13 4" xfId="1822" xr:uid="{00000000-0005-0000-0000-00000E070000}"/>
    <cellStyle name="Currency 2 2" xfId="1823" xr:uid="{00000000-0005-0000-0000-00000F070000}"/>
    <cellStyle name="Currency 2 2 2" xfId="1824" xr:uid="{00000000-0005-0000-0000-000010070000}"/>
    <cellStyle name="Currency 2 2 2 2" xfId="1825" xr:uid="{00000000-0005-0000-0000-000011070000}"/>
    <cellStyle name="Currency 2 2 2 2 2" xfId="1826" xr:uid="{00000000-0005-0000-0000-000012070000}"/>
    <cellStyle name="Currency 2 2 2 2 2 2" xfId="1827" xr:uid="{00000000-0005-0000-0000-000013070000}"/>
    <cellStyle name="Currency 2 2 2 2 2 3" xfId="1828" xr:uid="{00000000-0005-0000-0000-000014070000}"/>
    <cellStyle name="Currency 2 2 2 2 3" xfId="1829" xr:uid="{00000000-0005-0000-0000-000015070000}"/>
    <cellStyle name="Currency 2 2 2 2 3 2" xfId="1830" xr:uid="{00000000-0005-0000-0000-000016070000}"/>
    <cellStyle name="Currency 2 2 2 2 3 3" xfId="1831" xr:uid="{00000000-0005-0000-0000-000017070000}"/>
    <cellStyle name="Currency 2 2 2 2 4" xfId="1832" xr:uid="{00000000-0005-0000-0000-000018070000}"/>
    <cellStyle name="Currency 2 2 2 2 5" xfId="1833" xr:uid="{00000000-0005-0000-0000-000019070000}"/>
    <cellStyle name="Currency 2 2 2 3" xfId="1834" xr:uid="{00000000-0005-0000-0000-00001A070000}"/>
    <cellStyle name="Currency 2 2 2 3 2" xfId="1835" xr:uid="{00000000-0005-0000-0000-00001B070000}"/>
    <cellStyle name="Currency 2 2 2 3 2 2" xfId="1836" xr:uid="{00000000-0005-0000-0000-00001C070000}"/>
    <cellStyle name="Currency 2 2 2 3 2 3" xfId="1837" xr:uid="{00000000-0005-0000-0000-00001D070000}"/>
    <cellStyle name="Currency 2 2 2 3 3" xfId="1838" xr:uid="{00000000-0005-0000-0000-00001E070000}"/>
    <cellStyle name="Currency 2 2 2 3 3 2" xfId="1839" xr:uid="{00000000-0005-0000-0000-00001F070000}"/>
    <cellStyle name="Currency 2 2 2 3 3 3" xfId="1840" xr:uid="{00000000-0005-0000-0000-000020070000}"/>
    <cellStyle name="Currency 2 2 2 3 4" xfId="1841" xr:uid="{00000000-0005-0000-0000-000021070000}"/>
    <cellStyle name="Currency 2 2 2 3 5" xfId="1842" xr:uid="{00000000-0005-0000-0000-000022070000}"/>
    <cellStyle name="Currency 2 2 2 4" xfId="1843" xr:uid="{00000000-0005-0000-0000-000023070000}"/>
    <cellStyle name="Currency 2 2 2 4 2" xfId="1844" xr:uid="{00000000-0005-0000-0000-000024070000}"/>
    <cellStyle name="Currency 2 2 2 4 3" xfId="1845" xr:uid="{00000000-0005-0000-0000-000025070000}"/>
    <cellStyle name="Currency 2 2 2 5" xfId="1846" xr:uid="{00000000-0005-0000-0000-000026070000}"/>
    <cellStyle name="Currency 2 2 2 5 2" xfId="1847" xr:uid="{00000000-0005-0000-0000-000027070000}"/>
    <cellStyle name="Currency 2 2 2 5 3" xfId="1848" xr:uid="{00000000-0005-0000-0000-000028070000}"/>
    <cellStyle name="Currency 2 2 2 6" xfId="1849" xr:uid="{00000000-0005-0000-0000-000029070000}"/>
    <cellStyle name="Currency 2 2 2 7" xfId="1850" xr:uid="{00000000-0005-0000-0000-00002A070000}"/>
    <cellStyle name="Currency 2 2 3" xfId="1851" xr:uid="{00000000-0005-0000-0000-00002B070000}"/>
    <cellStyle name="Currency 2 2 3 2" xfId="1852" xr:uid="{00000000-0005-0000-0000-00002C070000}"/>
    <cellStyle name="Currency 2 2 3 2 2" xfId="1853" xr:uid="{00000000-0005-0000-0000-00002D070000}"/>
    <cellStyle name="Currency 2 2 3 2 3" xfId="1854" xr:uid="{00000000-0005-0000-0000-00002E070000}"/>
    <cellStyle name="Currency 2 2 3 3" xfId="1855" xr:uid="{00000000-0005-0000-0000-00002F070000}"/>
    <cellStyle name="Currency 2 2 3 3 2" xfId="1856" xr:uid="{00000000-0005-0000-0000-000030070000}"/>
    <cellStyle name="Currency 2 2 3 3 3" xfId="1857" xr:uid="{00000000-0005-0000-0000-000031070000}"/>
    <cellStyle name="Currency 2 2 3 4" xfId="1858" xr:uid="{00000000-0005-0000-0000-000032070000}"/>
    <cellStyle name="Currency 2 2 3 5" xfId="1859" xr:uid="{00000000-0005-0000-0000-000033070000}"/>
    <cellStyle name="Currency 2 2 4" xfId="1860" xr:uid="{00000000-0005-0000-0000-000034070000}"/>
    <cellStyle name="Currency 2 2 4 2" xfId="1861" xr:uid="{00000000-0005-0000-0000-000035070000}"/>
    <cellStyle name="Currency 2 2 4 2 2" xfId="1862" xr:uid="{00000000-0005-0000-0000-000036070000}"/>
    <cellStyle name="Currency 2 2 4 2 3" xfId="1863" xr:uid="{00000000-0005-0000-0000-000037070000}"/>
    <cellStyle name="Currency 2 2 4 3" xfId="1864" xr:uid="{00000000-0005-0000-0000-000038070000}"/>
    <cellStyle name="Currency 2 2 4 3 2" xfId="1865" xr:uid="{00000000-0005-0000-0000-000039070000}"/>
    <cellStyle name="Currency 2 2 4 3 3" xfId="1866" xr:uid="{00000000-0005-0000-0000-00003A070000}"/>
    <cellStyle name="Currency 2 2 4 4" xfId="1867" xr:uid="{00000000-0005-0000-0000-00003B070000}"/>
    <cellStyle name="Currency 2 2 4 5" xfId="1868" xr:uid="{00000000-0005-0000-0000-00003C070000}"/>
    <cellStyle name="Currency 2 2 5" xfId="1869" xr:uid="{00000000-0005-0000-0000-00003D070000}"/>
    <cellStyle name="Currency 2 2 5 2" xfId="1870" xr:uid="{00000000-0005-0000-0000-00003E070000}"/>
    <cellStyle name="Currency 2 2 5 3" xfId="1871" xr:uid="{00000000-0005-0000-0000-00003F070000}"/>
    <cellStyle name="Currency 2 2 6" xfId="1872" xr:uid="{00000000-0005-0000-0000-000040070000}"/>
    <cellStyle name="Currency 2 2 6 2" xfId="1873" xr:uid="{00000000-0005-0000-0000-000041070000}"/>
    <cellStyle name="Currency 2 2 6 3" xfId="1874" xr:uid="{00000000-0005-0000-0000-000042070000}"/>
    <cellStyle name="Currency 2 2 7" xfId="1875" xr:uid="{00000000-0005-0000-0000-000043070000}"/>
    <cellStyle name="Currency 2 2 7 2" xfId="1876" xr:uid="{00000000-0005-0000-0000-000044070000}"/>
    <cellStyle name="Currency 2 2 7 3" xfId="1877" xr:uid="{00000000-0005-0000-0000-000045070000}"/>
    <cellStyle name="Currency 2 2 7 3 2" xfId="1878" xr:uid="{00000000-0005-0000-0000-000046070000}"/>
    <cellStyle name="Currency 2 2 7 4" xfId="1879" xr:uid="{00000000-0005-0000-0000-000047070000}"/>
    <cellStyle name="Currency 2 2 8" xfId="1880" xr:uid="{00000000-0005-0000-0000-000048070000}"/>
    <cellStyle name="Currency 2 2 9" xfId="1881" xr:uid="{00000000-0005-0000-0000-000049070000}"/>
    <cellStyle name="Currency 2 3" xfId="1882" xr:uid="{00000000-0005-0000-0000-00004A070000}"/>
    <cellStyle name="Currency 2 3 2" xfId="1883" xr:uid="{00000000-0005-0000-0000-00004B070000}"/>
    <cellStyle name="Currency 2 3 2 2" xfId="1884" xr:uid="{00000000-0005-0000-0000-00004C070000}"/>
    <cellStyle name="Currency 2 3 2 2 2" xfId="1885" xr:uid="{00000000-0005-0000-0000-00004D070000}"/>
    <cellStyle name="Currency 2 3 2 2 3" xfId="1886" xr:uid="{00000000-0005-0000-0000-00004E070000}"/>
    <cellStyle name="Currency 2 3 2 3" xfId="1887" xr:uid="{00000000-0005-0000-0000-00004F070000}"/>
    <cellStyle name="Currency 2 3 2 3 2" xfId="1888" xr:uid="{00000000-0005-0000-0000-000050070000}"/>
    <cellStyle name="Currency 2 3 2 3 3" xfId="1889" xr:uid="{00000000-0005-0000-0000-000051070000}"/>
    <cellStyle name="Currency 2 3 2 4" xfId="1890" xr:uid="{00000000-0005-0000-0000-000052070000}"/>
    <cellStyle name="Currency 2 3 2 5" xfId="1891" xr:uid="{00000000-0005-0000-0000-000053070000}"/>
    <cellStyle name="Currency 2 3 3" xfId="1892" xr:uid="{00000000-0005-0000-0000-000054070000}"/>
    <cellStyle name="Currency 2 3 3 2" xfId="1893" xr:uid="{00000000-0005-0000-0000-000055070000}"/>
    <cellStyle name="Currency 2 3 3 2 2" xfId="1894" xr:uid="{00000000-0005-0000-0000-000056070000}"/>
    <cellStyle name="Currency 2 3 3 2 3" xfId="1895" xr:uid="{00000000-0005-0000-0000-000057070000}"/>
    <cellStyle name="Currency 2 3 3 3" xfId="1896" xr:uid="{00000000-0005-0000-0000-000058070000}"/>
    <cellStyle name="Currency 2 3 3 3 2" xfId="1897" xr:uid="{00000000-0005-0000-0000-000059070000}"/>
    <cellStyle name="Currency 2 3 3 3 3" xfId="1898" xr:uid="{00000000-0005-0000-0000-00005A070000}"/>
    <cellStyle name="Currency 2 3 3 4" xfId="1899" xr:uid="{00000000-0005-0000-0000-00005B070000}"/>
    <cellStyle name="Currency 2 3 3 5" xfId="1900" xr:uid="{00000000-0005-0000-0000-00005C070000}"/>
    <cellStyle name="Currency 2 3 4" xfId="1901" xr:uid="{00000000-0005-0000-0000-00005D070000}"/>
    <cellStyle name="Currency 2 3 4 2" xfId="1902" xr:uid="{00000000-0005-0000-0000-00005E070000}"/>
    <cellStyle name="Currency 2 3 4 3" xfId="1903" xr:uid="{00000000-0005-0000-0000-00005F070000}"/>
    <cellStyle name="Currency 2 3 5" xfId="1904" xr:uid="{00000000-0005-0000-0000-000060070000}"/>
    <cellStyle name="Currency 2 3 5 2" xfId="1905" xr:uid="{00000000-0005-0000-0000-000061070000}"/>
    <cellStyle name="Currency 2 3 5 3" xfId="1906" xr:uid="{00000000-0005-0000-0000-000062070000}"/>
    <cellStyle name="Currency 2 3 6" xfId="1907" xr:uid="{00000000-0005-0000-0000-000063070000}"/>
    <cellStyle name="Currency 2 3 7" xfId="1908" xr:uid="{00000000-0005-0000-0000-000064070000}"/>
    <cellStyle name="Currency 2 4" xfId="1909" xr:uid="{00000000-0005-0000-0000-000065070000}"/>
    <cellStyle name="Currency 2 4 2" xfId="1910" xr:uid="{00000000-0005-0000-0000-000066070000}"/>
    <cellStyle name="Currency 2 4 2 2" xfId="1911" xr:uid="{00000000-0005-0000-0000-000067070000}"/>
    <cellStyle name="Currency 2 4 2 2 2" xfId="1912" xr:uid="{00000000-0005-0000-0000-000068070000}"/>
    <cellStyle name="Currency 2 4 2 2 3" xfId="1913" xr:uid="{00000000-0005-0000-0000-000069070000}"/>
    <cellStyle name="Currency 2 4 2 3" xfId="1914" xr:uid="{00000000-0005-0000-0000-00006A070000}"/>
    <cellStyle name="Currency 2 4 2 3 2" xfId="1915" xr:uid="{00000000-0005-0000-0000-00006B070000}"/>
    <cellStyle name="Currency 2 4 2 3 3" xfId="1916" xr:uid="{00000000-0005-0000-0000-00006C070000}"/>
    <cellStyle name="Currency 2 4 2 4" xfId="1917" xr:uid="{00000000-0005-0000-0000-00006D070000}"/>
    <cellStyle name="Currency 2 4 2 5" xfId="1918" xr:uid="{00000000-0005-0000-0000-00006E070000}"/>
    <cellStyle name="Currency 2 4 3" xfId="1919" xr:uid="{00000000-0005-0000-0000-00006F070000}"/>
    <cellStyle name="Currency 2 4 3 2" xfId="1920" xr:uid="{00000000-0005-0000-0000-000070070000}"/>
    <cellStyle name="Currency 2 4 3 2 2" xfId="1921" xr:uid="{00000000-0005-0000-0000-000071070000}"/>
    <cellStyle name="Currency 2 4 3 2 3" xfId="1922" xr:uid="{00000000-0005-0000-0000-000072070000}"/>
    <cellStyle name="Currency 2 4 3 3" xfId="1923" xr:uid="{00000000-0005-0000-0000-000073070000}"/>
    <cellStyle name="Currency 2 4 3 4" xfId="1924" xr:uid="{00000000-0005-0000-0000-000074070000}"/>
    <cellStyle name="Currency 2 4 4" xfId="1925" xr:uid="{00000000-0005-0000-0000-000075070000}"/>
    <cellStyle name="Currency 2 4 4 2" xfId="1926" xr:uid="{00000000-0005-0000-0000-000076070000}"/>
    <cellStyle name="Currency 2 4 4 3" xfId="1927" xr:uid="{00000000-0005-0000-0000-000077070000}"/>
    <cellStyle name="Currency 2 4 5" xfId="1928" xr:uid="{00000000-0005-0000-0000-000078070000}"/>
    <cellStyle name="Currency 2 4 5 2" xfId="1929" xr:uid="{00000000-0005-0000-0000-000079070000}"/>
    <cellStyle name="Currency 2 4 5 3" xfId="1930" xr:uid="{00000000-0005-0000-0000-00007A070000}"/>
    <cellStyle name="Currency 2 4 6" xfId="1931" xr:uid="{00000000-0005-0000-0000-00007B070000}"/>
    <cellStyle name="Currency 2 4 7" xfId="1932" xr:uid="{00000000-0005-0000-0000-00007C070000}"/>
    <cellStyle name="Currency 2 5" xfId="1933" xr:uid="{00000000-0005-0000-0000-00007D070000}"/>
    <cellStyle name="Currency 2 5 2" xfId="1934" xr:uid="{00000000-0005-0000-0000-00007E070000}"/>
    <cellStyle name="Currency 2 5 2 2" xfId="1935" xr:uid="{00000000-0005-0000-0000-00007F070000}"/>
    <cellStyle name="Currency 2 5 2 3" xfId="1936" xr:uid="{00000000-0005-0000-0000-000080070000}"/>
    <cellStyle name="Currency 2 5 3" xfId="1937" xr:uid="{00000000-0005-0000-0000-000081070000}"/>
    <cellStyle name="Currency 2 5 3 2" xfId="1938" xr:uid="{00000000-0005-0000-0000-000082070000}"/>
    <cellStyle name="Currency 2 5 3 3" xfId="1939" xr:uid="{00000000-0005-0000-0000-000083070000}"/>
    <cellStyle name="Currency 2 5 4" xfId="1940" xr:uid="{00000000-0005-0000-0000-000084070000}"/>
    <cellStyle name="Currency 2 5 5" xfId="1941" xr:uid="{00000000-0005-0000-0000-000085070000}"/>
    <cellStyle name="Currency 2 6" xfId="1942" xr:uid="{00000000-0005-0000-0000-000086070000}"/>
    <cellStyle name="Currency 2 6 2" xfId="1943" xr:uid="{00000000-0005-0000-0000-000087070000}"/>
    <cellStyle name="Currency 2 6 2 2" xfId="1944" xr:uid="{00000000-0005-0000-0000-000088070000}"/>
    <cellStyle name="Currency 2 6 2 3" xfId="1945" xr:uid="{00000000-0005-0000-0000-000089070000}"/>
    <cellStyle name="Currency 2 6 3" xfId="1946" xr:uid="{00000000-0005-0000-0000-00008A070000}"/>
    <cellStyle name="Currency 2 6 3 2" xfId="1947" xr:uid="{00000000-0005-0000-0000-00008B070000}"/>
    <cellStyle name="Currency 2 6 3 3" xfId="1948" xr:uid="{00000000-0005-0000-0000-00008C070000}"/>
    <cellStyle name="Currency 2 6 4" xfId="1949" xr:uid="{00000000-0005-0000-0000-00008D070000}"/>
    <cellStyle name="Currency 2 7" xfId="1950" xr:uid="{00000000-0005-0000-0000-00008E070000}"/>
    <cellStyle name="Currency 2 7 2" xfId="1951" xr:uid="{00000000-0005-0000-0000-00008F070000}"/>
    <cellStyle name="Currency 2 7 2 2" xfId="1952" xr:uid="{00000000-0005-0000-0000-000090070000}"/>
    <cellStyle name="Currency 2 7 3" xfId="1953" xr:uid="{00000000-0005-0000-0000-000091070000}"/>
    <cellStyle name="Currency 2 7 4" xfId="1954" xr:uid="{00000000-0005-0000-0000-000092070000}"/>
    <cellStyle name="Currency 2 8" xfId="1955" xr:uid="{00000000-0005-0000-0000-000093070000}"/>
    <cellStyle name="Currency 2 8 2" xfId="1956" xr:uid="{00000000-0005-0000-0000-000094070000}"/>
    <cellStyle name="Currency 2 8 2 2" xfId="1957" xr:uid="{00000000-0005-0000-0000-000095070000}"/>
    <cellStyle name="Currency 2 8 2 3" xfId="1958" xr:uid="{00000000-0005-0000-0000-000096070000}"/>
    <cellStyle name="Currency 2 8 3" xfId="1959" xr:uid="{00000000-0005-0000-0000-000097070000}"/>
    <cellStyle name="Currency 2 8 3 2" xfId="1960" xr:uid="{00000000-0005-0000-0000-000098070000}"/>
    <cellStyle name="Currency 2 8 3 3" xfId="1961" xr:uid="{00000000-0005-0000-0000-000099070000}"/>
    <cellStyle name="Currency 2 8 4" xfId="1962" xr:uid="{00000000-0005-0000-0000-00009A070000}"/>
    <cellStyle name="Currency 2 9" xfId="4" xr:uid="{00000000-0005-0000-0000-00009B070000}"/>
    <cellStyle name="Currency 2 9 2" xfId="1964" xr:uid="{00000000-0005-0000-0000-00009C070000}"/>
    <cellStyle name="Currency 2 9 3" xfId="1965" xr:uid="{00000000-0005-0000-0000-00009D070000}"/>
    <cellStyle name="Currency 2 9 4" xfId="1963" xr:uid="{00000000-0005-0000-0000-00009E070000}"/>
    <cellStyle name="Currency 20" xfId="1966" xr:uid="{00000000-0005-0000-0000-00009F070000}"/>
    <cellStyle name="Currency 20 2" xfId="1967" xr:uid="{00000000-0005-0000-0000-0000A0070000}"/>
    <cellStyle name="Currency 21" xfId="1968" xr:uid="{00000000-0005-0000-0000-0000A1070000}"/>
    <cellStyle name="Currency 21 2" xfId="1969" xr:uid="{00000000-0005-0000-0000-0000A2070000}"/>
    <cellStyle name="Currency 21 2 2" xfId="1970" xr:uid="{00000000-0005-0000-0000-0000A3070000}"/>
    <cellStyle name="Currency 21 3" xfId="1971" xr:uid="{00000000-0005-0000-0000-0000A4070000}"/>
    <cellStyle name="Currency 22" xfId="9" xr:uid="{00000000-0005-0000-0000-0000A5070000}"/>
    <cellStyle name="Currency 22 2" xfId="1973" xr:uid="{00000000-0005-0000-0000-0000A6070000}"/>
    <cellStyle name="Currency 22 3" xfId="1972" xr:uid="{00000000-0005-0000-0000-0000A7070000}"/>
    <cellStyle name="Currency 23" xfId="1974" xr:uid="{00000000-0005-0000-0000-0000A8070000}"/>
    <cellStyle name="Currency 23 2" xfId="1975" xr:uid="{00000000-0005-0000-0000-0000A9070000}"/>
    <cellStyle name="Currency 23 2 2" xfId="1976" xr:uid="{00000000-0005-0000-0000-0000AA070000}"/>
    <cellStyle name="Currency 23 2 3" xfId="1977" xr:uid="{00000000-0005-0000-0000-0000AB070000}"/>
    <cellStyle name="Currency 23 3" xfId="1978" xr:uid="{00000000-0005-0000-0000-0000AC070000}"/>
    <cellStyle name="Currency 23 3 2" xfId="1979" xr:uid="{00000000-0005-0000-0000-0000AD070000}"/>
    <cellStyle name="Currency 23 3 3" xfId="1980" xr:uid="{00000000-0005-0000-0000-0000AE070000}"/>
    <cellStyle name="Currency 23 4" xfId="1981" xr:uid="{00000000-0005-0000-0000-0000AF070000}"/>
    <cellStyle name="Currency 24" xfId="1982" xr:uid="{00000000-0005-0000-0000-0000B0070000}"/>
    <cellStyle name="Currency 24 2" xfId="1983" xr:uid="{00000000-0005-0000-0000-0000B1070000}"/>
    <cellStyle name="Currency 24 3" xfId="1984" xr:uid="{00000000-0005-0000-0000-0000B2070000}"/>
    <cellStyle name="Currency 25" xfId="1985" xr:uid="{00000000-0005-0000-0000-0000B3070000}"/>
    <cellStyle name="Currency 25 2" xfId="1986" xr:uid="{00000000-0005-0000-0000-0000B4070000}"/>
    <cellStyle name="Currency 25 3" xfId="1987" xr:uid="{00000000-0005-0000-0000-0000B5070000}"/>
    <cellStyle name="Currency 26" xfId="1988" xr:uid="{00000000-0005-0000-0000-0000B6070000}"/>
    <cellStyle name="Currency 26 2" xfId="1989" xr:uid="{00000000-0005-0000-0000-0000B7070000}"/>
    <cellStyle name="Currency 26 3" xfId="1990" xr:uid="{00000000-0005-0000-0000-0000B8070000}"/>
    <cellStyle name="Currency 27" xfId="1991" xr:uid="{00000000-0005-0000-0000-0000B9070000}"/>
    <cellStyle name="Currency 27 2" xfId="1992" xr:uid="{00000000-0005-0000-0000-0000BA070000}"/>
    <cellStyle name="Currency 27 3" xfId="1993" xr:uid="{00000000-0005-0000-0000-0000BB070000}"/>
    <cellStyle name="Currency 28" xfId="1994" xr:uid="{00000000-0005-0000-0000-0000BC070000}"/>
    <cellStyle name="Currency 28 2" xfId="1995" xr:uid="{00000000-0005-0000-0000-0000BD070000}"/>
    <cellStyle name="Currency 29" xfId="1996" xr:uid="{00000000-0005-0000-0000-0000BE070000}"/>
    <cellStyle name="Currency 29 2" xfId="1997" xr:uid="{00000000-0005-0000-0000-0000BF070000}"/>
    <cellStyle name="Currency 29 3" xfId="1998" xr:uid="{00000000-0005-0000-0000-0000C0070000}"/>
    <cellStyle name="Currency 3" xfId="1999" xr:uid="{00000000-0005-0000-0000-0000C1070000}"/>
    <cellStyle name="Currency 3 10" xfId="2000" xr:uid="{00000000-0005-0000-0000-0000C2070000}"/>
    <cellStyle name="Currency 3 11" xfId="2001" xr:uid="{00000000-0005-0000-0000-0000C3070000}"/>
    <cellStyle name="Currency 3 11 2" xfId="2002" xr:uid="{00000000-0005-0000-0000-0000C4070000}"/>
    <cellStyle name="Currency 3 11 3" xfId="2003" xr:uid="{00000000-0005-0000-0000-0000C5070000}"/>
    <cellStyle name="Currency 3 12" xfId="2004" xr:uid="{00000000-0005-0000-0000-0000C6070000}"/>
    <cellStyle name="Currency 3 12 2" xfId="2005" xr:uid="{00000000-0005-0000-0000-0000C7070000}"/>
    <cellStyle name="Currency 3 12 3" xfId="2006" xr:uid="{00000000-0005-0000-0000-0000C8070000}"/>
    <cellStyle name="Currency 3 12 3 2" xfId="2007" xr:uid="{00000000-0005-0000-0000-0000C9070000}"/>
    <cellStyle name="Currency 3 12 4" xfId="2008" xr:uid="{00000000-0005-0000-0000-0000CA070000}"/>
    <cellStyle name="Currency 3 2" xfId="2009" xr:uid="{00000000-0005-0000-0000-0000CB070000}"/>
    <cellStyle name="Currency 3 2 2" xfId="2010" xr:uid="{00000000-0005-0000-0000-0000CC070000}"/>
    <cellStyle name="Currency 3 2 2 2" xfId="2011" xr:uid="{00000000-0005-0000-0000-0000CD070000}"/>
    <cellStyle name="Currency 3 2 2 2 2" xfId="2012" xr:uid="{00000000-0005-0000-0000-0000CE070000}"/>
    <cellStyle name="Currency 3 2 2 2 3" xfId="2013" xr:uid="{00000000-0005-0000-0000-0000CF070000}"/>
    <cellStyle name="Currency 3 2 2 3" xfId="2014" xr:uid="{00000000-0005-0000-0000-0000D0070000}"/>
    <cellStyle name="Currency 3 2 2 3 2" xfId="2015" xr:uid="{00000000-0005-0000-0000-0000D1070000}"/>
    <cellStyle name="Currency 3 2 2 3 3" xfId="2016" xr:uid="{00000000-0005-0000-0000-0000D2070000}"/>
    <cellStyle name="Currency 3 2 2 4" xfId="2017" xr:uid="{00000000-0005-0000-0000-0000D3070000}"/>
    <cellStyle name="Currency 3 2 2 5" xfId="2018" xr:uid="{00000000-0005-0000-0000-0000D4070000}"/>
    <cellStyle name="Currency 3 2 3" xfId="2019" xr:uid="{00000000-0005-0000-0000-0000D5070000}"/>
    <cellStyle name="Currency 3 2 3 2" xfId="2020" xr:uid="{00000000-0005-0000-0000-0000D6070000}"/>
    <cellStyle name="Currency 3 2 3 2 2" xfId="2021" xr:uid="{00000000-0005-0000-0000-0000D7070000}"/>
    <cellStyle name="Currency 3 2 3 2 3" xfId="2022" xr:uid="{00000000-0005-0000-0000-0000D8070000}"/>
    <cellStyle name="Currency 3 2 3 3" xfId="2023" xr:uid="{00000000-0005-0000-0000-0000D9070000}"/>
    <cellStyle name="Currency 3 2 3 3 2" xfId="2024" xr:uid="{00000000-0005-0000-0000-0000DA070000}"/>
    <cellStyle name="Currency 3 2 3 3 3" xfId="2025" xr:uid="{00000000-0005-0000-0000-0000DB070000}"/>
    <cellStyle name="Currency 3 2 3 4" xfId="2026" xr:uid="{00000000-0005-0000-0000-0000DC070000}"/>
    <cellStyle name="Currency 3 2 3 5" xfId="2027" xr:uid="{00000000-0005-0000-0000-0000DD070000}"/>
    <cellStyle name="Currency 3 2 4" xfId="2028" xr:uid="{00000000-0005-0000-0000-0000DE070000}"/>
    <cellStyle name="Currency 3 2 4 2" xfId="2029" xr:uid="{00000000-0005-0000-0000-0000DF070000}"/>
    <cellStyle name="Currency 3 2 4 3" xfId="2030" xr:uid="{00000000-0005-0000-0000-0000E0070000}"/>
    <cellStyle name="Currency 3 2 5" xfId="2031" xr:uid="{00000000-0005-0000-0000-0000E1070000}"/>
    <cellStyle name="Currency 3 2 5 2" xfId="2032" xr:uid="{00000000-0005-0000-0000-0000E2070000}"/>
    <cellStyle name="Currency 3 2 5 3" xfId="2033" xr:uid="{00000000-0005-0000-0000-0000E3070000}"/>
    <cellStyle name="Currency 3 2 6" xfId="2034" xr:uid="{00000000-0005-0000-0000-0000E4070000}"/>
    <cellStyle name="Currency 3 2 7" xfId="2035" xr:uid="{00000000-0005-0000-0000-0000E5070000}"/>
    <cellStyle name="Currency 3 3" xfId="2036" xr:uid="{00000000-0005-0000-0000-0000E6070000}"/>
    <cellStyle name="Currency 3 3 2" xfId="2037" xr:uid="{00000000-0005-0000-0000-0000E7070000}"/>
    <cellStyle name="Currency 3 3 2 2" xfId="2038" xr:uid="{00000000-0005-0000-0000-0000E8070000}"/>
    <cellStyle name="Currency 3 3 2 2 2" xfId="2039" xr:uid="{00000000-0005-0000-0000-0000E9070000}"/>
    <cellStyle name="Currency 3 3 2 2 3" xfId="2040" xr:uid="{00000000-0005-0000-0000-0000EA070000}"/>
    <cellStyle name="Currency 3 3 2 3" xfId="2041" xr:uid="{00000000-0005-0000-0000-0000EB070000}"/>
    <cellStyle name="Currency 3 3 2 3 2" xfId="2042" xr:uid="{00000000-0005-0000-0000-0000EC070000}"/>
    <cellStyle name="Currency 3 3 2 3 3" xfId="2043" xr:uid="{00000000-0005-0000-0000-0000ED070000}"/>
    <cellStyle name="Currency 3 3 2 4" xfId="2044" xr:uid="{00000000-0005-0000-0000-0000EE070000}"/>
    <cellStyle name="Currency 3 3 2 5" xfId="2045" xr:uid="{00000000-0005-0000-0000-0000EF070000}"/>
    <cellStyle name="Currency 3 3 3" xfId="2046" xr:uid="{00000000-0005-0000-0000-0000F0070000}"/>
    <cellStyle name="Currency 3 3 3 2" xfId="2047" xr:uid="{00000000-0005-0000-0000-0000F1070000}"/>
    <cellStyle name="Currency 3 3 3 2 2" xfId="2048" xr:uid="{00000000-0005-0000-0000-0000F2070000}"/>
    <cellStyle name="Currency 3 3 3 2 3" xfId="2049" xr:uid="{00000000-0005-0000-0000-0000F3070000}"/>
    <cellStyle name="Currency 3 3 3 3" xfId="2050" xr:uid="{00000000-0005-0000-0000-0000F4070000}"/>
    <cellStyle name="Currency 3 3 3 3 2" xfId="2051" xr:uid="{00000000-0005-0000-0000-0000F5070000}"/>
    <cellStyle name="Currency 3 3 3 3 3" xfId="2052" xr:uid="{00000000-0005-0000-0000-0000F6070000}"/>
    <cellStyle name="Currency 3 3 3 4" xfId="2053" xr:uid="{00000000-0005-0000-0000-0000F7070000}"/>
    <cellStyle name="Currency 3 3 3 5" xfId="2054" xr:uid="{00000000-0005-0000-0000-0000F8070000}"/>
    <cellStyle name="Currency 3 3 4" xfId="2055" xr:uid="{00000000-0005-0000-0000-0000F9070000}"/>
    <cellStyle name="Currency 3 3 4 2" xfId="2056" xr:uid="{00000000-0005-0000-0000-0000FA070000}"/>
    <cellStyle name="Currency 3 3 4 3" xfId="2057" xr:uid="{00000000-0005-0000-0000-0000FB070000}"/>
    <cellStyle name="Currency 3 3 5" xfId="2058" xr:uid="{00000000-0005-0000-0000-0000FC070000}"/>
    <cellStyle name="Currency 3 3 5 2" xfId="2059" xr:uid="{00000000-0005-0000-0000-0000FD070000}"/>
    <cellStyle name="Currency 3 3 5 3" xfId="2060" xr:uid="{00000000-0005-0000-0000-0000FE070000}"/>
    <cellStyle name="Currency 3 3 6" xfId="2061" xr:uid="{00000000-0005-0000-0000-0000FF070000}"/>
    <cellStyle name="Currency 3 3 7" xfId="2062" xr:uid="{00000000-0005-0000-0000-000000080000}"/>
    <cellStyle name="Currency 3 4" xfId="2063" xr:uid="{00000000-0005-0000-0000-000001080000}"/>
    <cellStyle name="Currency 3 4 2" xfId="2064" xr:uid="{00000000-0005-0000-0000-000002080000}"/>
    <cellStyle name="Currency 3 4 2 2" xfId="2065" xr:uid="{00000000-0005-0000-0000-000003080000}"/>
    <cellStyle name="Currency 3 4 2 3" xfId="2066" xr:uid="{00000000-0005-0000-0000-000004080000}"/>
    <cellStyle name="Currency 3 4 3" xfId="2067" xr:uid="{00000000-0005-0000-0000-000005080000}"/>
    <cellStyle name="Currency 3 4 3 2" xfId="2068" xr:uid="{00000000-0005-0000-0000-000006080000}"/>
    <cellStyle name="Currency 3 4 3 3" xfId="2069" xr:uid="{00000000-0005-0000-0000-000007080000}"/>
    <cellStyle name="Currency 3 4 4" xfId="2070" xr:uid="{00000000-0005-0000-0000-000008080000}"/>
    <cellStyle name="Currency 3 4 5" xfId="2071" xr:uid="{00000000-0005-0000-0000-000009080000}"/>
    <cellStyle name="Currency 3 5" xfId="2072" xr:uid="{00000000-0005-0000-0000-00000A080000}"/>
    <cellStyle name="Currency 3 5 2" xfId="2073" xr:uid="{00000000-0005-0000-0000-00000B080000}"/>
    <cellStyle name="Currency 3 5 2 2" xfId="2074" xr:uid="{00000000-0005-0000-0000-00000C080000}"/>
    <cellStyle name="Currency 3 5 2 3" xfId="2075" xr:uid="{00000000-0005-0000-0000-00000D080000}"/>
    <cellStyle name="Currency 3 5 3" xfId="2076" xr:uid="{00000000-0005-0000-0000-00000E080000}"/>
    <cellStyle name="Currency 3 5 3 2" xfId="2077" xr:uid="{00000000-0005-0000-0000-00000F080000}"/>
    <cellStyle name="Currency 3 5 3 3" xfId="2078" xr:uid="{00000000-0005-0000-0000-000010080000}"/>
    <cellStyle name="Currency 3 5 4" xfId="2079" xr:uid="{00000000-0005-0000-0000-000011080000}"/>
    <cellStyle name="Currency 3 6" xfId="2080" xr:uid="{00000000-0005-0000-0000-000012080000}"/>
    <cellStyle name="Currency 3 6 2" xfId="2081" xr:uid="{00000000-0005-0000-0000-000013080000}"/>
    <cellStyle name="Currency 3 6 2 2" xfId="2082" xr:uid="{00000000-0005-0000-0000-000014080000}"/>
    <cellStyle name="Currency 3 6 3" xfId="2083" xr:uid="{00000000-0005-0000-0000-000015080000}"/>
    <cellStyle name="Currency 3 6 4" xfId="2084" xr:uid="{00000000-0005-0000-0000-000016080000}"/>
    <cellStyle name="Currency 3 7" xfId="2085" xr:uid="{00000000-0005-0000-0000-000017080000}"/>
    <cellStyle name="Currency 3 7 2" xfId="2086" xr:uid="{00000000-0005-0000-0000-000018080000}"/>
    <cellStyle name="Currency 3 8" xfId="2087" xr:uid="{00000000-0005-0000-0000-000019080000}"/>
    <cellStyle name="Currency 3 8 2" xfId="2088" xr:uid="{00000000-0005-0000-0000-00001A080000}"/>
    <cellStyle name="Currency 3 8 3" xfId="2089" xr:uid="{00000000-0005-0000-0000-00001B080000}"/>
    <cellStyle name="Currency 3 9" xfId="2090" xr:uid="{00000000-0005-0000-0000-00001C080000}"/>
    <cellStyle name="Currency 3 9 2" xfId="2091" xr:uid="{00000000-0005-0000-0000-00001D080000}"/>
    <cellStyle name="Currency 3 9 3" xfId="2092" xr:uid="{00000000-0005-0000-0000-00001E080000}"/>
    <cellStyle name="Currency 30" xfId="2093" xr:uid="{00000000-0005-0000-0000-00001F080000}"/>
    <cellStyle name="Currency 30 2" xfId="2094" xr:uid="{00000000-0005-0000-0000-000020080000}"/>
    <cellStyle name="Currency 30 3" xfId="2095" xr:uid="{00000000-0005-0000-0000-000021080000}"/>
    <cellStyle name="Currency 31" xfId="2096" xr:uid="{00000000-0005-0000-0000-000022080000}"/>
    <cellStyle name="Currency 31 2" xfId="2097" xr:uid="{00000000-0005-0000-0000-000023080000}"/>
    <cellStyle name="Currency 31 3" xfId="2098" xr:uid="{00000000-0005-0000-0000-000024080000}"/>
    <cellStyle name="Currency 32" xfId="2099" xr:uid="{00000000-0005-0000-0000-000025080000}"/>
    <cellStyle name="Currency 32 2" xfId="2100" xr:uid="{00000000-0005-0000-0000-000026080000}"/>
    <cellStyle name="Currency 33" xfId="2101" xr:uid="{00000000-0005-0000-0000-000027080000}"/>
    <cellStyle name="Currency 33 2" xfId="2102" xr:uid="{00000000-0005-0000-0000-000028080000}"/>
    <cellStyle name="Currency 34" xfId="2103" xr:uid="{00000000-0005-0000-0000-000029080000}"/>
    <cellStyle name="Currency 34 2" xfId="2104" xr:uid="{00000000-0005-0000-0000-00002A080000}"/>
    <cellStyle name="Currency 35" xfId="2105" xr:uid="{00000000-0005-0000-0000-00002B080000}"/>
    <cellStyle name="Currency 35 2" xfId="2106" xr:uid="{00000000-0005-0000-0000-00002C080000}"/>
    <cellStyle name="Currency 36" xfId="2107" xr:uid="{00000000-0005-0000-0000-00002D080000}"/>
    <cellStyle name="Currency 36 2" xfId="2108" xr:uid="{00000000-0005-0000-0000-00002E080000}"/>
    <cellStyle name="Currency 37" xfId="2109" xr:uid="{00000000-0005-0000-0000-00002F080000}"/>
    <cellStyle name="Currency 37 2" xfId="2110" xr:uid="{00000000-0005-0000-0000-000030080000}"/>
    <cellStyle name="Currency 38" xfId="2111" xr:uid="{00000000-0005-0000-0000-000031080000}"/>
    <cellStyle name="Currency 38 2" xfId="2112" xr:uid="{00000000-0005-0000-0000-000032080000}"/>
    <cellStyle name="Currency 38 3" xfId="2113" xr:uid="{00000000-0005-0000-0000-000033080000}"/>
    <cellStyle name="Currency 39" xfId="2114" xr:uid="{00000000-0005-0000-0000-000034080000}"/>
    <cellStyle name="Currency 39 2" xfId="2115" xr:uid="{00000000-0005-0000-0000-000035080000}"/>
    <cellStyle name="Currency 39 3" xfId="2116" xr:uid="{00000000-0005-0000-0000-000036080000}"/>
    <cellStyle name="Currency 4" xfId="2117" xr:uid="{00000000-0005-0000-0000-000037080000}"/>
    <cellStyle name="Currency 4 2" xfId="2118" xr:uid="{00000000-0005-0000-0000-000038080000}"/>
    <cellStyle name="Currency 4 2 2" xfId="2119" xr:uid="{00000000-0005-0000-0000-000039080000}"/>
    <cellStyle name="Currency 4 2 2 2" xfId="2120" xr:uid="{00000000-0005-0000-0000-00003A080000}"/>
    <cellStyle name="Currency 4 2 2 3" xfId="2121" xr:uid="{00000000-0005-0000-0000-00003B080000}"/>
    <cellStyle name="Currency 4 2 3" xfId="2122" xr:uid="{00000000-0005-0000-0000-00003C080000}"/>
    <cellStyle name="Currency 4 2 3 2" xfId="2123" xr:uid="{00000000-0005-0000-0000-00003D080000}"/>
    <cellStyle name="Currency 4 2 3 3" xfId="2124" xr:uid="{00000000-0005-0000-0000-00003E080000}"/>
    <cellStyle name="Currency 4 2 4" xfId="2125" xr:uid="{00000000-0005-0000-0000-00003F080000}"/>
    <cellStyle name="Currency 4 3" xfId="2126" xr:uid="{00000000-0005-0000-0000-000040080000}"/>
    <cellStyle name="Currency 4 3 2" xfId="2127" xr:uid="{00000000-0005-0000-0000-000041080000}"/>
    <cellStyle name="Currency 4 3 2 2" xfId="2128" xr:uid="{00000000-0005-0000-0000-000042080000}"/>
    <cellStyle name="Currency 4 3 2 3" xfId="2129" xr:uid="{00000000-0005-0000-0000-000043080000}"/>
    <cellStyle name="Currency 4 3 3" xfId="2130" xr:uid="{00000000-0005-0000-0000-000044080000}"/>
    <cellStyle name="Currency 4 3 3 2" xfId="2131" xr:uid="{00000000-0005-0000-0000-000045080000}"/>
    <cellStyle name="Currency 4 3 3 3" xfId="2132" xr:uid="{00000000-0005-0000-0000-000046080000}"/>
    <cellStyle name="Currency 4 3 4" xfId="2133" xr:uid="{00000000-0005-0000-0000-000047080000}"/>
    <cellStyle name="Currency 4 3 5" xfId="2134" xr:uid="{00000000-0005-0000-0000-000048080000}"/>
    <cellStyle name="Currency 4 4" xfId="2135" xr:uid="{00000000-0005-0000-0000-000049080000}"/>
    <cellStyle name="Currency 4 4 2" xfId="2136" xr:uid="{00000000-0005-0000-0000-00004A080000}"/>
    <cellStyle name="Currency 4 4 2 2" xfId="2137" xr:uid="{00000000-0005-0000-0000-00004B080000}"/>
    <cellStyle name="Currency 4 4 3" xfId="2138" xr:uid="{00000000-0005-0000-0000-00004C080000}"/>
    <cellStyle name="Currency 4 5" xfId="2139" xr:uid="{00000000-0005-0000-0000-00004D080000}"/>
    <cellStyle name="Currency 4 5 2" xfId="2140" xr:uid="{00000000-0005-0000-0000-00004E080000}"/>
    <cellStyle name="Currency 4 5 3" xfId="2141" xr:uid="{00000000-0005-0000-0000-00004F080000}"/>
    <cellStyle name="Currency 4 6" xfId="2142" xr:uid="{00000000-0005-0000-0000-000050080000}"/>
    <cellStyle name="Currency 4 6 2" xfId="2143" xr:uid="{00000000-0005-0000-0000-000051080000}"/>
    <cellStyle name="Currency 4 6 3" xfId="2144" xr:uid="{00000000-0005-0000-0000-000052080000}"/>
    <cellStyle name="Currency 4 7" xfId="2145" xr:uid="{00000000-0005-0000-0000-000053080000}"/>
    <cellStyle name="Currency 4 8" xfId="2146" xr:uid="{00000000-0005-0000-0000-000054080000}"/>
    <cellStyle name="Currency 4 8 2" xfId="2147" xr:uid="{00000000-0005-0000-0000-000055080000}"/>
    <cellStyle name="Currency 4 8 3" xfId="2148" xr:uid="{00000000-0005-0000-0000-000056080000}"/>
    <cellStyle name="Currency 40" xfId="2149" xr:uid="{00000000-0005-0000-0000-000057080000}"/>
    <cellStyle name="Currency 40 2" xfId="2150" xr:uid="{00000000-0005-0000-0000-000058080000}"/>
    <cellStyle name="Currency 40 3" xfId="2151" xr:uid="{00000000-0005-0000-0000-000059080000}"/>
    <cellStyle name="Currency 41" xfId="2152" xr:uid="{00000000-0005-0000-0000-00005A080000}"/>
    <cellStyle name="Currency 41 2" xfId="2153" xr:uid="{00000000-0005-0000-0000-00005B080000}"/>
    <cellStyle name="Currency 41 3" xfId="2154" xr:uid="{00000000-0005-0000-0000-00005C080000}"/>
    <cellStyle name="Currency 42" xfId="2155" xr:uid="{00000000-0005-0000-0000-00005D080000}"/>
    <cellStyle name="Currency 42 2" xfId="2156" xr:uid="{00000000-0005-0000-0000-00005E080000}"/>
    <cellStyle name="Currency 42 3" xfId="2157" xr:uid="{00000000-0005-0000-0000-00005F080000}"/>
    <cellStyle name="Currency 43" xfId="2158" xr:uid="{00000000-0005-0000-0000-000060080000}"/>
    <cellStyle name="Currency 43 2" xfId="2159" xr:uid="{00000000-0005-0000-0000-000061080000}"/>
    <cellStyle name="Currency 44" xfId="2160" xr:uid="{00000000-0005-0000-0000-000062080000}"/>
    <cellStyle name="Currency 44 2" xfId="2161" xr:uid="{00000000-0005-0000-0000-000063080000}"/>
    <cellStyle name="Currency 45" xfId="2162" xr:uid="{00000000-0005-0000-0000-000064080000}"/>
    <cellStyle name="Currency 45 2" xfId="2163" xr:uid="{00000000-0005-0000-0000-000065080000}"/>
    <cellStyle name="Currency 46" xfId="2164" xr:uid="{00000000-0005-0000-0000-000066080000}"/>
    <cellStyle name="Currency 46 2" xfId="2165" xr:uid="{00000000-0005-0000-0000-000067080000}"/>
    <cellStyle name="Currency 47" xfId="2166" xr:uid="{00000000-0005-0000-0000-000068080000}"/>
    <cellStyle name="Currency 47 2" xfId="2167" xr:uid="{00000000-0005-0000-0000-000069080000}"/>
    <cellStyle name="Currency 47 3" xfId="2168" xr:uid="{00000000-0005-0000-0000-00006A080000}"/>
    <cellStyle name="Currency 48" xfId="2169" xr:uid="{00000000-0005-0000-0000-00006B080000}"/>
    <cellStyle name="Currency 48 2" xfId="2170" xr:uid="{00000000-0005-0000-0000-00006C080000}"/>
    <cellStyle name="Currency 48 3" xfId="2171" xr:uid="{00000000-0005-0000-0000-00006D080000}"/>
    <cellStyle name="Currency 48 3 2" xfId="2172" xr:uid="{00000000-0005-0000-0000-00006E080000}"/>
    <cellStyle name="Currency 48 4" xfId="2173" xr:uid="{00000000-0005-0000-0000-00006F080000}"/>
    <cellStyle name="Currency 49" xfId="2174" xr:uid="{00000000-0005-0000-0000-000070080000}"/>
    <cellStyle name="Currency 49 2" xfId="2175" xr:uid="{00000000-0005-0000-0000-000071080000}"/>
    <cellStyle name="Currency 49 3" xfId="2176" xr:uid="{00000000-0005-0000-0000-000072080000}"/>
    <cellStyle name="Currency 49 3 2" xfId="2177" xr:uid="{00000000-0005-0000-0000-000073080000}"/>
    <cellStyle name="Currency 49 4" xfId="2178" xr:uid="{00000000-0005-0000-0000-000074080000}"/>
    <cellStyle name="Currency 5" xfId="2179" xr:uid="{00000000-0005-0000-0000-000075080000}"/>
    <cellStyle name="Currency 5 2" xfId="2180" xr:uid="{00000000-0005-0000-0000-000076080000}"/>
    <cellStyle name="Currency 5 2 2" xfId="2181" xr:uid="{00000000-0005-0000-0000-000077080000}"/>
    <cellStyle name="Currency 5 2 2 2" xfId="2182" xr:uid="{00000000-0005-0000-0000-000078080000}"/>
    <cellStyle name="Currency 5 2 3" xfId="2183" xr:uid="{00000000-0005-0000-0000-000079080000}"/>
    <cellStyle name="Currency 5 3" xfId="2184" xr:uid="{00000000-0005-0000-0000-00007A080000}"/>
    <cellStyle name="Currency 5 3 2" xfId="2185" xr:uid="{00000000-0005-0000-0000-00007B080000}"/>
    <cellStyle name="Currency 5 4" xfId="2186" xr:uid="{00000000-0005-0000-0000-00007C080000}"/>
    <cellStyle name="Currency 5 4 2" xfId="2187" xr:uid="{00000000-0005-0000-0000-00007D080000}"/>
    <cellStyle name="Currency 5 4 3" xfId="2188" xr:uid="{00000000-0005-0000-0000-00007E080000}"/>
    <cellStyle name="Currency 5 5" xfId="2189" xr:uid="{00000000-0005-0000-0000-00007F080000}"/>
    <cellStyle name="Currency 5 5 2" xfId="2190" xr:uid="{00000000-0005-0000-0000-000080080000}"/>
    <cellStyle name="Currency 5 5 3" xfId="2191" xr:uid="{00000000-0005-0000-0000-000081080000}"/>
    <cellStyle name="Currency 5 6" xfId="2192" xr:uid="{00000000-0005-0000-0000-000082080000}"/>
    <cellStyle name="Currency 5 7" xfId="2193" xr:uid="{00000000-0005-0000-0000-000083080000}"/>
    <cellStyle name="Currency 5 7 2" xfId="2194" xr:uid="{00000000-0005-0000-0000-000084080000}"/>
    <cellStyle name="Currency 5 7 3" xfId="2195" xr:uid="{00000000-0005-0000-0000-000085080000}"/>
    <cellStyle name="Currency 50" xfId="2196" xr:uid="{00000000-0005-0000-0000-000086080000}"/>
    <cellStyle name="Currency 50 2" xfId="2197" xr:uid="{00000000-0005-0000-0000-000087080000}"/>
    <cellStyle name="Currency 50 3" xfId="2198" xr:uid="{00000000-0005-0000-0000-000088080000}"/>
    <cellStyle name="Currency 50 3 2" xfId="2199" xr:uid="{00000000-0005-0000-0000-000089080000}"/>
    <cellStyle name="Currency 50 4" xfId="2200" xr:uid="{00000000-0005-0000-0000-00008A080000}"/>
    <cellStyle name="Currency 51" xfId="2201" xr:uid="{00000000-0005-0000-0000-00008B080000}"/>
    <cellStyle name="Currency 51 2" xfId="2202" xr:uid="{00000000-0005-0000-0000-00008C080000}"/>
    <cellStyle name="Currency 51 3" xfId="2203" xr:uid="{00000000-0005-0000-0000-00008D080000}"/>
    <cellStyle name="Currency 51 3 2" xfId="2204" xr:uid="{00000000-0005-0000-0000-00008E080000}"/>
    <cellStyle name="Currency 51 4" xfId="2205" xr:uid="{00000000-0005-0000-0000-00008F080000}"/>
    <cellStyle name="Currency 52" xfId="2206" xr:uid="{00000000-0005-0000-0000-000090080000}"/>
    <cellStyle name="Currency 52 2" xfId="2207" xr:uid="{00000000-0005-0000-0000-000091080000}"/>
    <cellStyle name="Currency 52 3" xfId="2208" xr:uid="{00000000-0005-0000-0000-000092080000}"/>
    <cellStyle name="Currency 52 3 2" xfId="2209" xr:uid="{00000000-0005-0000-0000-000093080000}"/>
    <cellStyle name="Currency 52 4" xfId="2210" xr:uid="{00000000-0005-0000-0000-000094080000}"/>
    <cellStyle name="Currency 53" xfId="2211" xr:uid="{00000000-0005-0000-0000-000095080000}"/>
    <cellStyle name="Currency 6" xfId="2212" xr:uid="{00000000-0005-0000-0000-000096080000}"/>
    <cellStyle name="Currency 6 2" xfId="2213" xr:uid="{00000000-0005-0000-0000-000097080000}"/>
    <cellStyle name="Currency 6 2 2" xfId="2214" xr:uid="{00000000-0005-0000-0000-000098080000}"/>
    <cellStyle name="Currency 6 2 2 2" xfId="2215" xr:uid="{00000000-0005-0000-0000-000099080000}"/>
    <cellStyle name="Currency 6 2 3" xfId="2216" xr:uid="{00000000-0005-0000-0000-00009A080000}"/>
    <cellStyle name="Currency 6 3" xfId="2217" xr:uid="{00000000-0005-0000-0000-00009B080000}"/>
    <cellStyle name="Currency 6 3 2" xfId="2218" xr:uid="{00000000-0005-0000-0000-00009C080000}"/>
    <cellStyle name="Currency 6 3 3" xfId="2219" xr:uid="{00000000-0005-0000-0000-00009D080000}"/>
    <cellStyle name="Currency 6 4" xfId="2220" xr:uid="{00000000-0005-0000-0000-00009E080000}"/>
    <cellStyle name="Currency 6 4 2" xfId="2221" xr:uid="{00000000-0005-0000-0000-00009F080000}"/>
    <cellStyle name="Currency 6 4 3" xfId="2222" xr:uid="{00000000-0005-0000-0000-0000A0080000}"/>
    <cellStyle name="Currency 6 5" xfId="2223" xr:uid="{00000000-0005-0000-0000-0000A1080000}"/>
    <cellStyle name="Currency 6 6" xfId="2224" xr:uid="{00000000-0005-0000-0000-0000A2080000}"/>
    <cellStyle name="Currency 6 6 2" xfId="2225" xr:uid="{00000000-0005-0000-0000-0000A3080000}"/>
    <cellStyle name="Currency 7" xfId="2226" xr:uid="{00000000-0005-0000-0000-0000A4080000}"/>
    <cellStyle name="Currency 7 2" xfId="2227" xr:uid="{00000000-0005-0000-0000-0000A5080000}"/>
    <cellStyle name="Currency 7 2 2" xfId="2228" xr:uid="{00000000-0005-0000-0000-0000A6080000}"/>
    <cellStyle name="Currency 7 3" xfId="2229" xr:uid="{00000000-0005-0000-0000-0000A7080000}"/>
    <cellStyle name="Currency 7 3 2" xfId="2230" xr:uid="{00000000-0005-0000-0000-0000A8080000}"/>
    <cellStyle name="Currency 7 4" xfId="2231" xr:uid="{00000000-0005-0000-0000-0000A9080000}"/>
    <cellStyle name="Currency 7 5" xfId="2232" xr:uid="{00000000-0005-0000-0000-0000AA080000}"/>
    <cellStyle name="Currency 7 5 2" xfId="2233" xr:uid="{00000000-0005-0000-0000-0000AB080000}"/>
    <cellStyle name="Currency 8" xfId="2234" xr:uid="{00000000-0005-0000-0000-0000AC080000}"/>
    <cellStyle name="Currency 8 2" xfId="2235" xr:uid="{00000000-0005-0000-0000-0000AD080000}"/>
    <cellStyle name="Currency 8 2 2" xfId="2236" xr:uid="{00000000-0005-0000-0000-0000AE080000}"/>
    <cellStyle name="Currency 8 3" xfId="2237" xr:uid="{00000000-0005-0000-0000-0000AF080000}"/>
    <cellStyle name="Currency 8 3 2" xfId="2238" xr:uid="{00000000-0005-0000-0000-0000B0080000}"/>
    <cellStyle name="Currency 8 4" xfId="2239" xr:uid="{00000000-0005-0000-0000-0000B1080000}"/>
    <cellStyle name="Currency 8 5" xfId="2240" xr:uid="{00000000-0005-0000-0000-0000B2080000}"/>
    <cellStyle name="Currency 8 5 2" xfId="2241" xr:uid="{00000000-0005-0000-0000-0000B3080000}"/>
    <cellStyle name="Currency 9" xfId="2242" xr:uid="{00000000-0005-0000-0000-0000B4080000}"/>
    <cellStyle name="Currency 9 2" xfId="2243" xr:uid="{00000000-0005-0000-0000-0000B5080000}"/>
    <cellStyle name="Currency 9 2 2" xfId="2244" xr:uid="{00000000-0005-0000-0000-0000B6080000}"/>
    <cellStyle name="Currency 9 3" xfId="2245" xr:uid="{00000000-0005-0000-0000-0000B7080000}"/>
    <cellStyle name="Currency 9 3 2" xfId="2246" xr:uid="{00000000-0005-0000-0000-0000B8080000}"/>
    <cellStyle name="Currency 9 4" xfId="2247" xr:uid="{00000000-0005-0000-0000-0000B9080000}"/>
    <cellStyle name="Currency 9 5" xfId="2248" xr:uid="{00000000-0005-0000-0000-0000BA080000}"/>
    <cellStyle name="Currency 9 5 2" xfId="2249" xr:uid="{00000000-0005-0000-0000-0000BB080000}"/>
    <cellStyle name="DataPilot Category" xfId="2250" xr:uid="{00000000-0005-0000-0000-0000BC080000}"/>
    <cellStyle name="DataPilot Category 2" xfId="2251" xr:uid="{00000000-0005-0000-0000-0000BD080000}"/>
    <cellStyle name="DataPilot Category 2 2" xfId="2252" xr:uid="{00000000-0005-0000-0000-0000BE080000}"/>
    <cellStyle name="DataPilot Category 3" xfId="2253" xr:uid="{00000000-0005-0000-0000-0000BF080000}"/>
    <cellStyle name="DataPilot Field" xfId="2254" xr:uid="{00000000-0005-0000-0000-0000C0080000}"/>
    <cellStyle name="DataPilot Field 2" xfId="2255" xr:uid="{00000000-0005-0000-0000-0000C1080000}"/>
    <cellStyle name="DataPilot Field 2 2" xfId="2256" xr:uid="{00000000-0005-0000-0000-0000C2080000}"/>
    <cellStyle name="DataPilot Field 3" xfId="2257" xr:uid="{00000000-0005-0000-0000-0000C3080000}"/>
    <cellStyle name="Euro" xfId="2258" xr:uid="{00000000-0005-0000-0000-0000C4080000}"/>
    <cellStyle name="Euro 10" xfId="2259" xr:uid="{00000000-0005-0000-0000-0000C5080000}"/>
    <cellStyle name="Euro 2" xfId="2260" xr:uid="{00000000-0005-0000-0000-0000C6080000}"/>
    <cellStyle name="Euro 2 2" xfId="2261" xr:uid="{00000000-0005-0000-0000-0000C7080000}"/>
    <cellStyle name="Euro 2 2 2" xfId="2262" xr:uid="{00000000-0005-0000-0000-0000C8080000}"/>
    <cellStyle name="Euro 2 2 2 2" xfId="2263" xr:uid="{00000000-0005-0000-0000-0000C9080000}"/>
    <cellStyle name="Euro 2 2 3" xfId="2264" xr:uid="{00000000-0005-0000-0000-0000CA080000}"/>
    <cellStyle name="Euro 2 2 3 2" xfId="2265" xr:uid="{00000000-0005-0000-0000-0000CB080000}"/>
    <cellStyle name="Euro 2 2 4" xfId="2266" xr:uid="{00000000-0005-0000-0000-0000CC080000}"/>
    <cellStyle name="Euro 2 3" xfId="2267" xr:uid="{00000000-0005-0000-0000-0000CD080000}"/>
    <cellStyle name="Euro 2 3 2" xfId="2268" xr:uid="{00000000-0005-0000-0000-0000CE080000}"/>
    <cellStyle name="Euro 2 4" xfId="2269" xr:uid="{00000000-0005-0000-0000-0000CF080000}"/>
    <cellStyle name="Euro 3" xfId="2270" xr:uid="{00000000-0005-0000-0000-0000D0080000}"/>
    <cellStyle name="Euro 3 2" xfId="2271" xr:uid="{00000000-0005-0000-0000-0000D1080000}"/>
    <cellStyle name="Euro 3 2 2" xfId="2272" xr:uid="{00000000-0005-0000-0000-0000D2080000}"/>
    <cellStyle name="Euro 3 3" xfId="2273" xr:uid="{00000000-0005-0000-0000-0000D3080000}"/>
    <cellStyle name="Euro 3 3 2" xfId="2274" xr:uid="{00000000-0005-0000-0000-0000D4080000}"/>
    <cellStyle name="Euro 3 4" xfId="2275" xr:uid="{00000000-0005-0000-0000-0000D5080000}"/>
    <cellStyle name="Euro 4" xfId="2276" xr:uid="{00000000-0005-0000-0000-0000D6080000}"/>
    <cellStyle name="Euro 4 2" xfId="2277" xr:uid="{00000000-0005-0000-0000-0000D7080000}"/>
    <cellStyle name="Euro 4 2 2" xfId="2278" xr:uid="{00000000-0005-0000-0000-0000D8080000}"/>
    <cellStyle name="Euro 4 3" xfId="2279" xr:uid="{00000000-0005-0000-0000-0000D9080000}"/>
    <cellStyle name="Euro 4 3 2" xfId="2280" xr:uid="{00000000-0005-0000-0000-0000DA080000}"/>
    <cellStyle name="Euro 4 4" xfId="2281" xr:uid="{00000000-0005-0000-0000-0000DB080000}"/>
    <cellStyle name="Euro 5" xfId="2282" xr:uid="{00000000-0005-0000-0000-0000DC080000}"/>
    <cellStyle name="Euro 5 2" xfId="2283" xr:uid="{00000000-0005-0000-0000-0000DD080000}"/>
    <cellStyle name="Euro 5 2 2" xfId="2284" xr:uid="{00000000-0005-0000-0000-0000DE080000}"/>
    <cellStyle name="Euro 5 3" xfId="2285" xr:uid="{00000000-0005-0000-0000-0000DF080000}"/>
    <cellStyle name="Euro 5 3 2" xfId="2286" xr:uid="{00000000-0005-0000-0000-0000E0080000}"/>
    <cellStyle name="Euro 5 4" xfId="2287" xr:uid="{00000000-0005-0000-0000-0000E1080000}"/>
    <cellStyle name="Euro 6" xfId="2288" xr:uid="{00000000-0005-0000-0000-0000E2080000}"/>
    <cellStyle name="Euro 6 2" xfId="2289" xr:uid="{00000000-0005-0000-0000-0000E3080000}"/>
    <cellStyle name="Euro 6 2 2" xfId="2290" xr:uid="{00000000-0005-0000-0000-0000E4080000}"/>
    <cellStyle name="Euro 6 3" xfId="2291" xr:uid="{00000000-0005-0000-0000-0000E5080000}"/>
    <cellStyle name="Euro 6 3 2" xfId="2292" xr:uid="{00000000-0005-0000-0000-0000E6080000}"/>
    <cellStyle name="Euro 6 4" xfId="2293" xr:uid="{00000000-0005-0000-0000-0000E7080000}"/>
    <cellStyle name="Euro 7" xfId="2294" xr:uid="{00000000-0005-0000-0000-0000E8080000}"/>
    <cellStyle name="Euro 7 2" xfId="2295" xr:uid="{00000000-0005-0000-0000-0000E9080000}"/>
    <cellStyle name="Euro 7 2 2" xfId="2296" xr:uid="{00000000-0005-0000-0000-0000EA080000}"/>
    <cellStyle name="Euro 7 3" xfId="2297" xr:uid="{00000000-0005-0000-0000-0000EB080000}"/>
    <cellStyle name="Euro 7 3 2" xfId="2298" xr:uid="{00000000-0005-0000-0000-0000EC080000}"/>
    <cellStyle name="Euro 7 4" xfId="2299" xr:uid="{00000000-0005-0000-0000-0000ED080000}"/>
    <cellStyle name="Euro 8" xfId="2300" xr:uid="{00000000-0005-0000-0000-0000EE080000}"/>
    <cellStyle name="Euro 8 2" xfId="2301" xr:uid="{00000000-0005-0000-0000-0000EF080000}"/>
    <cellStyle name="Euro 9" xfId="2302" xr:uid="{00000000-0005-0000-0000-0000F0080000}"/>
    <cellStyle name="Euro 9 2" xfId="2303" xr:uid="{00000000-0005-0000-0000-0000F1080000}"/>
    <cellStyle name="Excel Built-in Normal" xfId="2304" xr:uid="{00000000-0005-0000-0000-0000F2080000}"/>
    <cellStyle name="Excel Built-in Normal 2" xfId="2305" xr:uid="{00000000-0005-0000-0000-0000F3080000}"/>
    <cellStyle name="Excel Built-in Normal 2 2" xfId="2306" xr:uid="{00000000-0005-0000-0000-0000F4080000}"/>
    <cellStyle name="Excel Built-in Normal 3" xfId="2307" xr:uid="{00000000-0005-0000-0000-0000F5080000}"/>
    <cellStyle name="Explanatory Text 2" xfId="2308" xr:uid="{00000000-0005-0000-0000-0000F6080000}"/>
    <cellStyle name="Good 2" xfId="2309" xr:uid="{00000000-0005-0000-0000-0000F7080000}"/>
    <cellStyle name="Good 3" xfId="22053" xr:uid="{097B5D0B-44C3-4958-8D58-1CD69234C216}"/>
    <cellStyle name="Heading 1 2" xfId="2310" xr:uid="{00000000-0005-0000-0000-0000F8080000}"/>
    <cellStyle name="Heading 2 2" xfId="2311" xr:uid="{00000000-0005-0000-0000-0000F9080000}"/>
    <cellStyle name="Heading 3 2" xfId="2312" xr:uid="{00000000-0005-0000-0000-0000FA080000}"/>
    <cellStyle name="Heading 4 2" xfId="2313" xr:uid="{00000000-0005-0000-0000-0000FB080000}"/>
    <cellStyle name="Hyperlink" xfId="19" builtinId="8"/>
    <cellStyle name="Hyperlink 2" xfId="2314" xr:uid="{00000000-0005-0000-0000-0000FD080000}"/>
    <cellStyle name="Hyperlink 2 2" xfId="2315" xr:uid="{00000000-0005-0000-0000-0000FE080000}"/>
    <cellStyle name="Hyperlink 3" xfId="2316" xr:uid="{00000000-0005-0000-0000-0000FF080000}"/>
    <cellStyle name="Hyperlink 3 2" xfId="2317" xr:uid="{00000000-0005-0000-0000-000000090000}"/>
    <cellStyle name="Hyperlink 3 3" xfId="2318" xr:uid="{00000000-0005-0000-0000-000001090000}"/>
    <cellStyle name="Hyperlink 4" xfId="2319" xr:uid="{00000000-0005-0000-0000-000002090000}"/>
    <cellStyle name="Hyperlink 4 2" xfId="2320" xr:uid="{00000000-0005-0000-0000-000003090000}"/>
    <cellStyle name="Hyperlink 4 3" xfId="2321" xr:uid="{00000000-0005-0000-0000-000004090000}"/>
    <cellStyle name="Hyperlink 4 4" xfId="2322" xr:uid="{00000000-0005-0000-0000-000005090000}"/>
    <cellStyle name="Hyperlink 5" xfId="2323" xr:uid="{00000000-0005-0000-0000-000006090000}"/>
    <cellStyle name="Hyperlink 6" xfId="2324" xr:uid="{00000000-0005-0000-0000-000007090000}"/>
    <cellStyle name="Input 2" xfId="2325" xr:uid="{00000000-0005-0000-0000-000008090000}"/>
    <cellStyle name="Less than 5" xfId="2326" xr:uid="{00000000-0005-0000-0000-000009090000}"/>
    <cellStyle name="Less than 5 2" xfId="2327" xr:uid="{00000000-0005-0000-0000-00000A090000}"/>
    <cellStyle name="Less than 5 2 2" xfId="2328" xr:uid="{00000000-0005-0000-0000-00000B090000}"/>
    <cellStyle name="Less than 5 3" xfId="2329" xr:uid="{00000000-0005-0000-0000-00000C090000}"/>
    <cellStyle name="Less than 5 3 2" xfId="2330" xr:uid="{00000000-0005-0000-0000-00000D090000}"/>
    <cellStyle name="Less than 5 4" xfId="2331" xr:uid="{00000000-0005-0000-0000-00000E090000}"/>
    <cellStyle name="Less than 5 5" xfId="2332" xr:uid="{00000000-0005-0000-0000-00000F090000}"/>
    <cellStyle name="Less than 5 5 2" xfId="2333" xr:uid="{00000000-0005-0000-0000-000010090000}"/>
    <cellStyle name="Lien hypertexte" xfId="2334" xr:uid="{00000000-0005-0000-0000-000011090000}"/>
    <cellStyle name="Lien hypertexte 2" xfId="2335" xr:uid="{00000000-0005-0000-0000-000012090000}"/>
    <cellStyle name="Lien hypertexte 2 2" xfId="2336" xr:uid="{00000000-0005-0000-0000-000013090000}"/>
    <cellStyle name="Lien hypertexte 3" xfId="2337" xr:uid="{00000000-0005-0000-0000-000014090000}"/>
    <cellStyle name="Lien hypertexte 3 2" xfId="2338" xr:uid="{00000000-0005-0000-0000-000015090000}"/>
    <cellStyle name="Lien hypertexte 4" xfId="2339" xr:uid="{00000000-0005-0000-0000-000016090000}"/>
    <cellStyle name="Lien hypertexte visité" xfId="2340" xr:uid="{00000000-0005-0000-0000-000017090000}"/>
    <cellStyle name="Lien hypertexte visité 2" xfId="2341" xr:uid="{00000000-0005-0000-0000-000018090000}"/>
    <cellStyle name="Lien hypertexte visité 2 2" xfId="2342" xr:uid="{00000000-0005-0000-0000-000019090000}"/>
    <cellStyle name="Lien hypertexte visité 3" xfId="2343" xr:uid="{00000000-0005-0000-0000-00001A090000}"/>
    <cellStyle name="Lien hypertexte visité 3 2" xfId="2344" xr:uid="{00000000-0005-0000-0000-00001B090000}"/>
    <cellStyle name="Lien hypertexte visité 4" xfId="2345" xr:uid="{00000000-0005-0000-0000-00001C090000}"/>
    <cellStyle name="Lien hypertexte_CD Pack" xfId="2346" xr:uid="{00000000-0005-0000-0000-00001D090000}"/>
    <cellStyle name="Linked Cell 2" xfId="2347" xr:uid="{00000000-0005-0000-0000-00001E090000}"/>
    <cellStyle name="Neutral 2" xfId="2348" xr:uid="{00000000-0005-0000-0000-00001F090000}"/>
    <cellStyle name="Neutral 8" xfId="3" xr:uid="{00000000-0005-0000-0000-000020090000}"/>
    <cellStyle name="Normal" xfId="0" builtinId="0"/>
    <cellStyle name="Normal - Style1" xfId="2349" xr:uid="{00000000-0005-0000-0000-000022090000}"/>
    <cellStyle name="Normal - Style1 2" xfId="2350" xr:uid="{00000000-0005-0000-0000-000023090000}"/>
    <cellStyle name="Normal 10" xfId="2351" xr:uid="{00000000-0005-0000-0000-000024090000}"/>
    <cellStyle name="Normal 10 10" xfId="2352" xr:uid="{00000000-0005-0000-0000-000025090000}"/>
    <cellStyle name="Normal 10 10 2" xfId="2353" xr:uid="{00000000-0005-0000-0000-000026090000}"/>
    <cellStyle name="Normal 10 10 2 2" xfId="2354" xr:uid="{00000000-0005-0000-0000-000027090000}"/>
    <cellStyle name="Normal 10 10 2 2 2" xfId="2355" xr:uid="{00000000-0005-0000-0000-000028090000}"/>
    <cellStyle name="Normal 10 10 2 2 3" xfId="2356" xr:uid="{00000000-0005-0000-0000-000029090000}"/>
    <cellStyle name="Normal 10 10 2 3" xfId="2357" xr:uid="{00000000-0005-0000-0000-00002A090000}"/>
    <cellStyle name="Normal 10 10 2 3 2" xfId="2358" xr:uid="{00000000-0005-0000-0000-00002B090000}"/>
    <cellStyle name="Normal 10 10 2 3 3" xfId="2359" xr:uid="{00000000-0005-0000-0000-00002C090000}"/>
    <cellStyle name="Normal 10 10 2 4" xfId="2360" xr:uid="{00000000-0005-0000-0000-00002D090000}"/>
    <cellStyle name="Normal 10 10 2 5" xfId="2361" xr:uid="{00000000-0005-0000-0000-00002E090000}"/>
    <cellStyle name="Normal 10 10 3" xfId="2362" xr:uid="{00000000-0005-0000-0000-00002F090000}"/>
    <cellStyle name="Normal 10 10 3 2" xfId="2363" xr:uid="{00000000-0005-0000-0000-000030090000}"/>
    <cellStyle name="Normal 10 10 3 2 2" xfId="2364" xr:uid="{00000000-0005-0000-0000-000031090000}"/>
    <cellStyle name="Normal 10 10 3 2 3" xfId="2365" xr:uid="{00000000-0005-0000-0000-000032090000}"/>
    <cellStyle name="Normal 10 10 3 3" xfId="2366" xr:uid="{00000000-0005-0000-0000-000033090000}"/>
    <cellStyle name="Normal 10 10 3 4" xfId="2367" xr:uid="{00000000-0005-0000-0000-000034090000}"/>
    <cellStyle name="Normal 10 10 4" xfId="2368" xr:uid="{00000000-0005-0000-0000-000035090000}"/>
    <cellStyle name="Normal 10 10 4 2" xfId="2369" xr:uid="{00000000-0005-0000-0000-000036090000}"/>
    <cellStyle name="Normal 10 10 4 3" xfId="2370" xr:uid="{00000000-0005-0000-0000-000037090000}"/>
    <cellStyle name="Normal 10 10 5" xfId="2371" xr:uid="{00000000-0005-0000-0000-000038090000}"/>
    <cellStyle name="Normal 10 10 5 2" xfId="2372" xr:uid="{00000000-0005-0000-0000-000039090000}"/>
    <cellStyle name="Normal 10 10 5 3" xfId="2373" xr:uid="{00000000-0005-0000-0000-00003A090000}"/>
    <cellStyle name="Normal 10 10 6" xfId="2374" xr:uid="{00000000-0005-0000-0000-00003B090000}"/>
    <cellStyle name="Normal 10 10 7" xfId="2375" xr:uid="{00000000-0005-0000-0000-00003C090000}"/>
    <cellStyle name="Normal 10 11" xfId="2376" xr:uid="{00000000-0005-0000-0000-00003D090000}"/>
    <cellStyle name="Normal 10 11 2" xfId="2377" xr:uid="{00000000-0005-0000-0000-00003E090000}"/>
    <cellStyle name="Normal 10 11 2 2" xfId="2378" xr:uid="{00000000-0005-0000-0000-00003F090000}"/>
    <cellStyle name="Normal 10 11 2 3" xfId="2379" xr:uid="{00000000-0005-0000-0000-000040090000}"/>
    <cellStyle name="Normal 10 11 3" xfId="2380" xr:uid="{00000000-0005-0000-0000-000041090000}"/>
    <cellStyle name="Normal 10 11 3 2" xfId="2381" xr:uid="{00000000-0005-0000-0000-000042090000}"/>
    <cellStyle name="Normal 10 11 3 3" xfId="2382" xr:uid="{00000000-0005-0000-0000-000043090000}"/>
    <cellStyle name="Normal 10 11 4" xfId="2383" xr:uid="{00000000-0005-0000-0000-000044090000}"/>
    <cellStyle name="Normal 10 11 5" xfId="2384" xr:uid="{00000000-0005-0000-0000-000045090000}"/>
    <cellStyle name="Normal 10 12" xfId="2385" xr:uid="{00000000-0005-0000-0000-000046090000}"/>
    <cellStyle name="Normal 10 12 2" xfId="2386" xr:uid="{00000000-0005-0000-0000-000047090000}"/>
    <cellStyle name="Normal 10 12 2 2" xfId="2387" xr:uid="{00000000-0005-0000-0000-000048090000}"/>
    <cellStyle name="Normal 10 12 2 3" xfId="2388" xr:uid="{00000000-0005-0000-0000-000049090000}"/>
    <cellStyle name="Normal 10 12 3" xfId="2389" xr:uid="{00000000-0005-0000-0000-00004A090000}"/>
    <cellStyle name="Normal 10 12 3 2" xfId="2390" xr:uid="{00000000-0005-0000-0000-00004B090000}"/>
    <cellStyle name="Normal 10 12 3 3" xfId="2391" xr:uid="{00000000-0005-0000-0000-00004C090000}"/>
    <cellStyle name="Normal 10 12 4" xfId="2392" xr:uid="{00000000-0005-0000-0000-00004D090000}"/>
    <cellStyle name="Normal 10 12 5" xfId="2393" xr:uid="{00000000-0005-0000-0000-00004E090000}"/>
    <cellStyle name="Normal 10 13" xfId="2394" xr:uid="{00000000-0005-0000-0000-00004F090000}"/>
    <cellStyle name="Normal 10 13 2" xfId="2395" xr:uid="{00000000-0005-0000-0000-000050090000}"/>
    <cellStyle name="Normal 10 13 2 2" xfId="2396" xr:uid="{00000000-0005-0000-0000-000051090000}"/>
    <cellStyle name="Normal 10 13 2 3" xfId="2397" xr:uid="{00000000-0005-0000-0000-000052090000}"/>
    <cellStyle name="Normal 10 13 3" xfId="2398" xr:uid="{00000000-0005-0000-0000-000053090000}"/>
    <cellStyle name="Normal 10 13 4" xfId="2399" xr:uid="{00000000-0005-0000-0000-000054090000}"/>
    <cellStyle name="Normal 10 14" xfId="2400" xr:uid="{00000000-0005-0000-0000-000055090000}"/>
    <cellStyle name="Normal 10 14 2" xfId="2401" xr:uid="{00000000-0005-0000-0000-000056090000}"/>
    <cellStyle name="Normal 10 14 3" xfId="2402" xr:uid="{00000000-0005-0000-0000-000057090000}"/>
    <cellStyle name="Normal 10 15" xfId="2403" xr:uid="{00000000-0005-0000-0000-000058090000}"/>
    <cellStyle name="Normal 10 15 2" xfId="2404" xr:uid="{00000000-0005-0000-0000-000059090000}"/>
    <cellStyle name="Normal 10 15 3" xfId="2405" xr:uid="{00000000-0005-0000-0000-00005A090000}"/>
    <cellStyle name="Normal 10 16" xfId="2406" xr:uid="{00000000-0005-0000-0000-00005B090000}"/>
    <cellStyle name="Normal 10 16 2" xfId="2407" xr:uid="{00000000-0005-0000-0000-00005C090000}"/>
    <cellStyle name="Normal 10 16 3" xfId="2408" xr:uid="{00000000-0005-0000-0000-00005D090000}"/>
    <cellStyle name="Normal 10 17" xfId="2409" xr:uid="{00000000-0005-0000-0000-00005E090000}"/>
    <cellStyle name="Normal 10 17 2" xfId="2410" xr:uid="{00000000-0005-0000-0000-00005F090000}"/>
    <cellStyle name="Normal 10 17 3" xfId="2411" xr:uid="{00000000-0005-0000-0000-000060090000}"/>
    <cellStyle name="Normal 10 18" xfId="2412" xr:uid="{00000000-0005-0000-0000-000061090000}"/>
    <cellStyle name="Normal 10 19" xfId="2413" xr:uid="{00000000-0005-0000-0000-000062090000}"/>
    <cellStyle name="Normal 10 2" xfId="2414" xr:uid="{00000000-0005-0000-0000-000063090000}"/>
    <cellStyle name="Normal 10 2 10" xfId="2415" xr:uid="{00000000-0005-0000-0000-000064090000}"/>
    <cellStyle name="Normal 10 2 10 2" xfId="2416" xr:uid="{00000000-0005-0000-0000-000065090000}"/>
    <cellStyle name="Normal 10 2 10 2 2" xfId="2417" xr:uid="{00000000-0005-0000-0000-000066090000}"/>
    <cellStyle name="Normal 10 2 10 2 3" xfId="2418" xr:uid="{00000000-0005-0000-0000-000067090000}"/>
    <cellStyle name="Normal 10 2 10 3" xfId="2419" xr:uid="{00000000-0005-0000-0000-000068090000}"/>
    <cellStyle name="Normal 10 2 10 3 2" xfId="2420" xr:uid="{00000000-0005-0000-0000-000069090000}"/>
    <cellStyle name="Normal 10 2 10 3 3" xfId="2421" xr:uid="{00000000-0005-0000-0000-00006A090000}"/>
    <cellStyle name="Normal 10 2 10 4" xfId="2422" xr:uid="{00000000-0005-0000-0000-00006B090000}"/>
    <cellStyle name="Normal 10 2 10 5" xfId="2423" xr:uid="{00000000-0005-0000-0000-00006C090000}"/>
    <cellStyle name="Normal 10 2 11" xfId="2424" xr:uid="{00000000-0005-0000-0000-00006D090000}"/>
    <cellStyle name="Normal 10 2 11 2" xfId="2425" xr:uid="{00000000-0005-0000-0000-00006E090000}"/>
    <cellStyle name="Normal 10 2 11 2 2" xfId="2426" xr:uid="{00000000-0005-0000-0000-00006F090000}"/>
    <cellStyle name="Normal 10 2 11 2 3" xfId="2427" xr:uid="{00000000-0005-0000-0000-000070090000}"/>
    <cellStyle name="Normal 10 2 11 3" xfId="2428" xr:uid="{00000000-0005-0000-0000-000071090000}"/>
    <cellStyle name="Normal 10 2 11 3 2" xfId="2429" xr:uid="{00000000-0005-0000-0000-000072090000}"/>
    <cellStyle name="Normal 10 2 11 3 3" xfId="2430" xr:uid="{00000000-0005-0000-0000-000073090000}"/>
    <cellStyle name="Normal 10 2 11 4" xfId="2431" xr:uid="{00000000-0005-0000-0000-000074090000}"/>
    <cellStyle name="Normal 10 2 11 5" xfId="2432" xr:uid="{00000000-0005-0000-0000-000075090000}"/>
    <cellStyle name="Normal 10 2 12" xfId="2433" xr:uid="{00000000-0005-0000-0000-000076090000}"/>
    <cellStyle name="Normal 10 2 12 2" xfId="2434" xr:uid="{00000000-0005-0000-0000-000077090000}"/>
    <cellStyle name="Normal 10 2 12 2 2" xfId="2435" xr:uid="{00000000-0005-0000-0000-000078090000}"/>
    <cellStyle name="Normal 10 2 12 2 3" xfId="2436" xr:uid="{00000000-0005-0000-0000-000079090000}"/>
    <cellStyle name="Normal 10 2 12 3" xfId="2437" xr:uid="{00000000-0005-0000-0000-00007A090000}"/>
    <cellStyle name="Normal 10 2 12 4" xfId="2438" xr:uid="{00000000-0005-0000-0000-00007B090000}"/>
    <cellStyle name="Normal 10 2 13" xfId="2439" xr:uid="{00000000-0005-0000-0000-00007C090000}"/>
    <cellStyle name="Normal 10 2 13 2" xfId="2440" xr:uid="{00000000-0005-0000-0000-00007D090000}"/>
    <cellStyle name="Normal 10 2 13 3" xfId="2441" xr:uid="{00000000-0005-0000-0000-00007E090000}"/>
    <cellStyle name="Normal 10 2 14" xfId="2442" xr:uid="{00000000-0005-0000-0000-00007F090000}"/>
    <cellStyle name="Normal 10 2 14 2" xfId="2443" xr:uid="{00000000-0005-0000-0000-000080090000}"/>
    <cellStyle name="Normal 10 2 14 3" xfId="2444" xr:uid="{00000000-0005-0000-0000-000081090000}"/>
    <cellStyle name="Normal 10 2 15" xfId="2445" xr:uid="{00000000-0005-0000-0000-000082090000}"/>
    <cellStyle name="Normal 10 2 15 2" xfId="2446" xr:uid="{00000000-0005-0000-0000-000083090000}"/>
    <cellStyle name="Normal 10 2 15 3" xfId="2447" xr:uid="{00000000-0005-0000-0000-000084090000}"/>
    <cellStyle name="Normal 10 2 16" xfId="2448" xr:uid="{00000000-0005-0000-0000-000085090000}"/>
    <cellStyle name="Normal 10 2 16 2" xfId="2449" xr:uid="{00000000-0005-0000-0000-000086090000}"/>
    <cellStyle name="Normal 10 2 16 3" xfId="2450" xr:uid="{00000000-0005-0000-0000-000087090000}"/>
    <cellStyle name="Normal 10 2 17" xfId="2451" xr:uid="{00000000-0005-0000-0000-000088090000}"/>
    <cellStyle name="Normal 10 2 18" xfId="2452" xr:uid="{00000000-0005-0000-0000-000089090000}"/>
    <cellStyle name="Normal 10 2 19" xfId="22049" xr:uid="{CAE84409-E53C-453D-97B3-A58FAABDB307}"/>
    <cellStyle name="Normal 10 2 2" xfId="2453" xr:uid="{00000000-0005-0000-0000-00008A090000}"/>
    <cellStyle name="Normal 10 2 2 2" xfId="2454" xr:uid="{00000000-0005-0000-0000-00008B090000}"/>
    <cellStyle name="Normal 10 2 2 2 2" xfId="2455" xr:uid="{00000000-0005-0000-0000-00008C090000}"/>
    <cellStyle name="Normal 10 2 2 2 2 2" xfId="2456" xr:uid="{00000000-0005-0000-0000-00008D090000}"/>
    <cellStyle name="Normal 10 2 2 2 3" xfId="2457" xr:uid="{00000000-0005-0000-0000-00008E090000}"/>
    <cellStyle name="Normal 10 2 2 3" xfId="2458" xr:uid="{00000000-0005-0000-0000-00008F090000}"/>
    <cellStyle name="Normal 10 2 2 3 2" xfId="2459" xr:uid="{00000000-0005-0000-0000-000090090000}"/>
    <cellStyle name="Normal 10 2 2 3 2 2" xfId="2460" xr:uid="{00000000-0005-0000-0000-000091090000}"/>
    <cellStyle name="Normal 10 2 2 3 2 2 2" xfId="2461" xr:uid="{00000000-0005-0000-0000-000092090000}"/>
    <cellStyle name="Normal 10 2 2 3 2 2 3" xfId="2462" xr:uid="{00000000-0005-0000-0000-000093090000}"/>
    <cellStyle name="Normal 10 2 2 3 2 3" xfId="2463" xr:uid="{00000000-0005-0000-0000-000094090000}"/>
    <cellStyle name="Normal 10 2 2 3 2 3 2" xfId="2464" xr:uid="{00000000-0005-0000-0000-000095090000}"/>
    <cellStyle name="Normal 10 2 2 3 2 3 3" xfId="2465" xr:uid="{00000000-0005-0000-0000-000096090000}"/>
    <cellStyle name="Normal 10 2 2 3 2 4" xfId="2466" xr:uid="{00000000-0005-0000-0000-000097090000}"/>
    <cellStyle name="Normal 10 2 2 3 2 5" xfId="2467" xr:uid="{00000000-0005-0000-0000-000098090000}"/>
    <cellStyle name="Normal 10 2 2 3 3" xfId="2468" xr:uid="{00000000-0005-0000-0000-000099090000}"/>
    <cellStyle name="Normal 10 2 2 3 3 2" xfId="2469" xr:uid="{00000000-0005-0000-0000-00009A090000}"/>
    <cellStyle name="Normal 10 2 2 3 3 2 2" xfId="2470" xr:uid="{00000000-0005-0000-0000-00009B090000}"/>
    <cellStyle name="Normal 10 2 2 3 3 2 3" xfId="2471" xr:uid="{00000000-0005-0000-0000-00009C090000}"/>
    <cellStyle name="Normal 10 2 2 3 3 3" xfId="2472" xr:uid="{00000000-0005-0000-0000-00009D090000}"/>
    <cellStyle name="Normal 10 2 2 3 3 3 2" xfId="2473" xr:uid="{00000000-0005-0000-0000-00009E090000}"/>
    <cellStyle name="Normal 10 2 2 3 3 3 3" xfId="2474" xr:uid="{00000000-0005-0000-0000-00009F090000}"/>
    <cellStyle name="Normal 10 2 2 3 3 4" xfId="2475" xr:uid="{00000000-0005-0000-0000-0000A0090000}"/>
    <cellStyle name="Normal 10 2 2 3 3 5" xfId="2476" xr:uid="{00000000-0005-0000-0000-0000A1090000}"/>
    <cellStyle name="Normal 10 2 2 3 4" xfId="2477" xr:uid="{00000000-0005-0000-0000-0000A2090000}"/>
    <cellStyle name="Normal 10 2 2 3 4 2" xfId="2478" xr:uid="{00000000-0005-0000-0000-0000A3090000}"/>
    <cellStyle name="Normal 10 2 2 3 4 3" xfId="2479" xr:uid="{00000000-0005-0000-0000-0000A4090000}"/>
    <cellStyle name="Normal 10 2 2 3 5" xfId="2480" xr:uid="{00000000-0005-0000-0000-0000A5090000}"/>
    <cellStyle name="Normal 10 2 2 3 5 2" xfId="2481" xr:uid="{00000000-0005-0000-0000-0000A6090000}"/>
    <cellStyle name="Normal 10 2 2 3 5 3" xfId="2482" xr:uid="{00000000-0005-0000-0000-0000A7090000}"/>
    <cellStyle name="Normal 10 2 2 3 6" xfId="2483" xr:uid="{00000000-0005-0000-0000-0000A8090000}"/>
    <cellStyle name="Normal 10 2 2 3 7" xfId="2484" xr:uid="{00000000-0005-0000-0000-0000A9090000}"/>
    <cellStyle name="Normal 10 2 2 4" xfId="2485" xr:uid="{00000000-0005-0000-0000-0000AA090000}"/>
    <cellStyle name="Normal 10 2 2 4 2" xfId="2486" xr:uid="{00000000-0005-0000-0000-0000AB090000}"/>
    <cellStyle name="Normal 10 2 2 4 2 2" xfId="2487" xr:uid="{00000000-0005-0000-0000-0000AC090000}"/>
    <cellStyle name="Normal 10 2 2 4 2 2 2" xfId="2488" xr:uid="{00000000-0005-0000-0000-0000AD090000}"/>
    <cellStyle name="Normal 10 2 2 4 2 2 3" xfId="2489" xr:uid="{00000000-0005-0000-0000-0000AE090000}"/>
    <cellStyle name="Normal 10 2 2 4 2 3" xfId="2490" xr:uid="{00000000-0005-0000-0000-0000AF090000}"/>
    <cellStyle name="Normal 10 2 2 4 2 3 2" xfId="2491" xr:uid="{00000000-0005-0000-0000-0000B0090000}"/>
    <cellStyle name="Normal 10 2 2 4 2 3 3" xfId="2492" xr:uid="{00000000-0005-0000-0000-0000B1090000}"/>
    <cellStyle name="Normal 10 2 2 4 2 4" xfId="2493" xr:uid="{00000000-0005-0000-0000-0000B2090000}"/>
    <cellStyle name="Normal 10 2 2 4 2 5" xfId="2494" xr:uid="{00000000-0005-0000-0000-0000B3090000}"/>
    <cellStyle name="Normal 10 2 2 4 3" xfId="2495" xr:uid="{00000000-0005-0000-0000-0000B4090000}"/>
    <cellStyle name="Normal 10 2 2 4 3 2" xfId="2496" xr:uid="{00000000-0005-0000-0000-0000B5090000}"/>
    <cellStyle name="Normal 10 2 2 4 3 2 2" xfId="2497" xr:uid="{00000000-0005-0000-0000-0000B6090000}"/>
    <cellStyle name="Normal 10 2 2 4 3 2 3" xfId="2498" xr:uid="{00000000-0005-0000-0000-0000B7090000}"/>
    <cellStyle name="Normal 10 2 2 4 3 3" xfId="2499" xr:uid="{00000000-0005-0000-0000-0000B8090000}"/>
    <cellStyle name="Normal 10 2 2 4 3 3 2" xfId="2500" xr:uid="{00000000-0005-0000-0000-0000B9090000}"/>
    <cellStyle name="Normal 10 2 2 4 3 3 3" xfId="2501" xr:uid="{00000000-0005-0000-0000-0000BA090000}"/>
    <cellStyle name="Normal 10 2 2 4 3 4" xfId="2502" xr:uid="{00000000-0005-0000-0000-0000BB090000}"/>
    <cellStyle name="Normal 10 2 2 4 3 5" xfId="2503" xr:uid="{00000000-0005-0000-0000-0000BC090000}"/>
    <cellStyle name="Normal 10 2 2 4 4" xfId="2504" xr:uid="{00000000-0005-0000-0000-0000BD090000}"/>
    <cellStyle name="Normal 10 2 2 4 4 2" xfId="2505" xr:uid="{00000000-0005-0000-0000-0000BE090000}"/>
    <cellStyle name="Normal 10 2 2 4 4 3" xfId="2506" xr:uid="{00000000-0005-0000-0000-0000BF090000}"/>
    <cellStyle name="Normal 10 2 2 4 5" xfId="2507" xr:uid="{00000000-0005-0000-0000-0000C0090000}"/>
    <cellStyle name="Normal 10 2 2 4 5 2" xfId="2508" xr:uid="{00000000-0005-0000-0000-0000C1090000}"/>
    <cellStyle name="Normal 10 2 2 4 5 3" xfId="2509" xr:uid="{00000000-0005-0000-0000-0000C2090000}"/>
    <cellStyle name="Normal 10 2 2 4 6" xfId="2510" xr:uid="{00000000-0005-0000-0000-0000C3090000}"/>
    <cellStyle name="Normal 10 2 2 4 7" xfId="2511" xr:uid="{00000000-0005-0000-0000-0000C4090000}"/>
    <cellStyle name="Normal 10 2 2 5" xfId="2512" xr:uid="{00000000-0005-0000-0000-0000C5090000}"/>
    <cellStyle name="Normal 10 2 2 5 2" xfId="2513" xr:uid="{00000000-0005-0000-0000-0000C6090000}"/>
    <cellStyle name="Normal 10 2 2 6" xfId="2514" xr:uid="{00000000-0005-0000-0000-0000C7090000}"/>
    <cellStyle name="Normal 10 2 3" xfId="2515" xr:uid="{00000000-0005-0000-0000-0000C8090000}"/>
    <cellStyle name="Normal 10 2 3 10" xfId="2516" xr:uid="{00000000-0005-0000-0000-0000C9090000}"/>
    <cellStyle name="Normal 10 2 3 10 2" xfId="2517" xr:uid="{00000000-0005-0000-0000-0000CA090000}"/>
    <cellStyle name="Normal 10 2 3 10 3" xfId="2518" xr:uid="{00000000-0005-0000-0000-0000CB090000}"/>
    <cellStyle name="Normal 10 2 3 11" xfId="2519" xr:uid="{00000000-0005-0000-0000-0000CC090000}"/>
    <cellStyle name="Normal 10 2 3 11 2" xfId="2520" xr:uid="{00000000-0005-0000-0000-0000CD090000}"/>
    <cellStyle name="Normal 10 2 3 11 3" xfId="2521" xr:uid="{00000000-0005-0000-0000-0000CE090000}"/>
    <cellStyle name="Normal 10 2 3 12" xfId="2522" xr:uid="{00000000-0005-0000-0000-0000CF090000}"/>
    <cellStyle name="Normal 10 2 3 12 2" xfId="2523" xr:uid="{00000000-0005-0000-0000-0000D0090000}"/>
    <cellStyle name="Normal 10 2 3 12 3" xfId="2524" xr:uid="{00000000-0005-0000-0000-0000D1090000}"/>
    <cellStyle name="Normal 10 2 3 13" xfId="2525" xr:uid="{00000000-0005-0000-0000-0000D2090000}"/>
    <cellStyle name="Normal 10 2 3 14" xfId="2526" xr:uid="{00000000-0005-0000-0000-0000D3090000}"/>
    <cellStyle name="Normal 10 2 3 2" xfId="2527" xr:uid="{00000000-0005-0000-0000-0000D4090000}"/>
    <cellStyle name="Normal 10 2 3 2 10" xfId="2528" xr:uid="{00000000-0005-0000-0000-0000D5090000}"/>
    <cellStyle name="Normal 10 2 3 2 10 2" xfId="2529" xr:uid="{00000000-0005-0000-0000-0000D6090000}"/>
    <cellStyle name="Normal 10 2 3 2 10 3" xfId="2530" xr:uid="{00000000-0005-0000-0000-0000D7090000}"/>
    <cellStyle name="Normal 10 2 3 2 11" xfId="2531" xr:uid="{00000000-0005-0000-0000-0000D8090000}"/>
    <cellStyle name="Normal 10 2 3 2 11 2" xfId="2532" xr:uid="{00000000-0005-0000-0000-0000D9090000}"/>
    <cellStyle name="Normal 10 2 3 2 11 3" xfId="2533" xr:uid="{00000000-0005-0000-0000-0000DA090000}"/>
    <cellStyle name="Normal 10 2 3 2 12" xfId="2534" xr:uid="{00000000-0005-0000-0000-0000DB090000}"/>
    <cellStyle name="Normal 10 2 3 2 13" xfId="2535" xr:uid="{00000000-0005-0000-0000-0000DC090000}"/>
    <cellStyle name="Normal 10 2 3 2 2" xfId="2536" xr:uid="{00000000-0005-0000-0000-0000DD090000}"/>
    <cellStyle name="Normal 10 2 3 2 2 2" xfId="2537" xr:uid="{00000000-0005-0000-0000-0000DE090000}"/>
    <cellStyle name="Normal 10 2 3 2 2 2 2" xfId="2538" xr:uid="{00000000-0005-0000-0000-0000DF090000}"/>
    <cellStyle name="Normal 10 2 3 2 2 2 2 2" xfId="2539" xr:uid="{00000000-0005-0000-0000-0000E0090000}"/>
    <cellStyle name="Normal 10 2 3 2 2 2 2 2 2" xfId="2540" xr:uid="{00000000-0005-0000-0000-0000E1090000}"/>
    <cellStyle name="Normal 10 2 3 2 2 2 2 2 3" xfId="2541" xr:uid="{00000000-0005-0000-0000-0000E2090000}"/>
    <cellStyle name="Normal 10 2 3 2 2 2 2 3" xfId="2542" xr:uid="{00000000-0005-0000-0000-0000E3090000}"/>
    <cellStyle name="Normal 10 2 3 2 2 2 2 3 2" xfId="2543" xr:uid="{00000000-0005-0000-0000-0000E4090000}"/>
    <cellStyle name="Normal 10 2 3 2 2 2 2 3 3" xfId="2544" xr:uid="{00000000-0005-0000-0000-0000E5090000}"/>
    <cellStyle name="Normal 10 2 3 2 2 2 2 4" xfId="2545" xr:uid="{00000000-0005-0000-0000-0000E6090000}"/>
    <cellStyle name="Normal 10 2 3 2 2 2 2 5" xfId="2546" xr:uid="{00000000-0005-0000-0000-0000E7090000}"/>
    <cellStyle name="Normal 10 2 3 2 2 2 3" xfId="2547" xr:uid="{00000000-0005-0000-0000-0000E8090000}"/>
    <cellStyle name="Normal 10 2 3 2 2 2 3 2" xfId="2548" xr:uid="{00000000-0005-0000-0000-0000E9090000}"/>
    <cellStyle name="Normal 10 2 3 2 2 2 3 2 2" xfId="2549" xr:uid="{00000000-0005-0000-0000-0000EA090000}"/>
    <cellStyle name="Normal 10 2 3 2 2 2 3 2 3" xfId="2550" xr:uid="{00000000-0005-0000-0000-0000EB090000}"/>
    <cellStyle name="Normal 10 2 3 2 2 2 3 3" xfId="2551" xr:uid="{00000000-0005-0000-0000-0000EC090000}"/>
    <cellStyle name="Normal 10 2 3 2 2 2 3 3 2" xfId="2552" xr:uid="{00000000-0005-0000-0000-0000ED090000}"/>
    <cellStyle name="Normal 10 2 3 2 2 2 3 3 3" xfId="2553" xr:uid="{00000000-0005-0000-0000-0000EE090000}"/>
    <cellStyle name="Normal 10 2 3 2 2 2 3 4" xfId="2554" xr:uid="{00000000-0005-0000-0000-0000EF090000}"/>
    <cellStyle name="Normal 10 2 3 2 2 2 3 5" xfId="2555" xr:uid="{00000000-0005-0000-0000-0000F0090000}"/>
    <cellStyle name="Normal 10 2 3 2 2 2 4" xfId="2556" xr:uid="{00000000-0005-0000-0000-0000F1090000}"/>
    <cellStyle name="Normal 10 2 3 2 2 2 4 2" xfId="2557" xr:uid="{00000000-0005-0000-0000-0000F2090000}"/>
    <cellStyle name="Normal 10 2 3 2 2 2 4 3" xfId="2558" xr:uid="{00000000-0005-0000-0000-0000F3090000}"/>
    <cellStyle name="Normal 10 2 3 2 2 2 5" xfId="2559" xr:uid="{00000000-0005-0000-0000-0000F4090000}"/>
    <cellStyle name="Normal 10 2 3 2 2 2 5 2" xfId="2560" xr:uid="{00000000-0005-0000-0000-0000F5090000}"/>
    <cellStyle name="Normal 10 2 3 2 2 2 5 3" xfId="2561" xr:uid="{00000000-0005-0000-0000-0000F6090000}"/>
    <cellStyle name="Normal 10 2 3 2 2 2 6" xfId="2562" xr:uid="{00000000-0005-0000-0000-0000F7090000}"/>
    <cellStyle name="Normal 10 2 3 2 2 2 7" xfId="2563" xr:uid="{00000000-0005-0000-0000-0000F8090000}"/>
    <cellStyle name="Normal 10 2 3 2 2 3" xfId="2564" xr:uid="{00000000-0005-0000-0000-0000F9090000}"/>
    <cellStyle name="Normal 10 2 3 2 2 3 2" xfId="2565" xr:uid="{00000000-0005-0000-0000-0000FA090000}"/>
    <cellStyle name="Normal 10 2 3 2 2 3 2 2" xfId="2566" xr:uid="{00000000-0005-0000-0000-0000FB090000}"/>
    <cellStyle name="Normal 10 2 3 2 2 3 2 3" xfId="2567" xr:uid="{00000000-0005-0000-0000-0000FC090000}"/>
    <cellStyle name="Normal 10 2 3 2 2 3 3" xfId="2568" xr:uid="{00000000-0005-0000-0000-0000FD090000}"/>
    <cellStyle name="Normal 10 2 3 2 2 3 3 2" xfId="2569" xr:uid="{00000000-0005-0000-0000-0000FE090000}"/>
    <cellStyle name="Normal 10 2 3 2 2 3 3 3" xfId="2570" xr:uid="{00000000-0005-0000-0000-0000FF090000}"/>
    <cellStyle name="Normal 10 2 3 2 2 3 4" xfId="2571" xr:uid="{00000000-0005-0000-0000-0000000A0000}"/>
    <cellStyle name="Normal 10 2 3 2 2 3 5" xfId="2572" xr:uid="{00000000-0005-0000-0000-0000010A0000}"/>
    <cellStyle name="Normal 10 2 3 2 2 4" xfId="2573" xr:uid="{00000000-0005-0000-0000-0000020A0000}"/>
    <cellStyle name="Normal 10 2 3 2 2 4 2" xfId="2574" xr:uid="{00000000-0005-0000-0000-0000030A0000}"/>
    <cellStyle name="Normal 10 2 3 2 2 4 2 2" xfId="2575" xr:uid="{00000000-0005-0000-0000-0000040A0000}"/>
    <cellStyle name="Normal 10 2 3 2 2 4 2 3" xfId="2576" xr:uid="{00000000-0005-0000-0000-0000050A0000}"/>
    <cellStyle name="Normal 10 2 3 2 2 4 3" xfId="2577" xr:uid="{00000000-0005-0000-0000-0000060A0000}"/>
    <cellStyle name="Normal 10 2 3 2 2 4 3 2" xfId="2578" xr:uid="{00000000-0005-0000-0000-0000070A0000}"/>
    <cellStyle name="Normal 10 2 3 2 2 4 3 3" xfId="2579" xr:uid="{00000000-0005-0000-0000-0000080A0000}"/>
    <cellStyle name="Normal 10 2 3 2 2 4 4" xfId="2580" xr:uid="{00000000-0005-0000-0000-0000090A0000}"/>
    <cellStyle name="Normal 10 2 3 2 2 4 5" xfId="2581" xr:uid="{00000000-0005-0000-0000-00000A0A0000}"/>
    <cellStyle name="Normal 10 2 3 2 2 5" xfId="2582" xr:uid="{00000000-0005-0000-0000-00000B0A0000}"/>
    <cellStyle name="Normal 10 2 3 2 2 5 2" xfId="2583" xr:uid="{00000000-0005-0000-0000-00000C0A0000}"/>
    <cellStyle name="Normal 10 2 3 2 2 5 3" xfId="2584" xr:uid="{00000000-0005-0000-0000-00000D0A0000}"/>
    <cellStyle name="Normal 10 2 3 2 2 6" xfId="2585" xr:uid="{00000000-0005-0000-0000-00000E0A0000}"/>
    <cellStyle name="Normal 10 2 3 2 2 6 2" xfId="2586" xr:uid="{00000000-0005-0000-0000-00000F0A0000}"/>
    <cellStyle name="Normal 10 2 3 2 2 6 3" xfId="2587" xr:uid="{00000000-0005-0000-0000-0000100A0000}"/>
    <cellStyle name="Normal 10 2 3 2 2 7" xfId="2588" xr:uid="{00000000-0005-0000-0000-0000110A0000}"/>
    <cellStyle name="Normal 10 2 3 2 2 7 2" xfId="2589" xr:uid="{00000000-0005-0000-0000-0000120A0000}"/>
    <cellStyle name="Normal 10 2 3 2 2 7 3" xfId="2590" xr:uid="{00000000-0005-0000-0000-0000130A0000}"/>
    <cellStyle name="Normal 10 2 3 2 2 8" xfId="2591" xr:uid="{00000000-0005-0000-0000-0000140A0000}"/>
    <cellStyle name="Normal 10 2 3 2 2 9" xfId="2592" xr:uid="{00000000-0005-0000-0000-0000150A0000}"/>
    <cellStyle name="Normal 10 2 3 2 3" xfId="2593" xr:uid="{00000000-0005-0000-0000-0000160A0000}"/>
    <cellStyle name="Normal 10 2 3 2 3 2" xfId="2594" xr:uid="{00000000-0005-0000-0000-0000170A0000}"/>
    <cellStyle name="Normal 10 2 3 2 3 2 2" xfId="2595" xr:uid="{00000000-0005-0000-0000-0000180A0000}"/>
    <cellStyle name="Normal 10 2 3 2 3 2 2 2" xfId="2596" xr:uid="{00000000-0005-0000-0000-0000190A0000}"/>
    <cellStyle name="Normal 10 2 3 2 3 2 2 3" xfId="2597" xr:uid="{00000000-0005-0000-0000-00001A0A0000}"/>
    <cellStyle name="Normal 10 2 3 2 3 2 3" xfId="2598" xr:uid="{00000000-0005-0000-0000-00001B0A0000}"/>
    <cellStyle name="Normal 10 2 3 2 3 2 3 2" xfId="2599" xr:uid="{00000000-0005-0000-0000-00001C0A0000}"/>
    <cellStyle name="Normal 10 2 3 2 3 2 3 3" xfId="2600" xr:uid="{00000000-0005-0000-0000-00001D0A0000}"/>
    <cellStyle name="Normal 10 2 3 2 3 2 4" xfId="2601" xr:uid="{00000000-0005-0000-0000-00001E0A0000}"/>
    <cellStyle name="Normal 10 2 3 2 3 2 5" xfId="2602" xr:uid="{00000000-0005-0000-0000-00001F0A0000}"/>
    <cellStyle name="Normal 10 2 3 2 3 3" xfId="2603" xr:uid="{00000000-0005-0000-0000-0000200A0000}"/>
    <cellStyle name="Normal 10 2 3 2 3 3 2" xfId="2604" xr:uid="{00000000-0005-0000-0000-0000210A0000}"/>
    <cellStyle name="Normal 10 2 3 2 3 3 2 2" xfId="2605" xr:uid="{00000000-0005-0000-0000-0000220A0000}"/>
    <cellStyle name="Normal 10 2 3 2 3 3 2 3" xfId="2606" xr:uid="{00000000-0005-0000-0000-0000230A0000}"/>
    <cellStyle name="Normal 10 2 3 2 3 3 3" xfId="2607" xr:uid="{00000000-0005-0000-0000-0000240A0000}"/>
    <cellStyle name="Normal 10 2 3 2 3 3 3 2" xfId="2608" xr:uid="{00000000-0005-0000-0000-0000250A0000}"/>
    <cellStyle name="Normal 10 2 3 2 3 3 3 3" xfId="2609" xr:uid="{00000000-0005-0000-0000-0000260A0000}"/>
    <cellStyle name="Normal 10 2 3 2 3 3 4" xfId="2610" xr:uid="{00000000-0005-0000-0000-0000270A0000}"/>
    <cellStyle name="Normal 10 2 3 2 3 3 5" xfId="2611" xr:uid="{00000000-0005-0000-0000-0000280A0000}"/>
    <cellStyle name="Normal 10 2 3 2 3 4" xfId="2612" xr:uid="{00000000-0005-0000-0000-0000290A0000}"/>
    <cellStyle name="Normal 10 2 3 2 3 4 2" xfId="2613" xr:uid="{00000000-0005-0000-0000-00002A0A0000}"/>
    <cellStyle name="Normal 10 2 3 2 3 4 3" xfId="2614" xr:uid="{00000000-0005-0000-0000-00002B0A0000}"/>
    <cellStyle name="Normal 10 2 3 2 3 5" xfId="2615" xr:uid="{00000000-0005-0000-0000-00002C0A0000}"/>
    <cellStyle name="Normal 10 2 3 2 3 5 2" xfId="2616" xr:uid="{00000000-0005-0000-0000-00002D0A0000}"/>
    <cellStyle name="Normal 10 2 3 2 3 5 3" xfId="2617" xr:uid="{00000000-0005-0000-0000-00002E0A0000}"/>
    <cellStyle name="Normal 10 2 3 2 3 6" xfId="2618" xr:uid="{00000000-0005-0000-0000-00002F0A0000}"/>
    <cellStyle name="Normal 10 2 3 2 3 7" xfId="2619" xr:uid="{00000000-0005-0000-0000-0000300A0000}"/>
    <cellStyle name="Normal 10 2 3 2 4" xfId="2620" xr:uid="{00000000-0005-0000-0000-0000310A0000}"/>
    <cellStyle name="Normal 10 2 3 2 4 2" xfId="2621" xr:uid="{00000000-0005-0000-0000-0000320A0000}"/>
    <cellStyle name="Normal 10 2 3 2 4 2 2" xfId="2622" xr:uid="{00000000-0005-0000-0000-0000330A0000}"/>
    <cellStyle name="Normal 10 2 3 2 4 2 2 2" xfId="2623" xr:uid="{00000000-0005-0000-0000-0000340A0000}"/>
    <cellStyle name="Normal 10 2 3 2 4 2 2 3" xfId="2624" xr:uid="{00000000-0005-0000-0000-0000350A0000}"/>
    <cellStyle name="Normal 10 2 3 2 4 2 3" xfId="2625" xr:uid="{00000000-0005-0000-0000-0000360A0000}"/>
    <cellStyle name="Normal 10 2 3 2 4 2 3 2" xfId="2626" xr:uid="{00000000-0005-0000-0000-0000370A0000}"/>
    <cellStyle name="Normal 10 2 3 2 4 2 3 3" xfId="2627" xr:uid="{00000000-0005-0000-0000-0000380A0000}"/>
    <cellStyle name="Normal 10 2 3 2 4 2 4" xfId="2628" xr:uid="{00000000-0005-0000-0000-0000390A0000}"/>
    <cellStyle name="Normal 10 2 3 2 4 2 5" xfId="2629" xr:uid="{00000000-0005-0000-0000-00003A0A0000}"/>
    <cellStyle name="Normal 10 2 3 2 4 3" xfId="2630" xr:uid="{00000000-0005-0000-0000-00003B0A0000}"/>
    <cellStyle name="Normal 10 2 3 2 4 3 2" xfId="2631" xr:uid="{00000000-0005-0000-0000-00003C0A0000}"/>
    <cellStyle name="Normal 10 2 3 2 4 3 2 2" xfId="2632" xr:uid="{00000000-0005-0000-0000-00003D0A0000}"/>
    <cellStyle name="Normal 10 2 3 2 4 3 2 3" xfId="2633" xr:uid="{00000000-0005-0000-0000-00003E0A0000}"/>
    <cellStyle name="Normal 10 2 3 2 4 3 3" xfId="2634" xr:uid="{00000000-0005-0000-0000-00003F0A0000}"/>
    <cellStyle name="Normal 10 2 3 2 4 3 4" xfId="2635" xr:uid="{00000000-0005-0000-0000-0000400A0000}"/>
    <cellStyle name="Normal 10 2 3 2 4 4" xfId="2636" xr:uid="{00000000-0005-0000-0000-0000410A0000}"/>
    <cellStyle name="Normal 10 2 3 2 4 4 2" xfId="2637" xr:uid="{00000000-0005-0000-0000-0000420A0000}"/>
    <cellStyle name="Normal 10 2 3 2 4 4 3" xfId="2638" xr:uid="{00000000-0005-0000-0000-0000430A0000}"/>
    <cellStyle name="Normal 10 2 3 2 4 5" xfId="2639" xr:uid="{00000000-0005-0000-0000-0000440A0000}"/>
    <cellStyle name="Normal 10 2 3 2 4 5 2" xfId="2640" xr:uid="{00000000-0005-0000-0000-0000450A0000}"/>
    <cellStyle name="Normal 10 2 3 2 4 5 3" xfId="2641" xr:uid="{00000000-0005-0000-0000-0000460A0000}"/>
    <cellStyle name="Normal 10 2 3 2 4 6" xfId="2642" xr:uid="{00000000-0005-0000-0000-0000470A0000}"/>
    <cellStyle name="Normal 10 2 3 2 4 7" xfId="2643" xr:uid="{00000000-0005-0000-0000-0000480A0000}"/>
    <cellStyle name="Normal 10 2 3 2 5" xfId="2644" xr:uid="{00000000-0005-0000-0000-0000490A0000}"/>
    <cellStyle name="Normal 10 2 3 2 5 2" xfId="2645" xr:uid="{00000000-0005-0000-0000-00004A0A0000}"/>
    <cellStyle name="Normal 10 2 3 2 5 2 2" xfId="2646" xr:uid="{00000000-0005-0000-0000-00004B0A0000}"/>
    <cellStyle name="Normal 10 2 3 2 5 2 3" xfId="2647" xr:uid="{00000000-0005-0000-0000-00004C0A0000}"/>
    <cellStyle name="Normal 10 2 3 2 5 3" xfId="2648" xr:uid="{00000000-0005-0000-0000-00004D0A0000}"/>
    <cellStyle name="Normal 10 2 3 2 5 3 2" xfId="2649" xr:uid="{00000000-0005-0000-0000-00004E0A0000}"/>
    <cellStyle name="Normal 10 2 3 2 5 3 3" xfId="2650" xr:uid="{00000000-0005-0000-0000-00004F0A0000}"/>
    <cellStyle name="Normal 10 2 3 2 5 4" xfId="2651" xr:uid="{00000000-0005-0000-0000-0000500A0000}"/>
    <cellStyle name="Normal 10 2 3 2 5 5" xfId="2652" xr:uid="{00000000-0005-0000-0000-0000510A0000}"/>
    <cellStyle name="Normal 10 2 3 2 6" xfId="2653" xr:uid="{00000000-0005-0000-0000-0000520A0000}"/>
    <cellStyle name="Normal 10 2 3 2 6 2" xfId="2654" xr:uid="{00000000-0005-0000-0000-0000530A0000}"/>
    <cellStyle name="Normal 10 2 3 2 6 2 2" xfId="2655" xr:uid="{00000000-0005-0000-0000-0000540A0000}"/>
    <cellStyle name="Normal 10 2 3 2 6 2 3" xfId="2656" xr:uid="{00000000-0005-0000-0000-0000550A0000}"/>
    <cellStyle name="Normal 10 2 3 2 6 3" xfId="2657" xr:uid="{00000000-0005-0000-0000-0000560A0000}"/>
    <cellStyle name="Normal 10 2 3 2 6 3 2" xfId="2658" xr:uid="{00000000-0005-0000-0000-0000570A0000}"/>
    <cellStyle name="Normal 10 2 3 2 6 3 3" xfId="2659" xr:uid="{00000000-0005-0000-0000-0000580A0000}"/>
    <cellStyle name="Normal 10 2 3 2 6 4" xfId="2660" xr:uid="{00000000-0005-0000-0000-0000590A0000}"/>
    <cellStyle name="Normal 10 2 3 2 6 5" xfId="2661" xr:uid="{00000000-0005-0000-0000-00005A0A0000}"/>
    <cellStyle name="Normal 10 2 3 2 7" xfId="2662" xr:uid="{00000000-0005-0000-0000-00005B0A0000}"/>
    <cellStyle name="Normal 10 2 3 2 7 2" xfId="2663" xr:uid="{00000000-0005-0000-0000-00005C0A0000}"/>
    <cellStyle name="Normal 10 2 3 2 7 2 2" xfId="2664" xr:uid="{00000000-0005-0000-0000-00005D0A0000}"/>
    <cellStyle name="Normal 10 2 3 2 7 2 3" xfId="2665" xr:uid="{00000000-0005-0000-0000-00005E0A0000}"/>
    <cellStyle name="Normal 10 2 3 2 7 3" xfId="2666" xr:uid="{00000000-0005-0000-0000-00005F0A0000}"/>
    <cellStyle name="Normal 10 2 3 2 7 4" xfId="2667" xr:uid="{00000000-0005-0000-0000-0000600A0000}"/>
    <cellStyle name="Normal 10 2 3 2 8" xfId="2668" xr:uid="{00000000-0005-0000-0000-0000610A0000}"/>
    <cellStyle name="Normal 10 2 3 2 8 2" xfId="2669" xr:uid="{00000000-0005-0000-0000-0000620A0000}"/>
    <cellStyle name="Normal 10 2 3 2 8 3" xfId="2670" xr:uid="{00000000-0005-0000-0000-0000630A0000}"/>
    <cellStyle name="Normal 10 2 3 2 9" xfId="2671" xr:uid="{00000000-0005-0000-0000-0000640A0000}"/>
    <cellStyle name="Normal 10 2 3 2 9 2" xfId="2672" xr:uid="{00000000-0005-0000-0000-0000650A0000}"/>
    <cellStyle name="Normal 10 2 3 2 9 3" xfId="2673" xr:uid="{00000000-0005-0000-0000-0000660A0000}"/>
    <cellStyle name="Normal 10 2 3 3" xfId="2674" xr:uid="{00000000-0005-0000-0000-0000670A0000}"/>
    <cellStyle name="Normal 10 2 3 3 2" xfId="2675" xr:uid="{00000000-0005-0000-0000-0000680A0000}"/>
    <cellStyle name="Normal 10 2 3 3 2 2" xfId="2676" xr:uid="{00000000-0005-0000-0000-0000690A0000}"/>
    <cellStyle name="Normal 10 2 3 3 2 2 2" xfId="2677" xr:uid="{00000000-0005-0000-0000-00006A0A0000}"/>
    <cellStyle name="Normal 10 2 3 3 2 2 2 2" xfId="2678" xr:uid="{00000000-0005-0000-0000-00006B0A0000}"/>
    <cellStyle name="Normal 10 2 3 3 2 2 2 3" xfId="2679" xr:uid="{00000000-0005-0000-0000-00006C0A0000}"/>
    <cellStyle name="Normal 10 2 3 3 2 2 3" xfId="2680" xr:uid="{00000000-0005-0000-0000-00006D0A0000}"/>
    <cellStyle name="Normal 10 2 3 3 2 2 3 2" xfId="2681" xr:uid="{00000000-0005-0000-0000-00006E0A0000}"/>
    <cellStyle name="Normal 10 2 3 3 2 2 3 3" xfId="2682" xr:uid="{00000000-0005-0000-0000-00006F0A0000}"/>
    <cellStyle name="Normal 10 2 3 3 2 2 4" xfId="2683" xr:uid="{00000000-0005-0000-0000-0000700A0000}"/>
    <cellStyle name="Normal 10 2 3 3 2 2 5" xfId="2684" xr:uid="{00000000-0005-0000-0000-0000710A0000}"/>
    <cellStyle name="Normal 10 2 3 3 2 3" xfId="2685" xr:uid="{00000000-0005-0000-0000-0000720A0000}"/>
    <cellStyle name="Normal 10 2 3 3 2 3 2" xfId="2686" xr:uid="{00000000-0005-0000-0000-0000730A0000}"/>
    <cellStyle name="Normal 10 2 3 3 2 3 2 2" xfId="2687" xr:uid="{00000000-0005-0000-0000-0000740A0000}"/>
    <cellStyle name="Normal 10 2 3 3 2 3 2 3" xfId="2688" xr:uid="{00000000-0005-0000-0000-0000750A0000}"/>
    <cellStyle name="Normal 10 2 3 3 2 3 3" xfId="2689" xr:uid="{00000000-0005-0000-0000-0000760A0000}"/>
    <cellStyle name="Normal 10 2 3 3 2 3 3 2" xfId="2690" xr:uid="{00000000-0005-0000-0000-0000770A0000}"/>
    <cellStyle name="Normal 10 2 3 3 2 3 3 3" xfId="2691" xr:uid="{00000000-0005-0000-0000-0000780A0000}"/>
    <cellStyle name="Normal 10 2 3 3 2 3 4" xfId="2692" xr:uid="{00000000-0005-0000-0000-0000790A0000}"/>
    <cellStyle name="Normal 10 2 3 3 2 3 5" xfId="2693" xr:uid="{00000000-0005-0000-0000-00007A0A0000}"/>
    <cellStyle name="Normal 10 2 3 3 2 4" xfId="2694" xr:uid="{00000000-0005-0000-0000-00007B0A0000}"/>
    <cellStyle name="Normal 10 2 3 3 2 4 2" xfId="2695" xr:uid="{00000000-0005-0000-0000-00007C0A0000}"/>
    <cellStyle name="Normal 10 2 3 3 2 4 3" xfId="2696" xr:uid="{00000000-0005-0000-0000-00007D0A0000}"/>
    <cellStyle name="Normal 10 2 3 3 2 5" xfId="2697" xr:uid="{00000000-0005-0000-0000-00007E0A0000}"/>
    <cellStyle name="Normal 10 2 3 3 2 5 2" xfId="2698" xr:uid="{00000000-0005-0000-0000-00007F0A0000}"/>
    <cellStyle name="Normal 10 2 3 3 2 5 3" xfId="2699" xr:uid="{00000000-0005-0000-0000-0000800A0000}"/>
    <cellStyle name="Normal 10 2 3 3 2 6" xfId="2700" xr:uid="{00000000-0005-0000-0000-0000810A0000}"/>
    <cellStyle name="Normal 10 2 3 3 2 7" xfId="2701" xr:uid="{00000000-0005-0000-0000-0000820A0000}"/>
    <cellStyle name="Normal 10 2 3 3 3" xfId="2702" xr:uid="{00000000-0005-0000-0000-0000830A0000}"/>
    <cellStyle name="Normal 10 2 3 3 3 2" xfId="2703" xr:uid="{00000000-0005-0000-0000-0000840A0000}"/>
    <cellStyle name="Normal 10 2 3 3 3 2 2" xfId="2704" xr:uid="{00000000-0005-0000-0000-0000850A0000}"/>
    <cellStyle name="Normal 10 2 3 3 3 2 3" xfId="2705" xr:uid="{00000000-0005-0000-0000-0000860A0000}"/>
    <cellStyle name="Normal 10 2 3 3 3 3" xfId="2706" xr:uid="{00000000-0005-0000-0000-0000870A0000}"/>
    <cellStyle name="Normal 10 2 3 3 3 3 2" xfId="2707" xr:uid="{00000000-0005-0000-0000-0000880A0000}"/>
    <cellStyle name="Normal 10 2 3 3 3 3 3" xfId="2708" xr:uid="{00000000-0005-0000-0000-0000890A0000}"/>
    <cellStyle name="Normal 10 2 3 3 3 4" xfId="2709" xr:uid="{00000000-0005-0000-0000-00008A0A0000}"/>
    <cellStyle name="Normal 10 2 3 3 3 5" xfId="2710" xr:uid="{00000000-0005-0000-0000-00008B0A0000}"/>
    <cellStyle name="Normal 10 2 3 3 4" xfId="2711" xr:uid="{00000000-0005-0000-0000-00008C0A0000}"/>
    <cellStyle name="Normal 10 2 3 3 4 2" xfId="2712" xr:uid="{00000000-0005-0000-0000-00008D0A0000}"/>
    <cellStyle name="Normal 10 2 3 3 4 2 2" xfId="2713" xr:uid="{00000000-0005-0000-0000-00008E0A0000}"/>
    <cellStyle name="Normal 10 2 3 3 4 2 3" xfId="2714" xr:uid="{00000000-0005-0000-0000-00008F0A0000}"/>
    <cellStyle name="Normal 10 2 3 3 4 3" xfId="2715" xr:uid="{00000000-0005-0000-0000-0000900A0000}"/>
    <cellStyle name="Normal 10 2 3 3 4 3 2" xfId="2716" xr:uid="{00000000-0005-0000-0000-0000910A0000}"/>
    <cellStyle name="Normal 10 2 3 3 4 3 3" xfId="2717" xr:uid="{00000000-0005-0000-0000-0000920A0000}"/>
    <cellStyle name="Normal 10 2 3 3 4 4" xfId="2718" xr:uid="{00000000-0005-0000-0000-0000930A0000}"/>
    <cellStyle name="Normal 10 2 3 3 4 5" xfId="2719" xr:uid="{00000000-0005-0000-0000-0000940A0000}"/>
    <cellStyle name="Normal 10 2 3 3 5" xfId="2720" xr:uid="{00000000-0005-0000-0000-0000950A0000}"/>
    <cellStyle name="Normal 10 2 3 3 5 2" xfId="2721" xr:uid="{00000000-0005-0000-0000-0000960A0000}"/>
    <cellStyle name="Normal 10 2 3 3 5 3" xfId="2722" xr:uid="{00000000-0005-0000-0000-0000970A0000}"/>
    <cellStyle name="Normal 10 2 3 3 6" xfId="2723" xr:uid="{00000000-0005-0000-0000-0000980A0000}"/>
    <cellStyle name="Normal 10 2 3 3 6 2" xfId="2724" xr:uid="{00000000-0005-0000-0000-0000990A0000}"/>
    <cellStyle name="Normal 10 2 3 3 6 3" xfId="2725" xr:uid="{00000000-0005-0000-0000-00009A0A0000}"/>
    <cellStyle name="Normal 10 2 3 3 7" xfId="2726" xr:uid="{00000000-0005-0000-0000-00009B0A0000}"/>
    <cellStyle name="Normal 10 2 3 3 7 2" xfId="2727" xr:uid="{00000000-0005-0000-0000-00009C0A0000}"/>
    <cellStyle name="Normal 10 2 3 3 7 3" xfId="2728" xr:uid="{00000000-0005-0000-0000-00009D0A0000}"/>
    <cellStyle name="Normal 10 2 3 3 8" xfId="2729" xr:uid="{00000000-0005-0000-0000-00009E0A0000}"/>
    <cellStyle name="Normal 10 2 3 3 9" xfId="2730" xr:uid="{00000000-0005-0000-0000-00009F0A0000}"/>
    <cellStyle name="Normal 10 2 3 4" xfId="2731" xr:uid="{00000000-0005-0000-0000-0000A00A0000}"/>
    <cellStyle name="Normal 10 2 3 4 2" xfId="2732" xr:uid="{00000000-0005-0000-0000-0000A10A0000}"/>
    <cellStyle name="Normal 10 2 3 4 2 2" xfId="2733" xr:uid="{00000000-0005-0000-0000-0000A20A0000}"/>
    <cellStyle name="Normal 10 2 3 4 2 2 2" xfId="2734" xr:uid="{00000000-0005-0000-0000-0000A30A0000}"/>
    <cellStyle name="Normal 10 2 3 4 2 2 3" xfId="2735" xr:uid="{00000000-0005-0000-0000-0000A40A0000}"/>
    <cellStyle name="Normal 10 2 3 4 2 3" xfId="2736" xr:uid="{00000000-0005-0000-0000-0000A50A0000}"/>
    <cellStyle name="Normal 10 2 3 4 2 3 2" xfId="2737" xr:uid="{00000000-0005-0000-0000-0000A60A0000}"/>
    <cellStyle name="Normal 10 2 3 4 2 3 3" xfId="2738" xr:uid="{00000000-0005-0000-0000-0000A70A0000}"/>
    <cellStyle name="Normal 10 2 3 4 2 4" xfId="2739" xr:uid="{00000000-0005-0000-0000-0000A80A0000}"/>
    <cellStyle name="Normal 10 2 3 4 2 5" xfId="2740" xr:uid="{00000000-0005-0000-0000-0000A90A0000}"/>
    <cellStyle name="Normal 10 2 3 4 3" xfId="2741" xr:uid="{00000000-0005-0000-0000-0000AA0A0000}"/>
    <cellStyle name="Normal 10 2 3 4 3 2" xfId="2742" xr:uid="{00000000-0005-0000-0000-0000AB0A0000}"/>
    <cellStyle name="Normal 10 2 3 4 3 2 2" xfId="2743" xr:uid="{00000000-0005-0000-0000-0000AC0A0000}"/>
    <cellStyle name="Normal 10 2 3 4 3 2 3" xfId="2744" xr:uid="{00000000-0005-0000-0000-0000AD0A0000}"/>
    <cellStyle name="Normal 10 2 3 4 3 3" xfId="2745" xr:uid="{00000000-0005-0000-0000-0000AE0A0000}"/>
    <cellStyle name="Normal 10 2 3 4 3 3 2" xfId="2746" xr:uid="{00000000-0005-0000-0000-0000AF0A0000}"/>
    <cellStyle name="Normal 10 2 3 4 3 3 3" xfId="2747" xr:uid="{00000000-0005-0000-0000-0000B00A0000}"/>
    <cellStyle name="Normal 10 2 3 4 3 4" xfId="2748" xr:uid="{00000000-0005-0000-0000-0000B10A0000}"/>
    <cellStyle name="Normal 10 2 3 4 3 5" xfId="2749" xr:uid="{00000000-0005-0000-0000-0000B20A0000}"/>
    <cellStyle name="Normal 10 2 3 4 4" xfId="2750" xr:uid="{00000000-0005-0000-0000-0000B30A0000}"/>
    <cellStyle name="Normal 10 2 3 4 4 2" xfId="2751" xr:uid="{00000000-0005-0000-0000-0000B40A0000}"/>
    <cellStyle name="Normal 10 2 3 4 4 3" xfId="2752" xr:uid="{00000000-0005-0000-0000-0000B50A0000}"/>
    <cellStyle name="Normal 10 2 3 4 5" xfId="2753" xr:uid="{00000000-0005-0000-0000-0000B60A0000}"/>
    <cellStyle name="Normal 10 2 3 4 5 2" xfId="2754" xr:uid="{00000000-0005-0000-0000-0000B70A0000}"/>
    <cellStyle name="Normal 10 2 3 4 5 3" xfId="2755" xr:uid="{00000000-0005-0000-0000-0000B80A0000}"/>
    <cellStyle name="Normal 10 2 3 4 6" xfId="2756" xr:uid="{00000000-0005-0000-0000-0000B90A0000}"/>
    <cellStyle name="Normal 10 2 3 4 7" xfId="2757" xr:uid="{00000000-0005-0000-0000-0000BA0A0000}"/>
    <cellStyle name="Normal 10 2 3 5" xfId="2758" xr:uid="{00000000-0005-0000-0000-0000BB0A0000}"/>
    <cellStyle name="Normal 10 2 3 5 2" xfId="2759" xr:uid="{00000000-0005-0000-0000-0000BC0A0000}"/>
    <cellStyle name="Normal 10 2 3 5 2 2" xfId="2760" xr:uid="{00000000-0005-0000-0000-0000BD0A0000}"/>
    <cellStyle name="Normal 10 2 3 5 2 2 2" xfId="2761" xr:uid="{00000000-0005-0000-0000-0000BE0A0000}"/>
    <cellStyle name="Normal 10 2 3 5 2 2 3" xfId="2762" xr:uid="{00000000-0005-0000-0000-0000BF0A0000}"/>
    <cellStyle name="Normal 10 2 3 5 2 3" xfId="2763" xr:uid="{00000000-0005-0000-0000-0000C00A0000}"/>
    <cellStyle name="Normal 10 2 3 5 2 3 2" xfId="2764" xr:uid="{00000000-0005-0000-0000-0000C10A0000}"/>
    <cellStyle name="Normal 10 2 3 5 2 3 3" xfId="2765" xr:uid="{00000000-0005-0000-0000-0000C20A0000}"/>
    <cellStyle name="Normal 10 2 3 5 2 4" xfId="2766" xr:uid="{00000000-0005-0000-0000-0000C30A0000}"/>
    <cellStyle name="Normal 10 2 3 5 2 5" xfId="2767" xr:uid="{00000000-0005-0000-0000-0000C40A0000}"/>
    <cellStyle name="Normal 10 2 3 5 3" xfId="2768" xr:uid="{00000000-0005-0000-0000-0000C50A0000}"/>
    <cellStyle name="Normal 10 2 3 5 3 2" xfId="2769" xr:uid="{00000000-0005-0000-0000-0000C60A0000}"/>
    <cellStyle name="Normal 10 2 3 5 3 2 2" xfId="2770" xr:uid="{00000000-0005-0000-0000-0000C70A0000}"/>
    <cellStyle name="Normal 10 2 3 5 3 2 3" xfId="2771" xr:uid="{00000000-0005-0000-0000-0000C80A0000}"/>
    <cellStyle name="Normal 10 2 3 5 3 3" xfId="2772" xr:uid="{00000000-0005-0000-0000-0000C90A0000}"/>
    <cellStyle name="Normal 10 2 3 5 3 4" xfId="2773" xr:uid="{00000000-0005-0000-0000-0000CA0A0000}"/>
    <cellStyle name="Normal 10 2 3 5 4" xfId="2774" xr:uid="{00000000-0005-0000-0000-0000CB0A0000}"/>
    <cellStyle name="Normal 10 2 3 5 4 2" xfId="2775" xr:uid="{00000000-0005-0000-0000-0000CC0A0000}"/>
    <cellStyle name="Normal 10 2 3 5 4 3" xfId="2776" xr:uid="{00000000-0005-0000-0000-0000CD0A0000}"/>
    <cellStyle name="Normal 10 2 3 5 5" xfId="2777" xr:uid="{00000000-0005-0000-0000-0000CE0A0000}"/>
    <cellStyle name="Normal 10 2 3 5 5 2" xfId="2778" xr:uid="{00000000-0005-0000-0000-0000CF0A0000}"/>
    <cellStyle name="Normal 10 2 3 5 5 3" xfId="2779" xr:uid="{00000000-0005-0000-0000-0000D00A0000}"/>
    <cellStyle name="Normal 10 2 3 5 6" xfId="2780" xr:uid="{00000000-0005-0000-0000-0000D10A0000}"/>
    <cellStyle name="Normal 10 2 3 5 7" xfId="2781" xr:uid="{00000000-0005-0000-0000-0000D20A0000}"/>
    <cellStyle name="Normal 10 2 3 6" xfId="2782" xr:uid="{00000000-0005-0000-0000-0000D30A0000}"/>
    <cellStyle name="Normal 10 2 3 6 2" xfId="2783" xr:uid="{00000000-0005-0000-0000-0000D40A0000}"/>
    <cellStyle name="Normal 10 2 3 6 2 2" xfId="2784" xr:uid="{00000000-0005-0000-0000-0000D50A0000}"/>
    <cellStyle name="Normal 10 2 3 6 2 3" xfId="2785" xr:uid="{00000000-0005-0000-0000-0000D60A0000}"/>
    <cellStyle name="Normal 10 2 3 6 3" xfId="2786" xr:uid="{00000000-0005-0000-0000-0000D70A0000}"/>
    <cellStyle name="Normal 10 2 3 6 3 2" xfId="2787" xr:uid="{00000000-0005-0000-0000-0000D80A0000}"/>
    <cellStyle name="Normal 10 2 3 6 3 3" xfId="2788" xr:uid="{00000000-0005-0000-0000-0000D90A0000}"/>
    <cellStyle name="Normal 10 2 3 6 4" xfId="2789" xr:uid="{00000000-0005-0000-0000-0000DA0A0000}"/>
    <cellStyle name="Normal 10 2 3 6 5" xfId="2790" xr:uid="{00000000-0005-0000-0000-0000DB0A0000}"/>
    <cellStyle name="Normal 10 2 3 7" xfId="2791" xr:uid="{00000000-0005-0000-0000-0000DC0A0000}"/>
    <cellStyle name="Normal 10 2 3 7 2" xfId="2792" xr:uid="{00000000-0005-0000-0000-0000DD0A0000}"/>
    <cellStyle name="Normal 10 2 3 7 2 2" xfId="2793" xr:uid="{00000000-0005-0000-0000-0000DE0A0000}"/>
    <cellStyle name="Normal 10 2 3 7 2 3" xfId="2794" xr:uid="{00000000-0005-0000-0000-0000DF0A0000}"/>
    <cellStyle name="Normal 10 2 3 7 3" xfId="2795" xr:uid="{00000000-0005-0000-0000-0000E00A0000}"/>
    <cellStyle name="Normal 10 2 3 7 3 2" xfId="2796" xr:uid="{00000000-0005-0000-0000-0000E10A0000}"/>
    <cellStyle name="Normal 10 2 3 7 3 3" xfId="2797" xr:uid="{00000000-0005-0000-0000-0000E20A0000}"/>
    <cellStyle name="Normal 10 2 3 7 4" xfId="2798" xr:uid="{00000000-0005-0000-0000-0000E30A0000}"/>
    <cellStyle name="Normal 10 2 3 7 5" xfId="2799" xr:uid="{00000000-0005-0000-0000-0000E40A0000}"/>
    <cellStyle name="Normal 10 2 3 8" xfId="2800" xr:uid="{00000000-0005-0000-0000-0000E50A0000}"/>
    <cellStyle name="Normal 10 2 3 8 2" xfId="2801" xr:uid="{00000000-0005-0000-0000-0000E60A0000}"/>
    <cellStyle name="Normal 10 2 3 8 2 2" xfId="2802" xr:uid="{00000000-0005-0000-0000-0000E70A0000}"/>
    <cellStyle name="Normal 10 2 3 8 2 3" xfId="2803" xr:uid="{00000000-0005-0000-0000-0000E80A0000}"/>
    <cellStyle name="Normal 10 2 3 8 3" xfId="2804" xr:uid="{00000000-0005-0000-0000-0000E90A0000}"/>
    <cellStyle name="Normal 10 2 3 8 4" xfId="2805" xr:uid="{00000000-0005-0000-0000-0000EA0A0000}"/>
    <cellStyle name="Normal 10 2 3 9" xfId="2806" xr:uid="{00000000-0005-0000-0000-0000EB0A0000}"/>
    <cellStyle name="Normal 10 2 3 9 2" xfId="2807" xr:uid="{00000000-0005-0000-0000-0000EC0A0000}"/>
    <cellStyle name="Normal 10 2 3 9 3" xfId="2808" xr:uid="{00000000-0005-0000-0000-0000ED0A0000}"/>
    <cellStyle name="Normal 10 2 4" xfId="2809" xr:uid="{00000000-0005-0000-0000-0000EE0A0000}"/>
    <cellStyle name="Normal 10 2 4 10" xfId="2810" xr:uid="{00000000-0005-0000-0000-0000EF0A0000}"/>
    <cellStyle name="Normal 10 2 4 10 2" xfId="2811" xr:uid="{00000000-0005-0000-0000-0000F00A0000}"/>
    <cellStyle name="Normal 10 2 4 10 3" xfId="2812" xr:uid="{00000000-0005-0000-0000-0000F10A0000}"/>
    <cellStyle name="Normal 10 2 4 11" xfId="2813" xr:uid="{00000000-0005-0000-0000-0000F20A0000}"/>
    <cellStyle name="Normal 10 2 4 11 2" xfId="2814" xr:uid="{00000000-0005-0000-0000-0000F30A0000}"/>
    <cellStyle name="Normal 10 2 4 11 3" xfId="2815" xr:uid="{00000000-0005-0000-0000-0000F40A0000}"/>
    <cellStyle name="Normal 10 2 4 12" xfId="2816" xr:uid="{00000000-0005-0000-0000-0000F50A0000}"/>
    <cellStyle name="Normal 10 2 4 13" xfId="2817" xr:uid="{00000000-0005-0000-0000-0000F60A0000}"/>
    <cellStyle name="Normal 10 2 4 2" xfId="2818" xr:uid="{00000000-0005-0000-0000-0000F70A0000}"/>
    <cellStyle name="Normal 10 2 4 2 2" xfId="2819" xr:uid="{00000000-0005-0000-0000-0000F80A0000}"/>
    <cellStyle name="Normal 10 2 4 2 2 2" xfId="2820" xr:uid="{00000000-0005-0000-0000-0000F90A0000}"/>
    <cellStyle name="Normal 10 2 4 2 2 2 2" xfId="2821" xr:uid="{00000000-0005-0000-0000-0000FA0A0000}"/>
    <cellStyle name="Normal 10 2 4 2 2 2 2 2" xfId="2822" xr:uid="{00000000-0005-0000-0000-0000FB0A0000}"/>
    <cellStyle name="Normal 10 2 4 2 2 2 2 3" xfId="2823" xr:uid="{00000000-0005-0000-0000-0000FC0A0000}"/>
    <cellStyle name="Normal 10 2 4 2 2 2 3" xfId="2824" xr:uid="{00000000-0005-0000-0000-0000FD0A0000}"/>
    <cellStyle name="Normal 10 2 4 2 2 2 3 2" xfId="2825" xr:uid="{00000000-0005-0000-0000-0000FE0A0000}"/>
    <cellStyle name="Normal 10 2 4 2 2 2 3 3" xfId="2826" xr:uid="{00000000-0005-0000-0000-0000FF0A0000}"/>
    <cellStyle name="Normal 10 2 4 2 2 2 4" xfId="2827" xr:uid="{00000000-0005-0000-0000-0000000B0000}"/>
    <cellStyle name="Normal 10 2 4 2 2 2 5" xfId="2828" xr:uid="{00000000-0005-0000-0000-0000010B0000}"/>
    <cellStyle name="Normal 10 2 4 2 2 3" xfId="2829" xr:uid="{00000000-0005-0000-0000-0000020B0000}"/>
    <cellStyle name="Normal 10 2 4 2 2 3 2" xfId="2830" xr:uid="{00000000-0005-0000-0000-0000030B0000}"/>
    <cellStyle name="Normal 10 2 4 2 2 3 2 2" xfId="2831" xr:uid="{00000000-0005-0000-0000-0000040B0000}"/>
    <cellStyle name="Normal 10 2 4 2 2 3 2 3" xfId="2832" xr:uid="{00000000-0005-0000-0000-0000050B0000}"/>
    <cellStyle name="Normal 10 2 4 2 2 3 3" xfId="2833" xr:uid="{00000000-0005-0000-0000-0000060B0000}"/>
    <cellStyle name="Normal 10 2 4 2 2 3 3 2" xfId="2834" xr:uid="{00000000-0005-0000-0000-0000070B0000}"/>
    <cellStyle name="Normal 10 2 4 2 2 3 3 3" xfId="2835" xr:uid="{00000000-0005-0000-0000-0000080B0000}"/>
    <cellStyle name="Normal 10 2 4 2 2 3 4" xfId="2836" xr:uid="{00000000-0005-0000-0000-0000090B0000}"/>
    <cellStyle name="Normal 10 2 4 2 2 3 5" xfId="2837" xr:uid="{00000000-0005-0000-0000-00000A0B0000}"/>
    <cellStyle name="Normal 10 2 4 2 2 4" xfId="2838" xr:uid="{00000000-0005-0000-0000-00000B0B0000}"/>
    <cellStyle name="Normal 10 2 4 2 2 4 2" xfId="2839" xr:uid="{00000000-0005-0000-0000-00000C0B0000}"/>
    <cellStyle name="Normal 10 2 4 2 2 4 3" xfId="2840" xr:uid="{00000000-0005-0000-0000-00000D0B0000}"/>
    <cellStyle name="Normal 10 2 4 2 2 5" xfId="2841" xr:uid="{00000000-0005-0000-0000-00000E0B0000}"/>
    <cellStyle name="Normal 10 2 4 2 2 5 2" xfId="2842" xr:uid="{00000000-0005-0000-0000-00000F0B0000}"/>
    <cellStyle name="Normal 10 2 4 2 2 5 3" xfId="2843" xr:uid="{00000000-0005-0000-0000-0000100B0000}"/>
    <cellStyle name="Normal 10 2 4 2 2 6" xfId="2844" xr:uid="{00000000-0005-0000-0000-0000110B0000}"/>
    <cellStyle name="Normal 10 2 4 2 2 7" xfId="2845" xr:uid="{00000000-0005-0000-0000-0000120B0000}"/>
    <cellStyle name="Normal 10 2 4 2 3" xfId="2846" xr:uid="{00000000-0005-0000-0000-0000130B0000}"/>
    <cellStyle name="Normal 10 2 4 2 3 2" xfId="2847" xr:uid="{00000000-0005-0000-0000-0000140B0000}"/>
    <cellStyle name="Normal 10 2 4 2 3 2 2" xfId="2848" xr:uid="{00000000-0005-0000-0000-0000150B0000}"/>
    <cellStyle name="Normal 10 2 4 2 3 2 3" xfId="2849" xr:uid="{00000000-0005-0000-0000-0000160B0000}"/>
    <cellStyle name="Normal 10 2 4 2 3 3" xfId="2850" xr:uid="{00000000-0005-0000-0000-0000170B0000}"/>
    <cellStyle name="Normal 10 2 4 2 3 3 2" xfId="2851" xr:uid="{00000000-0005-0000-0000-0000180B0000}"/>
    <cellStyle name="Normal 10 2 4 2 3 3 3" xfId="2852" xr:uid="{00000000-0005-0000-0000-0000190B0000}"/>
    <cellStyle name="Normal 10 2 4 2 3 4" xfId="2853" xr:uid="{00000000-0005-0000-0000-00001A0B0000}"/>
    <cellStyle name="Normal 10 2 4 2 3 5" xfId="2854" xr:uid="{00000000-0005-0000-0000-00001B0B0000}"/>
    <cellStyle name="Normal 10 2 4 2 4" xfId="2855" xr:uid="{00000000-0005-0000-0000-00001C0B0000}"/>
    <cellStyle name="Normal 10 2 4 2 4 2" xfId="2856" xr:uid="{00000000-0005-0000-0000-00001D0B0000}"/>
    <cellStyle name="Normal 10 2 4 2 4 2 2" xfId="2857" xr:uid="{00000000-0005-0000-0000-00001E0B0000}"/>
    <cellStyle name="Normal 10 2 4 2 4 2 3" xfId="2858" xr:uid="{00000000-0005-0000-0000-00001F0B0000}"/>
    <cellStyle name="Normal 10 2 4 2 4 3" xfId="2859" xr:uid="{00000000-0005-0000-0000-0000200B0000}"/>
    <cellStyle name="Normal 10 2 4 2 4 3 2" xfId="2860" xr:uid="{00000000-0005-0000-0000-0000210B0000}"/>
    <cellStyle name="Normal 10 2 4 2 4 3 3" xfId="2861" xr:uid="{00000000-0005-0000-0000-0000220B0000}"/>
    <cellStyle name="Normal 10 2 4 2 4 4" xfId="2862" xr:uid="{00000000-0005-0000-0000-0000230B0000}"/>
    <cellStyle name="Normal 10 2 4 2 4 5" xfId="2863" xr:uid="{00000000-0005-0000-0000-0000240B0000}"/>
    <cellStyle name="Normal 10 2 4 2 5" xfId="2864" xr:uid="{00000000-0005-0000-0000-0000250B0000}"/>
    <cellStyle name="Normal 10 2 4 2 5 2" xfId="2865" xr:uid="{00000000-0005-0000-0000-0000260B0000}"/>
    <cellStyle name="Normal 10 2 4 2 5 3" xfId="2866" xr:uid="{00000000-0005-0000-0000-0000270B0000}"/>
    <cellStyle name="Normal 10 2 4 2 6" xfId="2867" xr:uid="{00000000-0005-0000-0000-0000280B0000}"/>
    <cellStyle name="Normal 10 2 4 2 6 2" xfId="2868" xr:uid="{00000000-0005-0000-0000-0000290B0000}"/>
    <cellStyle name="Normal 10 2 4 2 6 3" xfId="2869" xr:uid="{00000000-0005-0000-0000-00002A0B0000}"/>
    <cellStyle name="Normal 10 2 4 2 7" xfId="2870" xr:uid="{00000000-0005-0000-0000-00002B0B0000}"/>
    <cellStyle name="Normal 10 2 4 2 7 2" xfId="2871" xr:uid="{00000000-0005-0000-0000-00002C0B0000}"/>
    <cellStyle name="Normal 10 2 4 2 7 3" xfId="2872" xr:uid="{00000000-0005-0000-0000-00002D0B0000}"/>
    <cellStyle name="Normal 10 2 4 2 8" xfId="2873" xr:uid="{00000000-0005-0000-0000-00002E0B0000}"/>
    <cellStyle name="Normal 10 2 4 2 9" xfId="2874" xr:uid="{00000000-0005-0000-0000-00002F0B0000}"/>
    <cellStyle name="Normal 10 2 4 3" xfId="2875" xr:uid="{00000000-0005-0000-0000-0000300B0000}"/>
    <cellStyle name="Normal 10 2 4 3 2" xfId="2876" xr:uid="{00000000-0005-0000-0000-0000310B0000}"/>
    <cellStyle name="Normal 10 2 4 3 2 2" xfId="2877" xr:uid="{00000000-0005-0000-0000-0000320B0000}"/>
    <cellStyle name="Normal 10 2 4 3 2 2 2" xfId="2878" xr:uid="{00000000-0005-0000-0000-0000330B0000}"/>
    <cellStyle name="Normal 10 2 4 3 2 2 3" xfId="2879" xr:uid="{00000000-0005-0000-0000-0000340B0000}"/>
    <cellStyle name="Normal 10 2 4 3 2 3" xfId="2880" xr:uid="{00000000-0005-0000-0000-0000350B0000}"/>
    <cellStyle name="Normal 10 2 4 3 2 3 2" xfId="2881" xr:uid="{00000000-0005-0000-0000-0000360B0000}"/>
    <cellStyle name="Normal 10 2 4 3 2 3 3" xfId="2882" xr:uid="{00000000-0005-0000-0000-0000370B0000}"/>
    <cellStyle name="Normal 10 2 4 3 2 4" xfId="2883" xr:uid="{00000000-0005-0000-0000-0000380B0000}"/>
    <cellStyle name="Normal 10 2 4 3 2 5" xfId="2884" xr:uid="{00000000-0005-0000-0000-0000390B0000}"/>
    <cellStyle name="Normal 10 2 4 3 3" xfId="2885" xr:uid="{00000000-0005-0000-0000-00003A0B0000}"/>
    <cellStyle name="Normal 10 2 4 3 3 2" xfId="2886" xr:uid="{00000000-0005-0000-0000-00003B0B0000}"/>
    <cellStyle name="Normal 10 2 4 3 3 2 2" xfId="2887" xr:uid="{00000000-0005-0000-0000-00003C0B0000}"/>
    <cellStyle name="Normal 10 2 4 3 3 2 3" xfId="2888" xr:uid="{00000000-0005-0000-0000-00003D0B0000}"/>
    <cellStyle name="Normal 10 2 4 3 3 3" xfId="2889" xr:uid="{00000000-0005-0000-0000-00003E0B0000}"/>
    <cellStyle name="Normal 10 2 4 3 3 3 2" xfId="2890" xr:uid="{00000000-0005-0000-0000-00003F0B0000}"/>
    <cellStyle name="Normal 10 2 4 3 3 3 3" xfId="2891" xr:uid="{00000000-0005-0000-0000-0000400B0000}"/>
    <cellStyle name="Normal 10 2 4 3 3 4" xfId="2892" xr:uid="{00000000-0005-0000-0000-0000410B0000}"/>
    <cellStyle name="Normal 10 2 4 3 3 5" xfId="2893" xr:uid="{00000000-0005-0000-0000-0000420B0000}"/>
    <cellStyle name="Normal 10 2 4 3 4" xfId="2894" xr:uid="{00000000-0005-0000-0000-0000430B0000}"/>
    <cellStyle name="Normal 10 2 4 3 4 2" xfId="2895" xr:uid="{00000000-0005-0000-0000-0000440B0000}"/>
    <cellStyle name="Normal 10 2 4 3 4 3" xfId="2896" xr:uid="{00000000-0005-0000-0000-0000450B0000}"/>
    <cellStyle name="Normal 10 2 4 3 5" xfId="2897" xr:uid="{00000000-0005-0000-0000-0000460B0000}"/>
    <cellStyle name="Normal 10 2 4 3 5 2" xfId="2898" xr:uid="{00000000-0005-0000-0000-0000470B0000}"/>
    <cellStyle name="Normal 10 2 4 3 5 3" xfId="2899" xr:uid="{00000000-0005-0000-0000-0000480B0000}"/>
    <cellStyle name="Normal 10 2 4 3 6" xfId="2900" xr:uid="{00000000-0005-0000-0000-0000490B0000}"/>
    <cellStyle name="Normal 10 2 4 3 7" xfId="2901" xr:uid="{00000000-0005-0000-0000-00004A0B0000}"/>
    <cellStyle name="Normal 10 2 4 4" xfId="2902" xr:uid="{00000000-0005-0000-0000-00004B0B0000}"/>
    <cellStyle name="Normal 10 2 4 4 2" xfId="2903" xr:uid="{00000000-0005-0000-0000-00004C0B0000}"/>
    <cellStyle name="Normal 10 2 4 4 2 2" xfId="2904" xr:uid="{00000000-0005-0000-0000-00004D0B0000}"/>
    <cellStyle name="Normal 10 2 4 4 2 2 2" xfId="2905" xr:uid="{00000000-0005-0000-0000-00004E0B0000}"/>
    <cellStyle name="Normal 10 2 4 4 2 2 3" xfId="2906" xr:uid="{00000000-0005-0000-0000-00004F0B0000}"/>
    <cellStyle name="Normal 10 2 4 4 2 3" xfId="2907" xr:uid="{00000000-0005-0000-0000-0000500B0000}"/>
    <cellStyle name="Normal 10 2 4 4 2 3 2" xfId="2908" xr:uid="{00000000-0005-0000-0000-0000510B0000}"/>
    <cellStyle name="Normal 10 2 4 4 2 3 3" xfId="2909" xr:uid="{00000000-0005-0000-0000-0000520B0000}"/>
    <cellStyle name="Normal 10 2 4 4 2 4" xfId="2910" xr:uid="{00000000-0005-0000-0000-0000530B0000}"/>
    <cellStyle name="Normal 10 2 4 4 2 5" xfId="2911" xr:uid="{00000000-0005-0000-0000-0000540B0000}"/>
    <cellStyle name="Normal 10 2 4 4 3" xfId="2912" xr:uid="{00000000-0005-0000-0000-0000550B0000}"/>
    <cellStyle name="Normal 10 2 4 4 3 2" xfId="2913" xr:uid="{00000000-0005-0000-0000-0000560B0000}"/>
    <cellStyle name="Normal 10 2 4 4 3 2 2" xfId="2914" xr:uid="{00000000-0005-0000-0000-0000570B0000}"/>
    <cellStyle name="Normal 10 2 4 4 3 2 3" xfId="2915" xr:uid="{00000000-0005-0000-0000-0000580B0000}"/>
    <cellStyle name="Normal 10 2 4 4 3 3" xfId="2916" xr:uid="{00000000-0005-0000-0000-0000590B0000}"/>
    <cellStyle name="Normal 10 2 4 4 3 4" xfId="2917" xr:uid="{00000000-0005-0000-0000-00005A0B0000}"/>
    <cellStyle name="Normal 10 2 4 4 4" xfId="2918" xr:uid="{00000000-0005-0000-0000-00005B0B0000}"/>
    <cellStyle name="Normal 10 2 4 4 4 2" xfId="2919" xr:uid="{00000000-0005-0000-0000-00005C0B0000}"/>
    <cellStyle name="Normal 10 2 4 4 4 3" xfId="2920" xr:uid="{00000000-0005-0000-0000-00005D0B0000}"/>
    <cellStyle name="Normal 10 2 4 4 5" xfId="2921" xr:uid="{00000000-0005-0000-0000-00005E0B0000}"/>
    <cellStyle name="Normal 10 2 4 4 5 2" xfId="2922" xr:uid="{00000000-0005-0000-0000-00005F0B0000}"/>
    <cellStyle name="Normal 10 2 4 4 5 3" xfId="2923" xr:uid="{00000000-0005-0000-0000-0000600B0000}"/>
    <cellStyle name="Normal 10 2 4 4 6" xfId="2924" xr:uid="{00000000-0005-0000-0000-0000610B0000}"/>
    <cellStyle name="Normal 10 2 4 4 7" xfId="2925" xr:uid="{00000000-0005-0000-0000-0000620B0000}"/>
    <cellStyle name="Normal 10 2 4 5" xfId="2926" xr:uid="{00000000-0005-0000-0000-0000630B0000}"/>
    <cellStyle name="Normal 10 2 4 5 2" xfId="2927" xr:uid="{00000000-0005-0000-0000-0000640B0000}"/>
    <cellStyle name="Normal 10 2 4 5 2 2" xfId="2928" xr:uid="{00000000-0005-0000-0000-0000650B0000}"/>
    <cellStyle name="Normal 10 2 4 5 2 3" xfId="2929" xr:uid="{00000000-0005-0000-0000-0000660B0000}"/>
    <cellStyle name="Normal 10 2 4 5 3" xfId="2930" xr:uid="{00000000-0005-0000-0000-0000670B0000}"/>
    <cellStyle name="Normal 10 2 4 5 3 2" xfId="2931" xr:uid="{00000000-0005-0000-0000-0000680B0000}"/>
    <cellStyle name="Normal 10 2 4 5 3 3" xfId="2932" xr:uid="{00000000-0005-0000-0000-0000690B0000}"/>
    <cellStyle name="Normal 10 2 4 5 4" xfId="2933" xr:uid="{00000000-0005-0000-0000-00006A0B0000}"/>
    <cellStyle name="Normal 10 2 4 5 5" xfId="2934" xr:uid="{00000000-0005-0000-0000-00006B0B0000}"/>
    <cellStyle name="Normal 10 2 4 6" xfId="2935" xr:uid="{00000000-0005-0000-0000-00006C0B0000}"/>
    <cellStyle name="Normal 10 2 4 6 2" xfId="2936" xr:uid="{00000000-0005-0000-0000-00006D0B0000}"/>
    <cellStyle name="Normal 10 2 4 6 2 2" xfId="2937" xr:uid="{00000000-0005-0000-0000-00006E0B0000}"/>
    <cellStyle name="Normal 10 2 4 6 2 3" xfId="2938" xr:uid="{00000000-0005-0000-0000-00006F0B0000}"/>
    <cellStyle name="Normal 10 2 4 6 3" xfId="2939" xr:uid="{00000000-0005-0000-0000-0000700B0000}"/>
    <cellStyle name="Normal 10 2 4 6 3 2" xfId="2940" xr:uid="{00000000-0005-0000-0000-0000710B0000}"/>
    <cellStyle name="Normal 10 2 4 6 3 3" xfId="2941" xr:uid="{00000000-0005-0000-0000-0000720B0000}"/>
    <cellStyle name="Normal 10 2 4 6 4" xfId="2942" xr:uid="{00000000-0005-0000-0000-0000730B0000}"/>
    <cellStyle name="Normal 10 2 4 6 5" xfId="2943" xr:uid="{00000000-0005-0000-0000-0000740B0000}"/>
    <cellStyle name="Normal 10 2 4 7" xfId="2944" xr:uid="{00000000-0005-0000-0000-0000750B0000}"/>
    <cellStyle name="Normal 10 2 4 7 2" xfId="2945" xr:uid="{00000000-0005-0000-0000-0000760B0000}"/>
    <cellStyle name="Normal 10 2 4 7 2 2" xfId="2946" xr:uid="{00000000-0005-0000-0000-0000770B0000}"/>
    <cellStyle name="Normal 10 2 4 7 2 3" xfId="2947" xr:uid="{00000000-0005-0000-0000-0000780B0000}"/>
    <cellStyle name="Normal 10 2 4 7 3" xfId="2948" xr:uid="{00000000-0005-0000-0000-0000790B0000}"/>
    <cellStyle name="Normal 10 2 4 7 4" xfId="2949" xr:uid="{00000000-0005-0000-0000-00007A0B0000}"/>
    <cellStyle name="Normal 10 2 4 8" xfId="2950" xr:uid="{00000000-0005-0000-0000-00007B0B0000}"/>
    <cellStyle name="Normal 10 2 4 8 2" xfId="2951" xr:uid="{00000000-0005-0000-0000-00007C0B0000}"/>
    <cellStyle name="Normal 10 2 4 8 3" xfId="2952" xr:uid="{00000000-0005-0000-0000-00007D0B0000}"/>
    <cellStyle name="Normal 10 2 4 9" xfId="2953" xr:uid="{00000000-0005-0000-0000-00007E0B0000}"/>
    <cellStyle name="Normal 10 2 4 9 2" xfId="2954" xr:uid="{00000000-0005-0000-0000-00007F0B0000}"/>
    <cellStyle name="Normal 10 2 4 9 3" xfId="2955" xr:uid="{00000000-0005-0000-0000-0000800B0000}"/>
    <cellStyle name="Normal 10 2 5" xfId="2956" xr:uid="{00000000-0005-0000-0000-0000810B0000}"/>
    <cellStyle name="Normal 10 2 5 10" xfId="2957" xr:uid="{00000000-0005-0000-0000-0000820B0000}"/>
    <cellStyle name="Normal 10 2 5 10 2" xfId="2958" xr:uid="{00000000-0005-0000-0000-0000830B0000}"/>
    <cellStyle name="Normal 10 2 5 10 3" xfId="2959" xr:uid="{00000000-0005-0000-0000-0000840B0000}"/>
    <cellStyle name="Normal 10 2 5 11" xfId="2960" xr:uid="{00000000-0005-0000-0000-0000850B0000}"/>
    <cellStyle name="Normal 10 2 5 11 2" xfId="2961" xr:uid="{00000000-0005-0000-0000-0000860B0000}"/>
    <cellStyle name="Normal 10 2 5 11 3" xfId="2962" xr:uid="{00000000-0005-0000-0000-0000870B0000}"/>
    <cellStyle name="Normal 10 2 5 12" xfId="2963" xr:uid="{00000000-0005-0000-0000-0000880B0000}"/>
    <cellStyle name="Normal 10 2 5 13" xfId="2964" xr:uid="{00000000-0005-0000-0000-0000890B0000}"/>
    <cellStyle name="Normal 10 2 5 2" xfId="2965" xr:uid="{00000000-0005-0000-0000-00008A0B0000}"/>
    <cellStyle name="Normal 10 2 5 2 2" xfId="2966" xr:uid="{00000000-0005-0000-0000-00008B0B0000}"/>
    <cellStyle name="Normal 10 2 5 2 2 2" xfId="2967" xr:uid="{00000000-0005-0000-0000-00008C0B0000}"/>
    <cellStyle name="Normal 10 2 5 2 2 2 2" xfId="2968" xr:uid="{00000000-0005-0000-0000-00008D0B0000}"/>
    <cellStyle name="Normal 10 2 5 2 2 2 2 2" xfId="2969" xr:uid="{00000000-0005-0000-0000-00008E0B0000}"/>
    <cellStyle name="Normal 10 2 5 2 2 2 2 3" xfId="2970" xr:uid="{00000000-0005-0000-0000-00008F0B0000}"/>
    <cellStyle name="Normal 10 2 5 2 2 2 3" xfId="2971" xr:uid="{00000000-0005-0000-0000-0000900B0000}"/>
    <cellStyle name="Normal 10 2 5 2 2 2 3 2" xfId="2972" xr:uid="{00000000-0005-0000-0000-0000910B0000}"/>
    <cellStyle name="Normal 10 2 5 2 2 2 3 3" xfId="2973" xr:uid="{00000000-0005-0000-0000-0000920B0000}"/>
    <cellStyle name="Normal 10 2 5 2 2 2 4" xfId="2974" xr:uid="{00000000-0005-0000-0000-0000930B0000}"/>
    <cellStyle name="Normal 10 2 5 2 2 2 5" xfId="2975" xr:uid="{00000000-0005-0000-0000-0000940B0000}"/>
    <cellStyle name="Normal 10 2 5 2 2 3" xfId="2976" xr:uid="{00000000-0005-0000-0000-0000950B0000}"/>
    <cellStyle name="Normal 10 2 5 2 2 3 2" xfId="2977" xr:uid="{00000000-0005-0000-0000-0000960B0000}"/>
    <cellStyle name="Normal 10 2 5 2 2 3 2 2" xfId="2978" xr:uid="{00000000-0005-0000-0000-0000970B0000}"/>
    <cellStyle name="Normal 10 2 5 2 2 3 2 3" xfId="2979" xr:uid="{00000000-0005-0000-0000-0000980B0000}"/>
    <cellStyle name="Normal 10 2 5 2 2 3 3" xfId="2980" xr:uid="{00000000-0005-0000-0000-0000990B0000}"/>
    <cellStyle name="Normal 10 2 5 2 2 3 3 2" xfId="2981" xr:uid="{00000000-0005-0000-0000-00009A0B0000}"/>
    <cellStyle name="Normal 10 2 5 2 2 3 3 3" xfId="2982" xr:uid="{00000000-0005-0000-0000-00009B0B0000}"/>
    <cellStyle name="Normal 10 2 5 2 2 3 4" xfId="2983" xr:uid="{00000000-0005-0000-0000-00009C0B0000}"/>
    <cellStyle name="Normal 10 2 5 2 2 3 5" xfId="2984" xr:uid="{00000000-0005-0000-0000-00009D0B0000}"/>
    <cellStyle name="Normal 10 2 5 2 2 4" xfId="2985" xr:uid="{00000000-0005-0000-0000-00009E0B0000}"/>
    <cellStyle name="Normal 10 2 5 2 2 4 2" xfId="2986" xr:uid="{00000000-0005-0000-0000-00009F0B0000}"/>
    <cellStyle name="Normal 10 2 5 2 2 4 3" xfId="2987" xr:uid="{00000000-0005-0000-0000-0000A00B0000}"/>
    <cellStyle name="Normal 10 2 5 2 2 5" xfId="2988" xr:uid="{00000000-0005-0000-0000-0000A10B0000}"/>
    <cellStyle name="Normal 10 2 5 2 2 5 2" xfId="2989" xr:uid="{00000000-0005-0000-0000-0000A20B0000}"/>
    <cellStyle name="Normal 10 2 5 2 2 5 3" xfId="2990" xr:uid="{00000000-0005-0000-0000-0000A30B0000}"/>
    <cellStyle name="Normal 10 2 5 2 2 6" xfId="2991" xr:uid="{00000000-0005-0000-0000-0000A40B0000}"/>
    <cellStyle name="Normal 10 2 5 2 2 7" xfId="2992" xr:uid="{00000000-0005-0000-0000-0000A50B0000}"/>
    <cellStyle name="Normal 10 2 5 2 3" xfId="2993" xr:uid="{00000000-0005-0000-0000-0000A60B0000}"/>
    <cellStyle name="Normal 10 2 5 2 3 2" xfId="2994" xr:uid="{00000000-0005-0000-0000-0000A70B0000}"/>
    <cellStyle name="Normal 10 2 5 2 3 2 2" xfId="2995" xr:uid="{00000000-0005-0000-0000-0000A80B0000}"/>
    <cellStyle name="Normal 10 2 5 2 3 2 3" xfId="2996" xr:uid="{00000000-0005-0000-0000-0000A90B0000}"/>
    <cellStyle name="Normal 10 2 5 2 3 3" xfId="2997" xr:uid="{00000000-0005-0000-0000-0000AA0B0000}"/>
    <cellStyle name="Normal 10 2 5 2 3 3 2" xfId="2998" xr:uid="{00000000-0005-0000-0000-0000AB0B0000}"/>
    <cellStyle name="Normal 10 2 5 2 3 3 3" xfId="2999" xr:uid="{00000000-0005-0000-0000-0000AC0B0000}"/>
    <cellStyle name="Normal 10 2 5 2 3 4" xfId="3000" xr:uid="{00000000-0005-0000-0000-0000AD0B0000}"/>
    <cellStyle name="Normal 10 2 5 2 3 5" xfId="3001" xr:uid="{00000000-0005-0000-0000-0000AE0B0000}"/>
    <cellStyle name="Normal 10 2 5 2 4" xfId="3002" xr:uid="{00000000-0005-0000-0000-0000AF0B0000}"/>
    <cellStyle name="Normal 10 2 5 2 4 2" xfId="3003" xr:uid="{00000000-0005-0000-0000-0000B00B0000}"/>
    <cellStyle name="Normal 10 2 5 2 4 2 2" xfId="3004" xr:uid="{00000000-0005-0000-0000-0000B10B0000}"/>
    <cellStyle name="Normal 10 2 5 2 4 2 3" xfId="3005" xr:uid="{00000000-0005-0000-0000-0000B20B0000}"/>
    <cellStyle name="Normal 10 2 5 2 4 3" xfId="3006" xr:uid="{00000000-0005-0000-0000-0000B30B0000}"/>
    <cellStyle name="Normal 10 2 5 2 4 3 2" xfId="3007" xr:uid="{00000000-0005-0000-0000-0000B40B0000}"/>
    <cellStyle name="Normal 10 2 5 2 4 3 3" xfId="3008" xr:uid="{00000000-0005-0000-0000-0000B50B0000}"/>
    <cellStyle name="Normal 10 2 5 2 4 4" xfId="3009" xr:uid="{00000000-0005-0000-0000-0000B60B0000}"/>
    <cellStyle name="Normal 10 2 5 2 4 5" xfId="3010" xr:uid="{00000000-0005-0000-0000-0000B70B0000}"/>
    <cellStyle name="Normal 10 2 5 2 5" xfId="3011" xr:uid="{00000000-0005-0000-0000-0000B80B0000}"/>
    <cellStyle name="Normal 10 2 5 2 5 2" xfId="3012" xr:uid="{00000000-0005-0000-0000-0000B90B0000}"/>
    <cellStyle name="Normal 10 2 5 2 5 3" xfId="3013" xr:uid="{00000000-0005-0000-0000-0000BA0B0000}"/>
    <cellStyle name="Normal 10 2 5 2 6" xfId="3014" xr:uid="{00000000-0005-0000-0000-0000BB0B0000}"/>
    <cellStyle name="Normal 10 2 5 2 6 2" xfId="3015" xr:uid="{00000000-0005-0000-0000-0000BC0B0000}"/>
    <cellStyle name="Normal 10 2 5 2 6 3" xfId="3016" xr:uid="{00000000-0005-0000-0000-0000BD0B0000}"/>
    <cellStyle name="Normal 10 2 5 2 7" xfId="3017" xr:uid="{00000000-0005-0000-0000-0000BE0B0000}"/>
    <cellStyle name="Normal 10 2 5 2 7 2" xfId="3018" xr:uid="{00000000-0005-0000-0000-0000BF0B0000}"/>
    <cellStyle name="Normal 10 2 5 2 7 3" xfId="3019" xr:uid="{00000000-0005-0000-0000-0000C00B0000}"/>
    <cellStyle name="Normal 10 2 5 2 8" xfId="3020" xr:uid="{00000000-0005-0000-0000-0000C10B0000}"/>
    <cellStyle name="Normal 10 2 5 2 9" xfId="3021" xr:uid="{00000000-0005-0000-0000-0000C20B0000}"/>
    <cellStyle name="Normal 10 2 5 3" xfId="3022" xr:uid="{00000000-0005-0000-0000-0000C30B0000}"/>
    <cellStyle name="Normal 10 2 5 3 2" xfId="3023" xr:uid="{00000000-0005-0000-0000-0000C40B0000}"/>
    <cellStyle name="Normal 10 2 5 3 2 2" xfId="3024" xr:uid="{00000000-0005-0000-0000-0000C50B0000}"/>
    <cellStyle name="Normal 10 2 5 3 2 2 2" xfId="3025" xr:uid="{00000000-0005-0000-0000-0000C60B0000}"/>
    <cellStyle name="Normal 10 2 5 3 2 2 3" xfId="3026" xr:uid="{00000000-0005-0000-0000-0000C70B0000}"/>
    <cellStyle name="Normal 10 2 5 3 2 3" xfId="3027" xr:uid="{00000000-0005-0000-0000-0000C80B0000}"/>
    <cellStyle name="Normal 10 2 5 3 2 3 2" xfId="3028" xr:uid="{00000000-0005-0000-0000-0000C90B0000}"/>
    <cellStyle name="Normal 10 2 5 3 2 3 3" xfId="3029" xr:uid="{00000000-0005-0000-0000-0000CA0B0000}"/>
    <cellStyle name="Normal 10 2 5 3 2 4" xfId="3030" xr:uid="{00000000-0005-0000-0000-0000CB0B0000}"/>
    <cellStyle name="Normal 10 2 5 3 2 5" xfId="3031" xr:uid="{00000000-0005-0000-0000-0000CC0B0000}"/>
    <cellStyle name="Normal 10 2 5 3 3" xfId="3032" xr:uid="{00000000-0005-0000-0000-0000CD0B0000}"/>
    <cellStyle name="Normal 10 2 5 3 3 2" xfId="3033" xr:uid="{00000000-0005-0000-0000-0000CE0B0000}"/>
    <cellStyle name="Normal 10 2 5 3 3 2 2" xfId="3034" xr:uid="{00000000-0005-0000-0000-0000CF0B0000}"/>
    <cellStyle name="Normal 10 2 5 3 3 2 3" xfId="3035" xr:uid="{00000000-0005-0000-0000-0000D00B0000}"/>
    <cellStyle name="Normal 10 2 5 3 3 3" xfId="3036" xr:uid="{00000000-0005-0000-0000-0000D10B0000}"/>
    <cellStyle name="Normal 10 2 5 3 3 3 2" xfId="3037" xr:uid="{00000000-0005-0000-0000-0000D20B0000}"/>
    <cellStyle name="Normal 10 2 5 3 3 3 3" xfId="3038" xr:uid="{00000000-0005-0000-0000-0000D30B0000}"/>
    <cellStyle name="Normal 10 2 5 3 3 4" xfId="3039" xr:uid="{00000000-0005-0000-0000-0000D40B0000}"/>
    <cellStyle name="Normal 10 2 5 3 3 5" xfId="3040" xr:uid="{00000000-0005-0000-0000-0000D50B0000}"/>
    <cellStyle name="Normal 10 2 5 3 4" xfId="3041" xr:uid="{00000000-0005-0000-0000-0000D60B0000}"/>
    <cellStyle name="Normal 10 2 5 3 4 2" xfId="3042" xr:uid="{00000000-0005-0000-0000-0000D70B0000}"/>
    <cellStyle name="Normal 10 2 5 3 4 3" xfId="3043" xr:uid="{00000000-0005-0000-0000-0000D80B0000}"/>
    <cellStyle name="Normal 10 2 5 3 5" xfId="3044" xr:uid="{00000000-0005-0000-0000-0000D90B0000}"/>
    <cellStyle name="Normal 10 2 5 3 5 2" xfId="3045" xr:uid="{00000000-0005-0000-0000-0000DA0B0000}"/>
    <cellStyle name="Normal 10 2 5 3 5 3" xfId="3046" xr:uid="{00000000-0005-0000-0000-0000DB0B0000}"/>
    <cellStyle name="Normal 10 2 5 3 6" xfId="3047" xr:uid="{00000000-0005-0000-0000-0000DC0B0000}"/>
    <cellStyle name="Normal 10 2 5 3 7" xfId="3048" xr:uid="{00000000-0005-0000-0000-0000DD0B0000}"/>
    <cellStyle name="Normal 10 2 5 4" xfId="3049" xr:uid="{00000000-0005-0000-0000-0000DE0B0000}"/>
    <cellStyle name="Normal 10 2 5 4 2" xfId="3050" xr:uid="{00000000-0005-0000-0000-0000DF0B0000}"/>
    <cellStyle name="Normal 10 2 5 4 2 2" xfId="3051" xr:uid="{00000000-0005-0000-0000-0000E00B0000}"/>
    <cellStyle name="Normal 10 2 5 4 2 2 2" xfId="3052" xr:uid="{00000000-0005-0000-0000-0000E10B0000}"/>
    <cellStyle name="Normal 10 2 5 4 2 2 3" xfId="3053" xr:uid="{00000000-0005-0000-0000-0000E20B0000}"/>
    <cellStyle name="Normal 10 2 5 4 2 3" xfId="3054" xr:uid="{00000000-0005-0000-0000-0000E30B0000}"/>
    <cellStyle name="Normal 10 2 5 4 2 3 2" xfId="3055" xr:uid="{00000000-0005-0000-0000-0000E40B0000}"/>
    <cellStyle name="Normal 10 2 5 4 2 3 3" xfId="3056" xr:uid="{00000000-0005-0000-0000-0000E50B0000}"/>
    <cellStyle name="Normal 10 2 5 4 2 4" xfId="3057" xr:uid="{00000000-0005-0000-0000-0000E60B0000}"/>
    <cellStyle name="Normal 10 2 5 4 2 5" xfId="3058" xr:uid="{00000000-0005-0000-0000-0000E70B0000}"/>
    <cellStyle name="Normal 10 2 5 4 3" xfId="3059" xr:uid="{00000000-0005-0000-0000-0000E80B0000}"/>
    <cellStyle name="Normal 10 2 5 4 3 2" xfId="3060" xr:uid="{00000000-0005-0000-0000-0000E90B0000}"/>
    <cellStyle name="Normal 10 2 5 4 3 2 2" xfId="3061" xr:uid="{00000000-0005-0000-0000-0000EA0B0000}"/>
    <cellStyle name="Normal 10 2 5 4 3 2 3" xfId="3062" xr:uid="{00000000-0005-0000-0000-0000EB0B0000}"/>
    <cellStyle name="Normal 10 2 5 4 3 3" xfId="3063" xr:uid="{00000000-0005-0000-0000-0000EC0B0000}"/>
    <cellStyle name="Normal 10 2 5 4 3 4" xfId="3064" xr:uid="{00000000-0005-0000-0000-0000ED0B0000}"/>
    <cellStyle name="Normal 10 2 5 4 4" xfId="3065" xr:uid="{00000000-0005-0000-0000-0000EE0B0000}"/>
    <cellStyle name="Normal 10 2 5 4 4 2" xfId="3066" xr:uid="{00000000-0005-0000-0000-0000EF0B0000}"/>
    <cellStyle name="Normal 10 2 5 4 4 3" xfId="3067" xr:uid="{00000000-0005-0000-0000-0000F00B0000}"/>
    <cellStyle name="Normal 10 2 5 4 5" xfId="3068" xr:uid="{00000000-0005-0000-0000-0000F10B0000}"/>
    <cellStyle name="Normal 10 2 5 4 5 2" xfId="3069" xr:uid="{00000000-0005-0000-0000-0000F20B0000}"/>
    <cellStyle name="Normal 10 2 5 4 5 3" xfId="3070" xr:uid="{00000000-0005-0000-0000-0000F30B0000}"/>
    <cellStyle name="Normal 10 2 5 4 6" xfId="3071" xr:uid="{00000000-0005-0000-0000-0000F40B0000}"/>
    <cellStyle name="Normal 10 2 5 4 7" xfId="3072" xr:uid="{00000000-0005-0000-0000-0000F50B0000}"/>
    <cellStyle name="Normal 10 2 5 5" xfId="3073" xr:uid="{00000000-0005-0000-0000-0000F60B0000}"/>
    <cellStyle name="Normal 10 2 5 5 2" xfId="3074" xr:uid="{00000000-0005-0000-0000-0000F70B0000}"/>
    <cellStyle name="Normal 10 2 5 5 2 2" xfId="3075" xr:uid="{00000000-0005-0000-0000-0000F80B0000}"/>
    <cellStyle name="Normal 10 2 5 5 2 3" xfId="3076" xr:uid="{00000000-0005-0000-0000-0000F90B0000}"/>
    <cellStyle name="Normal 10 2 5 5 3" xfId="3077" xr:uid="{00000000-0005-0000-0000-0000FA0B0000}"/>
    <cellStyle name="Normal 10 2 5 5 3 2" xfId="3078" xr:uid="{00000000-0005-0000-0000-0000FB0B0000}"/>
    <cellStyle name="Normal 10 2 5 5 3 3" xfId="3079" xr:uid="{00000000-0005-0000-0000-0000FC0B0000}"/>
    <cellStyle name="Normal 10 2 5 5 4" xfId="3080" xr:uid="{00000000-0005-0000-0000-0000FD0B0000}"/>
    <cellStyle name="Normal 10 2 5 5 5" xfId="3081" xr:uid="{00000000-0005-0000-0000-0000FE0B0000}"/>
    <cellStyle name="Normal 10 2 5 6" xfId="3082" xr:uid="{00000000-0005-0000-0000-0000FF0B0000}"/>
    <cellStyle name="Normal 10 2 5 6 2" xfId="3083" xr:uid="{00000000-0005-0000-0000-0000000C0000}"/>
    <cellStyle name="Normal 10 2 5 6 2 2" xfId="3084" xr:uid="{00000000-0005-0000-0000-0000010C0000}"/>
    <cellStyle name="Normal 10 2 5 6 2 3" xfId="3085" xr:uid="{00000000-0005-0000-0000-0000020C0000}"/>
    <cellStyle name="Normal 10 2 5 6 3" xfId="3086" xr:uid="{00000000-0005-0000-0000-0000030C0000}"/>
    <cellStyle name="Normal 10 2 5 6 3 2" xfId="3087" xr:uid="{00000000-0005-0000-0000-0000040C0000}"/>
    <cellStyle name="Normal 10 2 5 6 3 3" xfId="3088" xr:uid="{00000000-0005-0000-0000-0000050C0000}"/>
    <cellStyle name="Normal 10 2 5 6 4" xfId="3089" xr:uid="{00000000-0005-0000-0000-0000060C0000}"/>
    <cellStyle name="Normal 10 2 5 6 5" xfId="3090" xr:uid="{00000000-0005-0000-0000-0000070C0000}"/>
    <cellStyle name="Normal 10 2 5 7" xfId="3091" xr:uid="{00000000-0005-0000-0000-0000080C0000}"/>
    <cellStyle name="Normal 10 2 5 7 2" xfId="3092" xr:uid="{00000000-0005-0000-0000-0000090C0000}"/>
    <cellStyle name="Normal 10 2 5 7 2 2" xfId="3093" xr:uid="{00000000-0005-0000-0000-00000A0C0000}"/>
    <cellStyle name="Normal 10 2 5 7 2 3" xfId="3094" xr:uid="{00000000-0005-0000-0000-00000B0C0000}"/>
    <cellStyle name="Normal 10 2 5 7 3" xfId="3095" xr:uid="{00000000-0005-0000-0000-00000C0C0000}"/>
    <cellStyle name="Normal 10 2 5 7 4" xfId="3096" xr:uid="{00000000-0005-0000-0000-00000D0C0000}"/>
    <cellStyle name="Normal 10 2 5 8" xfId="3097" xr:uid="{00000000-0005-0000-0000-00000E0C0000}"/>
    <cellStyle name="Normal 10 2 5 8 2" xfId="3098" xr:uid="{00000000-0005-0000-0000-00000F0C0000}"/>
    <cellStyle name="Normal 10 2 5 8 3" xfId="3099" xr:uid="{00000000-0005-0000-0000-0000100C0000}"/>
    <cellStyle name="Normal 10 2 5 9" xfId="3100" xr:uid="{00000000-0005-0000-0000-0000110C0000}"/>
    <cellStyle name="Normal 10 2 5 9 2" xfId="3101" xr:uid="{00000000-0005-0000-0000-0000120C0000}"/>
    <cellStyle name="Normal 10 2 5 9 3" xfId="3102" xr:uid="{00000000-0005-0000-0000-0000130C0000}"/>
    <cellStyle name="Normal 10 2 6" xfId="3103" xr:uid="{00000000-0005-0000-0000-0000140C0000}"/>
    <cellStyle name="Normal 10 2 6 10" xfId="3104" xr:uid="{00000000-0005-0000-0000-0000150C0000}"/>
    <cellStyle name="Normal 10 2 6 10 2" xfId="3105" xr:uid="{00000000-0005-0000-0000-0000160C0000}"/>
    <cellStyle name="Normal 10 2 6 10 3" xfId="3106" xr:uid="{00000000-0005-0000-0000-0000170C0000}"/>
    <cellStyle name="Normal 10 2 6 11" xfId="3107" xr:uid="{00000000-0005-0000-0000-0000180C0000}"/>
    <cellStyle name="Normal 10 2 6 11 2" xfId="3108" xr:uid="{00000000-0005-0000-0000-0000190C0000}"/>
    <cellStyle name="Normal 10 2 6 11 3" xfId="3109" xr:uid="{00000000-0005-0000-0000-00001A0C0000}"/>
    <cellStyle name="Normal 10 2 6 12" xfId="3110" xr:uid="{00000000-0005-0000-0000-00001B0C0000}"/>
    <cellStyle name="Normal 10 2 6 13" xfId="3111" xr:uid="{00000000-0005-0000-0000-00001C0C0000}"/>
    <cellStyle name="Normal 10 2 6 2" xfId="3112" xr:uid="{00000000-0005-0000-0000-00001D0C0000}"/>
    <cellStyle name="Normal 10 2 6 2 2" xfId="3113" xr:uid="{00000000-0005-0000-0000-00001E0C0000}"/>
    <cellStyle name="Normal 10 2 6 2 2 2" xfId="3114" xr:uid="{00000000-0005-0000-0000-00001F0C0000}"/>
    <cellStyle name="Normal 10 2 6 2 2 2 2" xfId="3115" xr:uid="{00000000-0005-0000-0000-0000200C0000}"/>
    <cellStyle name="Normal 10 2 6 2 2 2 2 2" xfId="3116" xr:uid="{00000000-0005-0000-0000-0000210C0000}"/>
    <cellStyle name="Normal 10 2 6 2 2 2 2 3" xfId="3117" xr:uid="{00000000-0005-0000-0000-0000220C0000}"/>
    <cellStyle name="Normal 10 2 6 2 2 2 3" xfId="3118" xr:uid="{00000000-0005-0000-0000-0000230C0000}"/>
    <cellStyle name="Normal 10 2 6 2 2 2 3 2" xfId="3119" xr:uid="{00000000-0005-0000-0000-0000240C0000}"/>
    <cellStyle name="Normal 10 2 6 2 2 2 3 3" xfId="3120" xr:uid="{00000000-0005-0000-0000-0000250C0000}"/>
    <cellStyle name="Normal 10 2 6 2 2 2 4" xfId="3121" xr:uid="{00000000-0005-0000-0000-0000260C0000}"/>
    <cellStyle name="Normal 10 2 6 2 2 2 5" xfId="3122" xr:uid="{00000000-0005-0000-0000-0000270C0000}"/>
    <cellStyle name="Normal 10 2 6 2 2 3" xfId="3123" xr:uid="{00000000-0005-0000-0000-0000280C0000}"/>
    <cellStyle name="Normal 10 2 6 2 2 3 2" xfId="3124" xr:uid="{00000000-0005-0000-0000-0000290C0000}"/>
    <cellStyle name="Normal 10 2 6 2 2 3 2 2" xfId="3125" xr:uid="{00000000-0005-0000-0000-00002A0C0000}"/>
    <cellStyle name="Normal 10 2 6 2 2 3 2 3" xfId="3126" xr:uid="{00000000-0005-0000-0000-00002B0C0000}"/>
    <cellStyle name="Normal 10 2 6 2 2 3 3" xfId="3127" xr:uid="{00000000-0005-0000-0000-00002C0C0000}"/>
    <cellStyle name="Normal 10 2 6 2 2 3 3 2" xfId="3128" xr:uid="{00000000-0005-0000-0000-00002D0C0000}"/>
    <cellStyle name="Normal 10 2 6 2 2 3 3 3" xfId="3129" xr:uid="{00000000-0005-0000-0000-00002E0C0000}"/>
    <cellStyle name="Normal 10 2 6 2 2 3 4" xfId="3130" xr:uid="{00000000-0005-0000-0000-00002F0C0000}"/>
    <cellStyle name="Normal 10 2 6 2 2 3 5" xfId="3131" xr:uid="{00000000-0005-0000-0000-0000300C0000}"/>
    <cellStyle name="Normal 10 2 6 2 2 4" xfId="3132" xr:uid="{00000000-0005-0000-0000-0000310C0000}"/>
    <cellStyle name="Normal 10 2 6 2 2 4 2" xfId="3133" xr:uid="{00000000-0005-0000-0000-0000320C0000}"/>
    <cellStyle name="Normal 10 2 6 2 2 4 3" xfId="3134" xr:uid="{00000000-0005-0000-0000-0000330C0000}"/>
    <cellStyle name="Normal 10 2 6 2 2 5" xfId="3135" xr:uid="{00000000-0005-0000-0000-0000340C0000}"/>
    <cellStyle name="Normal 10 2 6 2 2 5 2" xfId="3136" xr:uid="{00000000-0005-0000-0000-0000350C0000}"/>
    <cellStyle name="Normal 10 2 6 2 2 5 3" xfId="3137" xr:uid="{00000000-0005-0000-0000-0000360C0000}"/>
    <cellStyle name="Normal 10 2 6 2 2 6" xfId="3138" xr:uid="{00000000-0005-0000-0000-0000370C0000}"/>
    <cellStyle name="Normal 10 2 6 2 2 7" xfId="3139" xr:uid="{00000000-0005-0000-0000-0000380C0000}"/>
    <cellStyle name="Normal 10 2 6 2 3" xfId="3140" xr:uid="{00000000-0005-0000-0000-0000390C0000}"/>
    <cellStyle name="Normal 10 2 6 2 3 2" xfId="3141" xr:uid="{00000000-0005-0000-0000-00003A0C0000}"/>
    <cellStyle name="Normal 10 2 6 2 3 2 2" xfId="3142" xr:uid="{00000000-0005-0000-0000-00003B0C0000}"/>
    <cellStyle name="Normal 10 2 6 2 3 2 3" xfId="3143" xr:uid="{00000000-0005-0000-0000-00003C0C0000}"/>
    <cellStyle name="Normal 10 2 6 2 3 3" xfId="3144" xr:uid="{00000000-0005-0000-0000-00003D0C0000}"/>
    <cellStyle name="Normal 10 2 6 2 3 3 2" xfId="3145" xr:uid="{00000000-0005-0000-0000-00003E0C0000}"/>
    <cellStyle name="Normal 10 2 6 2 3 3 3" xfId="3146" xr:uid="{00000000-0005-0000-0000-00003F0C0000}"/>
    <cellStyle name="Normal 10 2 6 2 3 4" xfId="3147" xr:uid="{00000000-0005-0000-0000-0000400C0000}"/>
    <cellStyle name="Normal 10 2 6 2 3 5" xfId="3148" xr:uid="{00000000-0005-0000-0000-0000410C0000}"/>
    <cellStyle name="Normal 10 2 6 2 4" xfId="3149" xr:uid="{00000000-0005-0000-0000-0000420C0000}"/>
    <cellStyle name="Normal 10 2 6 2 4 2" xfId="3150" xr:uid="{00000000-0005-0000-0000-0000430C0000}"/>
    <cellStyle name="Normal 10 2 6 2 4 2 2" xfId="3151" xr:uid="{00000000-0005-0000-0000-0000440C0000}"/>
    <cellStyle name="Normal 10 2 6 2 4 2 3" xfId="3152" xr:uid="{00000000-0005-0000-0000-0000450C0000}"/>
    <cellStyle name="Normal 10 2 6 2 4 3" xfId="3153" xr:uid="{00000000-0005-0000-0000-0000460C0000}"/>
    <cellStyle name="Normal 10 2 6 2 4 3 2" xfId="3154" xr:uid="{00000000-0005-0000-0000-0000470C0000}"/>
    <cellStyle name="Normal 10 2 6 2 4 3 3" xfId="3155" xr:uid="{00000000-0005-0000-0000-0000480C0000}"/>
    <cellStyle name="Normal 10 2 6 2 4 4" xfId="3156" xr:uid="{00000000-0005-0000-0000-0000490C0000}"/>
    <cellStyle name="Normal 10 2 6 2 4 5" xfId="3157" xr:uid="{00000000-0005-0000-0000-00004A0C0000}"/>
    <cellStyle name="Normal 10 2 6 2 5" xfId="3158" xr:uid="{00000000-0005-0000-0000-00004B0C0000}"/>
    <cellStyle name="Normal 10 2 6 2 5 2" xfId="3159" xr:uid="{00000000-0005-0000-0000-00004C0C0000}"/>
    <cellStyle name="Normal 10 2 6 2 5 3" xfId="3160" xr:uid="{00000000-0005-0000-0000-00004D0C0000}"/>
    <cellStyle name="Normal 10 2 6 2 6" xfId="3161" xr:uid="{00000000-0005-0000-0000-00004E0C0000}"/>
    <cellStyle name="Normal 10 2 6 2 6 2" xfId="3162" xr:uid="{00000000-0005-0000-0000-00004F0C0000}"/>
    <cellStyle name="Normal 10 2 6 2 6 3" xfId="3163" xr:uid="{00000000-0005-0000-0000-0000500C0000}"/>
    <cellStyle name="Normal 10 2 6 2 7" xfId="3164" xr:uid="{00000000-0005-0000-0000-0000510C0000}"/>
    <cellStyle name="Normal 10 2 6 2 7 2" xfId="3165" xr:uid="{00000000-0005-0000-0000-0000520C0000}"/>
    <cellStyle name="Normal 10 2 6 2 7 3" xfId="3166" xr:uid="{00000000-0005-0000-0000-0000530C0000}"/>
    <cellStyle name="Normal 10 2 6 2 8" xfId="3167" xr:uid="{00000000-0005-0000-0000-0000540C0000}"/>
    <cellStyle name="Normal 10 2 6 2 9" xfId="3168" xr:uid="{00000000-0005-0000-0000-0000550C0000}"/>
    <cellStyle name="Normal 10 2 6 3" xfId="3169" xr:uid="{00000000-0005-0000-0000-0000560C0000}"/>
    <cellStyle name="Normal 10 2 6 3 2" xfId="3170" xr:uid="{00000000-0005-0000-0000-0000570C0000}"/>
    <cellStyle name="Normal 10 2 6 3 2 2" xfId="3171" xr:uid="{00000000-0005-0000-0000-0000580C0000}"/>
    <cellStyle name="Normal 10 2 6 3 2 2 2" xfId="3172" xr:uid="{00000000-0005-0000-0000-0000590C0000}"/>
    <cellStyle name="Normal 10 2 6 3 2 2 3" xfId="3173" xr:uid="{00000000-0005-0000-0000-00005A0C0000}"/>
    <cellStyle name="Normal 10 2 6 3 2 3" xfId="3174" xr:uid="{00000000-0005-0000-0000-00005B0C0000}"/>
    <cellStyle name="Normal 10 2 6 3 2 3 2" xfId="3175" xr:uid="{00000000-0005-0000-0000-00005C0C0000}"/>
    <cellStyle name="Normal 10 2 6 3 2 3 3" xfId="3176" xr:uid="{00000000-0005-0000-0000-00005D0C0000}"/>
    <cellStyle name="Normal 10 2 6 3 2 4" xfId="3177" xr:uid="{00000000-0005-0000-0000-00005E0C0000}"/>
    <cellStyle name="Normal 10 2 6 3 2 5" xfId="3178" xr:uid="{00000000-0005-0000-0000-00005F0C0000}"/>
    <cellStyle name="Normal 10 2 6 3 3" xfId="3179" xr:uid="{00000000-0005-0000-0000-0000600C0000}"/>
    <cellStyle name="Normal 10 2 6 3 3 2" xfId="3180" xr:uid="{00000000-0005-0000-0000-0000610C0000}"/>
    <cellStyle name="Normal 10 2 6 3 3 2 2" xfId="3181" xr:uid="{00000000-0005-0000-0000-0000620C0000}"/>
    <cellStyle name="Normal 10 2 6 3 3 2 3" xfId="3182" xr:uid="{00000000-0005-0000-0000-0000630C0000}"/>
    <cellStyle name="Normal 10 2 6 3 3 3" xfId="3183" xr:uid="{00000000-0005-0000-0000-0000640C0000}"/>
    <cellStyle name="Normal 10 2 6 3 3 3 2" xfId="3184" xr:uid="{00000000-0005-0000-0000-0000650C0000}"/>
    <cellStyle name="Normal 10 2 6 3 3 3 3" xfId="3185" xr:uid="{00000000-0005-0000-0000-0000660C0000}"/>
    <cellStyle name="Normal 10 2 6 3 3 4" xfId="3186" xr:uid="{00000000-0005-0000-0000-0000670C0000}"/>
    <cellStyle name="Normal 10 2 6 3 3 5" xfId="3187" xr:uid="{00000000-0005-0000-0000-0000680C0000}"/>
    <cellStyle name="Normal 10 2 6 3 4" xfId="3188" xr:uid="{00000000-0005-0000-0000-0000690C0000}"/>
    <cellStyle name="Normal 10 2 6 3 4 2" xfId="3189" xr:uid="{00000000-0005-0000-0000-00006A0C0000}"/>
    <cellStyle name="Normal 10 2 6 3 4 3" xfId="3190" xr:uid="{00000000-0005-0000-0000-00006B0C0000}"/>
    <cellStyle name="Normal 10 2 6 3 5" xfId="3191" xr:uid="{00000000-0005-0000-0000-00006C0C0000}"/>
    <cellStyle name="Normal 10 2 6 3 5 2" xfId="3192" xr:uid="{00000000-0005-0000-0000-00006D0C0000}"/>
    <cellStyle name="Normal 10 2 6 3 5 3" xfId="3193" xr:uid="{00000000-0005-0000-0000-00006E0C0000}"/>
    <cellStyle name="Normal 10 2 6 3 6" xfId="3194" xr:uid="{00000000-0005-0000-0000-00006F0C0000}"/>
    <cellStyle name="Normal 10 2 6 3 7" xfId="3195" xr:uid="{00000000-0005-0000-0000-0000700C0000}"/>
    <cellStyle name="Normal 10 2 6 4" xfId="3196" xr:uid="{00000000-0005-0000-0000-0000710C0000}"/>
    <cellStyle name="Normal 10 2 6 4 2" xfId="3197" xr:uid="{00000000-0005-0000-0000-0000720C0000}"/>
    <cellStyle name="Normal 10 2 6 4 2 2" xfId="3198" xr:uid="{00000000-0005-0000-0000-0000730C0000}"/>
    <cellStyle name="Normal 10 2 6 4 2 2 2" xfId="3199" xr:uid="{00000000-0005-0000-0000-0000740C0000}"/>
    <cellStyle name="Normal 10 2 6 4 2 2 3" xfId="3200" xr:uid="{00000000-0005-0000-0000-0000750C0000}"/>
    <cellStyle name="Normal 10 2 6 4 2 3" xfId="3201" xr:uid="{00000000-0005-0000-0000-0000760C0000}"/>
    <cellStyle name="Normal 10 2 6 4 2 3 2" xfId="3202" xr:uid="{00000000-0005-0000-0000-0000770C0000}"/>
    <cellStyle name="Normal 10 2 6 4 2 3 3" xfId="3203" xr:uid="{00000000-0005-0000-0000-0000780C0000}"/>
    <cellStyle name="Normal 10 2 6 4 2 4" xfId="3204" xr:uid="{00000000-0005-0000-0000-0000790C0000}"/>
    <cellStyle name="Normal 10 2 6 4 2 5" xfId="3205" xr:uid="{00000000-0005-0000-0000-00007A0C0000}"/>
    <cellStyle name="Normal 10 2 6 4 3" xfId="3206" xr:uid="{00000000-0005-0000-0000-00007B0C0000}"/>
    <cellStyle name="Normal 10 2 6 4 3 2" xfId="3207" xr:uid="{00000000-0005-0000-0000-00007C0C0000}"/>
    <cellStyle name="Normal 10 2 6 4 3 2 2" xfId="3208" xr:uid="{00000000-0005-0000-0000-00007D0C0000}"/>
    <cellStyle name="Normal 10 2 6 4 3 2 3" xfId="3209" xr:uid="{00000000-0005-0000-0000-00007E0C0000}"/>
    <cellStyle name="Normal 10 2 6 4 3 3" xfId="3210" xr:uid="{00000000-0005-0000-0000-00007F0C0000}"/>
    <cellStyle name="Normal 10 2 6 4 3 4" xfId="3211" xr:uid="{00000000-0005-0000-0000-0000800C0000}"/>
    <cellStyle name="Normal 10 2 6 4 4" xfId="3212" xr:uid="{00000000-0005-0000-0000-0000810C0000}"/>
    <cellStyle name="Normal 10 2 6 4 4 2" xfId="3213" xr:uid="{00000000-0005-0000-0000-0000820C0000}"/>
    <cellStyle name="Normal 10 2 6 4 4 3" xfId="3214" xr:uid="{00000000-0005-0000-0000-0000830C0000}"/>
    <cellStyle name="Normal 10 2 6 4 5" xfId="3215" xr:uid="{00000000-0005-0000-0000-0000840C0000}"/>
    <cellStyle name="Normal 10 2 6 4 5 2" xfId="3216" xr:uid="{00000000-0005-0000-0000-0000850C0000}"/>
    <cellStyle name="Normal 10 2 6 4 5 3" xfId="3217" xr:uid="{00000000-0005-0000-0000-0000860C0000}"/>
    <cellStyle name="Normal 10 2 6 4 6" xfId="3218" xr:uid="{00000000-0005-0000-0000-0000870C0000}"/>
    <cellStyle name="Normal 10 2 6 4 7" xfId="3219" xr:uid="{00000000-0005-0000-0000-0000880C0000}"/>
    <cellStyle name="Normal 10 2 6 5" xfId="3220" xr:uid="{00000000-0005-0000-0000-0000890C0000}"/>
    <cellStyle name="Normal 10 2 6 5 2" xfId="3221" xr:uid="{00000000-0005-0000-0000-00008A0C0000}"/>
    <cellStyle name="Normal 10 2 6 5 2 2" xfId="3222" xr:uid="{00000000-0005-0000-0000-00008B0C0000}"/>
    <cellStyle name="Normal 10 2 6 5 2 3" xfId="3223" xr:uid="{00000000-0005-0000-0000-00008C0C0000}"/>
    <cellStyle name="Normal 10 2 6 5 3" xfId="3224" xr:uid="{00000000-0005-0000-0000-00008D0C0000}"/>
    <cellStyle name="Normal 10 2 6 5 3 2" xfId="3225" xr:uid="{00000000-0005-0000-0000-00008E0C0000}"/>
    <cellStyle name="Normal 10 2 6 5 3 3" xfId="3226" xr:uid="{00000000-0005-0000-0000-00008F0C0000}"/>
    <cellStyle name="Normal 10 2 6 5 4" xfId="3227" xr:uid="{00000000-0005-0000-0000-0000900C0000}"/>
    <cellStyle name="Normal 10 2 6 5 5" xfId="3228" xr:uid="{00000000-0005-0000-0000-0000910C0000}"/>
    <cellStyle name="Normal 10 2 6 6" xfId="3229" xr:uid="{00000000-0005-0000-0000-0000920C0000}"/>
    <cellStyle name="Normal 10 2 6 6 2" xfId="3230" xr:uid="{00000000-0005-0000-0000-0000930C0000}"/>
    <cellStyle name="Normal 10 2 6 6 2 2" xfId="3231" xr:uid="{00000000-0005-0000-0000-0000940C0000}"/>
    <cellStyle name="Normal 10 2 6 6 2 3" xfId="3232" xr:uid="{00000000-0005-0000-0000-0000950C0000}"/>
    <cellStyle name="Normal 10 2 6 6 3" xfId="3233" xr:uid="{00000000-0005-0000-0000-0000960C0000}"/>
    <cellStyle name="Normal 10 2 6 6 3 2" xfId="3234" xr:uid="{00000000-0005-0000-0000-0000970C0000}"/>
    <cellStyle name="Normal 10 2 6 6 3 3" xfId="3235" xr:uid="{00000000-0005-0000-0000-0000980C0000}"/>
    <cellStyle name="Normal 10 2 6 6 4" xfId="3236" xr:uid="{00000000-0005-0000-0000-0000990C0000}"/>
    <cellStyle name="Normal 10 2 6 6 5" xfId="3237" xr:uid="{00000000-0005-0000-0000-00009A0C0000}"/>
    <cellStyle name="Normal 10 2 6 7" xfId="3238" xr:uid="{00000000-0005-0000-0000-00009B0C0000}"/>
    <cellStyle name="Normal 10 2 6 7 2" xfId="3239" xr:uid="{00000000-0005-0000-0000-00009C0C0000}"/>
    <cellStyle name="Normal 10 2 6 7 2 2" xfId="3240" xr:uid="{00000000-0005-0000-0000-00009D0C0000}"/>
    <cellStyle name="Normal 10 2 6 7 2 3" xfId="3241" xr:uid="{00000000-0005-0000-0000-00009E0C0000}"/>
    <cellStyle name="Normal 10 2 6 7 3" xfId="3242" xr:uid="{00000000-0005-0000-0000-00009F0C0000}"/>
    <cellStyle name="Normal 10 2 6 7 4" xfId="3243" xr:uid="{00000000-0005-0000-0000-0000A00C0000}"/>
    <cellStyle name="Normal 10 2 6 8" xfId="3244" xr:uid="{00000000-0005-0000-0000-0000A10C0000}"/>
    <cellStyle name="Normal 10 2 6 8 2" xfId="3245" xr:uid="{00000000-0005-0000-0000-0000A20C0000}"/>
    <cellStyle name="Normal 10 2 6 8 3" xfId="3246" xr:uid="{00000000-0005-0000-0000-0000A30C0000}"/>
    <cellStyle name="Normal 10 2 6 9" xfId="3247" xr:uid="{00000000-0005-0000-0000-0000A40C0000}"/>
    <cellStyle name="Normal 10 2 6 9 2" xfId="3248" xr:uid="{00000000-0005-0000-0000-0000A50C0000}"/>
    <cellStyle name="Normal 10 2 6 9 3" xfId="3249" xr:uid="{00000000-0005-0000-0000-0000A60C0000}"/>
    <cellStyle name="Normal 10 2 7" xfId="3250" xr:uid="{00000000-0005-0000-0000-0000A70C0000}"/>
    <cellStyle name="Normal 10 2 7 2" xfId="3251" xr:uid="{00000000-0005-0000-0000-0000A80C0000}"/>
    <cellStyle name="Normal 10 2 7 2 2" xfId="3252" xr:uid="{00000000-0005-0000-0000-0000A90C0000}"/>
    <cellStyle name="Normal 10 2 7 2 2 2" xfId="3253" xr:uid="{00000000-0005-0000-0000-0000AA0C0000}"/>
    <cellStyle name="Normal 10 2 7 2 2 2 2" xfId="3254" xr:uid="{00000000-0005-0000-0000-0000AB0C0000}"/>
    <cellStyle name="Normal 10 2 7 2 2 2 3" xfId="3255" xr:uid="{00000000-0005-0000-0000-0000AC0C0000}"/>
    <cellStyle name="Normal 10 2 7 2 2 3" xfId="3256" xr:uid="{00000000-0005-0000-0000-0000AD0C0000}"/>
    <cellStyle name="Normal 10 2 7 2 2 3 2" xfId="3257" xr:uid="{00000000-0005-0000-0000-0000AE0C0000}"/>
    <cellStyle name="Normal 10 2 7 2 2 3 3" xfId="3258" xr:uid="{00000000-0005-0000-0000-0000AF0C0000}"/>
    <cellStyle name="Normal 10 2 7 2 2 4" xfId="3259" xr:uid="{00000000-0005-0000-0000-0000B00C0000}"/>
    <cellStyle name="Normal 10 2 7 2 2 5" xfId="3260" xr:uid="{00000000-0005-0000-0000-0000B10C0000}"/>
    <cellStyle name="Normal 10 2 7 2 3" xfId="3261" xr:uid="{00000000-0005-0000-0000-0000B20C0000}"/>
    <cellStyle name="Normal 10 2 7 2 3 2" xfId="3262" xr:uid="{00000000-0005-0000-0000-0000B30C0000}"/>
    <cellStyle name="Normal 10 2 7 2 3 2 2" xfId="3263" xr:uid="{00000000-0005-0000-0000-0000B40C0000}"/>
    <cellStyle name="Normal 10 2 7 2 3 2 3" xfId="3264" xr:uid="{00000000-0005-0000-0000-0000B50C0000}"/>
    <cellStyle name="Normal 10 2 7 2 3 3" xfId="3265" xr:uid="{00000000-0005-0000-0000-0000B60C0000}"/>
    <cellStyle name="Normal 10 2 7 2 3 3 2" xfId="3266" xr:uid="{00000000-0005-0000-0000-0000B70C0000}"/>
    <cellStyle name="Normal 10 2 7 2 3 3 3" xfId="3267" xr:uid="{00000000-0005-0000-0000-0000B80C0000}"/>
    <cellStyle name="Normal 10 2 7 2 3 4" xfId="3268" xr:uid="{00000000-0005-0000-0000-0000B90C0000}"/>
    <cellStyle name="Normal 10 2 7 2 3 5" xfId="3269" xr:uid="{00000000-0005-0000-0000-0000BA0C0000}"/>
    <cellStyle name="Normal 10 2 7 2 4" xfId="3270" xr:uid="{00000000-0005-0000-0000-0000BB0C0000}"/>
    <cellStyle name="Normal 10 2 7 2 4 2" xfId="3271" xr:uid="{00000000-0005-0000-0000-0000BC0C0000}"/>
    <cellStyle name="Normal 10 2 7 2 4 3" xfId="3272" xr:uid="{00000000-0005-0000-0000-0000BD0C0000}"/>
    <cellStyle name="Normal 10 2 7 2 5" xfId="3273" xr:uid="{00000000-0005-0000-0000-0000BE0C0000}"/>
    <cellStyle name="Normal 10 2 7 2 5 2" xfId="3274" xr:uid="{00000000-0005-0000-0000-0000BF0C0000}"/>
    <cellStyle name="Normal 10 2 7 2 5 3" xfId="3275" xr:uid="{00000000-0005-0000-0000-0000C00C0000}"/>
    <cellStyle name="Normal 10 2 7 2 6" xfId="3276" xr:uid="{00000000-0005-0000-0000-0000C10C0000}"/>
    <cellStyle name="Normal 10 2 7 2 7" xfId="3277" xr:uid="{00000000-0005-0000-0000-0000C20C0000}"/>
    <cellStyle name="Normal 10 2 7 3" xfId="3278" xr:uid="{00000000-0005-0000-0000-0000C30C0000}"/>
    <cellStyle name="Normal 10 2 7 3 2" xfId="3279" xr:uid="{00000000-0005-0000-0000-0000C40C0000}"/>
    <cellStyle name="Normal 10 2 7 3 2 2" xfId="3280" xr:uid="{00000000-0005-0000-0000-0000C50C0000}"/>
    <cellStyle name="Normal 10 2 7 3 2 3" xfId="3281" xr:uid="{00000000-0005-0000-0000-0000C60C0000}"/>
    <cellStyle name="Normal 10 2 7 3 3" xfId="3282" xr:uid="{00000000-0005-0000-0000-0000C70C0000}"/>
    <cellStyle name="Normal 10 2 7 3 3 2" xfId="3283" xr:uid="{00000000-0005-0000-0000-0000C80C0000}"/>
    <cellStyle name="Normal 10 2 7 3 3 3" xfId="3284" xr:uid="{00000000-0005-0000-0000-0000C90C0000}"/>
    <cellStyle name="Normal 10 2 7 3 4" xfId="3285" xr:uid="{00000000-0005-0000-0000-0000CA0C0000}"/>
    <cellStyle name="Normal 10 2 7 3 5" xfId="3286" xr:uid="{00000000-0005-0000-0000-0000CB0C0000}"/>
    <cellStyle name="Normal 10 2 7 4" xfId="3287" xr:uid="{00000000-0005-0000-0000-0000CC0C0000}"/>
    <cellStyle name="Normal 10 2 7 4 2" xfId="3288" xr:uid="{00000000-0005-0000-0000-0000CD0C0000}"/>
    <cellStyle name="Normal 10 2 7 4 2 2" xfId="3289" xr:uid="{00000000-0005-0000-0000-0000CE0C0000}"/>
    <cellStyle name="Normal 10 2 7 4 2 3" xfId="3290" xr:uid="{00000000-0005-0000-0000-0000CF0C0000}"/>
    <cellStyle name="Normal 10 2 7 4 3" xfId="3291" xr:uid="{00000000-0005-0000-0000-0000D00C0000}"/>
    <cellStyle name="Normal 10 2 7 4 3 2" xfId="3292" xr:uid="{00000000-0005-0000-0000-0000D10C0000}"/>
    <cellStyle name="Normal 10 2 7 4 3 3" xfId="3293" xr:uid="{00000000-0005-0000-0000-0000D20C0000}"/>
    <cellStyle name="Normal 10 2 7 4 4" xfId="3294" xr:uid="{00000000-0005-0000-0000-0000D30C0000}"/>
    <cellStyle name="Normal 10 2 7 4 5" xfId="3295" xr:uid="{00000000-0005-0000-0000-0000D40C0000}"/>
    <cellStyle name="Normal 10 2 7 5" xfId="3296" xr:uid="{00000000-0005-0000-0000-0000D50C0000}"/>
    <cellStyle name="Normal 10 2 7 5 2" xfId="3297" xr:uid="{00000000-0005-0000-0000-0000D60C0000}"/>
    <cellStyle name="Normal 10 2 7 5 3" xfId="3298" xr:uid="{00000000-0005-0000-0000-0000D70C0000}"/>
    <cellStyle name="Normal 10 2 7 6" xfId="3299" xr:uid="{00000000-0005-0000-0000-0000D80C0000}"/>
    <cellStyle name="Normal 10 2 7 6 2" xfId="3300" xr:uid="{00000000-0005-0000-0000-0000D90C0000}"/>
    <cellStyle name="Normal 10 2 7 6 3" xfId="3301" xr:uid="{00000000-0005-0000-0000-0000DA0C0000}"/>
    <cellStyle name="Normal 10 2 7 7" xfId="3302" xr:uid="{00000000-0005-0000-0000-0000DB0C0000}"/>
    <cellStyle name="Normal 10 2 7 7 2" xfId="3303" xr:uid="{00000000-0005-0000-0000-0000DC0C0000}"/>
    <cellStyle name="Normal 10 2 7 7 3" xfId="3304" xr:uid="{00000000-0005-0000-0000-0000DD0C0000}"/>
    <cellStyle name="Normal 10 2 7 8" xfId="3305" xr:uid="{00000000-0005-0000-0000-0000DE0C0000}"/>
    <cellStyle name="Normal 10 2 7 9" xfId="3306" xr:uid="{00000000-0005-0000-0000-0000DF0C0000}"/>
    <cellStyle name="Normal 10 2 8" xfId="3307" xr:uid="{00000000-0005-0000-0000-0000E00C0000}"/>
    <cellStyle name="Normal 10 2 8 2" xfId="3308" xr:uid="{00000000-0005-0000-0000-0000E10C0000}"/>
    <cellStyle name="Normal 10 2 8 2 2" xfId="3309" xr:uid="{00000000-0005-0000-0000-0000E20C0000}"/>
    <cellStyle name="Normal 10 2 8 2 2 2" xfId="3310" xr:uid="{00000000-0005-0000-0000-0000E30C0000}"/>
    <cellStyle name="Normal 10 2 8 2 2 3" xfId="3311" xr:uid="{00000000-0005-0000-0000-0000E40C0000}"/>
    <cellStyle name="Normal 10 2 8 2 3" xfId="3312" xr:uid="{00000000-0005-0000-0000-0000E50C0000}"/>
    <cellStyle name="Normal 10 2 8 2 3 2" xfId="3313" xr:uid="{00000000-0005-0000-0000-0000E60C0000}"/>
    <cellStyle name="Normal 10 2 8 2 3 3" xfId="3314" xr:uid="{00000000-0005-0000-0000-0000E70C0000}"/>
    <cellStyle name="Normal 10 2 8 2 4" xfId="3315" xr:uid="{00000000-0005-0000-0000-0000E80C0000}"/>
    <cellStyle name="Normal 10 2 8 2 5" xfId="3316" xr:uid="{00000000-0005-0000-0000-0000E90C0000}"/>
    <cellStyle name="Normal 10 2 8 3" xfId="3317" xr:uid="{00000000-0005-0000-0000-0000EA0C0000}"/>
    <cellStyle name="Normal 10 2 8 3 2" xfId="3318" xr:uid="{00000000-0005-0000-0000-0000EB0C0000}"/>
    <cellStyle name="Normal 10 2 8 3 2 2" xfId="3319" xr:uid="{00000000-0005-0000-0000-0000EC0C0000}"/>
    <cellStyle name="Normal 10 2 8 3 2 3" xfId="3320" xr:uid="{00000000-0005-0000-0000-0000ED0C0000}"/>
    <cellStyle name="Normal 10 2 8 3 3" xfId="3321" xr:uid="{00000000-0005-0000-0000-0000EE0C0000}"/>
    <cellStyle name="Normal 10 2 8 3 3 2" xfId="3322" xr:uid="{00000000-0005-0000-0000-0000EF0C0000}"/>
    <cellStyle name="Normal 10 2 8 3 3 3" xfId="3323" xr:uid="{00000000-0005-0000-0000-0000F00C0000}"/>
    <cellStyle name="Normal 10 2 8 3 4" xfId="3324" xr:uid="{00000000-0005-0000-0000-0000F10C0000}"/>
    <cellStyle name="Normal 10 2 8 3 5" xfId="3325" xr:uid="{00000000-0005-0000-0000-0000F20C0000}"/>
    <cellStyle name="Normal 10 2 8 4" xfId="3326" xr:uid="{00000000-0005-0000-0000-0000F30C0000}"/>
    <cellStyle name="Normal 10 2 8 4 2" xfId="3327" xr:uid="{00000000-0005-0000-0000-0000F40C0000}"/>
    <cellStyle name="Normal 10 2 8 4 3" xfId="3328" xr:uid="{00000000-0005-0000-0000-0000F50C0000}"/>
    <cellStyle name="Normal 10 2 8 5" xfId="3329" xr:uid="{00000000-0005-0000-0000-0000F60C0000}"/>
    <cellStyle name="Normal 10 2 8 5 2" xfId="3330" xr:uid="{00000000-0005-0000-0000-0000F70C0000}"/>
    <cellStyle name="Normal 10 2 8 5 3" xfId="3331" xr:uid="{00000000-0005-0000-0000-0000F80C0000}"/>
    <cellStyle name="Normal 10 2 8 6" xfId="3332" xr:uid="{00000000-0005-0000-0000-0000F90C0000}"/>
    <cellStyle name="Normal 10 2 8 7" xfId="3333" xr:uid="{00000000-0005-0000-0000-0000FA0C0000}"/>
    <cellStyle name="Normal 10 2 9" xfId="3334" xr:uid="{00000000-0005-0000-0000-0000FB0C0000}"/>
    <cellStyle name="Normal 10 2 9 2" xfId="3335" xr:uid="{00000000-0005-0000-0000-0000FC0C0000}"/>
    <cellStyle name="Normal 10 2 9 2 2" xfId="3336" xr:uid="{00000000-0005-0000-0000-0000FD0C0000}"/>
    <cellStyle name="Normal 10 2 9 2 2 2" xfId="3337" xr:uid="{00000000-0005-0000-0000-0000FE0C0000}"/>
    <cellStyle name="Normal 10 2 9 2 2 3" xfId="3338" xr:uid="{00000000-0005-0000-0000-0000FF0C0000}"/>
    <cellStyle name="Normal 10 2 9 2 3" xfId="3339" xr:uid="{00000000-0005-0000-0000-0000000D0000}"/>
    <cellStyle name="Normal 10 2 9 2 3 2" xfId="3340" xr:uid="{00000000-0005-0000-0000-0000010D0000}"/>
    <cellStyle name="Normal 10 2 9 2 3 3" xfId="3341" xr:uid="{00000000-0005-0000-0000-0000020D0000}"/>
    <cellStyle name="Normal 10 2 9 2 4" xfId="3342" xr:uid="{00000000-0005-0000-0000-0000030D0000}"/>
    <cellStyle name="Normal 10 2 9 2 5" xfId="3343" xr:uid="{00000000-0005-0000-0000-0000040D0000}"/>
    <cellStyle name="Normal 10 2 9 3" xfId="3344" xr:uid="{00000000-0005-0000-0000-0000050D0000}"/>
    <cellStyle name="Normal 10 2 9 3 2" xfId="3345" xr:uid="{00000000-0005-0000-0000-0000060D0000}"/>
    <cellStyle name="Normal 10 2 9 3 2 2" xfId="3346" xr:uid="{00000000-0005-0000-0000-0000070D0000}"/>
    <cellStyle name="Normal 10 2 9 3 2 3" xfId="3347" xr:uid="{00000000-0005-0000-0000-0000080D0000}"/>
    <cellStyle name="Normal 10 2 9 3 3" xfId="3348" xr:uid="{00000000-0005-0000-0000-0000090D0000}"/>
    <cellStyle name="Normal 10 2 9 3 4" xfId="3349" xr:uid="{00000000-0005-0000-0000-00000A0D0000}"/>
    <cellStyle name="Normal 10 2 9 4" xfId="3350" xr:uid="{00000000-0005-0000-0000-00000B0D0000}"/>
    <cellStyle name="Normal 10 2 9 4 2" xfId="3351" xr:uid="{00000000-0005-0000-0000-00000C0D0000}"/>
    <cellStyle name="Normal 10 2 9 4 3" xfId="3352" xr:uid="{00000000-0005-0000-0000-00000D0D0000}"/>
    <cellStyle name="Normal 10 2 9 5" xfId="3353" xr:uid="{00000000-0005-0000-0000-00000E0D0000}"/>
    <cellStyle name="Normal 10 2 9 5 2" xfId="3354" xr:uid="{00000000-0005-0000-0000-00000F0D0000}"/>
    <cellStyle name="Normal 10 2 9 5 3" xfId="3355" xr:uid="{00000000-0005-0000-0000-0000100D0000}"/>
    <cellStyle name="Normal 10 2 9 6" xfId="3356" xr:uid="{00000000-0005-0000-0000-0000110D0000}"/>
    <cellStyle name="Normal 10 2 9 7" xfId="3357" xr:uid="{00000000-0005-0000-0000-0000120D0000}"/>
    <cellStyle name="Normal 10 3" xfId="3358" xr:uid="{00000000-0005-0000-0000-0000130D0000}"/>
    <cellStyle name="Normal 10 3 2" xfId="3359" xr:uid="{00000000-0005-0000-0000-0000140D0000}"/>
    <cellStyle name="Normal 10 3 2 2" xfId="3360" xr:uid="{00000000-0005-0000-0000-0000150D0000}"/>
    <cellStyle name="Normal 10 3 2 2 2" xfId="3361" xr:uid="{00000000-0005-0000-0000-0000160D0000}"/>
    <cellStyle name="Normal 10 3 2 3" xfId="3362" xr:uid="{00000000-0005-0000-0000-0000170D0000}"/>
    <cellStyle name="Normal 10 3 3" xfId="3363" xr:uid="{00000000-0005-0000-0000-0000180D0000}"/>
    <cellStyle name="Normal 10 3 3 2" xfId="3364" xr:uid="{00000000-0005-0000-0000-0000190D0000}"/>
    <cellStyle name="Normal 10 3 3 2 2" xfId="3365" xr:uid="{00000000-0005-0000-0000-00001A0D0000}"/>
    <cellStyle name="Normal 10 3 3 2 2 2" xfId="3366" xr:uid="{00000000-0005-0000-0000-00001B0D0000}"/>
    <cellStyle name="Normal 10 3 3 2 2 3" xfId="3367" xr:uid="{00000000-0005-0000-0000-00001C0D0000}"/>
    <cellStyle name="Normal 10 3 3 2 3" xfId="3368" xr:uid="{00000000-0005-0000-0000-00001D0D0000}"/>
    <cellStyle name="Normal 10 3 3 2 3 2" xfId="3369" xr:uid="{00000000-0005-0000-0000-00001E0D0000}"/>
    <cellStyle name="Normal 10 3 3 2 3 3" xfId="3370" xr:uid="{00000000-0005-0000-0000-00001F0D0000}"/>
    <cellStyle name="Normal 10 3 3 2 4" xfId="3371" xr:uid="{00000000-0005-0000-0000-0000200D0000}"/>
    <cellStyle name="Normal 10 3 3 2 5" xfId="3372" xr:uid="{00000000-0005-0000-0000-0000210D0000}"/>
    <cellStyle name="Normal 10 3 3 3" xfId="3373" xr:uid="{00000000-0005-0000-0000-0000220D0000}"/>
    <cellStyle name="Normal 10 3 3 3 2" xfId="3374" xr:uid="{00000000-0005-0000-0000-0000230D0000}"/>
    <cellStyle name="Normal 10 3 3 3 2 2" xfId="3375" xr:uid="{00000000-0005-0000-0000-0000240D0000}"/>
    <cellStyle name="Normal 10 3 3 3 2 3" xfId="3376" xr:uid="{00000000-0005-0000-0000-0000250D0000}"/>
    <cellStyle name="Normal 10 3 3 3 3" xfId="3377" xr:uid="{00000000-0005-0000-0000-0000260D0000}"/>
    <cellStyle name="Normal 10 3 3 3 3 2" xfId="3378" xr:uid="{00000000-0005-0000-0000-0000270D0000}"/>
    <cellStyle name="Normal 10 3 3 3 3 3" xfId="3379" xr:uid="{00000000-0005-0000-0000-0000280D0000}"/>
    <cellStyle name="Normal 10 3 3 3 4" xfId="3380" xr:uid="{00000000-0005-0000-0000-0000290D0000}"/>
    <cellStyle name="Normal 10 3 3 3 5" xfId="3381" xr:uid="{00000000-0005-0000-0000-00002A0D0000}"/>
    <cellStyle name="Normal 10 3 3 4" xfId="3382" xr:uid="{00000000-0005-0000-0000-00002B0D0000}"/>
    <cellStyle name="Normal 10 3 3 4 2" xfId="3383" xr:uid="{00000000-0005-0000-0000-00002C0D0000}"/>
    <cellStyle name="Normal 10 3 3 4 3" xfId="3384" xr:uid="{00000000-0005-0000-0000-00002D0D0000}"/>
    <cellStyle name="Normal 10 3 3 5" xfId="3385" xr:uid="{00000000-0005-0000-0000-00002E0D0000}"/>
    <cellStyle name="Normal 10 3 3 5 2" xfId="3386" xr:uid="{00000000-0005-0000-0000-00002F0D0000}"/>
    <cellStyle name="Normal 10 3 3 5 3" xfId="3387" xr:uid="{00000000-0005-0000-0000-0000300D0000}"/>
    <cellStyle name="Normal 10 3 3 6" xfId="3388" xr:uid="{00000000-0005-0000-0000-0000310D0000}"/>
    <cellStyle name="Normal 10 3 3 7" xfId="3389" xr:uid="{00000000-0005-0000-0000-0000320D0000}"/>
    <cellStyle name="Normal 10 3 4" xfId="3390" xr:uid="{00000000-0005-0000-0000-0000330D0000}"/>
    <cellStyle name="Normal 10 3 4 2" xfId="3391" xr:uid="{00000000-0005-0000-0000-0000340D0000}"/>
    <cellStyle name="Normal 10 3 4 2 2" xfId="3392" xr:uid="{00000000-0005-0000-0000-0000350D0000}"/>
    <cellStyle name="Normal 10 3 4 2 2 2" xfId="3393" xr:uid="{00000000-0005-0000-0000-0000360D0000}"/>
    <cellStyle name="Normal 10 3 4 2 2 3" xfId="3394" xr:uid="{00000000-0005-0000-0000-0000370D0000}"/>
    <cellStyle name="Normal 10 3 4 2 3" xfId="3395" xr:uid="{00000000-0005-0000-0000-0000380D0000}"/>
    <cellStyle name="Normal 10 3 4 2 3 2" xfId="3396" xr:uid="{00000000-0005-0000-0000-0000390D0000}"/>
    <cellStyle name="Normal 10 3 4 2 3 3" xfId="3397" xr:uid="{00000000-0005-0000-0000-00003A0D0000}"/>
    <cellStyle name="Normal 10 3 4 2 4" xfId="3398" xr:uid="{00000000-0005-0000-0000-00003B0D0000}"/>
    <cellStyle name="Normal 10 3 4 2 5" xfId="3399" xr:uid="{00000000-0005-0000-0000-00003C0D0000}"/>
    <cellStyle name="Normal 10 3 4 3" xfId="3400" xr:uid="{00000000-0005-0000-0000-00003D0D0000}"/>
    <cellStyle name="Normal 10 3 4 3 2" xfId="3401" xr:uid="{00000000-0005-0000-0000-00003E0D0000}"/>
    <cellStyle name="Normal 10 3 4 3 2 2" xfId="3402" xr:uid="{00000000-0005-0000-0000-00003F0D0000}"/>
    <cellStyle name="Normal 10 3 4 3 2 3" xfId="3403" xr:uid="{00000000-0005-0000-0000-0000400D0000}"/>
    <cellStyle name="Normal 10 3 4 3 3" xfId="3404" xr:uid="{00000000-0005-0000-0000-0000410D0000}"/>
    <cellStyle name="Normal 10 3 4 3 3 2" xfId="3405" xr:uid="{00000000-0005-0000-0000-0000420D0000}"/>
    <cellStyle name="Normal 10 3 4 3 3 3" xfId="3406" xr:uid="{00000000-0005-0000-0000-0000430D0000}"/>
    <cellStyle name="Normal 10 3 4 3 4" xfId="3407" xr:uid="{00000000-0005-0000-0000-0000440D0000}"/>
    <cellStyle name="Normal 10 3 4 3 5" xfId="3408" xr:uid="{00000000-0005-0000-0000-0000450D0000}"/>
    <cellStyle name="Normal 10 3 4 4" xfId="3409" xr:uid="{00000000-0005-0000-0000-0000460D0000}"/>
    <cellStyle name="Normal 10 3 4 4 2" xfId="3410" xr:uid="{00000000-0005-0000-0000-0000470D0000}"/>
    <cellStyle name="Normal 10 3 4 4 3" xfId="3411" xr:uid="{00000000-0005-0000-0000-0000480D0000}"/>
    <cellStyle name="Normal 10 3 4 5" xfId="3412" xr:uid="{00000000-0005-0000-0000-0000490D0000}"/>
    <cellStyle name="Normal 10 3 4 5 2" xfId="3413" xr:uid="{00000000-0005-0000-0000-00004A0D0000}"/>
    <cellStyle name="Normal 10 3 4 5 3" xfId="3414" xr:uid="{00000000-0005-0000-0000-00004B0D0000}"/>
    <cellStyle name="Normal 10 3 4 6" xfId="3415" xr:uid="{00000000-0005-0000-0000-00004C0D0000}"/>
    <cellStyle name="Normal 10 3 4 7" xfId="3416" xr:uid="{00000000-0005-0000-0000-00004D0D0000}"/>
    <cellStyle name="Normal 10 3 5" xfId="3417" xr:uid="{00000000-0005-0000-0000-00004E0D0000}"/>
    <cellStyle name="Normal 10 3 5 2" xfId="3418" xr:uid="{00000000-0005-0000-0000-00004F0D0000}"/>
    <cellStyle name="Normal 10 3 6" xfId="3419" xr:uid="{00000000-0005-0000-0000-0000500D0000}"/>
    <cellStyle name="Normal 10 4" xfId="3420" xr:uid="{00000000-0005-0000-0000-0000510D0000}"/>
    <cellStyle name="Normal 10 4 10" xfId="3421" xr:uid="{00000000-0005-0000-0000-0000520D0000}"/>
    <cellStyle name="Normal 10 4 10 2" xfId="3422" xr:uid="{00000000-0005-0000-0000-0000530D0000}"/>
    <cellStyle name="Normal 10 4 10 3" xfId="3423" xr:uid="{00000000-0005-0000-0000-0000540D0000}"/>
    <cellStyle name="Normal 10 4 11" xfId="3424" xr:uid="{00000000-0005-0000-0000-0000550D0000}"/>
    <cellStyle name="Normal 10 4 11 2" xfId="3425" xr:uid="{00000000-0005-0000-0000-0000560D0000}"/>
    <cellStyle name="Normal 10 4 11 3" xfId="3426" xr:uid="{00000000-0005-0000-0000-0000570D0000}"/>
    <cellStyle name="Normal 10 4 12" xfId="3427" xr:uid="{00000000-0005-0000-0000-0000580D0000}"/>
    <cellStyle name="Normal 10 4 12 2" xfId="3428" xr:uid="{00000000-0005-0000-0000-0000590D0000}"/>
    <cellStyle name="Normal 10 4 12 3" xfId="3429" xr:uid="{00000000-0005-0000-0000-00005A0D0000}"/>
    <cellStyle name="Normal 10 4 13" xfId="3430" xr:uid="{00000000-0005-0000-0000-00005B0D0000}"/>
    <cellStyle name="Normal 10 4 14" xfId="3431" xr:uid="{00000000-0005-0000-0000-00005C0D0000}"/>
    <cellStyle name="Normal 10 4 2" xfId="3432" xr:uid="{00000000-0005-0000-0000-00005D0D0000}"/>
    <cellStyle name="Normal 10 4 2 10" xfId="3433" xr:uid="{00000000-0005-0000-0000-00005E0D0000}"/>
    <cellStyle name="Normal 10 4 2 10 2" xfId="3434" xr:uid="{00000000-0005-0000-0000-00005F0D0000}"/>
    <cellStyle name="Normal 10 4 2 10 3" xfId="3435" xr:uid="{00000000-0005-0000-0000-0000600D0000}"/>
    <cellStyle name="Normal 10 4 2 11" xfId="3436" xr:uid="{00000000-0005-0000-0000-0000610D0000}"/>
    <cellStyle name="Normal 10 4 2 11 2" xfId="3437" xr:uid="{00000000-0005-0000-0000-0000620D0000}"/>
    <cellStyle name="Normal 10 4 2 11 3" xfId="3438" xr:uid="{00000000-0005-0000-0000-0000630D0000}"/>
    <cellStyle name="Normal 10 4 2 12" xfId="3439" xr:uid="{00000000-0005-0000-0000-0000640D0000}"/>
    <cellStyle name="Normal 10 4 2 13" xfId="3440" xr:uid="{00000000-0005-0000-0000-0000650D0000}"/>
    <cellStyle name="Normal 10 4 2 2" xfId="3441" xr:uid="{00000000-0005-0000-0000-0000660D0000}"/>
    <cellStyle name="Normal 10 4 2 2 2" xfId="3442" xr:uid="{00000000-0005-0000-0000-0000670D0000}"/>
    <cellStyle name="Normal 10 4 2 2 2 2" xfId="3443" xr:uid="{00000000-0005-0000-0000-0000680D0000}"/>
    <cellStyle name="Normal 10 4 2 2 2 2 2" xfId="3444" xr:uid="{00000000-0005-0000-0000-0000690D0000}"/>
    <cellStyle name="Normal 10 4 2 2 2 2 2 2" xfId="3445" xr:uid="{00000000-0005-0000-0000-00006A0D0000}"/>
    <cellStyle name="Normal 10 4 2 2 2 2 2 3" xfId="3446" xr:uid="{00000000-0005-0000-0000-00006B0D0000}"/>
    <cellStyle name="Normal 10 4 2 2 2 2 3" xfId="3447" xr:uid="{00000000-0005-0000-0000-00006C0D0000}"/>
    <cellStyle name="Normal 10 4 2 2 2 2 3 2" xfId="3448" xr:uid="{00000000-0005-0000-0000-00006D0D0000}"/>
    <cellStyle name="Normal 10 4 2 2 2 2 3 3" xfId="3449" xr:uid="{00000000-0005-0000-0000-00006E0D0000}"/>
    <cellStyle name="Normal 10 4 2 2 2 2 4" xfId="3450" xr:uid="{00000000-0005-0000-0000-00006F0D0000}"/>
    <cellStyle name="Normal 10 4 2 2 2 2 5" xfId="3451" xr:uid="{00000000-0005-0000-0000-0000700D0000}"/>
    <cellStyle name="Normal 10 4 2 2 2 3" xfId="3452" xr:uid="{00000000-0005-0000-0000-0000710D0000}"/>
    <cellStyle name="Normal 10 4 2 2 2 3 2" xfId="3453" xr:uid="{00000000-0005-0000-0000-0000720D0000}"/>
    <cellStyle name="Normal 10 4 2 2 2 3 2 2" xfId="3454" xr:uid="{00000000-0005-0000-0000-0000730D0000}"/>
    <cellStyle name="Normal 10 4 2 2 2 3 2 3" xfId="3455" xr:uid="{00000000-0005-0000-0000-0000740D0000}"/>
    <cellStyle name="Normal 10 4 2 2 2 3 3" xfId="3456" xr:uid="{00000000-0005-0000-0000-0000750D0000}"/>
    <cellStyle name="Normal 10 4 2 2 2 3 3 2" xfId="3457" xr:uid="{00000000-0005-0000-0000-0000760D0000}"/>
    <cellStyle name="Normal 10 4 2 2 2 3 3 3" xfId="3458" xr:uid="{00000000-0005-0000-0000-0000770D0000}"/>
    <cellStyle name="Normal 10 4 2 2 2 3 4" xfId="3459" xr:uid="{00000000-0005-0000-0000-0000780D0000}"/>
    <cellStyle name="Normal 10 4 2 2 2 3 5" xfId="3460" xr:uid="{00000000-0005-0000-0000-0000790D0000}"/>
    <cellStyle name="Normal 10 4 2 2 2 4" xfId="3461" xr:uid="{00000000-0005-0000-0000-00007A0D0000}"/>
    <cellStyle name="Normal 10 4 2 2 2 4 2" xfId="3462" xr:uid="{00000000-0005-0000-0000-00007B0D0000}"/>
    <cellStyle name="Normal 10 4 2 2 2 4 3" xfId="3463" xr:uid="{00000000-0005-0000-0000-00007C0D0000}"/>
    <cellStyle name="Normal 10 4 2 2 2 5" xfId="3464" xr:uid="{00000000-0005-0000-0000-00007D0D0000}"/>
    <cellStyle name="Normal 10 4 2 2 2 5 2" xfId="3465" xr:uid="{00000000-0005-0000-0000-00007E0D0000}"/>
    <cellStyle name="Normal 10 4 2 2 2 5 3" xfId="3466" xr:uid="{00000000-0005-0000-0000-00007F0D0000}"/>
    <cellStyle name="Normal 10 4 2 2 2 6" xfId="3467" xr:uid="{00000000-0005-0000-0000-0000800D0000}"/>
    <cellStyle name="Normal 10 4 2 2 2 7" xfId="3468" xr:uid="{00000000-0005-0000-0000-0000810D0000}"/>
    <cellStyle name="Normal 10 4 2 2 3" xfId="3469" xr:uid="{00000000-0005-0000-0000-0000820D0000}"/>
    <cellStyle name="Normal 10 4 2 2 3 2" xfId="3470" xr:uid="{00000000-0005-0000-0000-0000830D0000}"/>
    <cellStyle name="Normal 10 4 2 2 3 2 2" xfId="3471" xr:uid="{00000000-0005-0000-0000-0000840D0000}"/>
    <cellStyle name="Normal 10 4 2 2 3 2 3" xfId="3472" xr:uid="{00000000-0005-0000-0000-0000850D0000}"/>
    <cellStyle name="Normal 10 4 2 2 3 3" xfId="3473" xr:uid="{00000000-0005-0000-0000-0000860D0000}"/>
    <cellStyle name="Normal 10 4 2 2 3 3 2" xfId="3474" xr:uid="{00000000-0005-0000-0000-0000870D0000}"/>
    <cellStyle name="Normal 10 4 2 2 3 3 3" xfId="3475" xr:uid="{00000000-0005-0000-0000-0000880D0000}"/>
    <cellStyle name="Normal 10 4 2 2 3 4" xfId="3476" xr:uid="{00000000-0005-0000-0000-0000890D0000}"/>
    <cellStyle name="Normal 10 4 2 2 3 5" xfId="3477" xr:uid="{00000000-0005-0000-0000-00008A0D0000}"/>
    <cellStyle name="Normal 10 4 2 2 4" xfId="3478" xr:uid="{00000000-0005-0000-0000-00008B0D0000}"/>
    <cellStyle name="Normal 10 4 2 2 4 2" xfId="3479" xr:uid="{00000000-0005-0000-0000-00008C0D0000}"/>
    <cellStyle name="Normal 10 4 2 2 4 2 2" xfId="3480" xr:uid="{00000000-0005-0000-0000-00008D0D0000}"/>
    <cellStyle name="Normal 10 4 2 2 4 2 3" xfId="3481" xr:uid="{00000000-0005-0000-0000-00008E0D0000}"/>
    <cellStyle name="Normal 10 4 2 2 4 3" xfId="3482" xr:uid="{00000000-0005-0000-0000-00008F0D0000}"/>
    <cellStyle name="Normal 10 4 2 2 4 3 2" xfId="3483" xr:uid="{00000000-0005-0000-0000-0000900D0000}"/>
    <cellStyle name="Normal 10 4 2 2 4 3 3" xfId="3484" xr:uid="{00000000-0005-0000-0000-0000910D0000}"/>
    <cellStyle name="Normal 10 4 2 2 4 4" xfId="3485" xr:uid="{00000000-0005-0000-0000-0000920D0000}"/>
    <cellStyle name="Normal 10 4 2 2 4 5" xfId="3486" xr:uid="{00000000-0005-0000-0000-0000930D0000}"/>
    <cellStyle name="Normal 10 4 2 2 5" xfId="3487" xr:uid="{00000000-0005-0000-0000-0000940D0000}"/>
    <cellStyle name="Normal 10 4 2 2 5 2" xfId="3488" xr:uid="{00000000-0005-0000-0000-0000950D0000}"/>
    <cellStyle name="Normal 10 4 2 2 5 3" xfId="3489" xr:uid="{00000000-0005-0000-0000-0000960D0000}"/>
    <cellStyle name="Normal 10 4 2 2 6" xfId="3490" xr:uid="{00000000-0005-0000-0000-0000970D0000}"/>
    <cellStyle name="Normal 10 4 2 2 6 2" xfId="3491" xr:uid="{00000000-0005-0000-0000-0000980D0000}"/>
    <cellStyle name="Normal 10 4 2 2 6 3" xfId="3492" xr:uid="{00000000-0005-0000-0000-0000990D0000}"/>
    <cellStyle name="Normal 10 4 2 2 7" xfId="3493" xr:uid="{00000000-0005-0000-0000-00009A0D0000}"/>
    <cellStyle name="Normal 10 4 2 2 7 2" xfId="3494" xr:uid="{00000000-0005-0000-0000-00009B0D0000}"/>
    <cellStyle name="Normal 10 4 2 2 7 3" xfId="3495" xr:uid="{00000000-0005-0000-0000-00009C0D0000}"/>
    <cellStyle name="Normal 10 4 2 2 8" xfId="3496" xr:uid="{00000000-0005-0000-0000-00009D0D0000}"/>
    <cellStyle name="Normal 10 4 2 2 9" xfId="3497" xr:uid="{00000000-0005-0000-0000-00009E0D0000}"/>
    <cellStyle name="Normal 10 4 2 3" xfId="3498" xr:uid="{00000000-0005-0000-0000-00009F0D0000}"/>
    <cellStyle name="Normal 10 4 2 3 2" xfId="3499" xr:uid="{00000000-0005-0000-0000-0000A00D0000}"/>
    <cellStyle name="Normal 10 4 2 3 2 2" xfId="3500" xr:uid="{00000000-0005-0000-0000-0000A10D0000}"/>
    <cellStyle name="Normal 10 4 2 3 2 2 2" xfId="3501" xr:uid="{00000000-0005-0000-0000-0000A20D0000}"/>
    <cellStyle name="Normal 10 4 2 3 2 2 3" xfId="3502" xr:uid="{00000000-0005-0000-0000-0000A30D0000}"/>
    <cellStyle name="Normal 10 4 2 3 2 3" xfId="3503" xr:uid="{00000000-0005-0000-0000-0000A40D0000}"/>
    <cellStyle name="Normal 10 4 2 3 2 3 2" xfId="3504" xr:uid="{00000000-0005-0000-0000-0000A50D0000}"/>
    <cellStyle name="Normal 10 4 2 3 2 3 3" xfId="3505" xr:uid="{00000000-0005-0000-0000-0000A60D0000}"/>
    <cellStyle name="Normal 10 4 2 3 2 4" xfId="3506" xr:uid="{00000000-0005-0000-0000-0000A70D0000}"/>
    <cellStyle name="Normal 10 4 2 3 2 5" xfId="3507" xr:uid="{00000000-0005-0000-0000-0000A80D0000}"/>
    <cellStyle name="Normal 10 4 2 3 3" xfId="3508" xr:uid="{00000000-0005-0000-0000-0000A90D0000}"/>
    <cellStyle name="Normal 10 4 2 3 3 2" xfId="3509" xr:uid="{00000000-0005-0000-0000-0000AA0D0000}"/>
    <cellStyle name="Normal 10 4 2 3 3 2 2" xfId="3510" xr:uid="{00000000-0005-0000-0000-0000AB0D0000}"/>
    <cellStyle name="Normal 10 4 2 3 3 2 3" xfId="3511" xr:uid="{00000000-0005-0000-0000-0000AC0D0000}"/>
    <cellStyle name="Normal 10 4 2 3 3 3" xfId="3512" xr:uid="{00000000-0005-0000-0000-0000AD0D0000}"/>
    <cellStyle name="Normal 10 4 2 3 3 3 2" xfId="3513" xr:uid="{00000000-0005-0000-0000-0000AE0D0000}"/>
    <cellStyle name="Normal 10 4 2 3 3 3 3" xfId="3514" xr:uid="{00000000-0005-0000-0000-0000AF0D0000}"/>
    <cellStyle name="Normal 10 4 2 3 3 4" xfId="3515" xr:uid="{00000000-0005-0000-0000-0000B00D0000}"/>
    <cellStyle name="Normal 10 4 2 3 3 5" xfId="3516" xr:uid="{00000000-0005-0000-0000-0000B10D0000}"/>
    <cellStyle name="Normal 10 4 2 3 4" xfId="3517" xr:uid="{00000000-0005-0000-0000-0000B20D0000}"/>
    <cellStyle name="Normal 10 4 2 3 4 2" xfId="3518" xr:uid="{00000000-0005-0000-0000-0000B30D0000}"/>
    <cellStyle name="Normal 10 4 2 3 4 3" xfId="3519" xr:uid="{00000000-0005-0000-0000-0000B40D0000}"/>
    <cellStyle name="Normal 10 4 2 3 5" xfId="3520" xr:uid="{00000000-0005-0000-0000-0000B50D0000}"/>
    <cellStyle name="Normal 10 4 2 3 5 2" xfId="3521" xr:uid="{00000000-0005-0000-0000-0000B60D0000}"/>
    <cellStyle name="Normal 10 4 2 3 5 3" xfId="3522" xr:uid="{00000000-0005-0000-0000-0000B70D0000}"/>
    <cellStyle name="Normal 10 4 2 3 6" xfId="3523" xr:uid="{00000000-0005-0000-0000-0000B80D0000}"/>
    <cellStyle name="Normal 10 4 2 3 7" xfId="3524" xr:uid="{00000000-0005-0000-0000-0000B90D0000}"/>
    <cellStyle name="Normal 10 4 2 4" xfId="3525" xr:uid="{00000000-0005-0000-0000-0000BA0D0000}"/>
    <cellStyle name="Normal 10 4 2 4 2" xfId="3526" xr:uid="{00000000-0005-0000-0000-0000BB0D0000}"/>
    <cellStyle name="Normal 10 4 2 4 2 2" xfId="3527" xr:uid="{00000000-0005-0000-0000-0000BC0D0000}"/>
    <cellStyle name="Normal 10 4 2 4 2 2 2" xfId="3528" xr:uid="{00000000-0005-0000-0000-0000BD0D0000}"/>
    <cellStyle name="Normal 10 4 2 4 2 2 3" xfId="3529" xr:uid="{00000000-0005-0000-0000-0000BE0D0000}"/>
    <cellStyle name="Normal 10 4 2 4 2 3" xfId="3530" xr:uid="{00000000-0005-0000-0000-0000BF0D0000}"/>
    <cellStyle name="Normal 10 4 2 4 2 3 2" xfId="3531" xr:uid="{00000000-0005-0000-0000-0000C00D0000}"/>
    <cellStyle name="Normal 10 4 2 4 2 3 3" xfId="3532" xr:uid="{00000000-0005-0000-0000-0000C10D0000}"/>
    <cellStyle name="Normal 10 4 2 4 2 4" xfId="3533" xr:uid="{00000000-0005-0000-0000-0000C20D0000}"/>
    <cellStyle name="Normal 10 4 2 4 2 5" xfId="3534" xr:uid="{00000000-0005-0000-0000-0000C30D0000}"/>
    <cellStyle name="Normal 10 4 2 4 3" xfId="3535" xr:uid="{00000000-0005-0000-0000-0000C40D0000}"/>
    <cellStyle name="Normal 10 4 2 4 3 2" xfId="3536" xr:uid="{00000000-0005-0000-0000-0000C50D0000}"/>
    <cellStyle name="Normal 10 4 2 4 3 2 2" xfId="3537" xr:uid="{00000000-0005-0000-0000-0000C60D0000}"/>
    <cellStyle name="Normal 10 4 2 4 3 2 3" xfId="3538" xr:uid="{00000000-0005-0000-0000-0000C70D0000}"/>
    <cellStyle name="Normal 10 4 2 4 3 3" xfId="3539" xr:uid="{00000000-0005-0000-0000-0000C80D0000}"/>
    <cellStyle name="Normal 10 4 2 4 3 4" xfId="3540" xr:uid="{00000000-0005-0000-0000-0000C90D0000}"/>
    <cellStyle name="Normal 10 4 2 4 4" xfId="3541" xr:uid="{00000000-0005-0000-0000-0000CA0D0000}"/>
    <cellStyle name="Normal 10 4 2 4 4 2" xfId="3542" xr:uid="{00000000-0005-0000-0000-0000CB0D0000}"/>
    <cellStyle name="Normal 10 4 2 4 4 3" xfId="3543" xr:uid="{00000000-0005-0000-0000-0000CC0D0000}"/>
    <cellStyle name="Normal 10 4 2 4 5" xfId="3544" xr:uid="{00000000-0005-0000-0000-0000CD0D0000}"/>
    <cellStyle name="Normal 10 4 2 4 5 2" xfId="3545" xr:uid="{00000000-0005-0000-0000-0000CE0D0000}"/>
    <cellStyle name="Normal 10 4 2 4 5 3" xfId="3546" xr:uid="{00000000-0005-0000-0000-0000CF0D0000}"/>
    <cellStyle name="Normal 10 4 2 4 6" xfId="3547" xr:uid="{00000000-0005-0000-0000-0000D00D0000}"/>
    <cellStyle name="Normal 10 4 2 4 7" xfId="3548" xr:uid="{00000000-0005-0000-0000-0000D10D0000}"/>
    <cellStyle name="Normal 10 4 2 5" xfId="3549" xr:uid="{00000000-0005-0000-0000-0000D20D0000}"/>
    <cellStyle name="Normal 10 4 2 5 2" xfId="3550" xr:uid="{00000000-0005-0000-0000-0000D30D0000}"/>
    <cellStyle name="Normal 10 4 2 5 2 2" xfId="3551" xr:uid="{00000000-0005-0000-0000-0000D40D0000}"/>
    <cellStyle name="Normal 10 4 2 5 2 3" xfId="3552" xr:uid="{00000000-0005-0000-0000-0000D50D0000}"/>
    <cellStyle name="Normal 10 4 2 5 3" xfId="3553" xr:uid="{00000000-0005-0000-0000-0000D60D0000}"/>
    <cellStyle name="Normal 10 4 2 5 3 2" xfId="3554" xr:uid="{00000000-0005-0000-0000-0000D70D0000}"/>
    <cellStyle name="Normal 10 4 2 5 3 3" xfId="3555" xr:uid="{00000000-0005-0000-0000-0000D80D0000}"/>
    <cellStyle name="Normal 10 4 2 5 4" xfId="3556" xr:uid="{00000000-0005-0000-0000-0000D90D0000}"/>
    <cellStyle name="Normal 10 4 2 5 5" xfId="3557" xr:uid="{00000000-0005-0000-0000-0000DA0D0000}"/>
    <cellStyle name="Normal 10 4 2 6" xfId="3558" xr:uid="{00000000-0005-0000-0000-0000DB0D0000}"/>
    <cellStyle name="Normal 10 4 2 6 2" xfId="3559" xr:uid="{00000000-0005-0000-0000-0000DC0D0000}"/>
    <cellStyle name="Normal 10 4 2 6 2 2" xfId="3560" xr:uid="{00000000-0005-0000-0000-0000DD0D0000}"/>
    <cellStyle name="Normal 10 4 2 6 2 3" xfId="3561" xr:uid="{00000000-0005-0000-0000-0000DE0D0000}"/>
    <cellStyle name="Normal 10 4 2 6 3" xfId="3562" xr:uid="{00000000-0005-0000-0000-0000DF0D0000}"/>
    <cellStyle name="Normal 10 4 2 6 3 2" xfId="3563" xr:uid="{00000000-0005-0000-0000-0000E00D0000}"/>
    <cellStyle name="Normal 10 4 2 6 3 3" xfId="3564" xr:uid="{00000000-0005-0000-0000-0000E10D0000}"/>
    <cellStyle name="Normal 10 4 2 6 4" xfId="3565" xr:uid="{00000000-0005-0000-0000-0000E20D0000}"/>
    <cellStyle name="Normal 10 4 2 6 5" xfId="3566" xr:uid="{00000000-0005-0000-0000-0000E30D0000}"/>
    <cellStyle name="Normal 10 4 2 7" xfId="3567" xr:uid="{00000000-0005-0000-0000-0000E40D0000}"/>
    <cellStyle name="Normal 10 4 2 7 2" xfId="3568" xr:uid="{00000000-0005-0000-0000-0000E50D0000}"/>
    <cellStyle name="Normal 10 4 2 7 2 2" xfId="3569" xr:uid="{00000000-0005-0000-0000-0000E60D0000}"/>
    <cellStyle name="Normal 10 4 2 7 2 3" xfId="3570" xr:uid="{00000000-0005-0000-0000-0000E70D0000}"/>
    <cellStyle name="Normal 10 4 2 7 3" xfId="3571" xr:uid="{00000000-0005-0000-0000-0000E80D0000}"/>
    <cellStyle name="Normal 10 4 2 7 4" xfId="3572" xr:uid="{00000000-0005-0000-0000-0000E90D0000}"/>
    <cellStyle name="Normal 10 4 2 8" xfId="3573" xr:uid="{00000000-0005-0000-0000-0000EA0D0000}"/>
    <cellStyle name="Normal 10 4 2 8 2" xfId="3574" xr:uid="{00000000-0005-0000-0000-0000EB0D0000}"/>
    <cellStyle name="Normal 10 4 2 8 3" xfId="3575" xr:uid="{00000000-0005-0000-0000-0000EC0D0000}"/>
    <cellStyle name="Normal 10 4 2 9" xfId="3576" xr:uid="{00000000-0005-0000-0000-0000ED0D0000}"/>
    <cellStyle name="Normal 10 4 2 9 2" xfId="3577" xr:uid="{00000000-0005-0000-0000-0000EE0D0000}"/>
    <cellStyle name="Normal 10 4 2 9 3" xfId="3578" xr:uid="{00000000-0005-0000-0000-0000EF0D0000}"/>
    <cellStyle name="Normal 10 4 3" xfId="3579" xr:uid="{00000000-0005-0000-0000-0000F00D0000}"/>
    <cellStyle name="Normal 10 4 3 2" xfId="3580" xr:uid="{00000000-0005-0000-0000-0000F10D0000}"/>
    <cellStyle name="Normal 10 4 3 2 2" xfId="3581" xr:uid="{00000000-0005-0000-0000-0000F20D0000}"/>
    <cellStyle name="Normal 10 4 3 2 2 2" xfId="3582" xr:uid="{00000000-0005-0000-0000-0000F30D0000}"/>
    <cellStyle name="Normal 10 4 3 2 2 2 2" xfId="3583" xr:uid="{00000000-0005-0000-0000-0000F40D0000}"/>
    <cellStyle name="Normal 10 4 3 2 2 2 3" xfId="3584" xr:uid="{00000000-0005-0000-0000-0000F50D0000}"/>
    <cellStyle name="Normal 10 4 3 2 2 3" xfId="3585" xr:uid="{00000000-0005-0000-0000-0000F60D0000}"/>
    <cellStyle name="Normal 10 4 3 2 2 3 2" xfId="3586" xr:uid="{00000000-0005-0000-0000-0000F70D0000}"/>
    <cellStyle name="Normal 10 4 3 2 2 3 3" xfId="3587" xr:uid="{00000000-0005-0000-0000-0000F80D0000}"/>
    <cellStyle name="Normal 10 4 3 2 2 4" xfId="3588" xr:uid="{00000000-0005-0000-0000-0000F90D0000}"/>
    <cellStyle name="Normal 10 4 3 2 2 5" xfId="3589" xr:uid="{00000000-0005-0000-0000-0000FA0D0000}"/>
    <cellStyle name="Normal 10 4 3 2 3" xfId="3590" xr:uid="{00000000-0005-0000-0000-0000FB0D0000}"/>
    <cellStyle name="Normal 10 4 3 2 3 2" xfId="3591" xr:uid="{00000000-0005-0000-0000-0000FC0D0000}"/>
    <cellStyle name="Normal 10 4 3 2 3 2 2" xfId="3592" xr:uid="{00000000-0005-0000-0000-0000FD0D0000}"/>
    <cellStyle name="Normal 10 4 3 2 3 2 3" xfId="3593" xr:uid="{00000000-0005-0000-0000-0000FE0D0000}"/>
    <cellStyle name="Normal 10 4 3 2 3 3" xfId="3594" xr:uid="{00000000-0005-0000-0000-0000FF0D0000}"/>
    <cellStyle name="Normal 10 4 3 2 3 3 2" xfId="3595" xr:uid="{00000000-0005-0000-0000-0000000E0000}"/>
    <cellStyle name="Normal 10 4 3 2 3 3 3" xfId="3596" xr:uid="{00000000-0005-0000-0000-0000010E0000}"/>
    <cellStyle name="Normal 10 4 3 2 3 4" xfId="3597" xr:uid="{00000000-0005-0000-0000-0000020E0000}"/>
    <cellStyle name="Normal 10 4 3 2 3 5" xfId="3598" xr:uid="{00000000-0005-0000-0000-0000030E0000}"/>
    <cellStyle name="Normal 10 4 3 2 4" xfId="3599" xr:uid="{00000000-0005-0000-0000-0000040E0000}"/>
    <cellStyle name="Normal 10 4 3 2 4 2" xfId="3600" xr:uid="{00000000-0005-0000-0000-0000050E0000}"/>
    <cellStyle name="Normal 10 4 3 2 4 3" xfId="3601" xr:uid="{00000000-0005-0000-0000-0000060E0000}"/>
    <cellStyle name="Normal 10 4 3 2 5" xfId="3602" xr:uid="{00000000-0005-0000-0000-0000070E0000}"/>
    <cellStyle name="Normal 10 4 3 2 5 2" xfId="3603" xr:uid="{00000000-0005-0000-0000-0000080E0000}"/>
    <cellStyle name="Normal 10 4 3 2 5 3" xfId="3604" xr:uid="{00000000-0005-0000-0000-0000090E0000}"/>
    <cellStyle name="Normal 10 4 3 2 6" xfId="3605" xr:uid="{00000000-0005-0000-0000-00000A0E0000}"/>
    <cellStyle name="Normal 10 4 3 2 7" xfId="3606" xr:uid="{00000000-0005-0000-0000-00000B0E0000}"/>
    <cellStyle name="Normal 10 4 3 3" xfId="3607" xr:uid="{00000000-0005-0000-0000-00000C0E0000}"/>
    <cellStyle name="Normal 10 4 3 3 2" xfId="3608" xr:uid="{00000000-0005-0000-0000-00000D0E0000}"/>
    <cellStyle name="Normal 10 4 3 3 2 2" xfId="3609" xr:uid="{00000000-0005-0000-0000-00000E0E0000}"/>
    <cellStyle name="Normal 10 4 3 3 2 3" xfId="3610" xr:uid="{00000000-0005-0000-0000-00000F0E0000}"/>
    <cellStyle name="Normal 10 4 3 3 3" xfId="3611" xr:uid="{00000000-0005-0000-0000-0000100E0000}"/>
    <cellStyle name="Normal 10 4 3 3 3 2" xfId="3612" xr:uid="{00000000-0005-0000-0000-0000110E0000}"/>
    <cellStyle name="Normal 10 4 3 3 3 3" xfId="3613" xr:uid="{00000000-0005-0000-0000-0000120E0000}"/>
    <cellStyle name="Normal 10 4 3 3 4" xfId="3614" xr:uid="{00000000-0005-0000-0000-0000130E0000}"/>
    <cellStyle name="Normal 10 4 3 3 5" xfId="3615" xr:uid="{00000000-0005-0000-0000-0000140E0000}"/>
    <cellStyle name="Normal 10 4 3 4" xfId="3616" xr:uid="{00000000-0005-0000-0000-0000150E0000}"/>
    <cellStyle name="Normal 10 4 3 4 2" xfId="3617" xr:uid="{00000000-0005-0000-0000-0000160E0000}"/>
    <cellStyle name="Normal 10 4 3 4 2 2" xfId="3618" xr:uid="{00000000-0005-0000-0000-0000170E0000}"/>
    <cellStyle name="Normal 10 4 3 4 2 3" xfId="3619" xr:uid="{00000000-0005-0000-0000-0000180E0000}"/>
    <cellStyle name="Normal 10 4 3 4 3" xfId="3620" xr:uid="{00000000-0005-0000-0000-0000190E0000}"/>
    <cellStyle name="Normal 10 4 3 4 3 2" xfId="3621" xr:uid="{00000000-0005-0000-0000-00001A0E0000}"/>
    <cellStyle name="Normal 10 4 3 4 3 3" xfId="3622" xr:uid="{00000000-0005-0000-0000-00001B0E0000}"/>
    <cellStyle name="Normal 10 4 3 4 4" xfId="3623" xr:uid="{00000000-0005-0000-0000-00001C0E0000}"/>
    <cellStyle name="Normal 10 4 3 4 5" xfId="3624" xr:uid="{00000000-0005-0000-0000-00001D0E0000}"/>
    <cellStyle name="Normal 10 4 3 5" xfId="3625" xr:uid="{00000000-0005-0000-0000-00001E0E0000}"/>
    <cellStyle name="Normal 10 4 3 5 2" xfId="3626" xr:uid="{00000000-0005-0000-0000-00001F0E0000}"/>
    <cellStyle name="Normal 10 4 3 5 3" xfId="3627" xr:uid="{00000000-0005-0000-0000-0000200E0000}"/>
    <cellStyle name="Normal 10 4 3 6" xfId="3628" xr:uid="{00000000-0005-0000-0000-0000210E0000}"/>
    <cellStyle name="Normal 10 4 3 6 2" xfId="3629" xr:uid="{00000000-0005-0000-0000-0000220E0000}"/>
    <cellStyle name="Normal 10 4 3 6 3" xfId="3630" xr:uid="{00000000-0005-0000-0000-0000230E0000}"/>
    <cellStyle name="Normal 10 4 3 7" xfId="3631" xr:uid="{00000000-0005-0000-0000-0000240E0000}"/>
    <cellStyle name="Normal 10 4 3 7 2" xfId="3632" xr:uid="{00000000-0005-0000-0000-0000250E0000}"/>
    <cellStyle name="Normal 10 4 3 7 3" xfId="3633" xr:uid="{00000000-0005-0000-0000-0000260E0000}"/>
    <cellStyle name="Normal 10 4 3 8" xfId="3634" xr:uid="{00000000-0005-0000-0000-0000270E0000}"/>
    <cellStyle name="Normal 10 4 3 9" xfId="3635" xr:uid="{00000000-0005-0000-0000-0000280E0000}"/>
    <cellStyle name="Normal 10 4 4" xfId="3636" xr:uid="{00000000-0005-0000-0000-0000290E0000}"/>
    <cellStyle name="Normal 10 4 4 2" xfId="3637" xr:uid="{00000000-0005-0000-0000-00002A0E0000}"/>
    <cellStyle name="Normal 10 4 4 2 2" xfId="3638" xr:uid="{00000000-0005-0000-0000-00002B0E0000}"/>
    <cellStyle name="Normal 10 4 4 2 2 2" xfId="3639" xr:uid="{00000000-0005-0000-0000-00002C0E0000}"/>
    <cellStyle name="Normal 10 4 4 2 2 3" xfId="3640" xr:uid="{00000000-0005-0000-0000-00002D0E0000}"/>
    <cellStyle name="Normal 10 4 4 2 3" xfId="3641" xr:uid="{00000000-0005-0000-0000-00002E0E0000}"/>
    <cellStyle name="Normal 10 4 4 2 3 2" xfId="3642" xr:uid="{00000000-0005-0000-0000-00002F0E0000}"/>
    <cellStyle name="Normal 10 4 4 2 3 3" xfId="3643" xr:uid="{00000000-0005-0000-0000-0000300E0000}"/>
    <cellStyle name="Normal 10 4 4 2 4" xfId="3644" xr:uid="{00000000-0005-0000-0000-0000310E0000}"/>
    <cellStyle name="Normal 10 4 4 2 5" xfId="3645" xr:uid="{00000000-0005-0000-0000-0000320E0000}"/>
    <cellStyle name="Normal 10 4 4 3" xfId="3646" xr:uid="{00000000-0005-0000-0000-0000330E0000}"/>
    <cellStyle name="Normal 10 4 4 3 2" xfId="3647" xr:uid="{00000000-0005-0000-0000-0000340E0000}"/>
    <cellStyle name="Normal 10 4 4 3 2 2" xfId="3648" xr:uid="{00000000-0005-0000-0000-0000350E0000}"/>
    <cellStyle name="Normal 10 4 4 3 2 3" xfId="3649" xr:uid="{00000000-0005-0000-0000-0000360E0000}"/>
    <cellStyle name="Normal 10 4 4 3 3" xfId="3650" xr:uid="{00000000-0005-0000-0000-0000370E0000}"/>
    <cellStyle name="Normal 10 4 4 3 3 2" xfId="3651" xr:uid="{00000000-0005-0000-0000-0000380E0000}"/>
    <cellStyle name="Normal 10 4 4 3 3 3" xfId="3652" xr:uid="{00000000-0005-0000-0000-0000390E0000}"/>
    <cellStyle name="Normal 10 4 4 3 4" xfId="3653" xr:uid="{00000000-0005-0000-0000-00003A0E0000}"/>
    <cellStyle name="Normal 10 4 4 3 5" xfId="3654" xr:uid="{00000000-0005-0000-0000-00003B0E0000}"/>
    <cellStyle name="Normal 10 4 4 4" xfId="3655" xr:uid="{00000000-0005-0000-0000-00003C0E0000}"/>
    <cellStyle name="Normal 10 4 4 4 2" xfId="3656" xr:uid="{00000000-0005-0000-0000-00003D0E0000}"/>
    <cellStyle name="Normal 10 4 4 4 3" xfId="3657" xr:uid="{00000000-0005-0000-0000-00003E0E0000}"/>
    <cellStyle name="Normal 10 4 4 5" xfId="3658" xr:uid="{00000000-0005-0000-0000-00003F0E0000}"/>
    <cellStyle name="Normal 10 4 4 5 2" xfId="3659" xr:uid="{00000000-0005-0000-0000-0000400E0000}"/>
    <cellStyle name="Normal 10 4 4 5 3" xfId="3660" xr:uid="{00000000-0005-0000-0000-0000410E0000}"/>
    <cellStyle name="Normal 10 4 4 6" xfId="3661" xr:uid="{00000000-0005-0000-0000-0000420E0000}"/>
    <cellStyle name="Normal 10 4 4 7" xfId="3662" xr:uid="{00000000-0005-0000-0000-0000430E0000}"/>
    <cellStyle name="Normal 10 4 5" xfId="3663" xr:uid="{00000000-0005-0000-0000-0000440E0000}"/>
    <cellStyle name="Normal 10 4 5 2" xfId="3664" xr:uid="{00000000-0005-0000-0000-0000450E0000}"/>
    <cellStyle name="Normal 10 4 5 2 2" xfId="3665" xr:uid="{00000000-0005-0000-0000-0000460E0000}"/>
    <cellStyle name="Normal 10 4 5 2 2 2" xfId="3666" xr:uid="{00000000-0005-0000-0000-0000470E0000}"/>
    <cellStyle name="Normal 10 4 5 2 2 3" xfId="3667" xr:uid="{00000000-0005-0000-0000-0000480E0000}"/>
    <cellStyle name="Normal 10 4 5 2 3" xfId="3668" xr:uid="{00000000-0005-0000-0000-0000490E0000}"/>
    <cellStyle name="Normal 10 4 5 2 3 2" xfId="3669" xr:uid="{00000000-0005-0000-0000-00004A0E0000}"/>
    <cellStyle name="Normal 10 4 5 2 3 3" xfId="3670" xr:uid="{00000000-0005-0000-0000-00004B0E0000}"/>
    <cellStyle name="Normal 10 4 5 2 4" xfId="3671" xr:uid="{00000000-0005-0000-0000-00004C0E0000}"/>
    <cellStyle name="Normal 10 4 5 2 5" xfId="3672" xr:uid="{00000000-0005-0000-0000-00004D0E0000}"/>
    <cellStyle name="Normal 10 4 5 3" xfId="3673" xr:uid="{00000000-0005-0000-0000-00004E0E0000}"/>
    <cellStyle name="Normal 10 4 5 3 2" xfId="3674" xr:uid="{00000000-0005-0000-0000-00004F0E0000}"/>
    <cellStyle name="Normal 10 4 5 3 2 2" xfId="3675" xr:uid="{00000000-0005-0000-0000-0000500E0000}"/>
    <cellStyle name="Normal 10 4 5 3 2 3" xfId="3676" xr:uid="{00000000-0005-0000-0000-0000510E0000}"/>
    <cellStyle name="Normal 10 4 5 3 3" xfId="3677" xr:uid="{00000000-0005-0000-0000-0000520E0000}"/>
    <cellStyle name="Normal 10 4 5 3 4" xfId="3678" xr:uid="{00000000-0005-0000-0000-0000530E0000}"/>
    <cellStyle name="Normal 10 4 5 4" xfId="3679" xr:uid="{00000000-0005-0000-0000-0000540E0000}"/>
    <cellStyle name="Normal 10 4 5 4 2" xfId="3680" xr:uid="{00000000-0005-0000-0000-0000550E0000}"/>
    <cellStyle name="Normal 10 4 5 4 3" xfId="3681" xr:uid="{00000000-0005-0000-0000-0000560E0000}"/>
    <cellStyle name="Normal 10 4 5 5" xfId="3682" xr:uid="{00000000-0005-0000-0000-0000570E0000}"/>
    <cellStyle name="Normal 10 4 5 5 2" xfId="3683" xr:uid="{00000000-0005-0000-0000-0000580E0000}"/>
    <cellStyle name="Normal 10 4 5 5 3" xfId="3684" xr:uid="{00000000-0005-0000-0000-0000590E0000}"/>
    <cellStyle name="Normal 10 4 5 6" xfId="3685" xr:uid="{00000000-0005-0000-0000-00005A0E0000}"/>
    <cellStyle name="Normal 10 4 5 7" xfId="3686" xr:uid="{00000000-0005-0000-0000-00005B0E0000}"/>
    <cellStyle name="Normal 10 4 6" xfId="3687" xr:uid="{00000000-0005-0000-0000-00005C0E0000}"/>
    <cellStyle name="Normal 10 4 6 2" xfId="3688" xr:uid="{00000000-0005-0000-0000-00005D0E0000}"/>
    <cellStyle name="Normal 10 4 6 2 2" xfId="3689" xr:uid="{00000000-0005-0000-0000-00005E0E0000}"/>
    <cellStyle name="Normal 10 4 6 2 3" xfId="3690" xr:uid="{00000000-0005-0000-0000-00005F0E0000}"/>
    <cellStyle name="Normal 10 4 6 3" xfId="3691" xr:uid="{00000000-0005-0000-0000-0000600E0000}"/>
    <cellStyle name="Normal 10 4 6 3 2" xfId="3692" xr:uid="{00000000-0005-0000-0000-0000610E0000}"/>
    <cellStyle name="Normal 10 4 6 3 3" xfId="3693" xr:uid="{00000000-0005-0000-0000-0000620E0000}"/>
    <cellStyle name="Normal 10 4 6 4" xfId="3694" xr:uid="{00000000-0005-0000-0000-0000630E0000}"/>
    <cellStyle name="Normal 10 4 6 5" xfId="3695" xr:uid="{00000000-0005-0000-0000-0000640E0000}"/>
    <cellStyle name="Normal 10 4 7" xfId="3696" xr:uid="{00000000-0005-0000-0000-0000650E0000}"/>
    <cellStyle name="Normal 10 4 7 2" xfId="3697" xr:uid="{00000000-0005-0000-0000-0000660E0000}"/>
    <cellStyle name="Normal 10 4 7 2 2" xfId="3698" xr:uid="{00000000-0005-0000-0000-0000670E0000}"/>
    <cellStyle name="Normal 10 4 7 2 3" xfId="3699" xr:uid="{00000000-0005-0000-0000-0000680E0000}"/>
    <cellStyle name="Normal 10 4 7 3" xfId="3700" xr:uid="{00000000-0005-0000-0000-0000690E0000}"/>
    <cellStyle name="Normal 10 4 7 3 2" xfId="3701" xr:uid="{00000000-0005-0000-0000-00006A0E0000}"/>
    <cellStyle name="Normal 10 4 7 3 3" xfId="3702" xr:uid="{00000000-0005-0000-0000-00006B0E0000}"/>
    <cellStyle name="Normal 10 4 7 4" xfId="3703" xr:uid="{00000000-0005-0000-0000-00006C0E0000}"/>
    <cellStyle name="Normal 10 4 7 5" xfId="3704" xr:uid="{00000000-0005-0000-0000-00006D0E0000}"/>
    <cellStyle name="Normal 10 4 8" xfId="3705" xr:uid="{00000000-0005-0000-0000-00006E0E0000}"/>
    <cellStyle name="Normal 10 4 8 2" xfId="3706" xr:uid="{00000000-0005-0000-0000-00006F0E0000}"/>
    <cellStyle name="Normal 10 4 8 2 2" xfId="3707" xr:uid="{00000000-0005-0000-0000-0000700E0000}"/>
    <cellStyle name="Normal 10 4 8 2 3" xfId="3708" xr:uid="{00000000-0005-0000-0000-0000710E0000}"/>
    <cellStyle name="Normal 10 4 8 3" xfId="3709" xr:uid="{00000000-0005-0000-0000-0000720E0000}"/>
    <cellStyle name="Normal 10 4 8 4" xfId="3710" xr:uid="{00000000-0005-0000-0000-0000730E0000}"/>
    <cellStyle name="Normal 10 4 9" xfId="3711" xr:uid="{00000000-0005-0000-0000-0000740E0000}"/>
    <cellStyle name="Normal 10 4 9 2" xfId="3712" xr:uid="{00000000-0005-0000-0000-0000750E0000}"/>
    <cellStyle name="Normal 10 4 9 3" xfId="3713" xr:uid="{00000000-0005-0000-0000-0000760E0000}"/>
    <cellStyle name="Normal 10 5" xfId="3714" xr:uid="{00000000-0005-0000-0000-0000770E0000}"/>
    <cellStyle name="Normal 10 5 10" xfId="3715" xr:uid="{00000000-0005-0000-0000-0000780E0000}"/>
    <cellStyle name="Normal 10 5 10 2" xfId="3716" xr:uid="{00000000-0005-0000-0000-0000790E0000}"/>
    <cellStyle name="Normal 10 5 10 3" xfId="3717" xr:uid="{00000000-0005-0000-0000-00007A0E0000}"/>
    <cellStyle name="Normal 10 5 11" xfId="3718" xr:uid="{00000000-0005-0000-0000-00007B0E0000}"/>
    <cellStyle name="Normal 10 5 11 2" xfId="3719" xr:uid="{00000000-0005-0000-0000-00007C0E0000}"/>
    <cellStyle name="Normal 10 5 11 3" xfId="3720" xr:uid="{00000000-0005-0000-0000-00007D0E0000}"/>
    <cellStyle name="Normal 10 5 12" xfId="3721" xr:uid="{00000000-0005-0000-0000-00007E0E0000}"/>
    <cellStyle name="Normal 10 5 13" xfId="3722" xr:uid="{00000000-0005-0000-0000-00007F0E0000}"/>
    <cellStyle name="Normal 10 5 2" xfId="3723" xr:uid="{00000000-0005-0000-0000-0000800E0000}"/>
    <cellStyle name="Normal 10 5 2 2" xfId="3724" xr:uid="{00000000-0005-0000-0000-0000810E0000}"/>
    <cellStyle name="Normal 10 5 2 2 2" xfId="3725" xr:uid="{00000000-0005-0000-0000-0000820E0000}"/>
    <cellStyle name="Normal 10 5 2 2 2 2" xfId="3726" xr:uid="{00000000-0005-0000-0000-0000830E0000}"/>
    <cellStyle name="Normal 10 5 2 2 2 2 2" xfId="3727" xr:uid="{00000000-0005-0000-0000-0000840E0000}"/>
    <cellStyle name="Normal 10 5 2 2 2 2 3" xfId="3728" xr:uid="{00000000-0005-0000-0000-0000850E0000}"/>
    <cellStyle name="Normal 10 5 2 2 2 3" xfId="3729" xr:uid="{00000000-0005-0000-0000-0000860E0000}"/>
    <cellStyle name="Normal 10 5 2 2 2 3 2" xfId="3730" xr:uid="{00000000-0005-0000-0000-0000870E0000}"/>
    <cellStyle name="Normal 10 5 2 2 2 3 3" xfId="3731" xr:uid="{00000000-0005-0000-0000-0000880E0000}"/>
    <cellStyle name="Normal 10 5 2 2 2 4" xfId="3732" xr:uid="{00000000-0005-0000-0000-0000890E0000}"/>
    <cellStyle name="Normal 10 5 2 2 2 5" xfId="3733" xr:uid="{00000000-0005-0000-0000-00008A0E0000}"/>
    <cellStyle name="Normal 10 5 2 2 3" xfId="3734" xr:uid="{00000000-0005-0000-0000-00008B0E0000}"/>
    <cellStyle name="Normal 10 5 2 2 3 2" xfId="3735" xr:uid="{00000000-0005-0000-0000-00008C0E0000}"/>
    <cellStyle name="Normal 10 5 2 2 3 2 2" xfId="3736" xr:uid="{00000000-0005-0000-0000-00008D0E0000}"/>
    <cellStyle name="Normal 10 5 2 2 3 2 3" xfId="3737" xr:uid="{00000000-0005-0000-0000-00008E0E0000}"/>
    <cellStyle name="Normal 10 5 2 2 3 3" xfId="3738" xr:uid="{00000000-0005-0000-0000-00008F0E0000}"/>
    <cellStyle name="Normal 10 5 2 2 3 3 2" xfId="3739" xr:uid="{00000000-0005-0000-0000-0000900E0000}"/>
    <cellStyle name="Normal 10 5 2 2 3 3 3" xfId="3740" xr:uid="{00000000-0005-0000-0000-0000910E0000}"/>
    <cellStyle name="Normal 10 5 2 2 3 4" xfId="3741" xr:uid="{00000000-0005-0000-0000-0000920E0000}"/>
    <cellStyle name="Normal 10 5 2 2 3 5" xfId="3742" xr:uid="{00000000-0005-0000-0000-0000930E0000}"/>
    <cellStyle name="Normal 10 5 2 2 4" xfId="3743" xr:uid="{00000000-0005-0000-0000-0000940E0000}"/>
    <cellStyle name="Normal 10 5 2 2 4 2" xfId="3744" xr:uid="{00000000-0005-0000-0000-0000950E0000}"/>
    <cellStyle name="Normal 10 5 2 2 4 3" xfId="3745" xr:uid="{00000000-0005-0000-0000-0000960E0000}"/>
    <cellStyle name="Normal 10 5 2 2 5" xfId="3746" xr:uid="{00000000-0005-0000-0000-0000970E0000}"/>
    <cellStyle name="Normal 10 5 2 2 5 2" xfId="3747" xr:uid="{00000000-0005-0000-0000-0000980E0000}"/>
    <cellStyle name="Normal 10 5 2 2 5 3" xfId="3748" xr:uid="{00000000-0005-0000-0000-0000990E0000}"/>
    <cellStyle name="Normal 10 5 2 2 6" xfId="3749" xr:uid="{00000000-0005-0000-0000-00009A0E0000}"/>
    <cellStyle name="Normal 10 5 2 2 7" xfId="3750" xr:uid="{00000000-0005-0000-0000-00009B0E0000}"/>
    <cellStyle name="Normal 10 5 2 3" xfId="3751" xr:uid="{00000000-0005-0000-0000-00009C0E0000}"/>
    <cellStyle name="Normal 10 5 2 3 2" xfId="3752" xr:uid="{00000000-0005-0000-0000-00009D0E0000}"/>
    <cellStyle name="Normal 10 5 2 3 2 2" xfId="3753" xr:uid="{00000000-0005-0000-0000-00009E0E0000}"/>
    <cellStyle name="Normal 10 5 2 3 2 3" xfId="3754" xr:uid="{00000000-0005-0000-0000-00009F0E0000}"/>
    <cellStyle name="Normal 10 5 2 3 3" xfId="3755" xr:uid="{00000000-0005-0000-0000-0000A00E0000}"/>
    <cellStyle name="Normal 10 5 2 3 3 2" xfId="3756" xr:uid="{00000000-0005-0000-0000-0000A10E0000}"/>
    <cellStyle name="Normal 10 5 2 3 3 3" xfId="3757" xr:uid="{00000000-0005-0000-0000-0000A20E0000}"/>
    <cellStyle name="Normal 10 5 2 3 4" xfId="3758" xr:uid="{00000000-0005-0000-0000-0000A30E0000}"/>
    <cellStyle name="Normal 10 5 2 3 5" xfId="3759" xr:uid="{00000000-0005-0000-0000-0000A40E0000}"/>
    <cellStyle name="Normal 10 5 2 4" xfId="3760" xr:uid="{00000000-0005-0000-0000-0000A50E0000}"/>
    <cellStyle name="Normal 10 5 2 4 2" xfId="3761" xr:uid="{00000000-0005-0000-0000-0000A60E0000}"/>
    <cellStyle name="Normal 10 5 2 4 2 2" xfId="3762" xr:uid="{00000000-0005-0000-0000-0000A70E0000}"/>
    <cellStyle name="Normal 10 5 2 4 2 3" xfId="3763" xr:uid="{00000000-0005-0000-0000-0000A80E0000}"/>
    <cellStyle name="Normal 10 5 2 4 3" xfId="3764" xr:uid="{00000000-0005-0000-0000-0000A90E0000}"/>
    <cellStyle name="Normal 10 5 2 4 3 2" xfId="3765" xr:uid="{00000000-0005-0000-0000-0000AA0E0000}"/>
    <cellStyle name="Normal 10 5 2 4 3 3" xfId="3766" xr:uid="{00000000-0005-0000-0000-0000AB0E0000}"/>
    <cellStyle name="Normal 10 5 2 4 4" xfId="3767" xr:uid="{00000000-0005-0000-0000-0000AC0E0000}"/>
    <cellStyle name="Normal 10 5 2 4 5" xfId="3768" xr:uid="{00000000-0005-0000-0000-0000AD0E0000}"/>
    <cellStyle name="Normal 10 5 2 5" xfId="3769" xr:uid="{00000000-0005-0000-0000-0000AE0E0000}"/>
    <cellStyle name="Normal 10 5 2 5 2" xfId="3770" xr:uid="{00000000-0005-0000-0000-0000AF0E0000}"/>
    <cellStyle name="Normal 10 5 2 5 3" xfId="3771" xr:uid="{00000000-0005-0000-0000-0000B00E0000}"/>
    <cellStyle name="Normal 10 5 2 6" xfId="3772" xr:uid="{00000000-0005-0000-0000-0000B10E0000}"/>
    <cellStyle name="Normal 10 5 2 6 2" xfId="3773" xr:uid="{00000000-0005-0000-0000-0000B20E0000}"/>
    <cellStyle name="Normal 10 5 2 6 3" xfId="3774" xr:uid="{00000000-0005-0000-0000-0000B30E0000}"/>
    <cellStyle name="Normal 10 5 2 7" xfId="3775" xr:uid="{00000000-0005-0000-0000-0000B40E0000}"/>
    <cellStyle name="Normal 10 5 2 7 2" xfId="3776" xr:uid="{00000000-0005-0000-0000-0000B50E0000}"/>
    <cellStyle name="Normal 10 5 2 7 3" xfId="3777" xr:uid="{00000000-0005-0000-0000-0000B60E0000}"/>
    <cellStyle name="Normal 10 5 2 8" xfId="3778" xr:uid="{00000000-0005-0000-0000-0000B70E0000}"/>
    <cellStyle name="Normal 10 5 2 9" xfId="3779" xr:uid="{00000000-0005-0000-0000-0000B80E0000}"/>
    <cellStyle name="Normal 10 5 3" xfId="3780" xr:uid="{00000000-0005-0000-0000-0000B90E0000}"/>
    <cellStyle name="Normal 10 5 3 2" xfId="3781" xr:uid="{00000000-0005-0000-0000-0000BA0E0000}"/>
    <cellStyle name="Normal 10 5 3 2 2" xfId="3782" xr:uid="{00000000-0005-0000-0000-0000BB0E0000}"/>
    <cellStyle name="Normal 10 5 3 2 2 2" xfId="3783" xr:uid="{00000000-0005-0000-0000-0000BC0E0000}"/>
    <cellStyle name="Normal 10 5 3 2 2 3" xfId="3784" xr:uid="{00000000-0005-0000-0000-0000BD0E0000}"/>
    <cellStyle name="Normal 10 5 3 2 3" xfId="3785" xr:uid="{00000000-0005-0000-0000-0000BE0E0000}"/>
    <cellStyle name="Normal 10 5 3 2 3 2" xfId="3786" xr:uid="{00000000-0005-0000-0000-0000BF0E0000}"/>
    <cellStyle name="Normal 10 5 3 2 3 3" xfId="3787" xr:uid="{00000000-0005-0000-0000-0000C00E0000}"/>
    <cellStyle name="Normal 10 5 3 2 4" xfId="3788" xr:uid="{00000000-0005-0000-0000-0000C10E0000}"/>
    <cellStyle name="Normal 10 5 3 2 5" xfId="3789" xr:uid="{00000000-0005-0000-0000-0000C20E0000}"/>
    <cellStyle name="Normal 10 5 3 3" xfId="3790" xr:uid="{00000000-0005-0000-0000-0000C30E0000}"/>
    <cellStyle name="Normal 10 5 3 3 2" xfId="3791" xr:uid="{00000000-0005-0000-0000-0000C40E0000}"/>
    <cellStyle name="Normal 10 5 3 3 2 2" xfId="3792" xr:uid="{00000000-0005-0000-0000-0000C50E0000}"/>
    <cellStyle name="Normal 10 5 3 3 2 3" xfId="3793" xr:uid="{00000000-0005-0000-0000-0000C60E0000}"/>
    <cellStyle name="Normal 10 5 3 3 3" xfId="3794" xr:uid="{00000000-0005-0000-0000-0000C70E0000}"/>
    <cellStyle name="Normal 10 5 3 3 3 2" xfId="3795" xr:uid="{00000000-0005-0000-0000-0000C80E0000}"/>
    <cellStyle name="Normal 10 5 3 3 3 3" xfId="3796" xr:uid="{00000000-0005-0000-0000-0000C90E0000}"/>
    <cellStyle name="Normal 10 5 3 3 4" xfId="3797" xr:uid="{00000000-0005-0000-0000-0000CA0E0000}"/>
    <cellStyle name="Normal 10 5 3 3 5" xfId="3798" xr:uid="{00000000-0005-0000-0000-0000CB0E0000}"/>
    <cellStyle name="Normal 10 5 3 4" xfId="3799" xr:uid="{00000000-0005-0000-0000-0000CC0E0000}"/>
    <cellStyle name="Normal 10 5 3 4 2" xfId="3800" xr:uid="{00000000-0005-0000-0000-0000CD0E0000}"/>
    <cellStyle name="Normal 10 5 3 4 3" xfId="3801" xr:uid="{00000000-0005-0000-0000-0000CE0E0000}"/>
    <cellStyle name="Normal 10 5 3 5" xfId="3802" xr:uid="{00000000-0005-0000-0000-0000CF0E0000}"/>
    <cellStyle name="Normal 10 5 3 5 2" xfId="3803" xr:uid="{00000000-0005-0000-0000-0000D00E0000}"/>
    <cellStyle name="Normal 10 5 3 5 3" xfId="3804" xr:uid="{00000000-0005-0000-0000-0000D10E0000}"/>
    <cellStyle name="Normal 10 5 3 6" xfId="3805" xr:uid="{00000000-0005-0000-0000-0000D20E0000}"/>
    <cellStyle name="Normal 10 5 3 7" xfId="3806" xr:uid="{00000000-0005-0000-0000-0000D30E0000}"/>
    <cellStyle name="Normal 10 5 4" xfId="3807" xr:uid="{00000000-0005-0000-0000-0000D40E0000}"/>
    <cellStyle name="Normal 10 5 4 2" xfId="3808" xr:uid="{00000000-0005-0000-0000-0000D50E0000}"/>
    <cellStyle name="Normal 10 5 4 2 2" xfId="3809" xr:uid="{00000000-0005-0000-0000-0000D60E0000}"/>
    <cellStyle name="Normal 10 5 4 2 2 2" xfId="3810" xr:uid="{00000000-0005-0000-0000-0000D70E0000}"/>
    <cellStyle name="Normal 10 5 4 2 2 3" xfId="3811" xr:uid="{00000000-0005-0000-0000-0000D80E0000}"/>
    <cellStyle name="Normal 10 5 4 2 3" xfId="3812" xr:uid="{00000000-0005-0000-0000-0000D90E0000}"/>
    <cellStyle name="Normal 10 5 4 2 3 2" xfId="3813" xr:uid="{00000000-0005-0000-0000-0000DA0E0000}"/>
    <cellStyle name="Normal 10 5 4 2 3 3" xfId="3814" xr:uid="{00000000-0005-0000-0000-0000DB0E0000}"/>
    <cellStyle name="Normal 10 5 4 2 4" xfId="3815" xr:uid="{00000000-0005-0000-0000-0000DC0E0000}"/>
    <cellStyle name="Normal 10 5 4 2 5" xfId="3816" xr:uid="{00000000-0005-0000-0000-0000DD0E0000}"/>
    <cellStyle name="Normal 10 5 4 3" xfId="3817" xr:uid="{00000000-0005-0000-0000-0000DE0E0000}"/>
    <cellStyle name="Normal 10 5 4 3 2" xfId="3818" xr:uid="{00000000-0005-0000-0000-0000DF0E0000}"/>
    <cellStyle name="Normal 10 5 4 3 2 2" xfId="3819" xr:uid="{00000000-0005-0000-0000-0000E00E0000}"/>
    <cellStyle name="Normal 10 5 4 3 2 3" xfId="3820" xr:uid="{00000000-0005-0000-0000-0000E10E0000}"/>
    <cellStyle name="Normal 10 5 4 3 3" xfId="3821" xr:uid="{00000000-0005-0000-0000-0000E20E0000}"/>
    <cellStyle name="Normal 10 5 4 3 4" xfId="3822" xr:uid="{00000000-0005-0000-0000-0000E30E0000}"/>
    <cellStyle name="Normal 10 5 4 4" xfId="3823" xr:uid="{00000000-0005-0000-0000-0000E40E0000}"/>
    <cellStyle name="Normal 10 5 4 4 2" xfId="3824" xr:uid="{00000000-0005-0000-0000-0000E50E0000}"/>
    <cellStyle name="Normal 10 5 4 4 3" xfId="3825" xr:uid="{00000000-0005-0000-0000-0000E60E0000}"/>
    <cellStyle name="Normal 10 5 4 5" xfId="3826" xr:uid="{00000000-0005-0000-0000-0000E70E0000}"/>
    <cellStyle name="Normal 10 5 4 5 2" xfId="3827" xr:uid="{00000000-0005-0000-0000-0000E80E0000}"/>
    <cellStyle name="Normal 10 5 4 5 3" xfId="3828" xr:uid="{00000000-0005-0000-0000-0000E90E0000}"/>
    <cellStyle name="Normal 10 5 4 6" xfId="3829" xr:uid="{00000000-0005-0000-0000-0000EA0E0000}"/>
    <cellStyle name="Normal 10 5 4 7" xfId="3830" xr:uid="{00000000-0005-0000-0000-0000EB0E0000}"/>
    <cellStyle name="Normal 10 5 5" xfId="3831" xr:uid="{00000000-0005-0000-0000-0000EC0E0000}"/>
    <cellStyle name="Normal 10 5 5 2" xfId="3832" xr:uid="{00000000-0005-0000-0000-0000ED0E0000}"/>
    <cellStyle name="Normal 10 5 5 2 2" xfId="3833" xr:uid="{00000000-0005-0000-0000-0000EE0E0000}"/>
    <cellStyle name="Normal 10 5 5 2 3" xfId="3834" xr:uid="{00000000-0005-0000-0000-0000EF0E0000}"/>
    <cellStyle name="Normal 10 5 5 3" xfId="3835" xr:uid="{00000000-0005-0000-0000-0000F00E0000}"/>
    <cellStyle name="Normal 10 5 5 3 2" xfId="3836" xr:uid="{00000000-0005-0000-0000-0000F10E0000}"/>
    <cellStyle name="Normal 10 5 5 3 3" xfId="3837" xr:uid="{00000000-0005-0000-0000-0000F20E0000}"/>
    <cellStyle name="Normal 10 5 5 4" xfId="3838" xr:uid="{00000000-0005-0000-0000-0000F30E0000}"/>
    <cellStyle name="Normal 10 5 5 5" xfId="3839" xr:uid="{00000000-0005-0000-0000-0000F40E0000}"/>
    <cellStyle name="Normal 10 5 6" xfId="3840" xr:uid="{00000000-0005-0000-0000-0000F50E0000}"/>
    <cellStyle name="Normal 10 5 6 2" xfId="3841" xr:uid="{00000000-0005-0000-0000-0000F60E0000}"/>
    <cellStyle name="Normal 10 5 6 2 2" xfId="3842" xr:uid="{00000000-0005-0000-0000-0000F70E0000}"/>
    <cellStyle name="Normal 10 5 6 2 3" xfId="3843" xr:uid="{00000000-0005-0000-0000-0000F80E0000}"/>
    <cellStyle name="Normal 10 5 6 3" xfId="3844" xr:uid="{00000000-0005-0000-0000-0000F90E0000}"/>
    <cellStyle name="Normal 10 5 6 3 2" xfId="3845" xr:uid="{00000000-0005-0000-0000-0000FA0E0000}"/>
    <cellStyle name="Normal 10 5 6 3 3" xfId="3846" xr:uid="{00000000-0005-0000-0000-0000FB0E0000}"/>
    <cellStyle name="Normal 10 5 6 4" xfId="3847" xr:uid="{00000000-0005-0000-0000-0000FC0E0000}"/>
    <cellStyle name="Normal 10 5 6 5" xfId="3848" xr:uid="{00000000-0005-0000-0000-0000FD0E0000}"/>
    <cellStyle name="Normal 10 5 7" xfId="3849" xr:uid="{00000000-0005-0000-0000-0000FE0E0000}"/>
    <cellStyle name="Normal 10 5 7 2" xfId="3850" xr:uid="{00000000-0005-0000-0000-0000FF0E0000}"/>
    <cellStyle name="Normal 10 5 7 2 2" xfId="3851" xr:uid="{00000000-0005-0000-0000-0000000F0000}"/>
    <cellStyle name="Normal 10 5 7 2 3" xfId="3852" xr:uid="{00000000-0005-0000-0000-0000010F0000}"/>
    <cellStyle name="Normal 10 5 7 3" xfId="3853" xr:uid="{00000000-0005-0000-0000-0000020F0000}"/>
    <cellStyle name="Normal 10 5 7 4" xfId="3854" xr:uid="{00000000-0005-0000-0000-0000030F0000}"/>
    <cellStyle name="Normal 10 5 8" xfId="3855" xr:uid="{00000000-0005-0000-0000-0000040F0000}"/>
    <cellStyle name="Normal 10 5 8 2" xfId="3856" xr:uid="{00000000-0005-0000-0000-0000050F0000}"/>
    <cellStyle name="Normal 10 5 8 3" xfId="3857" xr:uid="{00000000-0005-0000-0000-0000060F0000}"/>
    <cellStyle name="Normal 10 5 9" xfId="3858" xr:uid="{00000000-0005-0000-0000-0000070F0000}"/>
    <cellStyle name="Normal 10 5 9 2" xfId="3859" xr:uid="{00000000-0005-0000-0000-0000080F0000}"/>
    <cellStyle name="Normal 10 5 9 3" xfId="3860" xr:uid="{00000000-0005-0000-0000-0000090F0000}"/>
    <cellStyle name="Normal 10 6" xfId="3861" xr:uid="{00000000-0005-0000-0000-00000A0F0000}"/>
    <cellStyle name="Normal 10 6 10" xfId="3862" xr:uid="{00000000-0005-0000-0000-00000B0F0000}"/>
    <cellStyle name="Normal 10 6 10 2" xfId="3863" xr:uid="{00000000-0005-0000-0000-00000C0F0000}"/>
    <cellStyle name="Normal 10 6 10 3" xfId="3864" xr:uid="{00000000-0005-0000-0000-00000D0F0000}"/>
    <cellStyle name="Normal 10 6 11" xfId="3865" xr:uid="{00000000-0005-0000-0000-00000E0F0000}"/>
    <cellStyle name="Normal 10 6 11 2" xfId="3866" xr:uid="{00000000-0005-0000-0000-00000F0F0000}"/>
    <cellStyle name="Normal 10 6 11 3" xfId="3867" xr:uid="{00000000-0005-0000-0000-0000100F0000}"/>
    <cellStyle name="Normal 10 6 12" xfId="3868" xr:uid="{00000000-0005-0000-0000-0000110F0000}"/>
    <cellStyle name="Normal 10 6 13" xfId="3869" xr:uid="{00000000-0005-0000-0000-0000120F0000}"/>
    <cellStyle name="Normal 10 6 2" xfId="3870" xr:uid="{00000000-0005-0000-0000-0000130F0000}"/>
    <cellStyle name="Normal 10 6 2 2" xfId="3871" xr:uid="{00000000-0005-0000-0000-0000140F0000}"/>
    <cellStyle name="Normal 10 6 2 2 2" xfId="3872" xr:uid="{00000000-0005-0000-0000-0000150F0000}"/>
    <cellStyle name="Normal 10 6 2 2 2 2" xfId="3873" xr:uid="{00000000-0005-0000-0000-0000160F0000}"/>
    <cellStyle name="Normal 10 6 2 2 2 2 2" xfId="3874" xr:uid="{00000000-0005-0000-0000-0000170F0000}"/>
    <cellStyle name="Normal 10 6 2 2 2 2 3" xfId="3875" xr:uid="{00000000-0005-0000-0000-0000180F0000}"/>
    <cellStyle name="Normal 10 6 2 2 2 3" xfId="3876" xr:uid="{00000000-0005-0000-0000-0000190F0000}"/>
    <cellStyle name="Normal 10 6 2 2 2 3 2" xfId="3877" xr:uid="{00000000-0005-0000-0000-00001A0F0000}"/>
    <cellStyle name="Normal 10 6 2 2 2 3 3" xfId="3878" xr:uid="{00000000-0005-0000-0000-00001B0F0000}"/>
    <cellStyle name="Normal 10 6 2 2 2 4" xfId="3879" xr:uid="{00000000-0005-0000-0000-00001C0F0000}"/>
    <cellStyle name="Normal 10 6 2 2 2 5" xfId="3880" xr:uid="{00000000-0005-0000-0000-00001D0F0000}"/>
    <cellStyle name="Normal 10 6 2 2 3" xfId="3881" xr:uid="{00000000-0005-0000-0000-00001E0F0000}"/>
    <cellStyle name="Normal 10 6 2 2 3 2" xfId="3882" xr:uid="{00000000-0005-0000-0000-00001F0F0000}"/>
    <cellStyle name="Normal 10 6 2 2 3 2 2" xfId="3883" xr:uid="{00000000-0005-0000-0000-0000200F0000}"/>
    <cellStyle name="Normal 10 6 2 2 3 2 3" xfId="3884" xr:uid="{00000000-0005-0000-0000-0000210F0000}"/>
    <cellStyle name="Normal 10 6 2 2 3 3" xfId="3885" xr:uid="{00000000-0005-0000-0000-0000220F0000}"/>
    <cellStyle name="Normal 10 6 2 2 3 3 2" xfId="3886" xr:uid="{00000000-0005-0000-0000-0000230F0000}"/>
    <cellStyle name="Normal 10 6 2 2 3 3 3" xfId="3887" xr:uid="{00000000-0005-0000-0000-0000240F0000}"/>
    <cellStyle name="Normal 10 6 2 2 3 4" xfId="3888" xr:uid="{00000000-0005-0000-0000-0000250F0000}"/>
    <cellStyle name="Normal 10 6 2 2 3 5" xfId="3889" xr:uid="{00000000-0005-0000-0000-0000260F0000}"/>
    <cellStyle name="Normal 10 6 2 2 4" xfId="3890" xr:uid="{00000000-0005-0000-0000-0000270F0000}"/>
    <cellStyle name="Normal 10 6 2 2 4 2" xfId="3891" xr:uid="{00000000-0005-0000-0000-0000280F0000}"/>
    <cellStyle name="Normal 10 6 2 2 4 3" xfId="3892" xr:uid="{00000000-0005-0000-0000-0000290F0000}"/>
    <cellStyle name="Normal 10 6 2 2 5" xfId="3893" xr:uid="{00000000-0005-0000-0000-00002A0F0000}"/>
    <cellStyle name="Normal 10 6 2 2 5 2" xfId="3894" xr:uid="{00000000-0005-0000-0000-00002B0F0000}"/>
    <cellStyle name="Normal 10 6 2 2 5 3" xfId="3895" xr:uid="{00000000-0005-0000-0000-00002C0F0000}"/>
    <cellStyle name="Normal 10 6 2 2 6" xfId="3896" xr:uid="{00000000-0005-0000-0000-00002D0F0000}"/>
    <cellStyle name="Normal 10 6 2 2 7" xfId="3897" xr:uid="{00000000-0005-0000-0000-00002E0F0000}"/>
    <cellStyle name="Normal 10 6 2 3" xfId="3898" xr:uid="{00000000-0005-0000-0000-00002F0F0000}"/>
    <cellStyle name="Normal 10 6 2 3 2" xfId="3899" xr:uid="{00000000-0005-0000-0000-0000300F0000}"/>
    <cellStyle name="Normal 10 6 2 3 2 2" xfId="3900" xr:uid="{00000000-0005-0000-0000-0000310F0000}"/>
    <cellStyle name="Normal 10 6 2 3 2 3" xfId="3901" xr:uid="{00000000-0005-0000-0000-0000320F0000}"/>
    <cellStyle name="Normal 10 6 2 3 3" xfId="3902" xr:uid="{00000000-0005-0000-0000-0000330F0000}"/>
    <cellStyle name="Normal 10 6 2 3 3 2" xfId="3903" xr:uid="{00000000-0005-0000-0000-0000340F0000}"/>
    <cellStyle name="Normal 10 6 2 3 3 3" xfId="3904" xr:uid="{00000000-0005-0000-0000-0000350F0000}"/>
    <cellStyle name="Normal 10 6 2 3 4" xfId="3905" xr:uid="{00000000-0005-0000-0000-0000360F0000}"/>
    <cellStyle name="Normal 10 6 2 3 5" xfId="3906" xr:uid="{00000000-0005-0000-0000-0000370F0000}"/>
    <cellStyle name="Normal 10 6 2 4" xfId="3907" xr:uid="{00000000-0005-0000-0000-0000380F0000}"/>
    <cellStyle name="Normal 10 6 2 4 2" xfId="3908" xr:uid="{00000000-0005-0000-0000-0000390F0000}"/>
    <cellStyle name="Normal 10 6 2 4 2 2" xfId="3909" xr:uid="{00000000-0005-0000-0000-00003A0F0000}"/>
    <cellStyle name="Normal 10 6 2 4 2 3" xfId="3910" xr:uid="{00000000-0005-0000-0000-00003B0F0000}"/>
    <cellStyle name="Normal 10 6 2 4 3" xfId="3911" xr:uid="{00000000-0005-0000-0000-00003C0F0000}"/>
    <cellStyle name="Normal 10 6 2 4 3 2" xfId="3912" xr:uid="{00000000-0005-0000-0000-00003D0F0000}"/>
    <cellStyle name="Normal 10 6 2 4 3 3" xfId="3913" xr:uid="{00000000-0005-0000-0000-00003E0F0000}"/>
    <cellStyle name="Normal 10 6 2 4 4" xfId="3914" xr:uid="{00000000-0005-0000-0000-00003F0F0000}"/>
    <cellStyle name="Normal 10 6 2 4 5" xfId="3915" xr:uid="{00000000-0005-0000-0000-0000400F0000}"/>
    <cellStyle name="Normal 10 6 2 5" xfId="3916" xr:uid="{00000000-0005-0000-0000-0000410F0000}"/>
    <cellStyle name="Normal 10 6 2 5 2" xfId="3917" xr:uid="{00000000-0005-0000-0000-0000420F0000}"/>
    <cellStyle name="Normal 10 6 2 5 3" xfId="3918" xr:uid="{00000000-0005-0000-0000-0000430F0000}"/>
    <cellStyle name="Normal 10 6 2 6" xfId="3919" xr:uid="{00000000-0005-0000-0000-0000440F0000}"/>
    <cellStyle name="Normal 10 6 2 6 2" xfId="3920" xr:uid="{00000000-0005-0000-0000-0000450F0000}"/>
    <cellStyle name="Normal 10 6 2 6 3" xfId="3921" xr:uid="{00000000-0005-0000-0000-0000460F0000}"/>
    <cellStyle name="Normal 10 6 2 7" xfId="3922" xr:uid="{00000000-0005-0000-0000-0000470F0000}"/>
    <cellStyle name="Normal 10 6 2 7 2" xfId="3923" xr:uid="{00000000-0005-0000-0000-0000480F0000}"/>
    <cellStyle name="Normal 10 6 2 7 3" xfId="3924" xr:uid="{00000000-0005-0000-0000-0000490F0000}"/>
    <cellStyle name="Normal 10 6 2 8" xfId="3925" xr:uid="{00000000-0005-0000-0000-00004A0F0000}"/>
    <cellStyle name="Normal 10 6 2 9" xfId="3926" xr:uid="{00000000-0005-0000-0000-00004B0F0000}"/>
    <cellStyle name="Normal 10 6 3" xfId="3927" xr:uid="{00000000-0005-0000-0000-00004C0F0000}"/>
    <cellStyle name="Normal 10 6 3 2" xfId="3928" xr:uid="{00000000-0005-0000-0000-00004D0F0000}"/>
    <cellStyle name="Normal 10 6 3 2 2" xfId="3929" xr:uid="{00000000-0005-0000-0000-00004E0F0000}"/>
    <cellStyle name="Normal 10 6 3 2 2 2" xfId="3930" xr:uid="{00000000-0005-0000-0000-00004F0F0000}"/>
    <cellStyle name="Normal 10 6 3 2 2 3" xfId="3931" xr:uid="{00000000-0005-0000-0000-0000500F0000}"/>
    <cellStyle name="Normal 10 6 3 2 3" xfId="3932" xr:uid="{00000000-0005-0000-0000-0000510F0000}"/>
    <cellStyle name="Normal 10 6 3 2 3 2" xfId="3933" xr:uid="{00000000-0005-0000-0000-0000520F0000}"/>
    <cellStyle name="Normal 10 6 3 2 3 3" xfId="3934" xr:uid="{00000000-0005-0000-0000-0000530F0000}"/>
    <cellStyle name="Normal 10 6 3 2 4" xfId="3935" xr:uid="{00000000-0005-0000-0000-0000540F0000}"/>
    <cellStyle name="Normal 10 6 3 2 5" xfId="3936" xr:uid="{00000000-0005-0000-0000-0000550F0000}"/>
    <cellStyle name="Normal 10 6 3 3" xfId="3937" xr:uid="{00000000-0005-0000-0000-0000560F0000}"/>
    <cellStyle name="Normal 10 6 3 3 2" xfId="3938" xr:uid="{00000000-0005-0000-0000-0000570F0000}"/>
    <cellStyle name="Normal 10 6 3 3 2 2" xfId="3939" xr:uid="{00000000-0005-0000-0000-0000580F0000}"/>
    <cellStyle name="Normal 10 6 3 3 2 3" xfId="3940" xr:uid="{00000000-0005-0000-0000-0000590F0000}"/>
    <cellStyle name="Normal 10 6 3 3 3" xfId="3941" xr:uid="{00000000-0005-0000-0000-00005A0F0000}"/>
    <cellStyle name="Normal 10 6 3 3 3 2" xfId="3942" xr:uid="{00000000-0005-0000-0000-00005B0F0000}"/>
    <cellStyle name="Normal 10 6 3 3 3 3" xfId="3943" xr:uid="{00000000-0005-0000-0000-00005C0F0000}"/>
    <cellStyle name="Normal 10 6 3 3 4" xfId="3944" xr:uid="{00000000-0005-0000-0000-00005D0F0000}"/>
    <cellStyle name="Normal 10 6 3 3 5" xfId="3945" xr:uid="{00000000-0005-0000-0000-00005E0F0000}"/>
    <cellStyle name="Normal 10 6 3 4" xfId="3946" xr:uid="{00000000-0005-0000-0000-00005F0F0000}"/>
    <cellStyle name="Normal 10 6 3 4 2" xfId="3947" xr:uid="{00000000-0005-0000-0000-0000600F0000}"/>
    <cellStyle name="Normal 10 6 3 4 3" xfId="3948" xr:uid="{00000000-0005-0000-0000-0000610F0000}"/>
    <cellStyle name="Normal 10 6 3 5" xfId="3949" xr:uid="{00000000-0005-0000-0000-0000620F0000}"/>
    <cellStyle name="Normal 10 6 3 5 2" xfId="3950" xr:uid="{00000000-0005-0000-0000-0000630F0000}"/>
    <cellStyle name="Normal 10 6 3 5 3" xfId="3951" xr:uid="{00000000-0005-0000-0000-0000640F0000}"/>
    <cellStyle name="Normal 10 6 3 6" xfId="3952" xr:uid="{00000000-0005-0000-0000-0000650F0000}"/>
    <cellStyle name="Normal 10 6 3 7" xfId="3953" xr:uid="{00000000-0005-0000-0000-0000660F0000}"/>
    <cellStyle name="Normal 10 6 4" xfId="3954" xr:uid="{00000000-0005-0000-0000-0000670F0000}"/>
    <cellStyle name="Normal 10 6 4 2" xfId="3955" xr:uid="{00000000-0005-0000-0000-0000680F0000}"/>
    <cellStyle name="Normal 10 6 4 2 2" xfId="3956" xr:uid="{00000000-0005-0000-0000-0000690F0000}"/>
    <cellStyle name="Normal 10 6 4 2 2 2" xfId="3957" xr:uid="{00000000-0005-0000-0000-00006A0F0000}"/>
    <cellStyle name="Normal 10 6 4 2 2 3" xfId="3958" xr:uid="{00000000-0005-0000-0000-00006B0F0000}"/>
    <cellStyle name="Normal 10 6 4 2 3" xfId="3959" xr:uid="{00000000-0005-0000-0000-00006C0F0000}"/>
    <cellStyle name="Normal 10 6 4 2 3 2" xfId="3960" xr:uid="{00000000-0005-0000-0000-00006D0F0000}"/>
    <cellStyle name="Normal 10 6 4 2 3 3" xfId="3961" xr:uid="{00000000-0005-0000-0000-00006E0F0000}"/>
    <cellStyle name="Normal 10 6 4 2 4" xfId="3962" xr:uid="{00000000-0005-0000-0000-00006F0F0000}"/>
    <cellStyle name="Normal 10 6 4 2 5" xfId="3963" xr:uid="{00000000-0005-0000-0000-0000700F0000}"/>
    <cellStyle name="Normal 10 6 4 3" xfId="3964" xr:uid="{00000000-0005-0000-0000-0000710F0000}"/>
    <cellStyle name="Normal 10 6 4 3 2" xfId="3965" xr:uid="{00000000-0005-0000-0000-0000720F0000}"/>
    <cellStyle name="Normal 10 6 4 3 2 2" xfId="3966" xr:uid="{00000000-0005-0000-0000-0000730F0000}"/>
    <cellStyle name="Normal 10 6 4 3 2 3" xfId="3967" xr:uid="{00000000-0005-0000-0000-0000740F0000}"/>
    <cellStyle name="Normal 10 6 4 3 3" xfId="3968" xr:uid="{00000000-0005-0000-0000-0000750F0000}"/>
    <cellStyle name="Normal 10 6 4 3 4" xfId="3969" xr:uid="{00000000-0005-0000-0000-0000760F0000}"/>
    <cellStyle name="Normal 10 6 4 4" xfId="3970" xr:uid="{00000000-0005-0000-0000-0000770F0000}"/>
    <cellStyle name="Normal 10 6 4 4 2" xfId="3971" xr:uid="{00000000-0005-0000-0000-0000780F0000}"/>
    <cellStyle name="Normal 10 6 4 4 3" xfId="3972" xr:uid="{00000000-0005-0000-0000-0000790F0000}"/>
    <cellStyle name="Normal 10 6 4 5" xfId="3973" xr:uid="{00000000-0005-0000-0000-00007A0F0000}"/>
    <cellStyle name="Normal 10 6 4 5 2" xfId="3974" xr:uid="{00000000-0005-0000-0000-00007B0F0000}"/>
    <cellStyle name="Normal 10 6 4 5 3" xfId="3975" xr:uid="{00000000-0005-0000-0000-00007C0F0000}"/>
    <cellStyle name="Normal 10 6 4 6" xfId="3976" xr:uid="{00000000-0005-0000-0000-00007D0F0000}"/>
    <cellStyle name="Normal 10 6 4 7" xfId="3977" xr:uid="{00000000-0005-0000-0000-00007E0F0000}"/>
    <cellStyle name="Normal 10 6 5" xfId="3978" xr:uid="{00000000-0005-0000-0000-00007F0F0000}"/>
    <cellStyle name="Normal 10 6 5 2" xfId="3979" xr:uid="{00000000-0005-0000-0000-0000800F0000}"/>
    <cellStyle name="Normal 10 6 5 2 2" xfId="3980" xr:uid="{00000000-0005-0000-0000-0000810F0000}"/>
    <cellStyle name="Normal 10 6 5 2 3" xfId="3981" xr:uid="{00000000-0005-0000-0000-0000820F0000}"/>
    <cellStyle name="Normal 10 6 5 3" xfId="3982" xr:uid="{00000000-0005-0000-0000-0000830F0000}"/>
    <cellStyle name="Normal 10 6 5 3 2" xfId="3983" xr:uid="{00000000-0005-0000-0000-0000840F0000}"/>
    <cellStyle name="Normal 10 6 5 3 3" xfId="3984" xr:uid="{00000000-0005-0000-0000-0000850F0000}"/>
    <cellStyle name="Normal 10 6 5 4" xfId="3985" xr:uid="{00000000-0005-0000-0000-0000860F0000}"/>
    <cellStyle name="Normal 10 6 5 5" xfId="3986" xr:uid="{00000000-0005-0000-0000-0000870F0000}"/>
    <cellStyle name="Normal 10 6 6" xfId="3987" xr:uid="{00000000-0005-0000-0000-0000880F0000}"/>
    <cellStyle name="Normal 10 6 6 2" xfId="3988" xr:uid="{00000000-0005-0000-0000-0000890F0000}"/>
    <cellStyle name="Normal 10 6 6 2 2" xfId="3989" xr:uid="{00000000-0005-0000-0000-00008A0F0000}"/>
    <cellStyle name="Normal 10 6 6 2 3" xfId="3990" xr:uid="{00000000-0005-0000-0000-00008B0F0000}"/>
    <cellStyle name="Normal 10 6 6 3" xfId="3991" xr:uid="{00000000-0005-0000-0000-00008C0F0000}"/>
    <cellStyle name="Normal 10 6 6 3 2" xfId="3992" xr:uid="{00000000-0005-0000-0000-00008D0F0000}"/>
    <cellStyle name="Normal 10 6 6 3 3" xfId="3993" xr:uid="{00000000-0005-0000-0000-00008E0F0000}"/>
    <cellStyle name="Normal 10 6 6 4" xfId="3994" xr:uid="{00000000-0005-0000-0000-00008F0F0000}"/>
    <cellStyle name="Normal 10 6 6 5" xfId="3995" xr:uid="{00000000-0005-0000-0000-0000900F0000}"/>
    <cellStyle name="Normal 10 6 7" xfId="3996" xr:uid="{00000000-0005-0000-0000-0000910F0000}"/>
    <cellStyle name="Normal 10 6 7 2" xfId="3997" xr:uid="{00000000-0005-0000-0000-0000920F0000}"/>
    <cellStyle name="Normal 10 6 7 2 2" xfId="3998" xr:uid="{00000000-0005-0000-0000-0000930F0000}"/>
    <cellStyle name="Normal 10 6 7 2 3" xfId="3999" xr:uid="{00000000-0005-0000-0000-0000940F0000}"/>
    <cellStyle name="Normal 10 6 7 3" xfId="4000" xr:uid="{00000000-0005-0000-0000-0000950F0000}"/>
    <cellStyle name="Normal 10 6 7 4" xfId="4001" xr:uid="{00000000-0005-0000-0000-0000960F0000}"/>
    <cellStyle name="Normal 10 6 8" xfId="4002" xr:uid="{00000000-0005-0000-0000-0000970F0000}"/>
    <cellStyle name="Normal 10 6 8 2" xfId="4003" xr:uid="{00000000-0005-0000-0000-0000980F0000}"/>
    <cellStyle name="Normal 10 6 8 3" xfId="4004" xr:uid="{00000000-0005-0000-0000-0000990F0000}"/>
    <cellStyle name="Normal 10 6 9" xfId="4005" xr:uid="{00000000-0005-0000-0000-00009A0F0000}"/>
    <cellStyle name="Normal 10 6 9 2" xfId="4006" xr:uid="{00000000-0005-0000-0000-00009B0F0000}"/>
    <cellStyle name="Normal 10 6 9 3" xfId="4007" xr:uid="{00000000-0005-0000-0000-00009C0F0000}"/>
    <cellStyle name="Normal 10 7" xfId="4008" xr:uid="{00000000-0005-0000-0000-00009D0F0000}"/>
    <cellStyle name="Normal 10 7 10" xfId="4009" xr:uid="{00000000-0005-0000-0000-00009E0F0000}"/>
    <cellStyle name="Normal 10 7 10 2" xfId="4010" xr:uid="{00000000-0005-0000-0000-00009F0F0000}"/>
    <cellStyle name="Normal 10 7 10 3" xfId="4011" xr:uid="{00000000-0005-0000-0000-0000A00F0000}"/>
    <cellStyle name="Normal 10 7 11" xfId="4012" xr:uid="{00000000-0005-0000-0000-0000A10F0000}"/>
    <cellStyle name="Normal 10 7 11 2" xfId="4013" xr:uid="{00000000-0005-0000-0000-0000A20F0000}"/>
    <cellStyle name="Normal 10 7 11 3" xfId="4014" xr:uid="{00000000-0005-0000-0000-0000A30F0000}"/>
    <cellStyle name="Normal 10 7 12" xfId="4015" xr:uid="{00000000-0005-0000-0000-0000A40F0000}"/>
    <cellStyle name="Normal 10 7 13" xfId="4016" xr:uid="{00000000-0005-0000-0000-0000A50F0000}"/>
    <cellStyle name="Normal 10 7 2" xfId="4017" xr:uid="{00000000-0005-0000-0000-0000A60F0000}"/>
    <cellStyle name="Normal 10 7 2 2" xfId="4018" xr:uid="{00000000-0005-0000-0000-0000A70F0000}"/>
    <cellStyle name="Normal 10 7 2 2 2" xfId="4019" xr:uid="{00000000-0005-0000-0000-0000A80F0000}"/>
    <cellStyle name="Normal 10 7 2 2 2 2" xfId="4020" xr:uid="{00000000-0005-0000-0000-0000A90F0000}"/>
    <cellStyle name="Normal 10 7 2 2 2 2 2" xfId="4021" xr:uid="{00000000-0005-0000-0000-0000AA0F0000}"/>
    <cellStyle name="Normal 10 7 2 2 2 2 3" xfId="4022" xr:uid="{00000000-0005-0000-0000-0000AB0F0000}"/>
    <cellStyle name="Normal 10 7 2 2 2 3" xfId="4023" xr:uid="{00000000-0005-0000-0000-0000AC0F0000}"/>
    <cellStyle name="Normal 10 7 2 2 2 3 2" xfId="4024" xr:uid="{00000000-0005-0000-0000-0000AD0F0000}"/>
    <cellStyle name="Normal 10 7 2 2 2 3 3" xfId="4025" xr:uid="{00000000-0005-0000-0000-0000AE0F0000}"/>
    <cellStyle name="Normal 10 7 2 2 2 4" xfId="4026" xr:uid="{00000000-0005-0000-0000-0000AF0F0000}"/>
    <cellStyle name="Normal 10 7 2 2 2 5" xfId="4027" xr:uid="{00000000-0005-0000-0000-0000B00F0000}"/>
    <cellStyle name="Normal 10 7 2 2 3" xfId="4028" xr:uid="{00000000-0005-0000-0000-0000B10F0000}"/>
    <cellStyle name="Normal 10 7 2 2 3 2" xfId="4029" xr:uid="{00000000-0005-0000-0000-0000B20F0000}"/>
    <cellStyle name="Normal 10 7 2 2 3 2 2" xfId="4030" xr:uid="{00000000-0005-0000-0000-0000B30F0000}"/>
    <cellStyle name="Normal 10 7 2 2 3 2 3" xfId="4031" xr:uid="{00000000-0005-0000-0000-0000B40F0000}"/>
    <cellStyle name="Normal 10 7 2 2 3 3" xfId="4032" xr:uid="{00000000-0005-0000-0000-0000B50F0000}"/>
    <cellStyle name="Normal 10 7 2 2 3 3 2" xfId="4033" xr:uid="{00000000-0005-0000-0000-0000B60F0000}"/>
    <cellStyle name="Normal 10 7 2 2 3 3 3" xfId="4034" xr:uid="{00000000-0005-0000-0000-0000B70F0000}"/>
    <cellStyle name="Normal 10 7 2 2 3 4" xfId="4035" xr:uid="{00000000-0005-0000-0000-0000B80F0000}"/>
    <cellStyle name="Normal 10 7 2 2 3 5" xfId="4036" xr:uid="{00000000-0005-0000-0000-0000B90F0000}"/>
    <cellStyle name="Normal 10 7 2 2 4" xfId="4037" xr:uid="{00000000-0005-0000-0000-0000BA0F0000}"/>
    <cellStyle name="Normal 10 7 2 2 4 2" xfId="4038" xr:uid="{00000000-0005-0000-0000-0000BB0F0000}"/>
    <cellStyle name="Normal 10 7 2 2 4 3" xfId="4039" xr:uid="{00000000-0005-0000-0000-0000BC0F0000}"/>
    <cellStyle name="Normal 10 7 2 2 5" xfId="4040" xr:uid="{00000000-0005-0000-0000-0000BD0F0000}"/>
    <cellStyle name="Normal 10 7 2 2 5 2" xfId="4041" xr:uid="{00000000-0005-0000-0000-0000BE0F0000}"/>
    <cellStyle name="Normal 10 7 2 2 5 3" xfId="4042" xr:uid="{00000000-0005-0000-0000-0000BF0F0000}"/>
    <cellStyle name="Normal 10 7 2 2 6" xfId="4043" xr:uid="{00000000-0005-0000-0000-0000C00F0000}"/>
    <cellStyle name="Normal 10 7 2 2 7" xfId="4044" xr:uid="{00000000-0005-0000-0000-0000C10F0000}"/>
    <cellStyle name="Normal 10 7 2 3" xfId="4045" xr:uid="{00000000-0005-0000-0000-0000C20F0000}"/>
    <cellStyle name="Normal 10 7 2 3 2" xfId="4046" xr:uid="{00000000-0005-0000-0000-0000C30F0000}"/>
    <cellStyle name="Normal 10 7 2 3 2 2" xfId="4047" xr:uid="{00000000-0005-0000-0000-0000C40F0000}"/>
    <cellStyle name="Normal 10 7 2 3 2 3" xfId="4048" xr:uid="{00000000-0005-0000-0000-0000C50F0000}"/>
    <cellStyle name="Normal 10 7 2 3 3" xfId="4049" xr:uid="{00000000-0005-0000-0000-0000C60F0000}"/>
    <cellStyle name="Normal 10 7 2 3 3 2" xfId="4050" xr:uid="{00000000-0005-0000-0000-0000C70F0000}"/>
    <cellStyle name="Normal 10 7 2 3 3 3" xfId="4051" xr:uid="{00000000-0005-0000-0000-0000C80F0000}"/>
    <cellStyle name="Normal 10 7 2 3 4" xfId="4052" xr:uid="{00000000-0005-0000-0000-0000C90F0000}"/>
    <cellStyle name="Normal 10 7 2 3 5" xfId="4053" xr:uid="{00000000-0005-0000-0000-0000CA0F0000}"/>
    <cellStyle name="Normal 10 7 2 4" xfId="4054" xr:uid="{00000000-0005-0000-0000-0000CB0F0000}"/>
    <cellStyle name="Normal 10 7 2 4 2" xfId="4055" xr:uid="{00000000-0005-0000-0000-0000CC0F0000}"/>
    <cellStyle name="Normal 10 7 2 4 2 2" xfId="4056" xr:uid="{00000000-0005-0000-0000-0000CD0F0000}"/>
    <cellStyle name="Normal 10 7 2 4 2 3" xfId="4057" xr:uid="{00000000-0005-0000-0000-0000CE0F0000}"/>
    <cellStyle name="Normal 10 7 2 4 3" xfId="4058" xr:uid="{00000000-0005-0000-0000-0000CF0F0000}"/>
    <cellStyle name="Normal 10 7 2 4 3 2" xfId="4059" xr:uid="{00000000-0005-0000-0000-0000D00F0000}"/>
    <cellStyle name="Normal 10 7 2 4 3 3" xfId="4060" xr:uid="{00000000-0005-0000-0000-0000D10F0000}"/>
    <cellStyle name="Normal 10 7 2 4 4" xfId="4061" xr:uid="{00000000-0005-0000-0000-0000D20F0000}"/>
    <cellStyle name="Normal 10 7 2 4 5" xfId="4062" xr:uid="{00000000-0005-0000-0000-0000D30F0000}"/>
    <cellStyle name="Normal 10 7 2 5" xfId="4063" xr:uid="{00000000-0005-0000-0000-0000D40F0000}"/>
    <cellStyle name="Normal 10 7 2 5 2" xfId="4064" xr:uid="{00000000-0005-0000-0000-0000D50F0000}"/>
    <cellStyle name="Normal 10 7 2 5 3" xfId="4065" xr:uid="{00000000-0005-0000-0000-0000D60F0000}"/>
    <cellStyle name="Normal 10 7 2 6" xfId="4066" xr:uid="{00000000-0005-0000-0000-0000D70F0000}"/>
    <cellStyle name="Normal 10 7 2 6 2" xfId="4067" xr:uid="{00000000-0005-0000-0000-0000D80F0000}"/>
    <cellStyle name="Normal 10 7 2 6 3" xfId="4068" xr:uid="{00000000-0005-0000-0000-0000D90F0000}"/>
    <cellStyle name="Normal 10 7 2 7" xfId="4069" xr:uid="{00000000-0005-0000-0000-0000DA0F0000}"/>
    <cellStyle name="Normal 10 7 2 7 2" xfId="4070" xr:uid="{00000000-0005-0000-0000-0000DB0F0000}"/>
    <cellStyle name="Normal 10 7 2 7 3" xfId="4071" xr:uid="{00000000-0005-0000-0000-0000DC0F0000}"/>
    <cellStyle name="Normal 10 7 2 8" xfId="4072" xr:uid="{00000000-0005-0000-0000-0000DD0F0000}"/>
    <cellStyle name="Normal 10 7 2 9" xfId="4073" xr:uid="{00000000-0005-0000-0000-0000DE0F0000}"/>
    <cellStyle name="Normal 10 7 3" xfId="4074" xr:uid="{00000000-0005-0000-0000-0000DF0F0000}"/>
    <cellStyle name="Normal 10 7 3 2" xfId="4075" xr:uid="{00000000-0005-0000-0000-0000E00F0000}"/>
    <cellStyle name="Normal 10 7 3 2 2" xfId="4076" xr:uid="{00000000-0005-0000-0000-0000E10F0000}"/>
    <cellStyle name="Normal 10 7 3 2 2 2" xfId="4077" xr:uid="{00000000-0005-0000-0000-0000E20F0000}"/>
    <cellStyle name="Normal 10 7 3 2 2 3" xfId="4078" xr:uid="{00000000-0005-0000-0000-0000E30F0000}"/>
    <cellStyle name="Normal 10 7 3 2 3" xfId="4079" xr:uid="{00000000-0005-0000-0000-0000E40F0000}"/>
    <cellStyle name="Normal 10 7 3 2 3 2" xfId="4080" xr:uid="{00000000-0005-0000-0000-0000E50F0000}"/>
    <cellStyle name="Normal 10 7 3 2 3 3" xfId="4081" xr:uid="{00000000-0005-0000-0000-0000E60F0000}"/>
    <cellStyle name="Normal 10 7 3 2 4" xfId="4082" xr:uid="{00000000-0005-0000-0000-0000E70F0000}"/>
    <cellStyle name="Normal 10 7 3 2 5" xfId="4083" xr:uid="{00000000-0005-0000-0000-0000E80F0000}"/>
    <cellStyle name="Normal 10 7 3 3" xfId="4084" xr:uid="{00000000-0005-0000-0000-0000E90F0000}"/>
    <cellStyle name="Normal 10 7 3 3 2" xfId="4085" xr:uid="{00000000-0005-0000-0000-0000EA0F0000}"/>
    <cellStyle name="Normal 10 7 3 3 2 2" xfId="4086" xr:uid="{00000000-0005-0000-0000-0000EB0F0000}"/>
    <cellStyle name="Normal 10 7 3 3 2 3" xfId="4087" xr:uid="{00000000-0005-0000-0000-0000EC0F0000}"/>
    <cellStyle name="Normal 10 7 3 3 3" xfId="4088" xr:uid="{00000000-0005-0000-0000-0000ED0F0000}"/>
    <cellStyle name="Normal 10 7 3 3 3 2" xfId="4089" xr:uid="{00000000-0005-0000-0000-0000EE0F0000}"/>
    <cellStyle name="Normal 10 7 3 3 3 3" xfId="4090" xr:uid="{00000000-0005-0000-0000-0000EF0F0000}"/>
    <cellStyle name="Normal 10 7 3 3 4" xfId="4091" xr:uid="{00000000-0005-0000-0000-0000F00F0000}"/>
    <cellStyle name="Normal 10 7 3 3 5" xfId="4092" xr:uid="{00000000-0005-0000-0000-0000F10F0000}"/>
    <cellStyle name="Normal 10 7 3 4" xfId="4093" xr:uid="{00000000-0005-0000-0000-0000F20F0000}"/>
    <cellStyle name="Normal 10 7 3 4 2" xfId="4094" xr:uid="{00000000-0005-0000-0000-0000F30F0000}"/>
    <cellStyle name="Normal 10 7 3 4 3" xfId="4095" xr:uid="{00000000-0005-0000-0000-0000F40F0000}"/>
    <cellStyle name="Normal 10 7 3 5" xfId="4096" xr:uid="{00000000-0005-0000-0000-0000F50F0000}"/>
    <cellStyle name="Normal 10 7 3 5 2" xfId="4097" xr:uid="{00000000-0005-0000-0000-0000F60F0000}"/>
    <cellStyle name="Normal 10 7 3 5 3" xfId="4098" xr:uid="{00000000-0005-0000-0000-0000F70F0000}"/>
    <cellStyle name="Normal 10 7 3 6" xfId="4099" xr:uid="{00000000-0005-0000-0000-0000F80F0000}"/>
    <cellStyle name="Normal 10 7 3 7" xfId="4100" xr:uid="{00000000-0005-0000-0000-0000F90F0000}"/>
    <cellStyle name="Normal 10 7 4" xfId="4101" xr:uid="{00000000-0005-0000-0000-0000FA0F0000}"/>
    <cellStyle name="Normal 10 7 4 2" xfId="4102" xr:uid="{00000000-0005-0000-0000-0000FB0F0000}"/>
    <cellStyle name="Normal 10 7 4 2 2" xfId="4103" xr:uid="{00000000-0005-0000-0000-0000FC0F0000}"/>
    <cellStyle name="Normal 10 7 4 2 2 2" xfId="4104" xr:uid="{00000000-0005-0000-0000-0000FD0F0000}"/>
    <cellStyle name="Normal 10 7 4 2 2 3" xfId="4105" xr:uid="{00000000-0005-0000-0000-0000FE0F0000}"/>
    <cellStyle name="Normal 10 7 4 2 3" xfId="4106" xr:uid="{00000000-0005-0000-0000-0000FF0F0000}"/>
    <cellStyle name="Normal 10 7 4 2 3 2" xfId="4107" xr:uid="{00000000-0005-0000-0000-000000100000}"/>
    <cellStyle name="Normal 10 7 4 2 3 3" xfId="4108" xr:uid="{00000000-0005-0000-0000-000001100000}"/>
    <cellStyle name="Normal 10 7 4 2 4" xfId="4109" xr:uid="{00000000-0005-0000-0000-000002100000}"/>
    <cellStyle name="Normal 10 7 4 2 5" xfId="4110" xr:uid="{00000000-0005-0000-0000-000003100000}"/>
    <cellStyle name="Normal 10 7 4 3" xfId="4111" xr:uid="{00000000-0005-0000-0000-000004100000}"/>
    <cellStyle name="Normal 10 7 4 3 2" xfId="4112" xr:uid="{00000000-0005-0000-0000-000005100000}"/>
    <cellStyle name="Normal 10 7 4 3 2 2" xfId="4113" xr:uid="{00000000-0005-0000-0000-000006100000}"/>
    <cellStyle name="Normal 10 7 4 3 2 3" xfId="4114" xr:uid="{00000000-0005-0000-0000-000007100000}"/>
    <cellStyle name="Normal 10 7 4 3 3" xfId="4115" xr:uid="{00000000-0005-0000-0000-000008100000}"/>
    <cellStyle name="Normal 10 7 4 3 4" xfId="4116" xr:uid="{00000000-0005-0000-0000-000009100000}"/>
    <cellStyle name="Normal 10 7 4 4" xfId="4117" xr:uid="{00000000-0005-0000-0000-00000A100000}"/>
    <cellStyle name="Normal 10 7 4 4 2" xfId="4118" xr:uid="{00000000-0005-0000-0000-00000B100000}"/>
    <cellStyle name="Normal 10 7 4 4 3" xfId="4119" xr:uid="{00000000-0005-0000-0000-00000C100000}"/>
    <cellStyle name="Normal 10 7 4 5" xfId="4120" xr:uid="{00000000-0005-0000-0000-00000D100000}"/>
    <cellStyle name="Normal 10 7 4 5 2" xfId="4121" xr:uid="{00000000-0005-0000-0000-00000E100000}"/>
    <cellStyle name="Normal 10 7 4 5 3" xfId="4122" xr:uid="{00000000-0005-0000-0000-00000F100000}"/>
    <cellStyle name="Normal 10 7 4 6" xfId="4123" xr:uid="{00000000-0005-0000-0000-000010100000}"/>
    <cellStyle name="Normal 10 7 4 7" xfId="4124" xr:uid="{00000000-0005-0000-0000-000011100000}"/>
    <cellStyle name="Normal 10 7 5" xfId="4125" xr:uid="{00000000-0005-0000-0000-000012100000}"/>
    <cellStyle name="Normal 10 7 5 2" xfId="4126" xr:uid="{00000000-0005-0000-0000-000013100000}"/>
    <cellStyle name="Normal 10 7 5 2 2" xfId="4127" xr:uid="{00000000-0005-0000-0000-000014100000}"/>
    <cellStyle name="Normal 10 7 5 2 3" xfId="4128" xr:uid="{00000000-0005-0000-0000-000015100000}"/>
    <cellStyle name="Normal 10 7 5 3" xfId="4129" xr:uid="{00000000-0005-0000-0000-000016100000}"/>
    <cellStyle name="Normal 10 7 5 3 2" xfId="4130" xr:uid="{00000000-0005-0000-0000-000017100000}"/>
    <cellStyle name="Normal 10 7 5 3 3" xfId="4131" xr:uid="{00000000-0005-0000-0000-000018100000}"/>
    <cellStyle name="Normal 10 7 5 4" xfId="4132" xr:uid="{00000000-0005-0000-0000-000019100000}"/>
    <cellStyle name="Normal 10 7 5 5" xfId="4133" xr:uid="{00000000-0005-0000-0000-00001A100000}"/>
    <cellStyle name="Normal 10 7 6" xfId="4134" xr:uid="{00000000-0005-0000-0000-00001B100000}"/>
    <cellStyle name="Normal 10 7 6 2" xfId="4135" xr:uid="{00000000-0005-0000-0000-00001C100000}"/>
    <cellStyle name="Normal 10 7 6 2 2" xfId="4136" xr:uid="{00000000-0005-0000-0000-00001D100000}"/>
    <cellStyle name="Normal 10 7 6 2 3" xfId="4137" xr:uid="{00000000-0005-0000-0000-00001E100000}"/>
    <cellStyle name="Normal 10 7 6 3" xfId="4138" xr:uid="{00000000-0005-0000-0000-00001F100000}"/>
    <cellStyle name="Normal 10 7 6 3 2" xfId="4139" xr:uid="{00000000-0005-0000-0000-000020100000}"/>
    <cellStyle name="Normal 10 7 6 3 3" xfId="4140" xr:uid="{00000000-0005-0000-0000-000021100000}"/>
    <cellStyle name="Normal 10 7 6 4" xfId="4141" xr:uid="{00000000-0005-0000-0000-000022100000}"/>
    <cellStyle name="Normal 10 7 6 5" xfId="4142" xr:uid="{00000000-0005-0000-0000-000023100000}"/>
    <cellStyle name="Normal 10 7 7" xfId="4143" xr:uid="{00000000-0005-0000-0000-000024100000}"/>
    <cellStyle name="Normal 10 7 7 2" xfId="4144" xr:uid="{00000000-0005-0000-0000-000025100000}"/>
    <cellStyle name="Normal 10 7 7 2 2" xfId="4145" xr:uid="{00000000-0005-0000-0000-000026100000}"/>
    <cellStyle name="Normal 10 7 7 2 3" xfId="4146" xr:uid="{00000000-0005-0000-0000-000027100000}"/>
    <cellStyle name="Normal 10 7 7 3" xfId="4147" xr:uid="{00000000-0005-0000-0000-000028100000}"/>
    <cellStyle name="Normal 10 7 7 4" xfId="4148" xr:uid="{00000000-0005-0000-0000-000029100000}"/>
    <cellStyle name="Normal 10 7 8" xfId="4149" xr:uid="{00000000-0005-0000-0000-00002A100000}"/>
    <cellStyle name="Normal 10 7 8 2" xfId="4150" xr:uid="{00000000-0005-0000-0000-00002B100000}"/>
    <cellStyle name="Normal 10 7 8 3" xfId="4151" xr:uid="{00000000-0005-0000-0000-00002C100000}"/>
    <cellStyle name="Normal 10 7 9" xfId="4152" xr:uid="{00000000-0005-0000-0000-00002D100000}"/>
    <cellStyle name="Normal 10 7 9 2" xfId="4153" xr:uid="{00000000-0005-0000-0000-00002E100000}"/>
    <cellStyle name="Normal 10 7 9 3" xfId="4154" xr:uid="{00000000-0005-0000-0000-00002F100000}"/>
    <cellStyle name="Normal 10 8" xfId="4155" xr:uid="{00000000-0005-0000-0000-000030100000}"/>
    <cellStyle name="Normal 10 8 2" xfId="4156" xr:uid="{00000000-0005-0000-0000-000031100000}"/>
    <cellStyle name="Normal 10 8 2 2" xfId="4157" xr:uid="{00000000-0005-0000-0000-000032100000}"/>
    <cellStyle name="Normal 10 8 2 2 2" xfId="4158" xr:uid="{00000000-0005-0000-0000-000033100000}"/>
    <cellStyle name="Normal 10 8 2 2 2 2" xfId="4159" xr:uid="{00000000-0005-0000-0000-000034100000}"/>
    <cellStyle name="Normal 10 8 2 2 2 3" xfId="4160" xr:uid="{00000000-0005-0000-0000-000035100000}"/>
    <cellStyle name="Normal 10 8 2 2 3" xfId="4161" xr:uid="{00000000-0005-0000-0000-000036100000}"/>
    <cellStyle name="Normal 10 8 2 2 3 2" xfId="4162" xr:uid="{00000000-0005-0000-0000-000037100000}"/>
    <cellStyle name="Normal 10 8 2 2 3 3" xfId="4163" xr:uid="{00000000-0005-0000-0000-000038100000}"/>
    <cellStyle name="Normal 10 8 2 2 4" xfId="4164" xr:uid="{00000000-0005-0000-0000-000039100000}"/>
    <cellStyle name="Normal 10 8 2 2 5" xfId="4165" xr:uid="{00000000-0005-0000-0000-00003A100000}"/>
    <cellStyle name="Normal 10 8 2 3" xfId="4166" xr:uid="{00000000-0005-0000-0000-00003B100000}"/>
    <cellStyle name="Normal 10 8 2 3 2" xfId="4167" xr:uid="{00000000-0005-0000-0000-00003C100000}"/>
    <cellStyle name="Normal 10 8 2 3 2 2" xfId="4168" xr:uid="{00000000-0005-0000-0000-00003D100000}"/>
    <cellStyle name="Normal 10 8 2 3 2 3" xfId="4169" xr:uid="{00000000-0005-0000-0000-00003E100000}"/>
    <cellStyle name="Normal 10 8 2 3 3" xfId="4170" xr:uid="{00000000-0005-0000-0000-00003F100000}"/>
    <cellStyle name="Normal 10 8 2 3 3 2" xfId="4171" xr:uid="{00000000-0005-0000-0000-000040100000}"/>
    <cellStyle name="Normal 10 8 2 3 3 3" xfId="4172" xr:uid="{00000000-0005-0000-0000-000041100000}"/>
    <cellStyle name="Normal 10 8 2 3 4" xfId="4173" xr:uid="{00000000-0005-0000-0000-000042100000}"/>
    <cellStyle name="Normal 10 8 2 3 5" xfId="4174" xr:uid="{00000000-0005-0000-0000-000043100000}"/>
    <cellStyle name="Normal 10 8 2 4" xfId="4175" xr:uid="{00000000-0005-0000-0000-000044100000}"/>
    <cellStyle name="Normal 10 8 2 4 2" xfId="4176" xr:uid="{00000000-0005-0000-0000-000045100000}"/>
    <cellStyle name="Normal 10 8 2 4 3" xfId="4177" xr:uid="{00000000-0005-0000-0000-000046100000}"/>
    <cellStyle name="Normal 10 8 2 5" xfId="4178" xr:uid="{00000000-0005-0000-0000-000047100000}"/>
    <cellStyle name="Normal 10 8 2 5 2" xfId="4179" xr:uid="{00000000-0005-0000-0000-000048100000}"/>
    <cellStyle name="Normal 10 8 2 5 3" xfId="4180" xr:uid="{00000000-0005-0000-0000-000049100000}"/>
    <cellStyle name="Normal 10 8 2 6" xfId="4181" xr:uid="{00000000-0005-0000-0000-00004A100000}"/>
    <cellStyle name="Normal 10 8 2 7" xfId="4182" xr:uid="{00000000-0005-0000-0000-00004B100000}"/>
    <cellStyle name="Normal 10 8 3" xfId="4183" xr:uid="{00000000-0005-0000-0000-00004C100000}"/>
    <cellStyle name="Normal 10 8 3 2" xfId="4184" xr:uid="{00000000-0005-0000-0000-00004D100000}"/>
    <cellStyle name="Normal 10 8 3 2 2" xfId="4185" xr:uid="{00000000-0005-0000-0000-00004E100000}"/>
    <cellStyle name="Normal 10 8 3 2 3" xfId="4186" xr:uid="{00000000-0005-0000-0000-00004F100000}"/>
    <cellStyle name="Normal 10 8 3 3" xfId="4187" xr:uid="{00000000-0005-0000-0000-000050100000}"/>
    <cellStyle name="Normal 10 8 3 3 2" xfId="4188" xr:uid="{00000000-0005-0000-0000-000051100000}"/>
    <cellStyle name="Normal 10 8 3 3 3" xfId="4189" xr:uid="{00000000-0005-0000-0000-000052100000}"/>
    <cellStyle name="Normal 10 8 3 4" xfId="4190" xr:uid="{00000000-0005-0000-0000-000053100000}"/>
    <cellStyle name="Normal 10 8 3 5" xfId="4191" xr:uid="{00000000-0005-0000-0000-000054100000}"/>
    <cellStyle name="Normal 10 8 4" xfId="4192" xr:uid="{00000000-0005-0000-0000-000055100000}"/>
    <cellStyle name="Normal 10 8 4 2" xfId="4193" xr:uid="{00000000-0005-0000-0000-000056100000}"/>
    <cellStyle name="Normal 10 8 4 2 2" xfId="4194" xr:uid="{00000000-0005-0000-0000-000057100000}"/>
    <cellStyle name="Normal 10 8 4 2 3" xfId="4195" xr:uid="{00000000-0005-0000-0000-000058100000}"/>
    <cellStyle name="Normal 10 8 4 3" xfId="4196" xr:uid="{00000000-0005-0000-0000-000059100000}"/>
    <cellStyle name="Normal 10 8 4 3 2" xfId="4197" xr:uid="{00000000-0005-0000-0000-00005A100000}"/>
    <cellStyle name="Normal 10 8 4 3 3" xfId="4198" xr:uid="{00000000-0005-0000-0000-00005B100000}"/>
    <cellStyle name="Normal 10 8 4 4" xfId="4199" xr:uid="{00000000-0005-0000-0000-00005C100000}"/>
    <cellStyle name="Normal 10 8 4 5" xfId="4200" xr:uid="{00000000-0005-0000-0000-00005D100000}"/>
    <cellStyle name="Normal 10 8 5" xfId="4201" xr:uid="{00000000-0005-0000-0000-00005E100000}"/>
    <cellStyle name="Normal 10 8 5 2" xfId="4202" xr:uid="{00000000-0005-0000-0000-00005F100000}"/>
    <cellStyle name="Normal 10 8 5 3" xfId="4203" xr:uid="{00000000-0005-0000-0000-000060100000}"/>
    <cellStyle name="Normal 10 8 6" xfId="4204" xr:uid="{00000000-0005-0000-0000-000061100000}"/>
    <cellStyle name="Normal 10 8 6 2" xfId="4205" xr:uid="{00000000-0005-0000-0000-000062100000}"/>
    <cellStyle name="Normal 10 8 6 3" xfId="4206" xr:uid="{00000000-0005-0000-0000-000063100000}"/>
    <cellStyle name="Normal 10 8 7" xfId="4207" xr:uid="{00000000-0005-0000-0000-000064100000}"/>
    <cellStyle name="Normal 10 8 7 2" xfId="4208" xr:uid="{00000000-0005-0000-0000-000065100000}"/>
    <cellStyle name="Normal 10 8 7 3" xfId="4209" xr:uid="{00000000-0005-0000-0000-000066100000}"/>
    <cellStyle name="Normal 10 8 8" xfId="4210" xr:uid="{00000000-0005-0000-0000-000067100000}"/>
    <cellStyle name="Normal 10 8 9" xfId="4211" xr:uid="{00000000-0005-0000-0000-000068100000}"/>
    <cellStyle name="Normal 10 9" xfId="4212" xr:uid="{00000000-0005-0000-0000-000069100000}"/>
    <cellStyle name="Normal 10 9 2" xfId="4213" xr:uid="{00000000-0005-0000-0000-00006A100000}"/>
    <cellStyle name="Normal 10 9 2 2" xfId="4214" xr:uid="{00000000-0005-0000-0000-00006B100000}"/>
    <cellStyle name="Normal 10 9 2 2 2" xfId="4215" xr:uid="{00000000-0005-0000-0000-00006C100000}"/>
    <cellStyle name="Normal 10 9 2 2 3" xfId="4216" xr:uid="{00000000-0005-0000-0000-00006D100000}"/>
    <cellStyle name="Normal 10 9 2 3" xfId="4217" xr:uid="{00000000-0005-0000-0000-00006E100000}"/>
    <cellStyle name="Normal 10 9 2 3 2" xfId="4218" xr:uid="{00000000-0005-0000-0000-00006F100000}"/>
    <cellStyle name="Normal 10 9 2 3 3" xfId="4219" xr:uid="{00000000-0005-0000-0000-000070100000}"/>
    <cellStyle name="Normal 10 9 2 4" xfId="4220" xr:uid="{00000000-0005-0000-0000-000071100000}"/>
    <cellStyle name="Normal 10 9 2 5" xfId="4221" xr:uid="{00000000-0005-0000-0000-000072100000}"/>
    <cellStyle name="Normal 10 9 3" xfId="4222" xr:uid="{00000000-0005-0000-0000-000073100000}"/>
    <cellStyle name="Normal 10 9 3 2" xfId="4223" xr:uid="{00000000-0005-0000-0000-000074100000}"/>
    <cellStyle name="Normal 10 9 3 2 2" xfId="4224" xr:uid="{00000000-0005-0000-0000-000075100000}"/>
    <cellStyle name="Normal 10 9 3 2 3" xfId="4225" xr:uid="{00000000-0005-0000-0000-000076100000}"/>
    <cellStyle name="Normal 10 9 3 3" xfId="4226" xr:uid="{00000000-0005-0000-0000-000077100000}"/>
    <cellStyle name="Normal 10 9 3 3 2" xfId="4227" xr:uid="{00000000-0005-0000-0000-000078100000}"/>
    <cellStyle name="Normal 10 9 3 3 3" xfId="4228" xr:uid="{00000000-0005-0000-0000-000079100000}"/>
    <cellStyle name="Normal 10 9 3 4" xfId="4229" xr:uid="{00000000-0005-0000-0000-00007A100000}"/>
    <cellStyle name="Normal 10 9 3 5" xfId="4230" xr:uid="{00000000-0005-0000-0000-00007B100000}"/>
    <cellStyle name="Normal 10 9 4" xfId="4231" xr:uid="{00000000-0005-0000-0000-00007C100000}"/>
    <cellStyle name="Normal 10 9 4 2" xfId="4232" xr:uid="{00000000-0005-0000-0000-00007D100000}"/>
    <cellStyle name="Normal 10 9 4 3" xfId="4233" xr:uid="{00000000-0005-0000-0000-00007E100000}"/>
    <cellStyle name="Normal 10 9 5" xfId="4234" xr:uid="{00000000-0005-0000-0000-00007F100000}"/>
    <cellStyle name="Normal 10 9 5 2" xfId="4235" xr:uid="{00000000-0005-0000-0000-000080100000}"/>
    <cellStyle name="Normal 10 9 5 3" xfId="4236" xr:uid="{00000000-0005-0000-0000-000081100000}"/>
    <cellStyle name="Normal 10 9 6" xfId="4237" xr:uid="{00000000-0005-0000-0000-000082100000}"/>
    <cellStyle name="Normal 10 9 7" xfId="4238" xr:uid="{00000000-0005-0000-0000-000083100000}"/>
    <cellStyle name="Normal 100" xfId="4239" xr:uid="{00000000-0005-0000-0000-000084100000}"/>
    <cellStyle name="Normal 101" xfId="4240" xr:uid="{00000000-0005-0000-0000-000085100000}"/>
    <cellStyle name="Normal 102" xfId="4241" xr:uid="{00000000-0005-0000-0000-000086100000}"/>
    <cellStyle name="Normal 103" xfId="4242" xr:uid="{00000000-0005-0000-0000-000087100000}"/>
    <cellStyle name="Normal 104" xfId="4243" xr:uid="{00000000-0005-0000-0000-000088100000}"/>
    <cellStyle name="Normal 105" xfId="4244" xr:uid="{00000000-0005-0000-0000-000089100000}"/>
    <cellStyle name="Normal 106" xfId="4245" xr:uid="{00000000-0005-0000-0000-00008A100000}"/>
    <cellStyle name="Normal 107" xfId="4246" xr:uid="{00000000-0005-0000-0000-00008B100000}"/>
    <cellStyle name="Normal 108" xfId="4247" xr:uid="{00000000-0005-0000-0000-00008C100000}"/>
    <cellStyle name="Normal 109" xfId="4248" xr:uid="{00000000-0005-0000-0000-00008D100000}"/>
    <cellStyle name="Normal 11" xfId="4249" xr:uid="{00000000-0005-0000-0000-00008E100000}"/>
    <cellStyle name="Normal 11 10" xfId="4250" xr:uid="{00000000-0005-0000-0000-00008F100000}"/>
    <cellStyle name="Normal 11 10 2" xfId="4251" xr:uid="{00000000-0005-0000-0000-000090100000}"/>
    <cellStyle name="Normal 11 10 2 2" xfId="4252" xr:uid="{00000000-0005-0000-0000-000091100000}"/>
    <cellStyle name="Normal 11 10 2 3" xfId="4253" xr:uid="{00000000-0005-0000-0000-000092100000}"/>
    <cellStyle name="Normal 11 10 3" xfId="4254" xr:uid="{00000000-0005-0000-0000-000093100000}"/>
    <cellStyle name="Normal 11 10 3 2" xfId="4255" xr:uid="{00000000-0005-0000-0000-000094100000}"/>
    <cellStyle name="Normal 11 10 3 3" xfId="4256" xr:uid="{00000000-0005-0000-0000-000095100000}"/>
    <cellStyle name="Normal 11 10 4" xfId="4257" xr:uid="{00000000-0005-0000-0000-000096100000}"/>
    <cellStyle name="Normal 11 10 5" xfId="4258" xr:uid="{00000000-0005-0000-0000-000097100000}"/>
    <cellStyle name="Normal 11 11" xfId="4259" xr:uid="{00000000-0005-0000-0000-000098100000}"/>
    <cellStyle name="Normal 11 11 2" xfId="4260" xr:uid="{00000000-0005-0000-0000-000099100000}"/>
    <cellStyle name="Normal 11 11 2 2" xfId="4261" xr:uid="{00000000-0005-0000-0000-00009A100000}"/>
    <cellStyle name="Normal 11 11 2 3" xfId="4262" xr:uid="{00000000-0005-0000-0000-00009B100000}"/>
    <cellStyle name="Normal 11 11 3" xfId="4263" xr:uid="{00000000-0005-0000-0000-00009C100000}"/>
    <cellStyle name="Normal 11 11 3 2" xfId="4264" xr:uid="{00000000-0005-0000-0000-00009D100000}"/>
    <cellStyle name="Normal 11 11 3 3" xfId="4265" xr:uid="{00000000-0005-0000-0000-00009E100000}"/>
    <cellStyle name="Normal 11 11 4" xfId="4266" xr:uid="{00000000-0005-0000-0000-00009F100000}"/>
    <cellStyle name="Normal 11 11 5" xfId="4267" xr:uid="{00000000-0005-0000-0000-0000A0100000}"/>
    <cellStyle name="Normal 11 12" xfId="4268" xr:uid="{00000000-0005-0000-0000-0000A1100000}"/>
    <cellStyle name="Normal 11 12 2" xfId="4269" xr:uid="{00000000-0005-0000-0000-0000A2100000}"/>
    <cellStyle name="Normal 11 12 2 2" xfId="4270" xr:uid="{00000000-0005-0000-0000-0000A3100000}"/>
    <cellStyle name="Normal 11 12 2 3" xfId="4271" xr:uid="{00000000-0005-0000-0000-0000A4100000}"/>
    <cellStyle name="Normal 11 12 3" xfId="4272" xr:uid="{00000000-0005-0000-0000-0000A5100000}"/>
    <cellStyle name="Normal 11 12 4" xfId="4273" xr:uid="{00000000-0005-0000-0000-0000A6100000}"/>
    <cellStyle name="Normal 11 13" xfId="4274" xr:uid="{00000000-0005-0000-0000-0000A7100000}"/>
    <cellStyle name="Normal 11 13 2" xfId="4275" xr:uid="{00000000-0005-0000-0000-0000A8100000}"/>
    <cellStyle name="Normal 11 13 3" xfId="4276" xr:uid="{00000000-0005-0000-0000-0000A9100000}"/>
    <cellStyle name="Normal 11 14" xfId="4277" xr:uid="{00000000-0005-0000-0000-0000AA100000}"/>
    <cellStyle name="Normal 11 14 2" xfId="4278" xr:uid="{00000000-0005-0000-0000-0000AB100000}"/>
    <cellStyle name="Normal 11 14 3" xfId="4279" xr:uid="{00000000-0005-0000-0000-0000AC100000}"/>
    <cellStyle name="Normal 11 15" xfId="4280" xr:uid="{00000000-0005-0000-0000-0000AD100000}"/>
    <cellStyle name="Normal 11 15 2" xfId="4281" xr:uid="{00000000-0005-0000-0000-0000AE100000}"/>
    <cellStyle name="Normal 11 15 3" xfId="4282" xr:uid="{00000000-0005-0000-0000-0000AF100000}"/>
    <cellStyle name="Normal 11 16" xfId="4283" xr:uid="{00000000-0005-0000-0000-0000B0100000}"/>
    <cellStyle name="Normal 11 16 2" xfId="4284" xr:uid="{00000000-0005-0000-0000-0000B1100000}"/>
    <cellStyle name="Normal 11 16 3" xfId="4285" xr:uid="{00000000-0005-0000-0000-0000B2100000}"/>
    <cellStyle name="Normal 11 17" xfId="4286" xr:uid="{00000000-0005-0000-0000-0000B3100000}"/>
    <cellStyle name="Normal 11 18" xfId="4287" xr:uid="{00000000-0005-0000-0000-0000B4100000}"/>
    <cellStyle name="Normal 11 2" xfId="4288" xr:uid="{00000000-0005-0000-0000-0000B5100000}"/>
    <cellStyle name="Normal 11 2 2" xfId="20" xr:uid="{00000000-0005-0000-0000-0000B6100000}"/>
    <cellStyle name="Normal 11 2 2 2" xfId="4290" xr:uid="{00000000-0005-0000-0000-0000B7100000}"/>
    <cellStyle name="Normal 11 2 2 2 2" xfId="4291" xr:uid="{00000000-0005-0000-0000-0000B8100000}"/>
    <cellStyle name="Normal 11 2 2 3" xfId="4292" xr:uid="{00000000-0005-0000-0000-0000B9100000}"/>
    <cellStyle name="Normal 11 2 2 4" xfId="4289" xr:uid="{00000000-0005-0000-0000-0000BA100000}"/>
    <cellStyle name="Normal 11 2 3" xfId="4293" xr:uid="{00000000-0005-0000-0000-0000BB100000}"/>
    <cellStyle name="Normal 11 2 3 2" xfId="4294" xr:uid="{00000000-0005-0000-0000-0000BC100000}"/>
    <cellStyle name="Normal 11 2 3 2 2" xfId="4295" xr:uid="{00000000-0005-0000-0000-0000BD100000}"/>
    <cellStyle name="Normal 11 2 3 2 2 2" xfId="4296" xr:uid="{00000000-0005-0000-0000-0000BE100000}"/>
    <cellStyle name="Normal 11 2 3 2 2 3" xfId="4297" xr:uid="{00000000-0005-0000-0000-0000BF100000}"/>
    <cellStyle name="Normal 11 2 3 2 3" xfId="4298" xr:uid="{00000000-0005-0000-0000-0000C0100000}"/>
    <cellStyle name="Normal 11 2 3 2 3 2" xfId="4299" xr:uid="{00000000-0005-0000-0000-0000C1100000}"/>
    <cellStyle name="Normal 11 2 3 2 3 3" xfId="4300" xr:uid="{00000000-0005-0000-0000-0000C2100000}"/>
    <cellStyle name="Normal 11 2 3 2 4" xfId="4301" xr:uid="{00000000-0005-0000-0000-0000C3100000}"/>
    <cellStyle name="Normal 11 2 3 2 5" xfId="4302" xr:uid="{00000000-0005-0000-0000-0000C4100000}"/>
    <cellStyle name="Normal 11 2 3 3" xfId="4303" xr:uid="{00000000-0005-0000-0000-0000C5100000}"/>
    <cellStyle name="Normal 11 2 3 3 2" xfId="4304" xr:uid="{00000000-0005-0000-0000-0000C6100000}"/>
    <cellStyle name="Normal 11 2 3 3 2 2" xfId="4305" xr:uid="{00000000-0005-0000-0000-0000C7100000}"/>
    <cellStyle name="Normal 11 2 3 3 2 3" xfId="4306" xr:uid="{00000000-0005-0000-0000-0000C8100000}"/>
    <cellStyle name="Normal 11 2 3 3 3" xfId="4307" xr:uid="{00000000-0005-0000-0000-0000C9100000}"/>
    <cellStyle name="Normal 11 2 3 3 3 2" xfId="4308" xr:uid="{00000000-0005-0000-0000-0000CA100000}"/>
    <cellStyle name="Normal 11 2 3 3 3 3" xfId="4309" xr:uid="{00000000-0005-0000-0000-0000CB100000}"/>
    <cellStyle name="Normal 11 2 3 3 4" xfId="4310" xr:uid="{00000000-0005-0000-0000-0000CC100000}"/>
    <cellStyle name="Normal 11 2 3 3 5" xfId="4311" xr:uid="{00000000-0005-0000-0000-0000CD100000}"/>
    <cellStyle name="Normal 11 2 3 4" xfId="4312" xr:uid="{00000000-0005-0000-0000-0000CE100000}"/>
    <cellStyle name="Normal 11 2 3 4 2" xfId="4313" xr:uid="{00000000-0005-0000-0000-0000CF100000}"/>
    <cellStyle name="Normal 11 2 3 4 3" xfId="4314" xr:uid="{00000000-0005-0000-0000-0000D0100000}"/>
    <cellStyle name="Normal 11 2 3 5" xfId="4315" xr:uid="{00000000-0005-0000-0000-0000D1100000}"/>
    <cellStyle name="Normal 11 2 3 5 2" xfId="4316" xr:uid="{00000000-0005-0000-0000-0000D2100000}"/>
    <cellStyle name="Normal 11 2 3 5 3" xfId="4317" xr:uid="{00000000-0005-0000-0000-0000D3100000}"/>
    <cellStyle name="Normal 11 2 3 6" xfId="4318" xr:uid="{00000000-0005-0000-0000-0000D4100000}"/>
    <cellStyle name="Normal 11 2 3 7" xfId="4319" xr:uid="{00000000-0005-0000-0000-0000D5100000}"/>
    <cellStyle name="Normal 11 2 4" xfId="4320" xr:uid="{00000000-0005-0000-0000-0000D6100000}"/>
    <cellStyle name="Normal 11 2 4 2" xfId="4321" xr:uid="{00000000-0005-0000-0000-0000D7100000}"/>
    <cellStyle name="Normal 11 2 4 2 2" xfId="4322" xr:uid="{00000000-0005-0000-0000-0000D8100000}"/>
    <cellStyle name="Normal 11 2 4 2 2 2" xfId="4323" xr:uid="{00000000-0005-0000-0000-0000D9100000}"/>
    <cellStyle name="Normal 11 2 4 2 2 3" xfId="4324" xr:uid="{00000000-0005-0000-0000-0000DA100000}"/>
    <cellStyle name="Normal 11 2 4 2 3" xfId="4325" xr:uid="{00000000-0005-0000-0000-0000DB100000}"/>
    <cellStyle name="Normal 11 2 4 2 3 2" xfId="4326" xr:uid="{00000000-0005-0000-0000-0000DC100000}"/>
    <cellStyle name="Normal 11 2 4 2 3 3" xfId="4327" xr:uid="{00000000-0005-0000-0000-0000DD100000}"/>
    <cellStyle name="Normal 11 2 4 2 4" xfId="4328" xr:uid="{00000000-0005-0000-0000-0000DE100000}"/>
    <cellStyle name="Normal 11 2 4 2 5" xfId="4329" xr:uid="{00000000-0005-0000-0000-0000DF100000}"/>
    <cellStyle name="Normal 11 2 4 3" xfId="4330" xr:uid="{00000000-0005-0000-0000-0000E0100000}"/>
    <cellStyle name="Normal 11 2 4 3 2" xfId="4331" xr:uid="{00000000-0005-0000-0000-0000E1100000}"/>
    <cellStyle name="Normal 11 2 4 3 2 2" xfId="4332" xr:uid="{00000000-0005-0000-0000-0000E2100000}"/>
    <cellStyle name="Normal 11 2 4 3 2 3" xfId="4333" xr:uid="{00000000-0005-0000-0000-0000E3100000}"/>
    <cellStyle name="Normal 11 2 4 3 3" xfId="4334" xr:uid="{00000000-0005-0000-0000-0000E4100000}"/>
    <cellStyle name="Normal 11 2 4 3 3 2" xfId="4335" xr:uid="{00000000-0005-0000-0000-0000E5100000}"/>
    <cellStyle name="Normal 11 2 4 3 3 3" xfId="4336" xr:uid="{00000000-0005-0000-0000-0000E6100000}"/>
    <cellStyle name="Normal 11 2 4 3 4" xfId="4337" xr:uid="{00000000-0005-0000-0000-0000E7100000}"/>
    <cellStyle name="Normal 11 2 4 3 5" xfId="4338" xr:uid="{00000000-0005-0000-0000-0000E8100000}"/>
    <cellStyle name="Normal 11 2 4 4" xfId="4339" xr:uid="{00000000-0005-0000-0000-0000E9100000}"/>
    <cellStyle name="Normal 11 2 4 4 2" xfId="4340" xr:uid="{00000000-0005-0000-0000-0000EA100000}"/>
    <cellStyle name="Normal 11 2 4 4 3" xfId="4341" xr:uid="{00000000-0005-0000-0000-0000EB100000}"/>
    <cellStyle name="Normal 11 2 4 5" xfId="4342" xr:uid="{00000000-0005-0000-0000-0000EC100000}"/>
    <cellStyle name="Normal 11 2 4 5 2" xfId="4343" xr:uid="{00000000-0005-0000-0000-0000ED100000}"/>
    <cellStyle name="Normal 11 2 4 5 3" xfId="4344" xr:uid="{00000000-0005-0000-0000-0000EE100000}"/>
    <cellStyle name="Normal 11 2 4 6" xfId="4345" xr:uid="{00000000-0005-0000-0000-0000EF100000}"/>
    <cellStyle name="Normal 11 2 4 7" xfId="4346" xr:uid="{00000000-0005-0000-0000-0000F0100000}"/>
    <cellStyle name="Normal 11 2 5" xfId="4347" xr:uid="{00000000-0005-0000-0000-0000F1100000}"/>
    <cellStyle name="Normal 11 2 5 2" xfId="4348" xr:uid="{00000000-0005-0000-0000-0000F2100000}"/>
    <cellStyle name="Normal 11 2 6" xfId="4349" xr:uid="{00000000-0005-0000-0000-0000F3100000}"/>
    <cellStyle name="Normal 11 3" xfId="4350" xr:uid="{00000000-0005-0000-0000-0000F4100000}"/>
    <cellStyle name="Normal 11 3 10" xfId="4351" xr:uid="{00000000-0005-0000-0000-0000F5100000}"/>
    <cellStyle name="Normal 11 3 10 2" xfId="4352" xr:uid="{00000000-0005-0000-0000-0000F6100000}"/>
    <cellStyle name="Normal 11 3 10 3" xfId="4353" xr:uid="{00000000-0005-0000-0000-0000F7100000}"/>
    <cellStyle name="Normal 11 3 11" xfId="4354" xr:uid="{00000000-0005-0000-0000-0000F8100000}"/>
    <cellStyle name="Normal 11 3 11 2" xfId="4355" xr:uid="{00000000-0005-0000-0000-0000F9100000}"/>
    <cellStyle name="Normal 11 3 11 3" xfId="4356" xr:uid="{00000000-0005-0000-0000-0000FA100000}"/>
    <cellStyle name="Normal 11 3 12" xfId="4357" xr:uid="{00000000-0005-0000-0000-0000FB100000}"/>
    <cellStyle name="Normal 11 3 12 2" xfId="4358" xr:uid="{00000000-0005-0000-0000-0000FC100000}"/>
    <cellStyle name="Normal 11 3 12 3" xfId="4359" xr:uid="{00000000-0005-0000-0000-0000FD100000}"/>
    <cellStyle name="Normal 11 3 13" xfId="4360" xr:uid="{00000000-0005-0000-0000-0000FE100000}"/>
    <cellStyle name="Normal 11 3 14" xfId="4361" xr:uid="{00000000-0005-0000-0000-0000FF100000}"/>
    <cellStyle name="Normal 11 3 2" xfId="4362" xr:uid="{00000000-0005-0000-0000-000000110000}"/>
    <cellStyle name="Normal 11 3 2 10" xfId="4363" xr:uid="{00000000-0005-0000-0000-000001110000}"/>
    <cellStyle name="Normal 11 3 2 10 2" xfId="4364" xr:uid="{00000000-0005-0000-0000-000002110000}"/>
    <cellStyle name="Normal 11 3 2 10 3" xfId="4365" xr:uid="{00000000-0005-0000-0000-000003110000}"/>
    <cellStyle name="Normal 11 3 2 11" xfId="4366" xr:uid="{00000000-0005-0000-0000-000004110000}"/>
    <cellStyle name="Normal 11 3 2 11 2" xfId="4367" xr:uid="{00000000-0005-0000-0000-000005110000}"/>
    <cellStyle name="Normal 11 3 2 11 3" xfId="4368" xr:uid="{00000000-0005-0000-0000-000006110000}"/>
    <cellStyle name="Normal 11 3 2 12" xfId="4369" xr:uid="{00000000-0005-0000-0000-000007110000}"/>
    <cellStyle name="Normal 11 3 2 13" xfId="4370" xr:uid="{00000000-0005-0000-0000-000008110000}"/>
    <cellStyle name="Normal 11 3 2 2" xfId="4371" xr:uid="{00000000-0005-0000-0000-000009110000}"/>
    <cellStyle name="Normal 11 3 2 2 2" xfId="4372" xr:uid="{00000000-0005-0000-0000-00000A110000}"/>
    <cellStyle name="Normal 11 3 2 2 2 2" xfId="4373" xr:uid="{00000000-0005-0000-0000-00000B110000}"/>
    <cellStyle name="Normal 11 3 2 2 2 2 2" xfId="4374" xr:uid="{00000000-0005-0000-0000-00000C110000}"/>
    <cellStyle name="Normal 11 3 2 2 2 2 2 2" xfId="4375" xr:uid="{00000000-0005-0000-0000-00000D110000}"/>
    <cellStyle name="Normal 11 3 2 2 2 2 2 3" xfId="4376" xr:uid="{00000000-0005-0000-0000-00000E110000}"/>
    <cellStyle name="Normal 11 3 2 2 2 2 3" xfId="4377" xr:uid="{00000000-0005-0000-0000-00000F110000}"/>
    <cellStyle name="Normal 11 3 2 2 2 2 3 2" xfId="4378" xr:uid="{00000000-0005-0000-0000-000010110000}"/>
    <cellStyle name="Normal 11 3 2 2 2 2 3 3" xfId="4379" xr:uid="{00000000-0005-0000-0000-000011110000}"/>
    <cellStyle name="Normal 11 3 2 2 2 2 4" xfId="4380" xr:uid="{00000000-0005-0000-0000-000012110000}"/>
    <cellStyle name="Normal 11 3 2 2 2 2 5" xfId="4381" xr:uid="{00000000-0005-0000-0000-000013110000}"/>
    <cellStyle name="Normal 11 3 2 2 2 3" xfId="4382" xr:uid="{00000000-0005-0000-0000-000014110000}"/>
    <cellStyle name="Normal 11 3 2 2 2 3 2" xfId="4383" xr:uid="{00000000-0005-0000-0000-000015110000}"/>
    <cellStyle name="Normal 11 3 2 2 2 3 2 2" xfId="4384" xr:uid="{00000000-0005-0000-0000-000016110000}"/>
    <cellStyle name="Normal 11 3 2 2 2 3 2 3" xfId="4385" xr:uid="{00000000-0005-0000-0000-000017110000}"/>
    <cellStyle name="Normal 11 3 2 2 2 3 3" xfId="4386" xr:uid="{00000000-0005-0000-0000-000018110000}"/>
    <cellStyle name="Normal 11 3 2 2 2 3 3 2" xfId="4387" xr:uid="{00000000-0005-0000-0000-000019110000}"/>
    <cellStyle name="Normal 11 3 2 2 2 3 3 3" xfId="4388" xr:uid="{00000000-0005-0000-0000-00001A110000}"/>
    <cellStyle name="Normal 11 3 2 2 2 3 4" xfId="4389" xr:uid="{00000000-0005-0000-0000-00001B110000}"/>
    <cellStyle name="Normal 11 3 2 2 2 3 5" xfId="4390" xr:uid="{00000000-0005-0000-0000-00001C110000}"/>
    <cellStyle name="Normal 11 3 2 2 2 4" xfId="4391" xr:uid="{00000000-0005-0000-0000-00001D110000}"/>
    <cellStyle name="Normal 11 3 2 2 2 4 2" xfId="4392" xr:uid="{00000000-0005-0000-0000-00001E110000}"/>
    <cellStyle name="Normal 11 3 2 2 2 4 3" xfId="4393" xr:uid="{00000000-0005-0000-0000-00001F110000}"/>
    <cellStyle name="Normal 11 3 2 2 2 5" xfId="4394" xr:uid="{00000000-0005-0000-0000-000020110000}"/>
    <cellStyle name="Normal 11 3 2 2 2 5 2" xfId="4395" xr:uid="{00000000-0005-0000-0000-000021110000}"/>
    <cellStyle name="Normal 11 3 2 2 2 5 3" xfId="4396" xr:uid="{00000000-0005-0000-0000-000022110000}"/>
    <cellStyle name="Normal 11 3 2 2 2 6" xfId="4397" xr:uid="{00000000-0005-0000-0000-000023110000}"/>
    <cellStyle name="Normal 11 3 2 2 2 7" xfId="4398" xr:uid="{00000000-0005-0000-0000-000024110000}"/>
    <cellStyle name="Normal 11 3 2 2 3" xfId="4399" xr:uid="{00000000-0005-0000-0000-000025110000}"/>
    <cellStyle name="Normal 11 3 2 2 3 2" xfId="4400" xr:uid="{00000000-0005-0000-0000-000026110000}"/>
    <cellStyle name="Normal 11 3 2 2 3 2 2" xfId="4401" xr:uid="{00000000-0005-0000-0000-000027110000}"/>
    <cellStyle name="Normal 11 3 2 2 3 2 3" xfId="4402" xr:uid="{00000000-0005-0000-0000-000028110000}"/>
    <cellStyle name="Normal 11 3 2 2 3 3" xfId="4403" xr:uid="{00000000-0005-0000-0000-000029110000}"/>
    <cellStyle name="Normal 11 3 2 2 3 3 2" xfId="4404" xr:uid="{00000000-0005-0000-0000-00002A110000}"/>
    <cellStyle name="Normal 11 3 2 2 3 3 3" xfId="4405" xr:uid="{00000000-0005-0000-0000-00002B110000}"/>
    <cellStyle name="Normal 11 3 2 2 3 4" xfId="4406" xr:uid="{00000000-0005-0000-0000-00002C110000}"/>
    <cellStyle name="Normal 11 3 2 2 3 5" xfId="4407" xr:uid="{00000000-0005-0000-0000-00002D110000}"/>
    <cellStyle name="Normal 11 3 2 2 4" xfId="4408" xr:uid="{00000000-0005-0000-0000-00002E110000}"/>
    <cellStyle name="Normal 11 3 2 2 4 2" xfId="4409" xr:uid="{00000000-0005-0000-0000-00002F110000}"/>
    <cellStyle name="Normal 11 3 2 2 4 2 2" xfId="4410" xr:uid="{00000000-0005-0000-0000-000030110000}"/>
    <cellStyle name="Normal 11 3 2 2 4 2 3" xfId="4411" xr:uid="{00000000-0005-0000-0000-000031110000}"/>
    <cellStyle name="Normal 11 3 2 2 4 3" xfId="4412" xr:uid="{00000000-0005-0000-0000-000032110000}"/>
    <cellStyle name="Normal 11 3 2 2 4 3 2" xfId="4413" xr:uid="{00000000-0005-0000-0000-000033110000}"/>
    <cellStyle name="Normal 11 3 2 2 4 3 3" xfId="4414" xr:uid="{00000000-0005-0000-0000-000034110000}"/>
    <cellStyle name="Normal 11 3 2 2 4 4" xfId="4415" xr:uid="{00000000-0005-0000-0000-000035110000}"/>
    <cellStyle name="Normal 11 3 2 2 4 5" xfId="4416" xr:uid="{00000000-0005-0000-0000-000036110000}"/>
    <cellStyle name="Normal 11 3 2 2 5" xfId="4417" xr:uid="{00000000-0005-0000-0000-000037110000}"/>
    <cellStyle name="Normal 11 3 2 2 5 2" xfId="4418" xr:uid="{00000000-0005-0000-0000-000038110000}"/>
    <cellStyle name="Normal 11 3 2 2 5 3" xfId="4419" xr:uid="{00000000-0005-0000-0000-000039110000}"/>
    <cellStyle name="Normal 11 3 2 2 6" xfId="4420" xr:uid="{00000000-0005-0000-0000-00003A110000}"/>
    <cellStyle name="Normal 11 3 2 2 6 2" xfId="4421" xr:uid="{00000000-0005-0000-0000-00003B110000}"/>
    <cellStyle name="Normal 11 3 2 2 6 3" xfId="4422" xr:uid="{00000000-0005-0000-0000-00003C110000}"/>
    <cellStyle name="Normal 11 3 2 2 7" xfId="4423" xr:uid="{00000000-0005-0000-0000-00003D110000}"/>
    <cellStyle name="Normal 11 3 2 2 7 2" xfId="4424" xr:uid="{00000000-0005-0000-0000-00003E110000}"/>
    <cellStyle name="Normal 11 3 2 2 7 3" xfId="4425" xr:uid="{00000000-0005-0000-0000-00003F110000}"/>
    <cellStyle name="Normal 11 3 2 2 8" xfId="4426" xr:uid="{00000000-0005-0000-0000-000040110000}"/>
    <cellStyle name="Normal 11 3 2 2 9" xfId="4427" xr:uid="{00000000-0005-0000-0000-000041110000}"/>
    <cellStyle name="Normal 11 3 2 3" xfId="4428" xr:uid="{00000000-0005-0000-0000-000042110000}"/>
    <cellStyle name="Normal 11 3 2 3 2" xfId="4429" xr:uid="{00000000-0005-0000-0000-000043110000}"/>
    <cellStyle name="Normal 11 3 2 3 2 2" xfId="4430" xr:uid="{00000000-0005-0000-0000-000044110000}"/>
    <cellStyle name="Normal 11 3 2 3 2 2 2" xfId="4431" xr:uid="{00000000-0005-0000-0000-000045110000}"/>
    <cellStyle name="Normal 11 3 2 3 2 2 3" xfId="4432" xr:uid="{00000000-0005-0000-0000-000046110000}"/>
    <cellStyle name="Normal 11 3 2 3 2 3" xfId="4433" xr:uid="{00000000-0005-0000-0000-000047110000}"/>
    <cellStyle name="Normal 11 3 2 3 2 3 2" xfId="4434" xr:uid="{00000000-0005-0000-0000-000048110000}"/>
    <cellStyle name="Normal 11 3 2 3 2 3 3" xfId="4435" xr:uid="{00000000-0005-0000-0000-000049110000}"/>
    <cellStyle name="Normal 11 3 2 3 2 4" xfId="4436" xr:uid="{00000000-0005-0000-0000-00004A110000}"/>
    <cellStyle name="Normal 11 3 2 3 2 5" xfId="4437" xr:uid="{00000000-0005-0000-0000-00004B110000}"/>
    <cellStyle name="Normal 11 3 2 3 3" xfId="4438" xr:uid="{00000000-0005-0000-0000-00004C110000}"/>
    <cellStyle name="Normal 11 3 2 3 3 2" xfId="4439" xr:uid="{00000000-0005-0000-0000-00004D110000}"/>
    <cellStyle name="Normal 11 3 2 3 3 2 2" xfId="4440" xr:uid="{00000000-0005-0000-0000-00004E110000}"/>
    <cellStyle name="Normal 11 3 2 3 3 2 3" xfId="4441" xr:uid="{00000000-0005-0000-0000-00004F110000}"/>
    <cellStyle name="Normal 11 3 2 3 3 3" xfId="4442" xr:uid="{00000000-0005-0000-0000-000050110000}"/>
    <cellStyle name="Normal 11 3 2 3 3 3 2" xfId="4443" xr:uid="{00000000-0005-0000-0000-000051110000}"/>
    <cellStyle name="Normal 11 3 2 3 3 3 3" xfId="4444" xr:uid="{00000000-0005-0000-0000-000052110000}"/>
    <cellStyle name="Normal 11 3 2 3 3 4" xfId="4445" xr:uid="{00000000-0005-0000-0000-000053110000}"/>
    <cellStyle name="Normal 11 3 2 3 3 5" xfId="4446" xr:uid="{00000000-0005-0000-0000-000054110000}"/>
    <cellStyle name="Normal 11 3 2 3 4" xfId="4447" xr:uid="{00000000-0005-0000-0000-000055110000}"/>
    <cellStyle name="Normal 11 3 2 3 4 2" xfId="4448" xr:uid="{00000000-0005-0000-0000-000056110000}"/>
    <cellStyle name="Normal 11 3 2 3 4 3" xfId="4449" xr:uid="{00000000-0005-0000-0000-000057110000}"/>
    <cellStyle name="Normal 11 3 2 3 5" xfId="4450" xr:uid="{00000000-0005-0000-0000-000058110000}"/>
    <cellStyle name="Normal 11 3 2 3 5 2" xfId="4451" xr:uid="{00000000-0005-0000-0000-000059110000}"/>
    <cellStyle name="Normal 11 3 2 3 5 3" xfId="4452" xr:uid="{00000000-0005-0000-0000-00005A110000}"/>
    <cellStyle name="Normal 11 3 2 3 6" xfId="4453" xr:uid="{00000000-0005-0000-0000-00005B110000}"/>
    <cellStyle name="Normal 11 3 2 3 7" xfId="4454" xr:uid="{00000000-0005-0000-0000-00005C110000}"/>
    <cellStyle name="Normal 11 3 2 4" xfId="4455" xr:uid="{00000000-0005-0000-0000-00005D110000}"/>
    <cellStyle name="Normal 11 3 2 4 2" xfId="4456" xr:uid="{00000000-0005-0000-0000-00005E110000}"/>
    <cellStyle name="Normal 11 3 2 4 2 2" xfId="4457" xr:uid="{00000000-0005-0000-0000-00005F110000}"/>
    <cellStyle name="Normal 11 3 2 4 2 2 2" xfId="4458" xr:uid="{00000000-0005-0000-0000-000060110000}"/>
    <cellStyle name="Normal 11 3 2 4 2 2 3" xfId="4459" xr:uid="{00000000-0005-0000-0000-000061110000}"/>
    <cellStyle name="Normal 11 3 2 4 2 3" xfId="4460" xr:uid="{00000000-0005-0000-0000-000062110000}"/>
    <cellStyle name="Normal 11 3 2 4 2 3 2" xfId="4461" xr:uid="{00000000-0005-0000-0000-000063110000}"/>
    <cellStyle name="Normal 11 3 2 4 2 3 3" xfId="4462" xr:uid="{00000000-0005-0000-0000-000064110000}"/>
    <cellStyle name="Normal 11 3 2 4 2 4" xfId="4463" xr:uid="{00000000-0005-0000-0000-000065110000}"/>
    <cellStyle name="Normal 11 3 2 4 2 5" xfId="4464" xr:uid="{00000000-0005-0000-0000-000066110000}"/>
    <cellStyle name="Normal 11 3 2 4 3" xfId="4465" xr:uid="{00000000-0005-0000-0000-000067110000}"/>
    <cellStyle name="Normal 11 3 2 4 3 2" xfId="4466" xr:uid="{00000000-0005-0000-0000-000068110000}"/>
    <cellStyle name="Normal 11 3 2 4 3 2 2" xfId="4467" xr:uid="{00000000-0005-0000-0000-000069110000}"/>
    <cellStyle name="Normal 11 3 2 4 3 2 3" xfId="4468" xr:uid="{00000000-0005-0000-0000-00006A110000}"/>
    <cellStyle name="Normal 11 3 2 4 3 3" xfId="4469" xr:uid="{00000000-0005-0000-0000-00006B110000}"/>
    <cellStyle name="Normal 11 3 2 4 3 4" xfId="4470" xr:uid="{00000000-0005-0000-0000-00006C110000}"/>
    <cellStyle name="Normal 11 3 2 4 4" xfId="4471" xr:uid="{00000000-0005-0000-0000-00006D110000}"/>
    <cellStyle name="Normal 11 3 2 4 4 2" xfId="4472" xr:uid="{00000000-0005-0000-0000-00006E110000}"/>
    <cellStyle name="Normal 11 3 2 4 4 3" xfId="4473" xr:uid="{00000000-0005-0000-0000-00006F110000}"/>
    <cellStyle name="Normal 11 3 2 4 5" xfId="4474" xr:uid="{00000000-0005-0000-0000-000070110000}"/>
    <cellStyle name="Normal 11 3 2 4 5 2" xfId="4475" xr:uid="{00000000-0005-0000-0000-000071110000}"/>
    <cellStyle name="Normal 11 3 2 4 5 3" xfId="4476" xr:uid="{00000000-0005-0000-0000-000072110000}"/>
    <cellStyle name="Normal 11 3 2 4 6" xfId="4477" xr:uid="{00000000-0005-0000-0000-000073110000}"/>
    <cellStyle name="Normal 11 3 2 4 7" xfId="4478" xr:uid="{00000000-0005-0000-0000-000074110000}"/>
    <cellStyle name="Normal 11 3 2 5" xfId="4479" xr:uid="{00000000-0005-0000-0000-000075110000}"/>
    <cellStyle name="Normal 11 3 2 5 2" xfId="4480" xr:uid="{00000000-0005-0000-0000-000076110000}"/>
    <cellStyle name="Normal 11 3 2 5 2 2" xfId="4481" xr:uid="{00000000-0005-0000-0000-000077110000}"/>
    <cellStyle name="Normal 11 3 2 5 2 3" xfId="4482" xr:uid="{00000000-0005-0000-0000-000078110000}"/>
    <cellStyle name="Normal 11 3 2 5 3" xfId="4483" xr:uid="{00000000-0005-0000-0000-000079110000}"/>
    <cellStyle name="Normal 11 3 2 5 3 2" xfId="4484" xr:uid="{00000000-0005-0000-0000-00007A110000}"/>
    <cellStyle name="Normal 11 3 2 5 3 3" xfId="4485" xr:uid="{00000000-0005-0000-0000-00007B110000}"/>
    <cellStyle name="Normal 11 3 2 5 4" xfId="4486" xr:uid="{00000000-0005-0000-0000-00007C110000}"/>
    <cellStyle name="Normal 11 3 2 5 5" xfId="4487" xr:uid="{00000000-0005-0000-0000-00007D110000}"/>
    <cellStyle name="Normal 11 3 2 6" xfId="4488" xr:uid="{00000000-0005-0000-0000-00007E110000}"/>
    <cellStyle name="Normal 11 3 2 6 2" xfId="4489" xr:uid="{00000000-0005-0000-0000-00007F110000}"/>
    <cellStyle name="Normal 11 3 2 6 2 2" xfId="4490" xr:uid="{00000000-0005-0000-0000-000080110000}"/>
    <cellStyle name="Normal 11 3 2 6 2 3" xfId="4491" xr:uid="{00000000-0005-0000-0000-000081110000}"/>
    <cellStyle name="Normal 11 3 2 6 3" xfId="4492" xr:uid="{00000000-0005-0000-0000-000082110000}"/>
    <cellStyle name="Normal 11 3 2 6 3 2" xfId="4493" xr:uid="{00000000-0005-0000-0000-000083110000}"/>
    <cellStyle name="Normal 11 3 2 6 3 3" xfId="4494" xr:uid="{00000000-0005-0000-0000-000084110000}"/>
    <cellStyle name="Normal 11 3 2 6 4" xfId="4495" xr:uid="{00000000-0005-0000-0000-000085110000}"/>
    <cellStyle name="Normal 11 3 2 6 5" xfId="4496" xr:uid="{00000000-0005-0000-0000-000086110000}"/>
    <cellStyle name="Normal 11 3 2 7" xfId="4497" xr:uid="{00000000-0005-0000-0000-000087110000}"/>
    <cellStyle name="Normal 11 3 2 7 2" xfId="4498" xr:uid="{00000000-0005-0000-0000-000088110000}"/>
    <cellStyle name="Normal 11 3 2 7 2 2" xfId="4499" xr:uid="{00000000-0005-0000-0000-000089110000}"/>
    <cellStyle name="Normal 11 3 2 7 2 3" xfId="4500" xr:uid="{00000000-0005-0000-0000-00008A110000}"/>
    <cellStyle name="Normal 11 3 2 7 3" xfId="4501" xr:uid="{00000000-0005-0000-0000-00008B110000}"/>
    <cellStyle name="Normal 11 3 2 7 4" xfId="4502" xr:uid="{00000000-0005-0000-0000-00008C110000}"/>
    <cellStyle name="Normal 11 3 2 8" xfId="4503" xr:uid="{00000000-0005-0000-0000-00008D110000}"/>
    <cellStyle name="Normal 11 3 2 8 2" xfId="4504" xr:uid="{00000000-0005-0000-0000-00008E110000}"/>
    <cellStyle name="Normal 11 3 2 8 3" xfId="4505" xr:uid="{00000000-0005-0000-0000-00008F110000}"/>
    <cellStyle name="Normal 11 3 2 9" xfId="4506" xr:uid="{00000000-0005-0000-0000-000090110000}"/>
    <cellStyle name="Normal 11 3 2 9 2" xfId="4507" xr:uid="{00000000-0005-0000-0000-000091110000}"/>
    <cellStyle name="Normal 11 3 2 9 3" xfId="4508" xr:uid="{00000000-0005-0000-0000-000092110000}"/>
    <cellStyle name="Normal 11 3 3" xfId="4509" xr:uid="{00000000-0005-0000-0000-000093110000}"/>
    <cellStyle name="Normal 11 3 3 2" xfId="4510" xr:uid="{00000000-0005-0000-0000-000094110000}"/>
    <cellStyle name="Normal 11 3 3 2 2" xfId="4511" xr:uid="{00000000-0005-0000-0000-000095110000}"/>
    <cellStyle name="Normal 11 3 3 2 2 2" xfId="4512" xr:uid="{00000000-0005-0000-0000-000096110000}"/>
    <cellStyle name="Normal 11 3 3 2 2 2 2" xfId="4513" xr:uid="{00000000-0005-0000-0000-000097110000}"/>
    <cellStyle name="Normal 11 3 3 2 2 2 3" xfId="4514" xr:uid="{00000000-0005-0000-0000-000098110000}"/>
    <cellStyle name="Normal 11 3 3 2 2 3" xfId="4515" xr:uid="{00000000-0005-0000-0000-000099110000}"/>
    <cellStyle name="Normal 11 3 3 2 2 3 2" xfId="4516" xr:uid="{00000000-0005-0000-0000-00009A110000}"/>
    <cellStyle name="Normal 11 3 3 2 2 3 3" xfId="4517" xr:uid="{00000000-0005-0000-0000-00009B110000}"/>
    <cellStyle name="Normal 11 3 3 2 2 4" xfId="4518" xr:uid="{00000000-0005-0000-0000-00009C110000}"/>
    <cellStyle name="Normal 11 3 3 2 2 5" xfId="4519" xr:uid="{00000000-0005-0000-0000-00009D110000}"/>
    <cellStyle name="Normal 11 3 3 2 3" xfId="4520" xr:uid="{00000000-0005-0000-0000-00009E110000}"/>
    <cellStyle name="Normal 11 3 3 2 3 2" xfId="4521" xr:uid="{00000000-0005-0000-0000-00009F110000}"/>
    <cellStyle name="Normal 11 3 3 2 3 2 2" xfId="4522" xr:uid="{00000000-0005-0000-0000-0000A0110000}"/>
    <cellStyle name="Normal 11 3 3 2 3 2 3" xfId="4523" xr:uid="{00000000-0005-0000-0000-0000A1110000}"/>
    <cellStyle name="Normal 11 3 3 2 3 3" xfId="4524" xr:uid="{00000000-0005-0000-0000-0000A2110000}"/>
    <cellStyle name="Normal 11 3 3 2 3 3 2" xfId="4525" xr:uid="{00000000-0005-0000-0000-0000A3110000}"/>
    <cellStyle name="Normal 11 3 3 2 3 3 3" xfId="4526" xr:uid="{00000000-0005-0000-0000-0000A4110000}"/>
    <cellStyle name="Normal 11 3 3 2 3 4" xfId="4527" xr:uid="{00000000-0005-0000-0000-0000A5110000}"/>
    <cellStyle name="Normal 11 3 3 2 3 5" xfId="4528" xr:uid="{00000000-0005-0000-0000-0000A6110000}"/>
    <cellStyle name="Normal 11 3 3 2 4" xfId="4529" xr:uid="{00000000-0005-0000-0000-0000A7110000}"/>
    <cellStyle name="Normal 11 3 3 2 4 2" xfId="4530" xr:uid="{00000000-0005-0000-0000-0000A8110000}"/>
    <cellStyle name="Normal 11 3 3 2 4 3" xfId="4531" xr:uid="{00000000-0005-0000-0000-0000A9110000}"/>
    <cellStyle name="Normal 11 3 3 2 5" xfId="4532" xr:uid="{00000000-0005-0000-0000-0000AA110000}"/>
    <cellStyle name="Normal 11 3 3 2 5 2" xfId="4533" xr:uid="{00000000-0005-0000-0000-0000AB110000}"/>
    <cellStyle name="Normal 11 3 3 2 5 3" xfId="4534" xr:uid="{00000000-0005-0000-0000-0000AC110000}"/>
    <cellStyle name="Normal 11 3 3 2 6" xfId="4535" xr:uid="{00000000-0005-0000-0000-0000AD110000}"/>
    <cellStyle name="Normal 11 3 3 2 7" xfId="4536" xr:uid="{00000000-0005-0000-0000-0000AE110000}"/>
    <cellStyle name="Normal 11 3 3 3" xfId="4537" xr:uid="{00000000-0005-0000-0000-0000AF110000}"/>
    <cellStyle name="Normal 11 3 3 3 2" xfId="4538" xr:uid="{00000000-0005-0000-0000-0000B0110000}"/>
    <cellStyle name="Normal 11 3 3 3 2 2" xfId="4539" xr:uid="{00000000-0005-0000-0000-0000B1110000}"/>
    <cellStyle name="Normal 11 3 3 3 2 3" xfId="4540" xr:uid="{00000000-0005-0000-0000-0000B2110000}"/>
    <cellStyle name="Normal 11 3 3 3 3" xfId="4541" xr:uid="{00000000-0005-0000-0000-0000B3110000}"/>
    <cellStyle name="Normal 11 3 3 3 3 2" xfId="4542" xr:uid="{00000000-0005-0000-0000-0000B4110000}"/>
    <cellStyle name="Normal 11 3 3 3 3 3" xfId="4543" xr:uid="{00000000-0005-0000-0000-0000B5110000}"/>
    <cellStyle name="Normal 11 3 3 3 4" xfId="4544" xr:uid="{00000000-0005-0000-0000-0000B6110000}"/>
    <cellStyle name="Normal 11 3 3 3 5" xfId="4545" xr:uid="{00000000-0005-0000-0000-0000B7110000}"/>
    <cellStyle name="Normal 11 3 3 4" xfId="4546" xr:uid="{00000000-0005-0000-0000-0000B8110000}"/>
    <cellStyle name="Normal 11 3 3 4 2" xfId="4547" xr:uid="{00000000-0005-0000-0000-0000B9110000}"/>
    <cellStyle name="Normal 11 3 3 4 2 2" xfId="4548" xr:uid="{00000000-0005-0000-0000-0000BA110000}"/>
    <cellStyle name="Normal 11 3 3 4 2 3" xfId="4549" xr:uid="{00000000-0005-0000-0000-0000BB110000}"/>
    <cellStyle name="Normal 11 3 3 4 3" xfId="4550" xr:uid="{00000000-0005-0000-0000-0000BC110000}"/>
    <cellStyle name="Normal 11 3 3 4 3 2" xfId="4551" xr:uid="{00000000-0005-0000-0000-0000BD110000}"/>
    <cellStyle name="Normal 11 3 3 4 3 3" xfId="4552" xr:uid="{00000000-0005-0000-0000-0000BE110000}"/>
    <cellStyle name="Normal 11 3 3 4 4" xfId="4553" xr:uid="{00000000-0005-0000-0000-0000BF110000}"/>
    <cellStyle name="Normal 11 3 3 4 5" xfId="4554" xr:uid="{00000000-0005-0000-0000-0000C0110000}"/>
    <cellStyle name="Normal 11 3 3 5" xfId="4555" xr:uid="{00000000-0005-0000-0000-0000C1110000}"/>
    <cellStyle name="Normal 11 3 3 5 2" xfId="4556" xr:uid="{00000000-0005-0000-0000-0000C2110000}"/>
    <cellStyle name="Normal 11 3 3 5 3" xfId="4557" xr:uid="{00000000-0005-0000-0000-0000C3110000}"/>
    <cellStyle name="Normal 11 3 3 6" xfId="4558" xr:uid="{00000000-0005-0000-0000-0000C4110000}"/>
    <cellStyle name="Normal 11 3 3 6 2" xfId="4559" xr:uid="{00000000-0005-0000-0000-0000C5110000}"/>
    <cellStyle name="Normal 11 3 3 6 3" xfId="4560" xr:uid="{00000000-0005-0000-0000-0000C6110000}"/>
    <cellStyle name="Normal 11 3 3 7" xfId="4561" xr:uid="{00000000-0005-0000-0000-0000C7110000}"/>
    <cellStyle name="Normal 11 3 3 7 2" xfId="4562" xr:uid="{00000000-0005-0000-0000-0000C8110000}"/>
    <cellStyle name="Normal 11 3 3 7 3" xfId="4563" xr:uid="{00000000-0005-0000-0000-0000C9110000}"/>
    <cellStyle name="Normal 11 3 3 8" xfId="4564" xr:uid="{00000000-0005-0000-0000-0000CA110000}"/>
    <cellStyle name="Normal 11 3 3 9" xfId="4565" xr:uid="{00000000-0005-0000-0000-0000CB110000}"/>
    <cellStyle name="Normal 11 3 4" xfId="4566" xr:uid="{00000000-0005-0000-0000-0000CC110000}"/>
    <cellStyle name="Normal 11 3 4 2" xfId="4567" xr:uid="{00000000-0005-0000-0000-0000CD110000}"/>
    <cellStyle name="Normal 11 3 4 2 2" xfId="4568" xr:uid="{00000000-0005-0000-0000-0000CE110000}"/>
    <cellStyle name="Normal 11 3 4 2 2 2" xfId="4569" xr:uid="{00000000-0005-0000-0000-0000CF110000}"/>
    <cellStyle name="Normal 11 3 4 2 2 3" xfId="4570" xr:uid="{00000000-0005-0000-0000-0000D0110000}"/>
    <cellStyle name="Normal 11 3 4 2 3" xfId="4571" xr:uid="{00000000-0005-0000-0000-0000D1110000}"/>
    <cellStyle name="Normal 11 3 4 2 3 2" xfId="4572" xr:uid="{00000000-0005-0000-0000-0000D2110000}"/>
    <cellStyle name="Normal 11 3 4 2 3 3" xfId="4573" xr:uid="{00000000-0005-0000-0000-0000D3110000}"/>
    <cellStyle name="Normal 11 3 4 2 4" xfId="4574" xr:uid="{00000000-0005-0000-0000-0000D4110000}"/>
    <cellStyle name="Normal 11 3 4 2 5" xfId="4575" xr:uid="{00000000-0005-0000-0000-0000D5110000}"/>
    <cellStyle name="Normal 11 3 4 3" xfId="4576" xr:uid="{00000000-0005-0000-0000-0000D6110000}"/>
    <cellStyle name="Normal 11 3 4 3 2" xfId="4577" xr:uid="{00000000-0005-0000-0000-0000D7110000}"/>
    <cellStyle name="Normal 11 3 4 3 2 2" xfId="4578" xr:uid="{00000000-0005-0000-0000-0000D8110000}"/>
    <cellStyle name="Normal 11 3 4 3 2 3" xfId="4579" xr:uid="{00000000-0005-0000-0000-0000D9110000}"/>
    <cellStyle name="Normal 11 3 4 3 3" xfId="4580" xr:uid="{00000000-0005-0000-0000-0000DA110000}"/>
    <cellStyle name="Normal 11 3 4 3 3 2" xfId="4581" xr:uid="{00000000-0005-0000-0000-0000DB110000}"/>
    <cellStyle name="Normal 11 3 4 3 3 3" xfId="4582" xr:uid="{00000000-0005-0000-0000-0000DC110000}"/>
    <cellStyle name="Normal 11 3 4 3 4" xfId="4583" xr:uid="{00000000-0005-0000-0000-0000DD110000}"/>
    <cellStyle name="Normal 11 3 4 3 5" xfId="4584" xr:uid="{00000000-0005-0000-0000-0000DE110000}"/>
    <cellStyle name="Normal 11 3 4 4" xfId="4585" xr:uid="{00000000-0005-0000-0000-0000DF110000}"/>
    <cellStyle name="Normal 11 3 4 4 2" xfId="4586" xr:uid="{00000000-0005-0000-0000-0000E0110000}"/>
    <cellStyle name="Normal 11 3 4 4 3" xfId="4587" xr:uid="{00000000-0005-0000-0000-0000E1110000}"/>
    <cellStyle name="Normal 11 3 4 5" xfId="4588" xr:uid="{00000000-0005-0000-0000-0000E2110000}"/>
    <cellStyle name="Normal 11 3 4 5 2" xfId="4589" xr:uid="{00000000-0005-0000-0000-0000E3110000}"/>
    <cellStyle name="Normal 11 3 4 5 3" xfId="4590" xr:uid="{00000000-0005-0000-0000-0000E4110000}"/>
    <cellStyle name="Normal 11 3 4 6" xfId="4591" xr:uid="{00000000-0005-0000-0000-0000E5110000}"/>
    <cellStyle name="Normal 11 3 4 7" xfId="4592" xr:uid="{00000000-0005-0000-0000-0000E6110000}"/>
    <cellStyle name="Normal 11 3 5" xfId="4593" xr:uid="{00000000-0005-0000-0000-0000E7110000}"/>
    <cellStyle name="Normal 11 3 5 2" xfId="4594" xr:uid="{00000000-0005-0000-0000-0000E8110000}"/>
    <cellStyle name="Normal 11 3 5 2 2" xfId="4595" xr:uid="{00000000-0005-0000-0000-0000E9110000}"/>
    <cellStyle name="Normal 11 3 5 2 2 2" xfId="4596" xr:uid="{00000000-0005-0000-0000-0000EA110000}"/>
    <cellStyle name="Normal 11 3 5 2 2 3" xfId="4597" xr:uid="{00000000-0005-0000-0000-0000EB110000}"/>
    <cellStyle name="Normal 11 3 5 2 3" xfId="4598" xr:uid="{00000000-0005-0000-0000-0000EC110000}"/>
    <cellStyle name="Normal 11 3 5 2 3 2" xfId="4599" xr:uid="{00000000-0005-0000-0000-0000ED110000}"/>
    <cellStyle name="Normal 11 3 5 2 3 3" xfId="4600" xr:uid="{00000000-0005-0000-0000-0000EE110000}"/>
    <cellStyle name="Normal 11 3 5 2 4" xfId="4601" xr:uid="{00000000-0005-0000-0000-0000EF110000}"/>
    <cellStyle name="Normal 11 3 5 2 5" xfId="4602" xr:uid="{00000000-0005-0000-0000-0000F0110000}"/>
    <cellStyle name="Normal 11 3 5 3" xfId="4603" xr:uid="{00000000-0005-0000-0000-0000F1110000}"/>
    <cellStyle name="Normal 11 3 5 3 2" xfId="4604" xr:uid="{00000000-0005-0000-0000-0000F2110000}"/>
    <cellStyle name="Normal 11 3 5 3 2 2" xfId="4605" xr:uid="{00000000-0005-0000-0000-0000F3110000}"/>
    <cellStyle name="Normal 11 3 5 3 2 3" xfId="4606" xr:uid="{00000000-0005-0000-0000-0000F4110000}"/>
    <cellStyle name="Normal 11 3 5 3 3" xfId="4607" xr:uid="{00000000-0005-0000-0000-0000F5110000}"/>
    <cellStyle name="Normal 11 3 5 3 4" xfId="4608" xr:uid="{00000000-0005-0000-0000-0000F6110000}"/>
    <cellStyle name="Normal 11 3 5 4" xfId="4609" xr:uid="{00000000-0005-0000-0000-0000F7110000}"/>
    <cellStyle name="Normal 11 3 5 4 2" xfId="4610" xr:uid="{00000000-0005-0000-0000-0000F8110000}"/>
    <cellStyle name="Normal 11 3 5 4 3" xfId="4611" xr:uid="{00000000-0005-0000-0000-0000F9110000}"/>
    <cellStyle name="Normal 11 3 5 5" xfId="4612" xr:uid="{00000000-0005-0000-0000-0000FA110000}"/>
    <cellStyle name="Normal 11 3 5 5 2" xfId="4613" xr:uid="{00000000-0005-0000-0000-0000FB110000}"/>
    <cellStyle name="Normal 11 3 5 5 3" xfId="4614" xr:uid="{00000000-0005-0000-0000-0000FC110000}"/>
    <cellStyle name="Normal 11 3 5 6" xfId="4615" xr:uid="{00000000-0005-0000-0000-0000FD110000}"/>
    <cellStyle name="Normal 11 3 5 7" xfId="4616" xr:uid="{00000000-0005-0000-0000-0000FE110000}"/>
    <cellStyle name="Normal 11 3 6" xfId="4617" xr:uid="{00000000-0005-0000-0000-0000FF110000}"/>
    <cellStyle name="Normal 11 3 6 2" xfId="4618" xr:uid="{00000000-0005-0000-0000-000000120000}"/>
    <cellStyle name="Normal 11 3 6 2 2" xfId="4619" xr:uid="{00000000-0005-0000-0000-000001120000}"/>
    <cellStyle name="Normal 11 3 6 2 3" xfId="4620" xr:uid="{00000000-0005-0000-0000-000002120000}"/>
    <cellStyle name="Normal 11 3 6 3" xfId="4621" xr:uid="{00000000-0005-0000-0000-000003120000}"/>
    <cellStyle name="Normal 11 3 6 3 2" xfId="4622" xr:uid="{00000000-0005-0000-0000-000004120000}"/>
    <cellStyle name="Normal 11 3 6 3 3" xfId="4623" xr:uid="{00000000-0005-0000-0000-000005120000}"/>
    <cellStyle name="Normal 11 3 6 4" xfId="4624" xr:uid="{00000000-0005-0000-0000-000006120000}"/>
    <cellStyle name="Normal 11 3 6 5" xfId="4625" xr:uid="{00000000-0005-0000-0000-000007120000}"/>
    <cellStyle name="Normal 11 3 7" xfId="4626" xr:uid="{00000000-0005-0000-0000-000008120000}"/>
    <cellStyle name="Normal 11 3 7 2" xfId="4627" xr:uid="{00000000-0005-0000-0000-000009120000}"/>
    <cellStyle name="Normal 11 3 7 2 2" xfId="4628" xr:uid="{00000000-0005-0000-0000-00000A120000}"/>
    <cellStyle name="Normal 11 3 7 2 3" xfId="4629" xr:uid="{00000000-0005-0000-0000-00000B120000}"/>
    <cellStyle name="Normal 11 3 7 3" xfId="4630" xr:uid="{00000000-0005-0000-0000-00000C120000}"/>
    <cellStyle name="Normal 11 3 7 3 2" xfId="4631" xr:uid="{00000000-0005-0000-0000-00000D120000}"/>
    <cellStyle name="Normal 11 3 7 3 3" xfId="4632" xr:uid="{00000000-0005-0000-0000-00000E120000}"/>
    <cellStyle name="Normal 11 3 7 4" xfId="4633" xr:uid="{00000000-0005-0000-0000-00000F120000}"/>
    <cellStyle name="Normal 11 3 7 5" xfId="4634" xr:uid="{00000000-0005-0000-0000-000010120000}"/>
    <cellStyle name="Normal 11 3 8" xfId="4635" xr:uid="{00000000-0005-0000-0000-000011120000}"/>
    <cellStyle name="Normal 11 3 8 2" xfId="4636" xr:uid="{00000000-0005-0000-0000-000012120000}"/>
    <cellStyle name="Normal 11 3 8 2 2" xfId="4637" xr:uid="{00000000-0005-0000-0000-000013120000}"/>
    <cellStyle name="Normal 11 3 8 2 3" xfId="4638" xr:uid="{00000000-0005-0000-0000-000014120000}"/>
    <cellStyle name="Normal 11 3 8 3" xfId="4639" xr:uid="{00000000-0005-0000-0000-000015120000}"/>
    <cellStyle name="Normal 11 3 8 4" xfId="4640" xr:uid="{00000000-0005-0000-0000-000016120000}"/>
    <cellStyle name="Normal 11 3 9" xfId="4641" xr:uid="{00000000-0005-0000-0000-000017120000}"/>
    <cellStyle name="Normal 11 3 9 2" xfId="4642" xr:uid="{00000000-0005-0000-0000-000018120000}"/>
    <cellStyle name="Normal 11 3 9 3" xfId="4643" xr:uid="{00000000-0005-0000-0000-000019120000}"/>
    <cellStyle name="Normal 11 4" xfId="4644" xr:uid="{00000000-0005-0000-0000-00001A120000}"/>
    <cellStyle name="Normal 11 4 10" xfId="4645" xr:uid="{00000000-0005-0000-0000-00001B120000}"/>
    <cellStyle name="Normal 11 4 10 2" xfId="4646" xr:uid="{00000000-0005-0000-0000-00001C120000}"/>
    <cellStyle name="Normal 11 4 10 3" xfId="4647" xr:uid="{00000000-0005-0000-0000-00001D120000}"/>
    <cellStyle name="Normal 11 4 11" xfId="4648" xr:uid="{00000000-0005-0000-0000-00001E120000}"/>
    <cellStyle name="Normal 11 4 11 2" xfId="4649" xr:uid="{00000000-0005-0000-0000-00001F120000}"/>
    <cellStyle name="Normal 11 4 11 3" xfId="4650" xr:uid="{00000000-0005-0000-0000-000020120000}"/>
    <cellStyle name="Normal 11 4 12" xfId="4651" xr:uid="{00000000-0005-0000-0000-000021120000}"/>
    <cellStyle name="Normal 11 4 13" xfId="4652" xr:uid="{00000000-0005-0000-0000-000022120000}"/>
    <cellStyle name="Normal 11 4 2" xfId="4653" xr:uid="{00000000-0005-0000-0000-000023120000}"/>
    <cellStyle name="Normal 11 4 2 2" xfId="4654" xr:uid="{00000000-0005-0000-0000-000024120000}"/>
    <cellStyle name="Normal 11 4 2 2 2" xfId="4655" xr:uid="{00000000-0005-0000-0000-000025120000}"/>
    <cellStyle name="Normal 11 4 2 2 2 2" xfId="4656" xr:uid="{00000000-0005-0000-0000-000026120000}"/>
    <cellStyle name="Normal 11 4 2 2 2 2 2" xfId="4657" xr:uid="{00000000-0005-0000-0000-000027120000}"/>
    <cellStyle name="Normal 11 4 2 2 2 2 3" xfId="4658" xr:uid="{00000000-0005-0000-0000-000028120000}"/>
    <cellStyle name="Normal 11 4 2 2 2 3" xfId="4659" xr:uid="{00000000-0005-0000-0000-000029120000}"/>
    <cellStyle name="Normal 11 4 2 2 2 3 2" xfId="4660" xr:uid="{00000000-0005-0000-0000-00002A120000}"/>
    <cellStyle name="Normal 11 4 2 2 2 3 3" xfId="4661" xr:uid="{00000000-0005-0000-0000-00002B120000}"/>
    <cellStyle name="Normal 11 4 2 2 2 4" xfId="4662" xr:uid="{00000000-0005-0000-0000-00002C120000}"/>
    <cellStyle name="Normal 11 4 2 2 2 5" xfId="4663" xr:uid="{00000000-0005-0000-0000-00002D120000}"/>
    <cellStyle name="Normal 11 4 2 2 3" xfId="4664" xr:uid="{00000000-0005-0000-0000-00002E120000}"/>
    <cellStyle name="Normal 11 4 2 2 3 2" xfId="4665" xr:uid="{00000000-0005-0000-0000-00002F120000}"/>
    <cellStyle name="Normal 11 4 2 2 3 2 2" xfId="4666" xr:uid="{00000000-0005-0000-0000-000030120000}"/>
    <cellStyle name="Normal 11 4 2 2 3 2 3" xfId="4667" xr:uid="{00000000-0005-0000-0000-000031120000}"/>
    <cellStyle name="Normal 11 4 2 2 3 3" xfId="4668" xr:uid="{00000000-0005-0000-0000-000032120000}"/>
    <cellStyle name="Normal 11 4 2 2 3 3 2" xfId="4669" xr:uid="{00000000-0005-0000-0000-000033120000}"/>
    <cellStyle name="Normal 11 4 2 2 3 3 3" xfId="4670" xr:uid="{00000000-0005-0000-0000-000034120000}"/>
    <cellStyle name="Normal 11 4 2 2 3 4" xfId="4671" xr:uid="{00000000-0005-0000-0000-000035120000}"/>
    <cellStyle name="Normal 11 4 2 2 3 5" xfId="4672" xr:uid="{00000000-0005-0000-0000-000036120000}"/>
    <cellStyle name="Normal 11 4 2 2 4" xfId="4673" xr:uid="{00000000-0005-0000-0000-000037120000}"/>
    <cellStyle name="Normal 11 4 2 2 4 2" xfId="4674" xr:uid="{00000000-0005-0000-0000-000038120000}"/>
    <cellStyle name="Normal 11 4 2 2 4 3" xfId="4675" xr:uid="{00000000-0005-0000-0000-000039120000}"/>
    <cellStyle name="Normal 11 4 2 2 5" xfId="4676" xr:uid="{00000000-0005-0000-0000-00003A120000}"/>
    <cellStyle name="Normal 11 4 2 2 5 2" xfId="4677" xr:uid="{00000000-0005-0000-0000-00003B120000}"/>
    <cellStyle name="Normal 11 4 2 2 5 3" xfId="4678" xr:uid="{00000000-0005-0000-0000-00003C120000}"/>
    <cellStyle name="Normal 11 4 2 2 6" xfId="4679" xr:uid="{00000000-0005-0000-0000-00003D120000}"/>
    <cellStyle name="Normal 11 4 2 2 7" xfId="4680" xr:uid="{00000000-0005-0000-0000-00003E120000}"/>
    <cellStyle name="Normal 11 4 2 3" xfId="4681" xr:uid="{00000000-0005-0000-0000-00003F120000}"/>
    <cellStyle name="Normal 11 4 2 3 2" xfId="4682" xr:uid="{00000000-0005-0000-0000-000040120000}"/>
    <cellStyle name="Normal 11 4 2 3 2 2" xfId="4683" xr:uid="{00000000-0005-0000-0000-000041120000}"/>
    <cellStyle name="Normal 11 4 2 3 2 3" xfId="4684" xr:uid="{00000000-0005-0000-0000-000042120000}"/>
    <cellStyle name="Normal 11 4 2 3 3" xfId="4685" xr:uid="{00000000-0005-0000-0000-000043120000}"/>
    <cellStyle name="Normal 11 4 2 3 3 2" xfId="4686" xr:uid="{00000000-0005-0000-0000-000044120000}"/>
    <cellStyle name="Normal 11 4 2 3 3 3" xfId="4687" xr:uid="{00000000-0005-0000-0000-000045120000}"/>
    <cellStyle name="Normal 11 4 2 3 4" xfId="4688" xr:uid="{00000000-0005-0000-0000-000046120000}"/>
    <cellStyle name="Normal 11 4 2 3 5" xfId="4689" xr:uid="{00000000-0005-0000-0000-000047120000}"/>
    <cellStyle name="Normal 11 4 2 4" xfId="4690" xr:uid="{00000000-0005-0000-0000-000048120000}"/>
    <cellStyle name="Normal 11 4 2 4 2" xfId="4691" xr:uid="{00000000-0005-0000-0000-000049120000}"/>
    <cellStyle name="Normal 11 4 2 4 2 2" xfId="4692" xr:uid="{00000000-0005-0000-0000-00004A120000}"/>
    <cellStyle name="Normal 11 4 2 4 2 3" xfId="4693" xr:uid="{00000000-0005-0000-0000-00004B120000}"/>
    <cellStyle name="Normal 11 4 2 4 3" xfId="4694" xr:uid="{00000000-0005-0000-0000-00004C120000}"/>
    <cellStyle name="Normal 11 4 2 4 3 2" xfId="4695" xr:uid="{00000000-0005-0000-0000-00004D120000}"/>
    <cellStyle name="Normal 11 4 2 4 3 3" xfId="4696" xr:uid="{00000000-0005-0000-0000-00004E120000}"/>
    <cellStyle name="Normal 11 4 2 4 4" xfId="4697" xr:uid="{00000000-0005-0000-0000-00004F120000}"/>
    <cellStyle name="Normal 11 4 2 4 5" xfId="4698" xr:uid="{00000000-0005-0000-0000-000050120000}"/>
    <cellStyle name="Normal 11 4 2 5" xfId="4699" xr:uid="{00000000-0005-0000-0000-000051120000}"/>
    <cellStyle name="Normal 11 4 2 5 2" xfId="4700" xr:uid="{00000000-0005-0000-0000-000052120000}"/>
    <cellStyle name="Normal 11 4 2 5 3" xfId="4701" xr:uid="{00000000-0005-0000-0000-000053120000}"/>
    <cellStyle name="Normal 11 4 2 6" xfId="4702" xr:uid="{00000000-0005-0000-0000-000054120000}"/>
    <cellStyle name="Normal 11 4 2 6 2" xfId="4703" xr:uid="{00000000-0005-0000-0000-000055120000}"/>
    <cellStyle name="Normal 11 4 2 6 3" xfId="4704" xr:uid="{00000000-0005-0000-0000-000056120000}"/>
    <cellStyle name="Normal 11 4 2 7" xfId="4705" xr:uid="{00000000-0005-0000-0000-000057120000}"/>
    <cellStyle name="Normal 11 4 2 7 2" xfId="4706" xr:uid="{00000000-0005-0000-0000-000058120000}"/>
    <cellStyle name="Normal 11 4 2 7 3" xfId="4707" xr:uid="{00000000-0005-0000-0000-000059120000}"/>
    <cellStyle name="Normal 11 4 2 8" xfId="4708" xr:uid="{00000000-0005-0000-0000-00005A120000}"/>
    <cellStyle name="Normal 11 4 2 9" xfId="4709" xr:uid="{00000000-0005-0000-0000-00005B120000}"/>
    <cellStyle name="Normal 11 4 3" xfId="4710" xr:uid="{00000000-0005-0000-0000-00005C120000}"/>
    <cellStyle name="Normal 11 4 3 2" xfId="4711" xr:uid="{00000000-0005-0000-0000-00005D120000}"/>
    <cellStyle name="Normal 11 4 3 2 2" xfId="4712" xr:uid="{00000000-0005-0000-0000-00005E120000}"/>
    <cellStyle name="Normal 11 4 3 2 2 2" xfId="4713" xr:uid="{00000000-0005-0000-0000-00005F120000}"/>
    <cellStyle name="Normal 11 4 3 2 2 3" xfId="4714" xr:uid="{00000000-0005-0000-0000-000060120000}"/>
    <cellStyle name="Normal 11 4 3 2 3" xfId="4715" xr:uid="{00000000-0005-0000-0000-000061120000}"/>
    <cellStyle name="Normal 11 4 3 2 3 2" xfId="4716" xr:uid="{00000000-0005-0000-0000-000062120000}"/>
    <cellStyle name="Normal 11 4 3 2 3 3" xfId="4717" xr:uid="{00000000-0005-0000-0000-000063120000}"/>
    <cellStyle name="Normal 11 4 3 2 4" xfId="4718" xr:uid="{00000000-0005-0000-0000-000064120000}"/>
    <cellStyle name="Normal 11 4 3 2 5" xfId="4719" xr:uid="{00000000-0005-0000-0000-000065120000}"/>
    <cellStyle name="Normal 11 4 3 3" xfId="4720" xr:uid="{00000000-0005-0000-0000-000066120000}"/>
    <cellStyle name="Normal 11 4 3 3 2" xfId="4721" xr:uid="{00000000-0005-0000-0000-000067120000}"/>
    <cellStyle name="Normal 11 4 3 3 2 2" xfId="4722" xr:uid="{00000000-0005-0000-0000-000068120000}"/>
    <cellStyle name="Normal 11 4 3 3 2 3" xfId="4723" xr:uid="{00000000-0005-0000-0000-000069120000}"/>
    <cellStyle name="Normal 11 4 3 3 3" xfId="4724" xr:uid="{00000000-0005-0000-0000-00006A120000}"/>
    <cellStyle name="Normal 11 4 3 3 3 2" xfId="4725" xr:uid="{00000000-0005-0000-0000-00006B120000}"/>
    <cellStyle name="Normal 11 4 3 3 3 3" xfId="4726" xr:uid="{00000000-0005-0000-0000-00006C120000}"/>
    <cellStyle name="Normal 11 4 3 3 4" xfId="4727" xr:uid="{00000000-0005-0000-0000-00006D120000}"/>
    <cellStyle name="Normal 11 4 3 3 5" xfId="4728" xr:uid="{00000000-0005-0000-0000-00006E120000}"/>
    <cellStyle name="Normal 11 4 3 4" xfId="4729" xr:uid="{00000000-0005-0000-0000-00006F120000}"/>
    <cellStyle name="Normal 11 4 3 4 2" xfId="4730" xr:uid="{00000000-0005-0000-0000-000070120000}"/>
    <cellStyle name="Normal 11 4 3 4 3" xfId="4731" xr:uid="{00000000-0005-0000-0000-000071120000}"/>
    <cellStyle name="Normal 11 4 3 5" xfId="4732" xr:uid="{00000000-0005-0000-0000-000072120000}"/>
    <cellStyle name="Normal 11 4 3 5 2" xfId="4733" xr:uid="{00000000-0005-0000-0000-000073120000}"/>
    <cellStyle name="Normal 11 4 3 5 3" xfId="4734" xr:uid="{00000000-0005-0000-0000-000074120000}"/>
    <cellStyle name="Normal 11 4 3 6" xfId="4735" xr:uid="{00000000-0005-0000-0000-000075120000}"/>
    <cellStyle name="Normal 11 4 3 7" xfId="4736" xr:uid="{00000000-0005-0000-0000-000076120000}"/>
    <cellStyle name="Normal 11 4 4" xfId="4737" xr:uid="{00000000-0005-0000-0000-000077120000}"/>
    <cellStyle name="Normal 11 4 4 2" xfId="4738" xr:uid="{00000000-0005-0000-0000-000078120000}"/>
    <cellStyle name="Normal 11 4 4 2 2" xfId="4739" xr:uid="{00000000-0005-0000-0000-000079120000}"/>
    <cellStyle name="Normal 11 4 4 2 2 2" xfId="4740" xr:uid="{00000000-0005-0000-0000-00007A120000}"/>
    <cellStyle name="Normal 11 4 4 2 2 3" xfId="4741" xr:uid="{00000000-0005-0000-0000-00007B120000}"/>
    <cellStyle name="Normal 11 4 4 2 3" xfId="4742" xr:uid="{00000000-0005-0000-0000-00007C120000}"/>
    <cellStyle name="Normal 11 4 4 2 3 2" xfId="4743" xr:uid="{00000000-0005-0000-0000-00007D120000}"/>
    <cellStyle name="Normal 11 4 4 2 3 3" xfId="4744" xr:uid="{00000000-0005-0000-0000-00007E120000}"/>
    <cellStyle name="Normal 11 4 4 2 4" xfId="4745" xr:uid="{00000000-0005-0000-0000-00007F120000}"/>
    <cellStyle name="Normal 11 4 4 2 5" xfId="4746" xr:uid="{00000000-0005-0000-0000-000080120000}"/>
    <cellStyle name="Normal 11 4 4 3" xfId="4747" xr:uid="{00000000-0005-0000-0000-000081120000}"/>
    <cellStyle name="Normal 11 4 4 3 2" xfId="4748" xr:uid="{00000000-0005-0000-0000-000082120000}"/>
    <cellStyle name="Normal 11 4 4 3 2 2" xfId="4749" xr:uid="{00000000-0005-0000-0000-000083120000}"/>
    <cellStyle name="Normal 11 4 4 3 2 3" xfId="4750" xr:uid="{00000000-0005-0000-0000-000084120000}"/>
    <cellStyle name="Normal 11 4 4 3 3" xfId="4751" xr:uid="{00000000-0005-0000-0000-000085120000}"/>
    <cellStyle name="Normal 11 4 4 3 4" xfId="4752" xr:uid="{00000000-0005-0000-0000-000086120000}"/>
    <cellStyle name="Normal 11 4 4 4" xfId="4753" xr:uid="{00000000-0005-0000-0000-000087120000}"/>
    <cellStyle name="Normal 11 4 4 4 2" xfId="4754" xr:uid="{00000000-0005-0000-0000-000088120000}"/>
    <cellStyle name="Normal 11 4 4 4 3" xfId="4755" xr:uid="{00000000-0005-0000-0000-000089120000}"/>
    <cellStyle name="Normal 11 4 4 5" xfId="4756" xr:uid="{00000000-0005-0000-0000-00008A120000}"/>
    <cellStyle name="Normal 11 4 4 5 2" xfId="4757" xr:uid="{00000000-0005-0000-0000-00008B120000}"/>
    <cellStyle name="Normal 11 4 4 5 3" xfId="4758" xr:uid="{00000000-0005-0000-0000-00008C120000}"/>
    <cellStyle name="Normal 11 4 4 6" xfId="4759" xr:uid="{00000000-0005-0000-0000-00008D120000}"/>
    <cellStyle name="Normal 11 4 4 7" xfId="4760" xr:uid="{00000000-0005-0000-0000-00008E120000}"/>
    <cellStyle name="Normal 11 4 5" xfId="4761" xr:uid="{00000000-0005-0000-0000-00008F120000}"/>
    <cellStyle name="Normal 11 4 5 2" xfId="4762" xr:uid="{00000000-0005-0000-0000-000090120000}"/>
    <cellStyle name="Normal 11 4 5 2 2" xfId="4763" xr:uid="{00000000-0005-0000-0000-000091120000}"/>
    <cellStyle name="Normal 11 4 5 2 3" xfId="4764" xr:uid="{00000000-0005-0000-0000-000092120000}"/>
    <cellStyle name="Normal 11 4 5 3" xfId="4765" xr:uid="{00000000-0005-0000-0000-000093120000}"/>
    <cellStyle name="Normal 11 4 5 3 2" xfId="4766" xr:uid="{00000000-0005-0000-0000-000094120000}"/>
    <cellStyle name="Normal 11 4 5 3 3" xfId="4767" xr:uid="{00000000-0005-0000-0000-000095120000}"/>
    <cellStyle name="Normal 11 4 5 4" xfId="4768" xr:uid="{00000000-0005-0000-0000-000096120000}"/>
    <cellStyle name="Normal 11 4 5 5" xfId="4769" xr:uid="{00000000-0005-0000-0000-000097120000}"/>
    <cellStyle name="Normal 11 4 6" xfId="4770" xr:uid="{00000000-0005-0000-0000-000098120000}"/>
    <cellStyle name="Normal 11 4 6 2" xfId="4771" xr:uid="{00000000-0005-0000-0000-000099120000}"/>
    <cellStyle name="Normal 11 4 6 2 2" xfId="4772" xr:uid="{00000000-0005-0000-0000-00009A120000}"/>
    <cellStyle name="Normal 11 4 6 2 3" xfId="4773" xr:uid="{00000000-0005-0000-0000-00009B120000}"/>
    <cellStyle name="Normal 11 4 6 3" xfId="4774" xr:uid="{00000000-0005-0000-0000-00009C120000}"/>
    <cellStyle name="Normal 11 4 6 3 2" xfId="4775" xr:uid="{00000000-0005-0000-0000-00009D120000}"/>
    <cellStyle name="Normal 11 4 6 3 3" xfId="4776" xr:uid="{00000000-0005-0000-0000-00009E120000}"/>
    <cellStyle name="Normal 11 4 6 4" xfId="4777" xr:uid="{00000000-0005-0000-0000-00009F120000}"/>
    <cellStyle name="Normal 11 4 6 5" xfId="4778" xr:uid="{00000000-0005-0000-0000-0000A0120000}"/>
    <cellStyle name="Normal 11 4 7" xfId="4779" xr:uid="{00000000-0005-0000-0000-0000A1120000}"/>
    <cellStyle name="Normal 11 4 7 2" xfId="4780" xr:uid="{00000000-0005-0000-0000-0000A2120000}"/>
    <cellStyle name="Normal 11 4 7 2 2" xfId="4781" xr:uid="{00000000-0005-0000-0000-0000A3120000}"/>
    <cellStyle name="Normal 11 4 7 2 3" xfId="4782" xr:uid="{00000000-0005-0000-0000-0000A4120000}"/>
    <cellStyle name="Normal 11 4 7 3" xfId="4783" xr:uid="{00000000-0005-0000-0000-0000A5120000}"/>
    <cellStyle name="Normal 11 4 7 4" xfId="4784" xr:uid="{00000000-0005-0000-0000-0000A6120000}"/>
    <cellStyle name="Normal 11 4 8" xfId="4785" xr:uid="{00000000-0005-0000-0000-0000A7120000}"/>
    <cellStyle name="Normal 11 4 8 2" xfId="4786" xr:uid="{00000000-0005-0000-0000-0000A8120000}"/>
    <cellStyle name="Normal 11 4 8 3" xfId="4787" xr:uid="{00000000-0005-0000-0000-0000A9120000}"/>
    <cellStyle name="Normal 11 4 9" xfId="4788" xr:uid="{00000000-0005-0000-0000-0000AA120000}"/>
    <cellStyle name="Normal 11 4 9 2" xfId="4789" xr:uid="{00000000-0005-0000-0000-0000AB120000}"/>
    <cellStyle name="Normal 11 4 9 3" xfId="4790" xr:uid="{00000000-0005-0000-0000-0000AC120000}"/>
    <cellStyle name="Normal 11 5" xfId="4791" xr:uid="{00000000-0005-0000-0000-0000AD120000}"/>
    <cellStyle name="Normal 11 5 10" xfId="4792" xr:uid="{00000000-0005-0000-0000-0000AE120000}"/>
    <cellStyle name="Normal 11 5 10 2" xfId="4793" xr:uid="{00000000-0005-0000-0000-0000AF120000}"/>
    <cellStyle name="Normal 11 5 10 3" xfId="4794" xr:uid="{00000000-0005-0000-0000-0000B0120000}"/>
    <cellStyle name="Normal 11 5 11" xfId="4795" xr:uid="{00000000-0005-0000-0000-0000B1120000}"/>
    <cellStyle name="Normal 11 5 11 2" xfId="4796" xr:uid="{00000000-0005-0000-0000-0000B2120000}"/>
    <cellStyle name="Normal 11 5 11 3" xfId="4797" xr:uid="{00000000-0005-0000-0000-0000B3120000}"/>
    <cellStyle name="Normal 11 5 12" xfId="4798" xr:uid="{00000000-0005-0000-0000-0000B4120000}"/>
    <cellStyle name="Normal 11 5 13" xfId="4799" xr:uid="{00000000-0005-0000-0000-0000B5120000}"/>
    <cellStyle name="Normal 11 5 2" xfId="4800" xr:uid="{00000000-0005-0000-0000-0000B6120000}"/>
    <cellStyle name="Normal 11 5 2 2" xfId="4801" xr:uid="{00000000-0005-0000-0000-0000B7120000}"/>
    <cellStyle name="Normal 11 5 2 2 2" xfId="4802" xr:uid="{00000000-0005-0000-0000-0000B8120000}"/>
    <cellStyle name="Normal 11 5 2 2 2 2" xfId="4803" xr:uid="{00000000-0005-0000-0000-0000B9120000}"/>
    <cellStyle name="Normal 11 5 2 2 2 2 2" xfId="4804" xr:uid="{00000000-0005-0000-0000-0000BA120000}"/>
    <cellStyle name="Normal 11 5 2 2 2 2 3" xfId="4805" xr:uid="{00000000-0005-0000-0000-0000BB120000}"/>
    <cellStyle name="Normal 11 5 2 2 2 3" xfId="4806" xr:uid="{00000000-0005-0000-0000-0000BC120000}"/>
    <cellStyle name="Normal 11 5 2 2 2 3 2" xfId="4807" xr:uid="{00000000-0005-0000-0000-0000BD120000}"/>
    <cellStyle name="Normal 11 5 2 2 2 3 3" xfId="4808" xr:uid="{00000000-0005-0000-0000-0000BE120000}"/>
    <cellStyle name="Normal 11 5 2 2 2 4" xfId="4809" xr:uid="{00000000-0005-0000-0000-0000BF120000}"/>
    <cellStyle name="Normal 11 5 2 2 2 5" xfId="4810" xr:uid="{00000000-0005-0000-0000-0000C0120000}"/>
    <cellStyle name="Normal 11 5 2 2 3" xfId="4811" xr:uid="{00000000-0005-0000-0000-0000C1120000}"/>
    <cellStyle name="Normal 11 5 2 2 3 2" xfId="4812" xr:uid="{00000000-0005-0000-0000-0000C2120000}"/>
    <cellStyle name="Normal 11 5 2 2 3 2 2" xfId="4813" xr:uid="{00000000-0005-0000-0000-0000C3120000}"/>
    <cellStyle name="Normal 11 5 2 2 3 2 3" xfId="4814" xr:uid="{00000000-0005-0000-0000-0000C4120000}"/>
    <cellStyle name="Normal 11 5 2 2 3 3" xfId="4815" xr:uid="{00000000-0005-0000-0000-0000C5120000}"/>
    <cellStyle name="Normal 11 5 2 2 3 3 2" xfId="4816" xr:uid="{00000000-0005-0000-0000-0000C6120000}"/>
    <cellStyle name="Normal 11 5 2 2 3 3 3" xfId="4817" xr:uid="{00000000-0005-0000-0000-0000C7120000}"/>
    <cellStyle name="Normal 11 5 2 2 3 4" xfId="4818" xr:uid="{00000000-0005-0000-0000-0000C8120000}"/>
    <cellStyle name="Normal 11 5 2 2 3 5" xfId="4819" xr:uid="{00000000-0005-0000-0000-0000C9120000}"/>
    <cellStyle name="Normal 11 5 2 2 4" xfId="4820" xr:uid="{00000000-0005-0000-0000-0000CA120000}"/>
    <cellStyle name="Normal 11 5 2 2 4 2" xfId="4821" xr:uid="{00000000-0005-0000-0000-0000CB120000}"/>
    <cellStyle name="Normal 11 5 2 2 4 3" xfId="4822" xr:uid="{00000000-0005-0000-0000-0000CC120000}"/>
    <cellStyle name="Normal 11 5 2 2 5" xfId="4823" xr:uid="{00000000-0005-0000-0000-0000CD120000}"/>
    <cellStyle name="Normal 11 5 2 2 5 2" xfId="4824" xr:uid="{00000000-0005-0000-0000-0000CE120000}"/>
    <cellStyle name="Normal 11 5 2 2 5 3" xfId="4825" xr:uid="{00000000-0005-0000-0000-0000CF120000}"/>
    <cellStyle name="Normal 11 5 2 2 6" xfId="4826" xr:uid="{00000000-0005-0000-0000-0000D0120000}"/>
    <cellStyle name="Normal 11 5 2 2 7" xfId="4827" xr:uid="{00000000-0005-0000-0000-0000D1120000}"/>
    <cellStyle name="Normal 11 5 2 3" xfId="4828" xr:uid="{00000000-0005-0000-0000-0000D2120000}"/>
    <cellStyle name="Normal 11 5 2 3 2" xfId="4829" xr:uid="{00000000-0005-0000-0000-0000D3120000}"/>
    <cellStyle name="Normal 11 5 2 3 2 2" xfId="4830" xr:uid="{00000000-0005-0000-0000-0000D4120000}"/>
    <cellStyle name="Normal 11 5 2 3 2 3" xfId="4831" xr:uid="{00000000-0005-0000-0000-0000D5120000}"/>
    <cellStyle name="Normal 11 5 2 3 3" xfId="4832" xr:uid="{00000000-0005-0000-0000-0000D6120000}"/>
    <cellStyle name="Normal 11 5 2 3 3 2" xfId="4833" xr:uid="{00000000-0005-0000-0000-0000D7120000}"/>
    <cellStyle name="Normal 11 5 2 3 3 3" xfId="4834" xr:uid="{00000000-0005-0000-0000-0000D8120000}"/>
    <cellStyle name="Normal 11 5 2 3 4" xfId="4835" xr:uid="{00000000-0005-0000-0000-0000D9120000}"/>
    <cellStyle name="Normal 11 5 2 3 5" xfId="4836" xr:uid="{00000000-0005-0000-0000-0000DA120000}"/>
    <cellStyle name="Normal 11 5 2 4" xfId="4837" xr:uid="{00000000-0005-0000-0000-0000DB120000}"/>
    <cellStyle name="Normal 11 5 2 4 2" xfId="4838" xr:uid="{00000000-0005-0000-0000-0000DC120000}"/>
    <cellStyle name="Normal 11 5 2 4 2 2" xfId="4839" xr:uid="{00000000-0005-0000-0000-0000DD120000}"/>
    <cellStyle name="Normal 11 5 2 4 2 3" xfId="4840" xr:uid="{00000000-0005-0000-0000-0000DE120000}"/>
    <cellStyle name="Normal 11 5 2 4 3" xfId="4841" xr:uid="{00000000-0005-0000-0000-0000DF120000}"/>
    <cellStyle name="Normal 11 5 2 4 3 2" xfId="4842" xr:uid="{00000000-0005-0000-0000-0000E0120000}"/>
    <cellStyle name="Normal 11 5 2 4 3 3" xfId="4843" xr:uid="{00000000-0005-0000-0000-0000E1120000}"/>
    <cellStyle name="Normal 11 5 2 4 4" xfId="4844" xr:uid="{00000000-0005-0000-0000-0000E2120000}"/>
    <cellStyle name="Normal 11 5 2 4 5" xfId="4845" xr:uid="{00000000-0005-0000-0000-0000E3120000}"/>
    <cellStyle name="Normal 11 5 2 5" xfId="4846" xr:uid="{00000000-0005-0000-0000-0000E4120000}"/>
    <cellStyle name="Normal 11 5 2 5 2" xfId="4847" xr:uid="{00000000-0005-0000-0000-0000E5120000}"/>
    <cellStyle name="Normal 11 5 2 5 3" xfId="4848" xr:uid="{00000000-0005-0000-0000-0000E6120000}"/>
    <cellStyle name="Normal 11 5 2 6" xfId="4849" xr:uid="{00000000-0005-0000-0000-0000E7120000}"/>
    <cellStyle name="Normal 11 5 2 6 2" xfId="4850" xr:uid="{00000000-0005-0000-0000-0000E8120000}"/>
    <cellStyle name="Normal 11 5 2 6 3" xfId="4851" xr:uid="{00000000-0005-0000-0000-0000E9120000}"/>
    <cellStyle name="Normal 11 5 2 7" xfId="4852" xr:uid="{00000000-0005-0000-0000-0000EA120000}"/>
    <cellStyle name="Normal 11 5 2 7 2" xfId="4853" xr:uid="{00000000-0005-0000-0000-0000EB120000}"/>
    <cellStyle name="Normal 11 5 2 7 3" xfId="4854" xr:uid="{00000000-0005-0000-0000-0000EC120000}"/>
    <cellStyle name="Normal 11 5 2 8" xfId="4855" xr:uid="{00000000-0005-0000-0000-0000ED120000}"/>
    <cellStyle name="Normal 11 5 2 9" xfId="4856" xr:uid="{00000000-0005-0000-0000-0000EE120000}"/>
    <cellStyle name="Normal 11 5 3" xfId="4857" xr:uid="{00000000-0005-0000-0000-0000EF120000}"/>
    <cellStyle name="Normal 11 5 3 2" xfId="4858" xr:uid="{00000000-0005-0000-0000-0000F0120000}"/>
    <cellStyle name="Normal 11 5 3 2 2" xfId="4859" xr:uid="{00000000-0005-0000-0000-0000F1120000}"/>
    <cellStyle name="Normal 11 5 3 2 2 2" xfId="4860" xr:uid="{00000000-0005-0000-0000-0000F2120000}"/>
    <cellStyle name="Normal 11 5 3 2 2 3" xfId="4861" xr:uid="{00000000-0005-0000-0000-0000F3120000}"/>
    <cellStyle name="Normal 11 5 3 2 3" xfId="4862" xr:uid="{00000000-0005-0000-0000-0000F4120000}"/>
    <cellStyle name="Normal 11 5 3 2 3 2" xfId="4863" xr:uid="{00000000-0005-0000-0000-0000F5120000}"/>
    <cellStyle name="Normal 11 5 3 2 3 3" xfId="4864" xr:uid="{00000000-0005-0000-0000-0000F6120000}"/>
    <cellStyle name="Normal 11 5 3 2 4" xfId="4865" xr:uid="{00000000-0005-0000-0000-0000F7120000}"/>
    <cellStyle name="Normal 11 5 3 2 5" xfId="4866" xr:uid="{00000000-0005-0000-0000-0000F8120000}"/>
    <cellStyle name="Normal 11 5 3 3" xfId="4867" xr:uid="{00000000-0005-0000-0000-0000F9120000}"/>
    <cellStyle name="Normal 11 5 3 3 2" xfId="4868" xr:uid="{00000000-0005-0000-0000-0000FA120000}"/>
    <cellStyle name="Normal 11 5 3 3 2 2" xfId="4869" xr:uid="{00000000-0005-0000-0000-0000FB120000}"/>
    <cellStyle name="Normal 11 5 3 3 2 3" xfId="4870" xr:uid="{00000000-0005-0000-0000-0000FC120000}"/>
    <cellStyle name="Normal 11 5 3 3 3" xfId="4871" xr:uid="{00000000-0005-0000-0000-0000FD120000}"/>
    <cellStyle name="Normal 11 5 3 3 3 2" xfId="4872" xr:uid="{00000000-0005-0000-0000-0000FE120000}"/>
    <cellStyle name="Normal 11 5 3 3 3 3" xfId="4873" xr:uid="{00000000-0005-0000-0000-0000FF120000}"/>
    <cellStyle name="Normal 11 5 3 3 4" xfId="4874" xr:uid="{00000000-0005-0000-0000-000000130000}"/>
    <cellStyle name="Normal 11 5 3 3 5" xfId="4875" xr:uid="{00000000-0005-0000-0000-000001130000}"/>
    <cellStyle name="Normal 11 5 3 4" xfId="4876" xr:uid="{00000000-0005-0000-0000-000002130000}"/>
    <cellStyle name="Normal 11 5 3 4 2" xfId="4877" xr:uid="{00000000-0005-0000-0000-000003130000}"/>
    <cellStyle name="Normal 11 5 3 4 3" xfId="4878" xr:uid="{00000000-0005-0000-0000-000004130000}"/>
    <cellStyle name="Normal 11 5 3 5" xfId="4879" xr:uid="{00000000-0005-0000-0000-000005130000}"/>
    <cellStyle name="Normal 11 5 3 5 2" xfId="4880" xr:uid="{00000000-0005-0000-0000-000006130000}"/>
    <cellStyle name="Normal 11 5 3 5 3" xfId="4881" xr:uid="{00000000-0005-0000-0000-000007130000}"/>
    <cellStyle name="Normal 11 5 3 6" xfId="4882" xr:uid="{00000000-0005-0000-0000-000008130000}"/>
    <cellStyle name="Normal 11 5 3 7" xfId="4883" xr:uid="{00000000-0005-0000-0000-000009130000}"/>
    <cellStyle name="Normal 11 5 4" xfId="4884" xr:uid="{00000000-0005-0000-0000-00000A130000}"/>
    <cellStyle name="Normal 11 5 4 2" xfId="4885" xr:uid="{00000000-0005-0000-0000-00000B130000}"/>
    <cellStyle name="Normal 11 5 4 2 2" xfId="4886" xr:uid="{00000000-0005-0000-0000-00000C130000}"/>
    <cellStyle name="Normal 11 5 4 2 2 2" xfId="4887" xr:uid="{00000000-0005-0000-0000-00000D130000}"/>
    <cellStyle name="Normal 11 5 4 2 2 3" xfId="4888" xr:uid="{00000000-0005-0000-0000-00000E130000}"/>
    <cellStyle name="Normal 11 5 4 2 3" xfId="4889" xr:uid="{00000000-0005-0000-0000-00000F130000}"/>
    <cellStyle name="Normal 11 5 4 2 3 2" xfId="4890" xr:uid="{00000000-0005-0000-0000-000010130000}"/>
    <cellStyle name="Normal 11 5 4 2 3 3" xfId="4891" xr:uid="{00000000-0005-0000-0000-000011130000}"/>
    <cellStyle name="Normal 11 5 4 2 4" xfId="4892" xr:uid="{00000000-0005-0000-0000-000012130000}"/>
    <cellStyle name="Normal 11 5 4 2 5" xfId="4893" xr:uid="{00000000-0005-0000-0000-000013130000}"/>
    <cellStyle name="Normal 11 5 4 3" xfId="4894" xr:uid="{00000000-0005-0000-0000-000014130000}"/>
    <cellStyle name="Normal 11 5 4 3 2" xfId="4895" xr:uid="{00000000-0005-0000-0000-000015130000}"/>
    <cellStyle name="Normal 11 5 4 3 2 2" xfId="4896" xr:uid="{00000000-0005-0000-0000-000016130000}"/>
    <cellStyle name="Normal 11 5 4 3 2 3" xfId="4897" xr:uid="{00000000-0005-0000-0000-000017130000}"/>
    <cellStyle name="Normal 11 5 4 3 3" xfId="4898" xr:uid="{00000000-0005-0000-0000-000018130000}"/>
    <cellStyle name="Normal 11 5 4 3 4" xfId="4899" xr:uid="{00000000-0005-0000-0000-000019130000}"/>
    <cellStyle name="Normal 11 5 4 4" xfId="4900" xr:uid="{00000000-0005-0000-0000-00001A130000}"/>
    <cellStyle name="Normal 11 5 4 4 2" xfId="4901" xr:uid="{00000000-0005-0000-0000-00001B130000}"/>
    <cellStyle name="Normal 11 5 4 4 3" xfId="4902" xr:uid="{00000000-0005-0000-0000-00001C130000}"/>
    <cellStyle name="Normal 11 5 4 5" xfId="4903" xr:uid="{00000000-0005-0000-0000-00001D130000}"/>
    <cellStyle name="Normal 11 5 4 5 2" xfId="4904" xr:uid="{00000000-0005-0000-0000-00001E130000}"/>
    <cellStyle name="Normal 11 5 4 5 3" xfId="4905" xr:uid="{00000000-0005-0000-0000-00001F130000}"/>
    <cellStyle name="Normal 11 5 4 6" xfId="4906" xr:uid="{00000000-0005-0000-0000-000020130000}"/>
    <cellStyle name="Normal 11 5 4 7" xfId="4907" xr:uid="{00000000-0005-0000-0000-000021130000}"/>
    <cellStyle name="Normal 11 5 5" xfId="4908" xr:uid="{00000000-0005-0000-0000-000022130000}"/>
    <cellStyle name="Normal 11 5 5 2" xfId="4909" xr:uid="{00000000-0005-0000-0000-000023130000}"/>
    <cellStyle name="Normal 11 5 5 2 2" xfId="4910" xr:uid="{00000000-0005-0000-0000-000024130000}"/>
    <cellStyle name="Normal 11 5 5 2 3" xfId="4911" xr:uid="{00000000-0005-0000-0000-000025130000}"/>
    <cellStyle name="Normal 11 5 5 3" xfId="4912" xr:uid="{00000000-0005-0000-0000-000026130000}"/>
    <cellStyle name="Normal 11 5 5 3 2" xfId="4913" xr:uid="{00000000-0005-0000-0000-000027130000}"/>
    <cellStyle name="Normal 11 5 5 3 3" xfId="4914" xr:uid="{00000000-0005-0000-0000-000028130000}"/>
    <cellStyle name="Normal 11 5 5 4" xfId="4915" xr:uid="{00000000-0005-0000-0000-000029130000}"/>
    <cellStyle name="Normal 11 5 5 5" xfId="4916" xr:uid="{00000000-0005-0000-0000-00002A130000}"/>
    <cellStyle name="Normal 11 5 6" xfId="4917" xr:uid="{00000000-0005-0000-0000-00002B130000}"/>
    <cellStyle name="Normal 11 5 6 2" xfId="4918" xr:uid="{00000000-0005-0000-0000-00002C130000}"/>
    <cellStyle name="Normal 11 5 6 2 2" xfId="4919" xr:uid="{00000000-0005-0000-0000-00002D130000}"/>
    <cellStyle name="Normal 11 5 6 2 3" xfId="4920" xr:uid="{00000000-0005-0000-0000-00002E130000}"/>
    <cellStyle name="Normal 11 5 6 3" xfId="4921" xr:uid="{00000000-0005-0000-0000-00002F130000}"/>
    <cellStyle name="Normal 11 5 6 3 2" xfId="4922" xr:uid="{00000000-0005-0000-0000-000030130000}"/>
    <cellStyle name="Normal 11 5 6 3 3" xfId="4923" xr:uid="{00000000-0005-0000-0000-000031130000}"/>
    <cellStyle name="Normal 11 5 6 4" xfId="4924" xr:uid="{00000000-0005-0000-0000-000032130000}"/>
    <cellStyle name="Normal 11 5 6 5" xfId="4925" xr:uid="{00000000-0005-0000-0000-000033130000}"/>
    <cellStyle name="Normal 11 5 7" xfId="4926" xr:uid="{00000000-0005-0000-0000-000034130000}"/>
    <cellStyle name="Normal 11 5 7 2" xfId="4927" xr:uid="{00000000-0005-0000-0000-000035130000}"/>
    <cellStyle name="Normal 11 5 7 2 2" xfId="4928" xr:uid="{00000000-0005-0000-0000-000036130000}"/>
    <cellStyle name="Normal 11 5 7 2 3" xfId="4929" xr:uid="{00000000-0005-0000-0000-000037130000}"/>
    <cellStyle name="Normal 11 5 7 3" xfId="4930" xr:uid="{00000000-0005-0000-0000-000038130000}"/>
    <cellStyle name="Normal 11 5 7 4" xfId="4931" xr:uid="{00000000-0005-0000-0000-000039130000}"/>
    <cellStyle name="Normal 11 5 8" xfId="4932" xr:uid="{00000000-0005-0000-0000-00003A130000}"/>
    <cellStyle name="Normal 11 5 8 2" xfId="4933" xr:uid="{00000000-0005-0000-0000-00003B130000}"/>
    <cellStyle name="Normal 11 5 8 3" xfId="4934" xr:uid="{00000000-0005-0000-0000-00003C130000}"/>
    <cellStyle name="Normal 11 5 9" xfId="4935" xr:uid="{00000000-0005-0000-0000-00003D130000}"/>
    <cellStyle name="Normal 11 5 9 2" xfId="4936" xr:uid="{00000000-0005-0000-0000-00003E130000}"/>
    <cellStyle name="Normal 11 5 9 3" xfId="4937" xr:uid="{00000000-0005-0000-0000-00003F130000}"/>
    <cellStyle name="Normal 11 6" xfId="4938" xr:uid="{00000000-0005-0000-0000-000040130000}"/>
    <cellStyle name="Normal 11 6 10" xfId="4939" xr:uid="{00000000-0005-0000-0000-000041130000}"/>
    <cellStyle name="Normal 11 6 10 2" xfId="4940" xr:uid="{00000000-0005-0000-0000-000042130000}"/>
    <cellStyle name="Normal 11 6 10 3" xfId="4941" xr:uid="{00000000-0005-0000-0000-000043130000}"/>
    <cellStyle name="Normal 11 6 11" xfId="4942" xr:uid="{00000000-0005-0000-0000-000044130000}"/>
    <cellStyle name="Normal 11 6 11 2" xfId="4943" xr:uid="{00000000-0005-0000-0000-000045130000}"/>
    <cellStyle name="Normal 11 6 11 3" xfId="4944" xr:uid="{00000000-0005-0000-0000-000046130000}"/>
    <cellStyle name="Normal 11 6 12" xfId="4945" xr:uid="{00000000-0005-0000-0000-000047130000}"/>
    <cellStyle name="Normal 11 6 13" xfId="4946" xr:uid="{00000000-0005-0000-0000-000048130000}"/>
    <cellStyle name="Normal 11 6 2" xfId="4947" xr:uid="{00000000-0005-0000-0000-000049130000}"/>
    <cellStyle name="Normal 11 6 2 2" xfId="4948" xr:uid="{00000000-0005-0000-0000-00004A130000}"/>
    <cellStyle name="Normal 11 6 2 2 2" xfId="4949" xr:uid="{00000000-0005-0000-0000-00004B130000}"/>
    <cellStyle name="Normal 11 6 2 2 2 2" xfId="4950" xr:uid="{00000000-0005-0000-0000-00004C130000}"/>
    <cellStyle name="Normal 11 6 2 2 2 2 2" xfId="4951" xr:uid="{00000000-0005-0000-0000-00004D130000}"/>
    <cellStyle name="Normal 11 6 2 2 2 2 3" xfId="4952" xr:uid="{00000000-0005-0000-0000-00004E130000}"/>
    <cellStyle name="Normal 11 6 2 2 2 3" xfId="4953" xr:uid="{00000000-0005-0000-0000-00004F130000}"/>
    <cellStyle name="Normal 11 6 2 2 2 3 2" xfId="4954" xr:uid="{00000000-0005-0000-0000-000050130000}"/>
    <cellStyle name="Normal 11 6 2 2 2 3 3" xfId="4955" xr:uid="{00000000-0005-0000-0000-000051130000}"/>
    <cellStyle name="Normal 11 6 2 2 2 4" xfId="4956" xr:uid="{00000000-0005-0000-0000-000052130000}"/>
    <cellStyle name="Normal 11 6 2 2 2 5" xfId="4957" xr:uid="{00000000-0005-0000-0000-000053130000}"/>
    <cellStyle name="Normal 11 6 2 2 3" xfId="4958" xr:uid="{00000000-0005-0000-0000-000054130000}"/>
    <cellStyle name="Normal 11 6 2 2 3 2" xfId="4959" xr:uid="{00000000-0005-0000-0000-000055130000}"/>
    <cellStyle name="Normal 11 6 2 2 3 2 2" xfId="4960" xr:uid="{00000000-0005-0000-0000-000056130000}"/>
    <cellStyle name="Normal 11 6 2 2 3 2 3" xfId="4961" xr:uid="{00000000-0005-0000-0000-000057130000}"/>
    <cellStyle name="Normal 11 6 2 2 3 3" xfId="4962" xr:uid="{00000000-0005-0000-0000-000058130000}"/>
    <cellStyle name="Normal 11 6 2 2 3 3 2" xfId="4963" xr:uid="{00000000-0005-0000-0000-000059130000}"/>
    <cellStyle name="Normal 11 6 2 2 3 3 3" xfId="4964" xr:uid="{00000000-0005-0000-0000-00005A130000}"/>
    <cellStyle name="Normal 11 6 2 2 3 4" xfId="4965" xr:uid="{00000000-0005-0000-0000-00005B130000}"/>
    <cellStyle name="Normal 11 6 2 2 3 5" xfId="4966" xr:uid="{00000000-0005-0000-0000-00005C130000}"/>
    <cellStyle name="Normal 11 6 2 2 4" xfId="4967" xr:uid="{00000000-0005-0000-0000-00005D130000}"/>
    <cellStyle name="Normal 11 6 2 2 4 2" xfId="4968" xr:uid="{00000000-0005-0000-0000-00005E130000}"/>
    <cellStyle name="Normal 11 6 2 2 4 3" xfId="4969" xr:uid="{00000000-0005-0000-0000-00005F130000}"/>
    <cellStyle name="Normal 11 6 2 2 5" xfId="4970" xr:uid="{00000000-0005-0000-0000-000060130000}"/>
    <cellStyle name="Normal 11 6 2 2 5 2" xfId="4971" xr:uid="{00000000-0005-0000-0000-000061130000}"/>
    <cellStyle name="Normal 11 6 2 2 5 3" xfId="4972" xr:uid="{00000000-0005-0000-0000-000062130000}"/>
    <cellStyle name="Normal 11 6 2 2 6" xfId="4973" xr:uid="{00000000-0005-0000-0000-000063130000}"/>
    <cellStyle name="Normal 11 6 2 2 7" xfId="4974" xr:uid="{00000000-0005-0000-0000-000064130000}"/>
    <cellStyle name="Normal 11 6 2 3" xfId="4975" xr:uid="{00000000-0005-0000-0000-000065130000}"/>
    <cellStyle name="Normal 11 6 2 3 2" xfId="4976" xr:uid="{00000000-0005-0000-0000-000066130000}"/>
    <cellStyle name="Normal 11 6 2 3 2 2" xfId="4977" xr:uid="{00000000-0005-0000-0000-000067130000}"/>
    <cellStyle name="Normal 11 6 2 3 2 3" xfId="4978" xr:uid="{00000000-0005-0000-0000-000068130000}"/>
    <cellStyle name="Normal 11 6 2 3 3" xfId="4979" xr:uid="{00000000-0005-0000-0000-000069130000}"/>
    <cellStyle name="Normal 11 6 2 3 3 2" xfId="4980" xr:uid="{00000000-0005-0000-0000-00006A130000}"/>
    <cellStyle name="Normal 11 6 2 3 3 3" xfId="4981" xr:uid="{00000000-0005-0000-0000-00006B130000}"/>
    <cellStyle name="Normal 11 6 2 3 4" xfId="4982" xr:uid="{00000000-0005-0000-0000-00006C130000}"/>
    <cellStyle name="Normal 11 6 2 3 5" xfId="4983" xr:uid="{00000000-0005-0000-0000-00006D130000}"/>
    <cellStyle name="Normal 11 6 2 4" xfId="4984" xr:uid="{00000000-0005-0000-0000-00006E130000}"/>
    <cellStyle name="Normal 11 6 2 4 2" xfId="4985" xr:uid="{00000000-0005-0000-0000-00006F130000}"/>
    <cellStyle name="Normal 11 6 2 4 2 2" xfId="4986" xr:uid="{00000000-0005-0000-0000-000070130000}"/>
    <cellStyle name="Normal 11 6 2 4 2 3" xfId="4987" xr:uid="{00000000-0005-0000-0000-000071130000}"/>
    <cellStyle name="Normal 11 6 2 4 3" xfId="4988" xr:uid="{00000000-0005-0000-0000-000072130000}"/>
    <cellStyle name="Normal 11 6 2 4 3 2" xfId="4989" xr:uid="{00000000-0005-0000-0000-000073130000}"/>
    <cellStyle name="Normal 11 6 2 4 3 3" xfId="4990" xr:uid="{00000000-0005-0000-0000-000074130000}"/>
    <cellStyle name="Normal 11 6 2 4 4" xfId="4991" xr:uid="{00000000-0005-0000-0000-000075130000}"/>
    <cellStyle name="Normal 11 6 2 4 5" xfId="4992" xr:uid="{00000000-0005-0000-0000-000076130000}"/>
    <cellStyle name="Normal 11 6 2 5" xfId="4993" xr:uid="{00000000-0005-0000-0000-000077130000}"/>
    <cellStyle name="Normal 11 6 2 5 2" xfId="4994" xr:uid="{00000000-0005-0000-0000-000078130000}"/>
    <cellStyle name="Normal 11 6 2 5 3" xfId="4995" xr:uid="{00000000-0005-0000-0000-000079130000}"/>
    <cellStyle name="Normal 11 6 2 6" xfId="4996" xr:uid="{00000000-0005-0000-0000-00007A130000}"/>
    <cellStyle name="Normal 11 6 2 6 2" xfId="4997" xr:uid="{00000000-0005-0000-0000-00007B130000}"/>
    <cellStyle name="Normal 11 6 2 6 3" xfId="4998" xr:uid="{00000000-0005-0000-0000-00007C130000}"/>
    <cellStyle name="Normal 11 6 2 7" xfId="4999" xr:uid="{00000000-0005-0000-0000-00007D130000}"/>
    <cellStyle name="Normal 11 6 2 7 2" xfId="5000" xr:uid="{00000000-0005-0000-0000-00007E130000}"/>
    <cellStyle name="Normal 11 6 2 7 3" xfId="5001" xr:uid="{00000000-0005-0000-0000-00007F130000}"/>
    <cellStyle name="Normal 11 6 2 8" xfId="5002" xr:uid="{00000000-0005-0000-0000-000080130000}"/>
    <cellStyle name="Normal 11 6 2 9" xfId="5003" xr:uid="{00000000-0005-0000-0000-000081130000}"/>
    <cellStyle name="Normal 11 6 3" xfId="5004" xr:uid="{00000000-0005-0000-0000-000082130000}"/>
    <cellStyle name="Normal 11 6 3 2" xfId="5005" xr:uid="{00000000-0005-0000-0000-000083130000}"/>
    <cellStyle name="Normal 11 6 3 2 2" xfId="5006" xr:uid="{00000000-0005-0000-0000-000084130000}"/>
    <cellStyle name="Normal 11 6 3 2 2 2" xfId="5007" xr:uid="{00000000-0005-0000-0000-000085130000}"/>
    <cellStyle name="Normal 11 6 3 2 2 3" xfId="5008" xr:uid="{00000000-0005-0000-0000-000086130000}"/>
    <cellStyle name="Normal 11 6 3 2 3" xfId="5009" xr:uid="{00000000-0005-0000-0000-000087130000}"/>
    <cellStyle name="Normal 11 6 3 2 3 2" xfId="5010" xr:uid="{00000000-0005-0000-0000-000088130000}"/>
    <cellStyle name="Normal 11 6 3 2 3 3" xfId="5011" xr:uid="{00000000-0005-0000-0000-000089130000}"/>
    <cellStyle name="Normal 11 6 3 2 4" xfId="5012" xr:uid="{00000000-0005-0000-0000-00008A130000}"/>
    <cellStyle name="Normal 11 6 3 2 5" xfId="5013" xr:uid="{00000000-0005-0000-0000-00008B130000}"/>
    <cellStyle name="Normal 11 6 3 3" xfId="5014" xr:uid="{00000000-0005-0000-0000-00008C130000}"/>
    <cellStyle name="Normal 11 6 3 3 2" xfId="5015" xr:uid="{00000000-0005-0000-0000-00008D130000}"/>
    <cellStyle name="Normal 11 6 3 3 2 2" xfId="5016" xr:uid="{00000000-0005-0000-0000-00008E130000}"/>
    <cellStyle name="Normal 11 6 3 3 2 3" xfId="5017" xr:uid="{00000000-0005-0000-0000-00008F130000}"/>
    <cellStyle name="Normal 11 6 3 3 3" xfId="5018" xr:uid="{00000000-0005-0000-0000-000090130000}"/>
    <cellStyle name="Normal 11 6 3 3 3 2" xfId="5019" xr:uid="{00000000-0005-0000-0000-000091130000}"/>
    <cellStyle name="Normal 11 6 3 3 3 3" xfId="5020" xr:uid="{00000000-0005-0000-0000-000092130000}"/>
    <cellStyle name="Normal 11 6 3 3 4" xfId="5021" xr:uid="{00000000-0005-0000-0000-000093130000}"/>
    <cellStyle name="Normal 11 6 3 3 5" xfId="5022" xr:uid="{00000000-0005-0000-0000-000094130000}"/>
    <cellStyle name="Normal 11 6 3 4" xfId="5023" xr:uid="{00000000-0005-0000-0000-000095130000}"/>
    <cellStyle name="Normal 11 6 3 4 2" xfId="5024" xr:uid="{00000000-0005-0000-0000-000096130000}"/>
    <cellStyle name="Normal 11 6 3 4 3" xfId="5025" xr:uid="{00000000-0005-0000-0000-000097130000}"/>
    <cellStyle name="Normal 11 6 3 5" xfId="5026" xr:uid="{00000000-0005-0000-0000-000098130000}"/>
    <cellStyle name="Normal 11 6 3 5 2" xfId="5027" xr:uid="{00000000-0005-0000-0000-000099130000}"/>
    <cellStyle name="Normal 11 6 3 5 3" xfId="5028" xr:uid="{00000000-0005-0000-0000-00009A130000}"/>
    <cellStyle name="Normal 11 6 3 6" xfId="5029" xr:uid="{00000000-0005-0000-0000-00009B130000}"/>
    <cellStyle name="Normal 11 6 3 7" xfId="5030" xr:uid="{00000000-0005-0000-0000-00009C130000}"/>
    <cellStyle name="Normal 11 6 4" xfId="5031" xr:uid="{00000000-0005-0000-0000-00009D130000}"/>
    <cellStyle name="Normal 11 6 4 2" xfId="5032" xr:uid="{00000000-0005-0000-0000-00009E130000}"/>
    <cellStyle name="Normal 11 6 4 2 2" xfId="5033" xr:uid="{00000000-0005-0000-0000-00009F130000}"/>
    <cellStyle name="Normal 11 6 4 2 2 2" xfId="5034" xr:uid="{00000000-0005-0000-0000-0000A0130000}"/>
    <cellStyle name="Normal 11 6 4 2 2 3" xfId="5035" xr:uid="{00000000-0005-0000-0000-0000A1130000}"/>
    <cellStyle name="Normal 11 6 4 2 3" xfId="5036" xr:uid="{00000000-0005-0000-0000-0000A2130000}"/>
    <cellStyle name="Normal 11 6 4 2 3 2" xfId="5037" xr:uid="{00000000-0005-0000-0000-0000A3130000}"/>
    <cellStyle name="Normal 11 6 4 2 3 3" xfId="5038" xr:uid="{00000000-0005-0000-0000-0000A4130000}"/>
    <cellStyle name="Normal 11 6 4 2 4" xfId="5039" xr:uid="{00000000-0005-0000-0000-0000A5130000}"/>
    <cellStyle name="Normal 11 6 4 2 5" xfId="5040" xr:uid="{00000000-0005-0000-0000-0000A6130000}"/>
    <cellStyle name="Normal 11 6 4 3" xfId="5041" xr:uid="{00000000-0005-0000-0000-0000A7130000}"/>
    <cellStyle name="Normal 11 6 4 3 2" xfId="5042" xr:uid="{00000000-0005-0000-0000-0000A8130000}"/>
    <cellStyle name="Normal 11 6 4 3 2 2" xfId="5043" xr:uid="{00000000-0005-0000-0000-0000A9130000}"/>
    <cellStyle name="Normal 11 6 4 3 2 3" xfId="5044" xr:uid="{00000000-0005-0000-0000-0000AA130000}"/>
    <cellStyle name="Normal 11 6 4 3 3" xfId="5045" xr:uid="{00000000-0005-0000-0000-0000AB130000}"/>
    <cellStyle name="Normal 11 6 4 3 4" xfId="5046" xr:uid="{00000000-0005-0000-0000-0000AC130000}"/>
    <cellStyle name="Normal 11 6 4 4" xfId="5047" xr:uid="{00000000-0005-0000-0000-0000AD130000}"/>
    <cellStyle name="Normal 11 6 4 4 2" xfId="5048" xr:uid="{00000000-0005-0000-0000-0000AE130000}"/>
    <cellStyle name="Normal 11 6 4 4 3" xfId="5049" xr:uid="{00000000-0005-0000-0000-0000AF130000}"/>
    <cellStyle name="Normal 11 6 4 5" xfId="5050" xr:uid="{00000000-0005-0000-0000-0000B0130000}"/>
    <cellStyle name="Normal 11 6 4 5 2" xfId="5051" xr:uid="{00000000-0005-0000-0000-0000B1130000}"/>
    <cellStyle name="Normal 11 6 4 5 3" xfId="5052" xr:uid="{00000000-0005-0000-0000-0000B2130000}"/>
    <cellStyle name="Normal 11 6 4 6" xfId="5053" xr:uid="{00000000-0005-0000-0000-0000B3130000}"/>
    <cellStyle name="Normal 11 6 4 7" xfId="5054" xr:uid="{00000000-0005-0000-0000-0000B4130000}"/>
    <cellStyle name="Normal 11 6 5" xfId="5055" xr:uid="{00000000-0005-0000-0000-0000B5130000}"/>
    <cellStyle name="Normal 11 6 5 2" xfId="5056" xr:uid="{00000000-0005-0000-0000-0000B6130000}"/>
    <cellStyle name="Normal 11 6 5 2 2" xfId="5057" xr:uid="{00000000-0005-0000-0000-0000B7130000}"/>
    <cellStyle name="Normal 11 6 5 2 3" xfId="5058" xr:uid="{00000000-0005-0000-0000-0000B8130000}"/>
    <cellStyle name="Normal 11 6 5 3" xfId="5059" xr:uid="{00000000-0005-0000-0000-0000B9130000}"/>
    <cellStyle name="Normal 11 6 5 3 2" xfId="5060" xr:uid="{00000000-0005-0000-0000-0000BA130000}"/>
    <cellStyle name="Normal 11 6 5 3 3" xfId="5061" xr:uid="{00000000-0005-0000-0000-0000BB130000}"/>
    <cellStyle name="Normal 11 6 5 4" xfId="5062" xr:uid="{00000000-0005-0000-0000-0000BC130000}"/>
    <cellStyle name="Normal 11 6 5 5" xfId="5063" xr:uid="{00000000-0005-0000-0000-0000BD130000}"/>
    <cellStyle name="Normal 11 6 6" xfId="5064" xr:uid="{00000000-0005-0000-0000-0000BE130000}"/>
    <cellStyle name="Normal 11 6 6 2" xfId="5065" xr:uid="{00000000-0005-0000-0000-0000BF130000}"/>
    <cellStyle name="Normal 11 6 6 2 2" xfId="5066" xr:uid="{00000000-0005-0000-0000-0000C0130000}"/>
    <cellStyle name="Normal 11 6 6 2 3" xfId="5067" xr:uid="{00000000-0005-0000-0000-0000C1130000}"/>
    <cellStyle name="Normal 11 6 6 3" xfId="5068" xr:uid="{00000000-0005-0000-0000-0000C2130000}"/>
    <cellStyle name="Normal 11 6 6 3 2" xfId="5069" xr:uid="{00000000-0005-0000-0000-0000C3130000}"/>
    <cellStyle name="Normal 11 6 6 3 3" xfId="5070" xr:uid="{00000000-0005-0000-0000-0000C4130000}"/>
    <cellStyle name="Normal 11 6 6 4" xfId="5071" xr:uid="{00000000-0005-0000-0000-0000C5130000}"/>
    <cellStyle name="Normal 11 6 6 5" xfId="5072" xr:uid="{00000000-0005-0000-0000-0000C6130000}"/>
    <cellStyle name="Normal 11 6 7" xfId="5073" xr:uid="{00000000-0005-0000-0000-0000C7130000}"/>
    <cellStyle name="Normal 11 6 7 2" xfId="5074" xr:uid="{00000000-0005-0000-0000-0000C8130000}"/>
    <cellStyle name="Normal 11 6 7 2 2" xfId="5075" xr:uid="{00000000-0005-0000-0000-0000C9130000}"/>
    <cellStyle name="Normal 11 6 7 2 3" xfId="5076" xr:uid="{00000000-0005-0000-0000-0000CA130000}"/>
    <cellStyle name="Normal 11 6 7 3" xfId="5077" xr:uid="{00000000-0005-0000-0000-0000CB130000}"/>
    <cellStyle name="Normal 11 6 7 4" xfId="5078" xr:uid="{00000000-0005-0000-0000-0000CC130000}"/>
    <cellStyle name="Normal 11 6 8" xfId="5079" xr:uid="{00000000-0005-0000-0000-0000CD130000}"/>
    <cellStyle name="Normal 11 6 8 2" xfId="5080" xr:uid="{00000000-0005-0000-0000-0000CE130000}"/>
    <cellStyle name="Normal 11 6 8 3" xfId="5081" xr:uid="{00000000-0005-0000-0000-0000CF130000}"/>
    <cellStyle name="Normal 11 6 9" xfId="5082" xr:uid="{00000000-0005-0000-0000-0000D0130000}"/>
    <cellStyle name="Normal 11 6 9 2" xfId="5083" xr:uid="{00000000-0005-0000-0000-0000D1130000}"/>
    <cellStyle name="Normal 11 6 9 3" xfId="5084" xr:uid="{00000000-0005-0000-0000-0000D2130000}"/>
    <cellStyle name="Normal 11 7" xfId="5085" xr:uid="{00000000-0005-0000-0000-0000D3130000}"/>
    <cellStyle name="Normal 11 7 2" xfId="5086" xr:uid="{00000000-0005-0000-0000-0000D4130000}"/>
    <cellStyle name="Normal 11 7 2 2" xfId="5087" xr:uid="{00000000-0005-0000-0000-0000D5130000}"/>
    <cellStyle name="Normal 11 7 2 2 2" xfId="5088" xr:uid="{00000000-0005-0000-0000-0000D6130000}"/>
    <cellStyle name="Normal 11 7 2 2 2 2" xfId="5089" xr:uid="{00000000-0005-0000-0000-0000D7130000}"/>
    <cellStyle name="Normal 11 7 2 2 2 3" xfId="5090" xr:uid="{00000000-0005-0000-0000-0000D8130000}"/>
    <cellStyle name="Normal 11 7 2 2 3" xfId="5091" xr:uid="{00000000-0005-0000-0000-0000D9130000}"/>
    <cellStyle name="Normal 11 7 2 2 3 2" xfId="5092" xr:uid="{00000000-0005-0000-0000-0000DA130000}"/>
    <cellStyle name="Normal 11 7 2 2 3 3" xfId="5093" xr:uid="{00000000-0005-0000-0000-0000DB130000}"/>
    <cellStyle name="Normal 11 7 2 2 4" xfId="5094" xr:uid="{00000000-0005-0000-0000-0000DC130000}"/>
    <cellStyle name="Normal 11 7 2 2 5" xfId="5095" xr:uid="{00000000-0005-0000-0000-0000DD130000}"/>
    <cellStyle name="Normal 11 7 2 3" xfId="5096" xr:uid="{00000000-0005-0000-0000-0000DE130000}"/>
    <cellStyle name="Normal 11 7 2 3 2" xfId="5097" xr:uid="{00000000-0005-0000-0000-0000DF130000}"/>
    <cellStyle name="Normal 11 7 2 3 2 2" xfId="5098" xr:uid="{00000000-0005-0000-0000-0000E0130000}"/>
    <cellStyle name="Normal 11 7 2 3 2 3" xfId="5099" xr:uid="{00000000-0005-0000-0000-0000E1130000}"/>
    <cellStyle name="Normal 11 7 2 3 3" xfId="5100" xr:uid="{00000000-0005-0000-0000-0000E2130000}"/>
    <cellStyle name="Normal 11 7 2 3 3 2" xfId="5101" xr:uid="{00000000-0005-0000-0000-0000E3130000}"/>
    <cellStyle name="Normal 11 7 2 3 3 3" xfId="5102" xr:uid="{00000000-0005-0000-0000-0000E4130000}"/>
    <cellStyle name="Normal 11 7 2 3 4" xfId="5103" xr:uid="{00000000-0005-0000-0000-0000E5130000}"/>
    <cellStyle name="Normal 11 7 2 3 5" xfId="5104" xr:uid="{00000000-0005-0000-0000-0000E6130000}"/>
    <cellStyle name="Normal 11 7 2 4" xfId="5105" xr:uid="{00000000-0005-0000-0000-0000E7130000}"/>
    <cellStyle name="Normal 11 7 2 4 2" xfId="5106" xr:uid="{00000000-0005-0000-0000-0000E8130000}"/>
    <cellStyle name="Normal 11 7 2 4 3" xfId="5107" xr:uid="{00000000-0005-0000-0000-0000E9130000}"/>
    <cellStyle name="Normal 11 7 2 5" xfId="5108" xr:uid="{00000000-0005-0000-0000-0000EA130000}"/>
    <cellStyle name="Normal 11 7 2 5 2" xfId="5109" xr:uid="{00000000-0005-0000-0000-0000EB130000}"/>
    <cellStyle name="Normal 11 7 2 5 3" xfId="5110" xr:uid="{00000000-0005-0000-0000-0000EC130000}"/>
    <cellStyle name="Normal 11 7 2 6" xfId="5111" xr:uid="{00000000-0005-0000-0000-0000ED130000}"/>
    <cellStyle name="Normal 11 7 2 7" xfId="5112" xr:uid="{00000000-0005-0000-0000-0000EE130000}"/>
    <cellStyle name="Normal 11 7 3" xfId="5113" xr:uid="{00000000-0005-0000-0000-0000EF130000}"/>
    <cellStyle name="Normal 11 7 3 2" xfId="5114" xr:uid="{00000000-0005-0000-0000-0000F0130000}"/>
    <cellStyle name="Normal 11 7 3 2 2" xfId="5115" xr:uid="{00000000-0005-0000-0000-0000F1130000}"/>
    <cellStyle name="Normal 11 7 3 2 3" xfId="5116" xr:uid="{00000000-0005-0000-0000-0000F2130000}"/>
    <cellStyle name="Normal 11 7 3 3" xfId="5117" xr:uid="{00000000-0005-0000-0000-0000F3130000}"/>
    <cellStyle name="Normal 11 7 3 3 2" xfId="5118" xr:uid="{00000000-0005-0000-0000-0000F4130000}"/>
    <cellStyle name="Normal 11 7 3 3 3" xfId="5119" xr:uid="{00000000-0005-0000-0000-0000F5130000}"/>
    <cellStyle name="Normal 11 7 3 4" xfId="5120" xr:uid="{00000000-0005-0000-0000-0000F6130000}"/>
    <cellStyle name="Normal 11 7 3 5" xfId="5121" xr:uid="{00000000-0005-0000-0000-0000F7130000}"/>
    <cellStyle name="Normal 11 7 4" xfId="5122" xr:uid="{00000000-0005-0000-0000-0000F8130000}"/>
    <cellStyle name="Normal 11 7 4 2" xfId="5123" xr:uid="{00000000-0005-0000-0000-0000F9130000}"/>
    <cellStyle name="Normal 11 7 4 2 2" xfId="5124" xr:uid="{00000000-0005-0000-0000-0000FA130000}"/>
    <cellStyle name="Normal 11 7 4 2 3" xfId="5125" xr:uid="{00000000-0005-0000-0000-0000FB130000}"/>
    <cellStyle name="Normal 11 7 4 3" xfId="5126" xr:uid="{00000000-0005-0000-0000-0000FC130000}"/>
    <cellStyle name="Normal 11 7 4 3 2" xfId="5127" xr:uid="{00000000-0005-0000-0000-0000FD130000}"/>
    <cellStyle name="Normal 11 7 4 3 3" xfId="5128" xr:uid="{00000000-0005-0000-0000-0000FE130000}"/>
    <cellStyle name="Normal 11 7 4 4" xfId="5129" xr:uid="{00000000-0005-0000-0000-0000FF130000}"/>
    <cellStyle name="Normal 11 7 4 5" xfId="5130" xr:uid="{00000000-0005-0000-0000-000000140000}"/>
    <cellStyle name="Normal 11 7 5" xfId="5131" xr:uid="{00000000-0005-0000-0000-000001140000}"/>
    <cellStyle name="Normal 11 7 5 2" xfId="5132" xr:uid="{00000000-0005-0000-0000-000002140000}"/>
    <cellStyle name="Normal 11 7 5 3" xfId="5133" xr:uid="{00000000-0005-0000-0000-000003140000}"/>
    <cellStyle name="Normal 11 7 6" xfId="5134" xr:uid="{00000000-0005-0000-0000-000004140000}"/>
    <cellStyle name="Normal 11 7 6 2" xfId="5135" xr:uid="{00000000-0005-0000-0000-000005140000}"/>
    <cellStyle name="Normal 11 7 6 3" xfId="5136" xr:uid="{00000000-0005-0000-0000-000006140000}"/>
    <cellStyle name="Normal 11 7 7" xfId="5137" xr:uid="{00000000-0005-0000-0000-000007140000}"/>
    <cellStyle name="Normal 11 7 7 2" xfId="5138" xr:uid="{00000000-0005-0000-0000-000008140000}"/>
    <cellStyle name="Normal 11 7 7 3" xfId="5139" xr:uid="{00000000-0005-0000-0000-000009140000}"/>
    <cellStyle name="Normal 11 7 8" xfId="5140" xr:uid="{00000000-0005-0000-0000-00000A140000}"/>
    <cellStyle name="Normal 11 7 9" xfId="5141" xr:uid="{00000000-0005-0000-0000-00000B140000}"/>
    <cellStyle name="Normal 11 8" xfId="5142" xr:uid="{00000000-0005-0000-0000-00000C140000}"/>
    <cellStyle name="Normal 11 8 2" xfId="5143" xr:uid="{00000000-0005-0000-0000-00000D140000}"/>
    <cellStyle name="Normal 11 8 2 2" xfId="5144" xr:uid="{00000000-0005-0000-0000-00000E140000}"/>
    <cellStyle name="Normal 11 8 2 2 2" xfId="5145" xr:uid="{00000000-0005-0000-0000-00000F140000}"/>
    <cellStyle name="Normal 11 8 2 2 3" xfId="5146" xr:uid="{00000000-0005-0000-0000-000010140000}"/>
    <cellStyle name="Normal 11 8 2 3" xfId="5147" xr:uid="{00000000-0005-0000-0000-000011140000}"/>
    <cellStyle name="Normal 11 8 2 3 2" xfId="5148" xr:uid="{00000000-0005-0000-0000-000012140000}"/>
    <cellStyle name="Normal 11 8 2 3 3" xfId="5149" xr:uid="{00000000-0005-0000-0000-000013140000}"/>
    <cellStyle name="Normal 11 8 2 4" xfId="5150" xr:uid="{00000000-0005-0000-0000-000014140000}"/>
    <cellStyle name="Normal 11 8 2 5" xfId="5151" xr:uid="{00000000-0005-0000-0000-000015140000}"/>
    <cellStyle name="Normal 11 8 3" xfId="5152" xr:uid="{00000000-0005-0000-0000-000016140000}"/>
    <cellStyle name="Normal 11 8 3 2" xfId="5153" xr:uid="{00000000-0005-0000-0000-000017140000}"/>
    <cellStyle name="Normal 11 8 3 2 2" xfId="5154" xr:uid="{00000000-0005-0000-0000-000018140000}"/>
    <cellStyle name="Normal 11 8 3 2 3" xfId="5155" xr:uid="{00000000-0005-0000-0000-000019140000}"/>
    <cellStyle name="Normal 11 8 3 3" xfId="5156" xr:uid="{00000000-0005-0000-0000-00001A140000}"/>
    <cellStyle name="Normal 11 8 3 3 2" xfId="5157" xr:uid="{00000000-0005-0000-0000-00001B140000}"/>
    <cellStyle name="Normal 11 8 3 3 3" xfId="5158" xr:uid="{00000000-0005-0000-0000-00001C140000}"/>
    <cellStyle name="Normal 11 8 3 4" xfId="5159" xr:uid="{00000000-0005-0000-0000-00001D140000}"/>
    <cellStyle name="Normal 11 8 3 5" xfId="5160" xr:uid="{00000000-0005-0000-0000-00001E140000}"/>
    <cellStyle name="Normal 11 8 4" xfId="5161" xr:uid="{00000000-0005-0000-0000-00001F140000}"/>
    <cellStyle name="Normal 11 8 4 2" xfId="5162" xr:uid="{00000000-0005-0000-0000-000020140000}"/>
    <cellStyle name="Normal 11 8 4 3" xfId="5163" xr:uid="{00000000-0005-0000-0000-000021140000}"/>
    <cellStyle name="Normal 11 8 5" xfId="5164" xr:uid="{00000000-0005-0000-0000-000022140000}"/>
    <cellStyle name="Normal 11 8 5 2" xfId="5165" xr:uid="{00000000-0005-0000-0000-000023140000}"/>
    <cellStyle name="Normal 11 8 5 3" xfId="5166" xr:uid="{00000000-0005-0000-0000-000024140000}"/>
    <cellStyle name="Normal 11 8 6" xfId="5167" xr:uid="{00000000-0005-0000-0000-000025140000}"/>
    <cellStyle name="Normal 11 8 7" xfId="5168" xr:uid="{00000000-0005-0000-0000-000026140000}"/>
    <cellStyle name="Normal 11 9" xfId="5169" xr:uid="{00000000-0005-0000-0000-000027140000}"/>
    <cellStyle name="Normal 11 9 2" xfId="5170" xr:uid="{00000000-0005-0000-0000-000028140000}"/>
    <cellStyle name="Normal 11 9 2 2" xfId="5171" xr:uid="{00000000-0005-0000-0000-000029140000}"/>
    <cellStyle name="Normal 11 9 2 2 2" xfId="5172" xr:uid="{00000000-0005-0000-0000-00002A140000}"/>
    <cellStyle name="Normal 11 9 2 2 3" xfId="5173" xr:uid="{00000000-0005-0000-0000-00002B140000}"/>
    <cellStyle name="Normal 11 9 2 3" xfId="5174" xr:uid="{00000000-0005-0000-0000-00002C140000}"/>
    <cellStyle name="Normal 11 9 2 3 2" xfId="5175" xr:uid="{00000000-0005-0000-0000-00002D140000}"/>
    <cellStyle name="Normal 11 9 2 3 3" xfId="5176" xr:uid="{00000000-0005-0000-0000-00002E140000}"/>
    <cellStyle name="Normal 11 9 2 4" xfId="5177" xr:uid="{00000000-0005-0000-0000-00002F140000}"/>
    <cellStyle name="Normal 11 9 2 5" xfId="5178" xr:uid="{00000000-0005-0000-0000-000030140000}"/>
    <cellStyle name="Normal 11 9 3" xfId="5179" xr:uid="{00000000-0005-0000-0000-000031140000}"/>
    <cellStyle name="Normal 11 9 3 2" xfId="5180" xr:uid="{00000000-0005-0000-0000-000032140000}"/>
    <cellStyle name="Normal 11 9 3 2 2" xfId="5181" xr:uid="{00000000-0005-0000-0000-000033140000}"/>
    <cellStyle name="Normal 11 9 3 2 3" xfId="5182" xr:uid="{00000000-0005-0000-0000-000034140000}"/>
    <cellStyle name="Normal 11 9 3 3" xfId="5183" xr:uid="{00000000-0005-0000-0000-000035140000}"/>
    <cellStyle name="Normal 11 9 3 4" xfId="5184" xr:uid="{00000000-0005-0000-0000-000036140000}"/>
    <cellStyle name="Normal 11 9 4" xfId="5185" xr:uid="{00000000-0005-0000-0000-000037140000}"/>
    <cellStyle name="Normal 11 9 4 2" xfId="5186" xr:uid="{00000000-0005-0000-0000-000038140000}"/>
    <cellStyle name="Normal 11 9 4 3" xfId="5187" xr:uid="{00000000-0005-0000-0000-000039140000}"/>
    <cellStyle name="Normal 11 9 5" xfId="5188" xr:uid="{00000000-0005-0000-0000-00003A140000}"/>
    <cellStyle name="Normal 11 9 5 2" xfId="5189" xr:uid="{00000000-0005-0000-0000-00003B140000}"/>
    <cellStyle name="Normal 11 9 5 3" xfId="5190" xr:uid="{00000000-0005-0000-0000-00003C140000}"/>
    <cellStyle name="Normal 11 9 6" xfId="5191" xr:uid="{00000000-0005-0000-0000-00003D140000}"/>
    <cellStyle name="Normal 11 9 7" xfId="5192" xr:uid="{00000000-0005-0000-0000-00003E140000}"/>
    <cellStyle name="Normal 110" xfId="22048" xr:uid="{00000000-0005-0000-0000-00003F140000}"/>
    <cellStyle name="Normal 111" xfId="22054" xr:uid="{3FFBA954-5ED0-44F4-A149-004E30EB679A}"/>
    <cellStyle name="Normal 12" xfId="5193" xr:uid="{00000000-0005-0000-0000-000040140000}"/>
    <cellStyle name="Normal 12 2" xfId="5194" xr:uid="{00000000-0005-0000-0000-000041140000}"/>
    <cellStyle name="Normal 12 2 2" xfId="5195" xr:uid="{00000000-0005-0000-0000-000042140000}"/>
    <cellStyle name="Normal 12 2 2 2" xfId="5196" xr:uid="{00000000-0005-0000-0000-000043140000}"/>
    <cellStyle name="Normal 12 2 3" xfId="5197" xr:uid="{00000000-0005-0000-0000-000044140000}"/>
    <cellStyle name="Normal 12 2 3 2" xfId="5198" xr:uid="{00000000-0005-0000-0000-000045140000}"/>
    <cellStyle name="Normal 12 2 4" xfId="5199" xr:uid="{00000000-0005-0000-0000-000046140000}"/>
    <cellStyle name="Normal 12 3" xfId="5200" xr:uid="{00000000-0005-0000-0000-000047140000}"/>
    <cellStyle name="Normal 12 3 2" xfId="5201" xr:uid="{00000000-0005-0000-0000-000048140000}"/>
    <cellStyle name="Normal 12 4" xfId="5202" xr:uid="{00000000-0005-0000-0000-000049140000}"/>
    <cellStyle name="Normal 12 4 2" xfId="5203" xr:uid="{00000000-0005-0000-0000-00004A140000}"/>
    <cellStyle name="Normal 12 5" xfId="5204" xr:uid="{00000000-0005-0000-0000-00004B140000}"/>
    <cellStyle name="Normal 13" xfId="5205" xr:uid="{00000000-0005-0000-0000-00004C140000}"/>
    <cellStyle name="Normal 13 2" xfId="5206" xr:uid="{00000000-0005-0000-0000-00004D140000}"/>
    <cellStyle name="Normal 13 2 2" xfId="5207" xr:uid="{00000000-0005-0000-0000-00004E140000}"/>
    <cellStyle name="Normal 13 2 2 2" xfId="5208" xr:uid="{00000000-0005-0000-0000-00004F140000}"/>
    <cellStyle name="Normal 13 2 3" xfId="5209" xr:uid="{00000000-0005-0000-0000-000050140000}"/>
    <cellStyle name="Normal 13 2 3 2" xfId="5210" xr:uid="{00000000-0005-0000-0000-000051140000}"/>
    <cellStyle name="Normal 13 2 4" xfId="5211" xr:uid="{00000000-0005-0000-0000-000052140000}"/>
    <cellStyle name="Normal 13 3" xfId="5212" xr:uid="{00000000-0005-0000-0000-000053140000}"/>
    <cellStyle name="Normal 13 3 2" xfId="5213" xr:uid="{00000000-0005-0000-0000-000054140000}"/>
    <cellStyle name="Normal 13 4" xfId="5214" xr:uid="{00000000-0005-0000-0000-000055140000}"/>
    <cellStyle name="Normal 13 4 2" xfId="5215" xr:uid="{00000000-0005-0000-0000-000056140000}"/>
    <cellStyle name="Normal 13 5" xfId="5216" xr:uid="{00000000-0005-0000-0000-000057140000}"/>
    <cellStyle name="Normal 14" xfId="5217" xr:uid="{00000000-0005-0000-0000-000058140000}"/>
    <cellStyle name="Normal 14 2" xfId="5218" xr:uid="{00000000-0005-0000-0000-000059140000}"/>
    <cellStyle name="Normal 14 2 2" xfId="5219" xr:uid="{00000000-0005-0000-0000-00005A140000}"/>
    <cellStyle name="Normal 14 2 2 2" xfId="5220" xr:uid="{00000000-0005-0000-0000-00005B140000}"/>
    <cellStyle name="Normal 14 2 3" xfId="5221" xr:uid="{00000000-0005-0000-0000-00005C140000}"/>
    <cellStyle name="Normal 14 2 3 2" xfId="5222" xr:uid="{00000000-0005-0000-0000-00005D140000}"/>
    <cellStyle name="Normal 14 2 4" xfId="5223" xr:uid="{00000000-0005-0000-0000-00005E140000}"/>
    <cellStyle name="Normal 14 3" xfId="5224" xr:uid="{00000000-0005-0000-0000-00005F140000}"/>
    <cellStyle name="Normal 14 3 2" xfId="5225" xr:uid="{00000000-0005-0000-0000-000060140000}"/>
    <cellStyle name="Normal 14 4" xfId="5226" xr:uid="{00000000-0005-0000-0000-000061140000}"/>
    <cellStyle name="Normal 14 4 2" xfId="5227" xr:uid="{00000000-0005-0000-0000-000062140000}"/>
    <cellStyle name="Normal 14 5" xfId="5228" xr:uid="{00000000-0005-0000-0000-000063140000}"/>
    <cellStyle name="Normal 15" xfId="5229" xr:uid="{00000000-0005-0000-0000-000064140000}"/>
    <cellStyle name="Normal 15 10" xfId="5230" xr:uid="{00000000-0005-0000-0000-000065140000}"/>
    <cellStyle name="Normal 15 10 2" xfId="5231" xr:uid="{00000000-0005-0000-0000-000066140000}"/>
    <cellStyle name="Normal 15 10 2 2" xfId="5232" xr:uid="{00000000-0005-0000-0000-000067140000}"/>
    <cellStyle name="Normal 15 10 2 3" xfId="5233" xr:uid="{00000000-0005-0000-0000-000068140000}"/>
    <cellStyle name="Normal 15 10 3" xfId="5234" xr:uid="{00000000-0005-0000-0000-000069140000}"/>
    <cellStyle name="Normal 15 10 3 2" xfId="5235" xr:uid="{00000000-0005-0000-0000-00006A140000}"/>
    <cellStyle name="Normal 15 10 3 3" xfId="5236" xr:uid="{00000000-0005-0000-0000-00006B140000}"/>
    <cellStyle name="Normal 15 10 4" xfId="5237" xr:uid="{00000000-0005-0000-0000-00006C140000}"/>
    <cellStyle name="Normal 15 10 5" xfId="5238" xr:uid="{00000000-0005-0000-0000-00006D140000}"/>
    <cellStyle name="Normal 15 11" xfId="5239" xr:uid="{00000000-0005-0000-0000-00006E140000}"/>
    <cellStyle name="Normal 15 11 2" xfId="5240" xr:uid="{00000000-0005-0000-0000-00006F140000}"/>
    <cellStyle name="Normal 15 11 2 2" xfId="5241" xr:uid="{00000000-0005-0000-0000-000070140000}"/>
    <cellStyle name="Normal 15 11 2 3" xfId="5242" xr:uid="{00000000-0005-0000-0000-000071140000}"/>
    <cellStyle name="Normal 15 11 3" xfId="5243" xr:uid="{00000000-0005-0000-0000-000072140000}"/>
    <cellStyle name="Normal 15 11 3 2" xfId="5244" xr:uid="{00000000-0005-0000-0000-000073140000}"/>
    <cellStyle name="Normal 15 11 3 3" xfId="5245" xr:uid="{00000000-0005-0000-0000-000074140000}"/>
    <cellStyle name="Normal 15 11 4" xfId="5246" xr:uid="{00000000-0005-0000-0000-000075140000}"/>
    <cellStyle name="Normal 15 11 5" xfId="5247" xr:uid="{00000000-0005-0000-0000-000076140000}"/>
    <cellStyle name="Normal 15 12" xfId="5248" xr:uid="{00000000-0005-0000-0000-000077140000}"/>
    <cellStyle name="Normal 15 12 2" xfId="5249" xr:uid="{00000000-0005-0000-0000-000078140000}"/>
    <cellStyle name="Normal 15 12 2 2" xfId="5250" xr:uid="{00000000-0005-0000-0000-000079140000}"/>
    <cellStyle name="Normal 15 12 2 3" xfId="5251" xr:uid="{00000000-0005-0000-0000-00007A140000}"/>
    <cellStyle name="Normal 15 12 3" xfId="5252" xr:uid="{00000000-0005-0000-0000-00007B140000}"/>
    <cellStyle name="Normal 15 12 4" xfId="5253" xr:uid="{00000000-0005-0000-0000-00007C140000}"/>
    <cellStyle name="Normal 15 13" xfId="5254" xr:uid="{00000000-0005-0000-0000-00007D140000}"/>
    <cellStyle name="Normal 15 13 2" xfId="5255" xr:uid="{00000000-0005-0000-0000-00007E140000}"/>
    <cellStyle name="Normal 15 13 3" xfId="5256" xr:uid="{00000000-0005-0000-0000-00007F140000}"/>
    <cellStyle name="Normal 15 14" xfId="5257" xr:uid="{00000000-0005-0000-0000-000080140000}"/>
    <cellStyle name="Normal 15 14 2" xfId="5258" xr:uid="{00000000-0005-0000-0000-000081140000}"/>
    <cellStyle name="Normal 15 14 3" xfId="5259" xr:uid="{00000000-0005-0000-0000-000082140000}"/>
    <cellStyle name="Normal 15 15" xfId="5260" xr:uid="{00000000-0005-0000-0000-000083140000}"/>
    <cellStyle name="Normal 15 15 2" xfId="5261" xr:uid="{00000000-0005-0000-0000-000084140000}"/>
    <cellStyle name="Normal 15 15 3" xfId="5262" xr:uid="{00000000-0005-0000-0000-000085140000}"/>
    <cellStyle name="Normal 15 16" xfId="5263" xr:uid="{00000000-0005-0000-0000-000086140000}"/>
    <cellStyle name="Normal 15 16 2" xfId="5264" xr:uid="{00000000-0005-0000-0000-000087140000}"/>
    <cellStyle name="Normal 15 16 3" xfId="5265" xr:uid="{00000000-0005-0000-0000-000088140000}"/>
    <cellStyle name="Normal 15 17" xfId="5266" xr:uid="{00000000-0005-0000-0000-000089140000}"/>
    <cellStyle name="Normal 15 18" xfId="5267" xr:uid="{00000000-0005-0000-0000-00008A140000}"/>
    <cellStyle name="Normal 15 2" xfId="5268" xr:uid="{00000000-0005-0000-0000-00008B140000}"/>
    <cellStyle name="Normal 15 2 2" xfId="5269" xr:uid="{00000000-0005-0000-0000-00008C140000}"/>
    <cellStyle name="Normal 15 2 2 2" xfId="5270" xr:uid="{00000000-0005-0000-0000-00008D140000}"/>
    <cellStyle name="Normal 15 2 2 2 2" xfId="5271" xr:uid="{00000000-0005-0000-0000-00008E140000}"/>
    <cellStyle name="Normal 15 2 2 3" xfId="5272" xr:uid="{00000000-0005-0000-0000-00008F140000}"/>
    <cellStyle name="Normal 15 2 3" xfId="5273" xr:uid="{00000000-0005-0000-0000-000090140000}"/>
    <cellStyle name="Normal 15 2 3 2" xfId="5274" xr:uid="{00000000-0005-0000-0000-000091140000}"/>
    <cellStyle name="Normal 15 2 3 2 2" xfId="5275" xr:uid="{00000000-0005-0000-0000-000092140000}"/>
    <cellStyle name="Normal 15 2 3 2 2 2" xfId="5276" xr:uid="{00000000-0005-0000-0000-000093140000}"/>
    <cellStyle name="Normal 15 2 3 2 2 3" xfId="5277" xr:uid="{00000000-0005-0000-0000-000094140000}"/>
    <cellStyle name="Normal 15 2 3 2 3" xfId="5278" xr:uid="{00000000-0005-0000-0000-000095140000}"/>
    <cellStyle name="Normal 15 2 3 2 3 2" xfId="5279" xr:uid="{00000000-0005-0000-0000-000096140000}"/>
    <cellStyle name="Normal 15 2 3 2 3 3" xfId="5280" xr:uid="{00000000-0005-0000-0000-000097140000}"/>
    <cellStyle name="Normal 15 2 3 2 4" xfId="5281" xr:uid="{00000000-0005-0000-0000-000098140000}"/>
    <cellStyle name="Normal 15 2 3 2 5" xfId="5282" xr:uid="{00000000-0005-0000-0000-000099140000}"/>
    <cellStyle name="Normal 15 2 3 3" xfId="5283" xr:uid="{00000000-0005-0000-0000-00009A140000}"/>
    <cellStyle name="Normal 15 2 3 3 2" xfId="5284" xr:uid="{00000000-0005-0000-0000-00009B140000}"/>
    <cellStyle name="Normal 15 2 3 3 2 2" xfId="5285" xr:uid="{00000000-0005-0000-0000-00009C140000}"/>
    <cellStyle name="Normal 15 2 3 3 2 3" xfId="5286" xr:uid="{00000000-0005-0000-0000-00009D140000}"/>
    <cellStyle name="Normal 15 2 3 3 3" xfId="5287" xr:uid="{00000000-0005-0000-0000-00009E140000}"/>
    <cellStyle name="Normal 15 2 3 3 3 2" xfId="5288" xr:uid="{00000000-0005-0000-0000-00009F140000}"/>
    <cellStyle name="Normal 15 2 3 3 3 3" xfId="5289" xr:uid="{00000000-0005-0000-0000-0000A0140000}"/>
    <cellStyle name="Normal 15 2 3 3 4" xfId="5290" xr:uid="{00000000-0005-0000-0000-0000A1140000}"/>
    <cellStyle name="Normal 15 2 3 3 5" xfId="5291" xr:uid="{00000000-0005-0000-0000-0000A2140000}"/>
    <cellStyle name="Normal 15 2 3 4" xfId="5292" xr:uid="{00000000-0005-0000-0000-0000A3140000}"/>
    <cellStyle name="Normal 15 2 3 4 2" xfId="5293" xr:uid="{00000000-0005-0000-0000-0000A4140000}"/>
    <cellStyle name="Normal 15 2 3 4 3" xfId="5294" xr:uid="{00000000-0005-0000-0000-0000A5140000}"/>
    <cellStyle name="Normal 15 2 3 5" xfId="5295" xr:uid="{00000000-0005-0000-0000-0000A6140000}"/>
    <cellStyle name="Normal 15 2 3 5 2" xfId="5296" xr:uid="{00000000-0005-0000-0000-0000A7140000}"/>
    <cellStyle name="Normal 15 2 3 5 3" xfId="5297" xr:uid="{00000000-0005-0000-0000-0000A8140000}"/>
    <cellStyle name="Normal 15 2 3 6" xfId="5298" xr:uid="{00000000-0005-0000-0000-0000A9140000}"/>
    <cellStyle name="Normal 15 2 3 7" xfId="5299" xr:uid="{00000000-0005-0000-0000-0000AA140000}"/>
    <cellStyle name="Normal 15 2 4" xfId="5300" xr:uid="{00000000-0005-0000-0000-0000AB140000}"/>
    <cellStyle name="Normal 15 2 4 2" xfId="5301" xr:uid="{00000000-0005-0000-0000-0000AC140000}"/>
    <cellStyle name="Normal 15 2 4 2 2" xfId="5302" xr:uid="{00000000-0005-0000-0000-0000AD140000}"/>
    <cellStyle name="Normal 15 2 4 2 2 2" xfId="5303" xr:uid="{00000000-0005-0000-0000-0000AE140000}"/>
    <cellStyle name="Normal 15 2 4 2 2 3" xfId="5304" xr:uid="{00000000-0005-0000-0000-0000AF140000}"/>
    <cellStyle name="Normal 15 2 4 2 3" xfId="5305" xr:uid="{00000000-0005-0000-0000-0000B0140000}"/>
    <cellStyle name="Normal 15 2 4 2 3 2" xfId="5306" xr:uid="{00000000-0005-0000-0000-0000B1140000}"/>
    <cellStyle name="Normal 15 2 4 2 3 3" xfId="5307" xr:uid="{00000000-0005-0000-0000-0000B2140000}"/>
    <cellStyle name="Normal 15 2 4 2 4" xfId="5308" xr:uid="{00000000-0005-0000-0000-0000B3140000}"/>
    <cellStyle name="Normal 15 2 4 2 5" xfId="5309" xr:uid="{00000000-0005-0000-0000-0000B4140000}"/>
    <cellStyle name="Normal 15 2 4 3" xfId="5310" xr:uid="{00000000-0005-0000-0000-0000B5140000}"/>
    <cellStyle name="Normal 15 2 4 3 2" xfId="5311" xr:uid="{00000000-0005-0000-0000-0000B6140000}"/>
    <cellStyle name="Normal 15 2 4 3 2 2" xfId="5312" xr:uid="{00000000-0005-0000-0000-0000B7140000}"/>
    <cellStyle name="Normal 15 2 4 3 2 3" xfId="5313" xr:uid="{00000000-0005-0000-0000-0000B8140000}"/>
    <cellStyle name="Normal 15 2 4 3 3" xfId="5314" xr:uid="{00000000-0005-0000-0000-0000B9140000}"/>
    <cellStyle name="Normal 15 2 4 3 3 2" xfId="5315" xr:uid="{00000000-0005-0000-0000-0000BA140000}"/>
    <cellStyle name="Normal 15 2 4 3 3 3" xfId="5316" xr:uid="{00000000-0005-0000-0000-0000BB140000}"/>
    <cellStyle name="Normal 15 2 4 3 4" xfId="5317" xr:uid="{00000000-0005-0000-0000-0000BC140000}"/>
    <cellStyle name="Normal 15 2 4 3 5" xfId="5318" xr:uid="{00000000-0005-0000-0000-0000BD140000}"/>
    <cellStyle name="Normal 15 2 4 4" xfId="5319" xr:uid="{00000000-0005-0000-0000-0000BE140000}"/>
    <cellStyle name="Normal 15 2 4 4 2" xfId="5320" xr:uid="{00000000-0005-0000-0000-0000BF140000}"/>
    <cellStyle name="Normal 15 2 4 4 3" xfId="5321" xr:uid="{00000000-0005-0000-0000-0000C0140000}"/>
    <cellStyle name="Normal 15 2 4 5" xfId="5322" xr:uid="{00000000-0005-0000-0000-0000C1140000}"/>
    <cellStyle name="Normal 15 2 4 5 2" xfId="5323" xr:uid="{00000000-0005-0000-0000-0000C2140000}"/>
    <cellStyle name="Normal 15 2 4 5 3" xfId="5324" xr:uid="{00000000-0005-0000-0000-0000C3140000}"/>
    <cellStyle name="Normal 15 2 4 6" xfId="5325" xr:uid="{00000000-0005-0000-0000-0000C4140000}"/>
    <cellStyle name="Normal 15 2 4 7" xfId="5326" xr:uid="{00000000-0005-0000-0000-0000C5140000}"/>
    <cellStyle name="Normal 15 2 5" xfId="5327" xr:uid="{00000000-0005-0000-0000-0000C6140000}"/>
    <cellStyle name="Normal 15 2 5 2" xfId="5328" xr:uid="{00000000-0005-0000-0000-0000C7140000}"/>
    <cellStyle name="Normal 15 2 6" xfId="5329" xr:uid="{00000000-0005-0000-0000-0000C8140000}"/>
    <cellStyle name="Normal 15 3" xfId="5330" xr:uid="{00000000-0005-0000-0000-0000C9140000}"/>
    <cellStyle name="Normal 15 3 10" xfId="5331" xr:uid="{00000000-0005-0000-0000-0000CA140000}"/>
    <cellStyle name="Normal 15 3 10 2" xfId="5332" xr:uid="{00000000-0005-0000-0000-0000CB140000}"/>
    <cellStyle name="Normal 15 3 10 3" xfId="5333" xr:uid="{00000000-0005-0000-0000-0000CC140000}"/>
    <cellStyle name="Normal 15 3 11" xfId="5334" xr:uid="{00000000-0005-0000-0000-0000CD140000}"/>
    <cellStyle name="Normal 15 3 11 2" xfId="5335" xr:uid="{00000000-0005-0000-0000-0000CE140000}"/>
    <cellStyle name="Normal 15 3 11 3" xfId="5336" xr:uid="{00000000-0005-0000-0000-0000CF140000}"/>
    <cellStyle name="Normal 15 3 12" xfId="5337" xr:uid="{00000000-0005-0000-0000-0000D0140000}"/>
    <cellStyle name="Normal 15 3 12 2" xfId="5338" xr:uid="{00000000-0005-0000-0000-0000D1140000}"/>
    <cellStyle name="Normal 15 3 12 3" xfId="5339" xr:uid="{00000000-0005-0000-0000-0000D2140000}"/>
    <cellStyle name="Normal 15 3 13" xfId="5340" xr:uid="{00000000-0005-0000-0000-0000D3140000}"/>
    <cellStyle name="Normal 15 3 14" xfId="5341" xr:uid="{00000000-0005-0000-0000-0000D4140000}"/>
    <cellStyle name="Normal 15 3 2" xfId="5342" xr:uid="{00000000-0005-0000-0000-0000D5140000}"/>
    <cellStyle name="Normal 15 3 2 10" xfId="5343" xr:uid="{00000000-0005-0000-0000-0000D6140000}"/>
    <cellStyle name="Normal 15 3 2 10 2" xfId="5344" xr:uid="{00000000-0005-0000-0000-0000D7140000}"/>
    <cellStyle name="Normal 15 3 2 10 3" xfId="5345" xr:uid="{00000000-0005-0000-0000-0000D8140000}"/>
    <cellStyle name="Normal 15 3 2 11" xfId="5346" xr:uid="{00000000-0005-0000-0000-0000D9140000}"/>
    <cellStyle name="Normal 15 3 2 11 2" xfId="5347" xr:uid="{00000000-0005-0000-0000-0000DA140000}"/>
    <cellStyle name="Normal 15 3 2 11 3" xfId="5348" xr:uid="{00000000-0005-0000-0000-0000DB140000}"/>
    <cellStyle name="Normal 15 3 2 12" xfId="5349" xr:uid="{00000000-0005-0000-0000-0000DC140000}"/>
    <cellStyle name="Normal 15 3 2 13" xfId="5350" xr:uid="{00000000-0005-0000-0000-0000DD140000}"/>
    <cellStyle name="Normal 15 3 2 2" xfId="5351" xr:uid="{00000000-0005-0000-0000-0000DE140000}"/>
    <cellStyle name="Normal 15 3 2 2 2" xfId="5352" xr:uid="{00000000-0005-0000-0000-0000DF140000}"/>
    <cellStyle name="Normal 15 3 2 2 2 2" xfId="5353" xr:uid="{00000000-0005-0000-0000-0000E0140000}"/>
    <cellStyle name="Normal 15 3 2 2 2 2 2" xfId="5354" xr:uid="{00000000-0005-0000-0000-0000E1140000}"/>
    <cellStyle name="Normal 15 3 2 2 2 2 2 2" xfId="5355" xr:uid="{00000000-0005-0000-0000-0000E2140000}"/>
    <cellStyle name="Normal 15 3 2 2 2 2 2 3" xfId="5356" xr:uid="{00000000-0005-0000-0000-0000E3140000}"/>
    <cellStyle name="Normal 15 3 2 2 2 2 3" xfId="5357" xr:uid="{00000000-0005-0000-0000-0000E4140000}"/>
    <cellStyle name="Normal 15 3 2 2 2 2 3 2" xfId="5358" xr:uid="{00000000-0005-0000-0000-0000E5140000}"/>
    <cellStyle name="Normal 15 3 2 2 2 2 3 3" xfId="5359" xr:uid="{00000000-0005-0000-0000-0000E6140000}"/>
    <cellStyle name="Normal 15 3 2 2 2 2 4" xfId="5360" xr:uid="{00000000-0005-0000-0000-0000E7140000}"/>
    <cellStyle name="Normal 15 3 2 2 2 2 5" xfId="5361" xr:uid="{00000000-0005-0000-0000-0000E8140000}"/>
    <cellStyle name="Normal 15 3 2 2 2 3" xfId="5362" xr:uid="{00000000-0005-0000-0000-0000E9140000}"/>
    <cellStyle name="Normal 15 3 2 2 2 3 2" xfId="5363" xr:uid="{00000000-0005-0000-0000-0000EA140000}"/>
    <cellStyle name="Normal 15 3 2 2 2 3 2 2" xfId="5364" xr:uid="{00000000-0005-0000-0000-0000EB140000}"/>
    <cellStyle name="Normal 15 3 2 2 2 3 2 3" xfId="5365" xr:uid="{00000000-0005-0000-0000-0000EC140000}"/>
    <cellStyle name="Normal 15 3 2 2 2 3 3" xfId="5366" xr:uid="{00000000-0005-0000-0000-0000ED140000}"/>
    <cellStyle name="Normal 15 3 2 2 2 3 3 2" xfId="5367" xr:uid="{00000000-0005-0000-0000-0000EE140000}"/>
    <cellStyle name="Normal 15 3 2 2 2 3 3 3" xfId="5368" xr:uid="{00000000-0005-0000-0000-0000EF140000}"/>
    <cellStyle name="Normal 15 3 2 2 2 3 4" xfId="5369" xr:uid="{00000000-0005-0000-0000-0000F0140000}"/>
    <cellStyle name="Normal 15 3 2 2 2 3 5" xfId="5370" xr:uid="{00000000-0005-0000-0000-0000F1140000}"/>
    <cellStyle name="Normal 15 3 2 2 2 4" xfId="5371" xr:uid="{00000000-0005-0000-0000-0000F2140000}"/>
    <cellStyle name="Normal 15 3 2 2 2 4 2" xfId="5372" xr:uid="{00000000-0005-0000-0000-0000F3140000}"/>
    <cellStyle name="Normal 15 3 2 2 2 4 3" xfId="5373" xr:uid="{00000000-0005-0000-0000-0000F4140000}"/>
    <cellStyle name="Normal 15 3 2 2 2 5" xfId="5374" xr:uid="{00000000-0005-0000-0000-0000F5140000}"/>
    <cellStyle name="Normal 15 3 2 2 2 5 2" xfId="5375" xr:uid="{00000000-0005-0000-0000-0000F6140000}"/>
    <cellStyle name="Normal 15 3 2 2 2 5 3" xfId="5376" xr:uid="{00000000-0005-0000-0000-0000F7140000}"/>
    <cellStyle name="Normal 15 3 2 2 2 6" xfId="5377" xr:uid="{00000000-0005-0000-0000-0000F8140000}"/>
    <cellStyle name="Normal 15 3 2 2 2 7" xfId="5378" xr:uid="{00000000-0005-0000-0000-0000F9140000}"/>
    <cellStyle name="Normal 15 3 2 2 3" xfId="5379" xr:uid="{00000000-0005-0000-0000-0000FA140000}"/>
    <cellStyle name="Normal 15 3 2 2 3 2" xfId="5380" xr:uid="{00000000-0005-0000-0000-0000FB140000}"/>
    <cellStyle name="Normal 15 3 2 2 3 2 2" xfId="5381" xr:uid="{00000000-0005-0000-0000-0000FC140000}"/>
    <cellStyle name="Normal 15 3 2 2 3 2 3" xfId="5382" xr:uid="{00000000-0005-0000-0000-0000FD140000}"/>
    <cellStyle name="Normal 15 3 2 2 3 3" xfId="5383" xr:uid="{00000000-0005-0000-0000-0000FE140000}"/>
    <cellStyle name="Normal 15 3 2 2 3 3 2" xfId="5384" xr:uid="{00000000-0005-0000-0000-0000FF140000}"/>
    <cellStyle name="Normal 15 3 2 2 3 3 3" xfId="5385" xr:uid="{00000000-0005-0000-0000-000000150000}"/>
    <cellStyle name="Normal 15 3 2 2 3 4" xfId="5386" xr:uid="{00000000-0005-0000-0000-000001150000}"/>
    <cellStyle name="Normal 15 3 2 2 3 5" xfId="5387" xr:uid="{00000000-0005-0000-0000-000002150000}"/>
    <cellStyle name="Normal 15 3 2 2 4" xfId="5388" xr:uid="{00000000-0005-0000-0000-000003150000}"/>
    <cellStyle name="Normal 15 3 2 2 4 2" xfId="5389" xr:uid="{00000000-0005-0000-0000-000004150000}"/>
    <cellStyle name="Normal 15 3 2 2 4 2 2" xfId="5390" xr:uid="{00000000-0005-0000-0000-000005150000}"/>
    <cellStyle name="Normal 15 3 2 2 4 2 3" xfId="5391" xr:uid="{00000000-0005-0000-0000-000006150000}"/>
    <cellStyle name="Normal 15 3 2 2 4 3" xfId="5392" xr:uid="{00000000-0005-0000-0000-000007150000}"/>
    <cellStyle name="Normal 15 3 2 2 4 3 2" xfId="5393" xr:uid="{00000000-0005-0000-0000-000008150000}"/>
    <cellStyle name="Normal 15 3 2 2 4 3 3" xfId="5394" xr:uid="{00000000-0005-0000-0000-000009150000}"/>
    <cellStyle name="Normal 15 3 2 2 4 4" xfId="5395" xr:uid="{00000000-0005-0000-0000-00000A150000}"/>
    <cellStyle name="Normal 15 3 2 2 4 5" xfId="5396" xr:uid="{00000000-0005-0000-0000-00000B150000}"/>
    <cellStyle name="Normal 15 3 2 2 5" xfId="5397" xr:uid="{00000000-0005-0000-0000-00000C150000}"/>
    <cellStyle name="Normal 15 3 2 2 5 2" xfId="5398" xr:uid="{00000000-0005-0000-0000-00000D150000}"/>
    <cellStyle name="Normal 15 3 2 2 5 3" xfId="5399" xr:uid="{00000000-0005-0000-0000-00000E150000}"/>
    <cellStyle name="Normal 15 3 2 2 6" xfId="5400" xr:uid="{00000000-0005-0000-0000-00000F150000}"/>
    <cellStyle name="Normal 15 3 2 2 6 2" xfId="5401" xr:uid="{00000000-0005-0000-0000-000010150000}"/>
    <cellStyle name="Normal 15 3 2 2 6 3" xfId="5402" xr:uid="{00000000-0005-0000-0000-000011150000}"/>
    <cellStyle name="Normal 15 3 2 2 7" xfId="5403" xr:uid="{00000000-0005-0000-0000-000012150000}"/>
    <cellStyle name="Normal 15 3 2 2 7 2" xfId="5404" xr:uid="{00000000-0005-0000-0000-000013150000}"/>
    <cellStyle name="Normal 15 3 2 2 7 3" xfId="5405" xr:uid="{00000000-0005-0000-0000-000014150000}"/>
    <cellStyle name="Normal 15 3 2 2 8" xfId="5406" xr:uid="{00000000-0005-0000-0000-000015150000}"/>
    <cellStyle name="Normal 15 3 2 2 9" xfId="5407" xr:uid="{00000000-0005-0000-0000-000016150000}"/>
    <cellStyle name="Normal 15 3 2 3" xfId="5408" xr:uid="{00000000-0005-0000-0000-000017150000}"/>
    <cellStyle name="Normal 15 3 2 3 2" xfId="5409" xr:uid="{00000000-0005-0000-0000-000018150000}"/>
    <cellStyle name="Normal 15 3 2 3 2 2" xfId="5410" xr:uid="{00000000-0005-0000-0000-000019150000}"/>
    <cellStyle name="Normal 15 3 2 3 2 2 2" xfId="5411" xr:uid="{00000000-0005-0000-0000-00001A150000}"/>
    <cellStyle name="Normal 15 3 2 3 2 2 3" xfId="5412" xr:uid="{00000000-0005-0000-0000-00001B150000}"/>
    <cellStyle name="Normal 15 3 2 3 2 3" xfId="5413" xr:uid="{00000000-0005-0000-0000-00001C150000}"/>
    <cellStyle name="Normal 15 3 2 3 2 3 2" xfId="5414" xr:uid="{00000000-0005-0000-0000-00001D150000}"/>
    <cellStyle name="Normal 15 3 2 3 2 3 3" xfId="5415" xr:uid="{00000000-0005-0000-0000-00001E150000}"/>
    <cellStyle name="Normal 15 3 2 3 2 4" xfId="5416" xr:uid="{00000000-0005-0000-0000-00001F150000}"/>
    <cellStyle name="Normal 15 3 2 3 2 5" xfId="5417" xr:uid="{00000000-0005-0000-0000-000020150000}"/>
    <cellStyle name="Normal 15 3 2 3 3" xfId="5418" xr:uid="{00000000-0005-0000-0000-000021150000}"/>
    <cellStyle name="Normal 15 3 2 3 3 2" xfId="5419" xr:uid="{00000000-0005-0000-0000-000022150000}"/>
    <cellStyle name="Normal 15 3 2 3 3 2 2" xfId="5420" xr:uid="{00000000-0005-0000-0000-000023150000}"/>
    <cellStyle name="Normal 15 3 2 3 3 2 3" xfId="5421" xr:uid="{00000000-0005-0000-0000-000024150000}"/>
    <cellStyle name="Normal 15 3 2 3 3 3" xfId="5422" xr:uid="{00000000-0005-0000-0000-000025150000}"/>
    <cellStyle name="Normal 15 3 2 3 3 3 2" xfId="5423" xr:uid="{00000000-0005-0000-0000-000026150000}"/>
    <cellStyle name="Normal 15 3 2 3 3 3 3" xfId="5424" xr:uid="{00000000-0005-0000-0000-000027150000}"/>
    <cellStyle name="Normal 15 3 2 3 3 4" xfId="5425" xr:uid="{00000000-0005-0000-0000-000028150000}"/>
    <cellStyle name="Normal 15 3 2 3 3 5" xfId="5426" xr:uid="{00000000-0005-0000-0000-000029150000}"/>
    <cellStyle name="Normal 15 3 2 3 4" xfId="5427" xr:uid="{00000000-0005-0000-0000-00002A150000}"/>
    <cellStyle name="Normal 15 3 2 3 4 2" xfId="5428" xr:uid="{00000000-0005-0000-0000-00002B150000}"/>
    <cellStyle name="Normal 15 3 2 3 4 3" xfId="5429" xr:uid="{00000000-0005-0000-0000-00002C150000}"/>
    <cellStyle name="Normal 15 3 2 3 5" xfId="5430" xr:uid="{00000000-0005-0000-0000-00002D150000}"/>
    <cellStyle name="Normal 15 3 2 3 5 2" xfId="5431" xr:uid="{00000000-0005-0000-0000-00002E150000}"/>
    <cellStyle name="Normal 15 3 2 3 5 3" xfId="5432" xr:uid="{00000000-0005-0000-0000-00002F150000}"/>
    <cellStyle name="Normal 15 3 2 3 6" xfId="5433" xr:uid="{00000000-0005-0000-0000-000030150000}"/>
    <cellStyle name="Normal 15 3 2 3 7" xfId="5434" xr:uid="{00000000-0005-0000-0000-000031150000}"/>
    <cellStyle name="Normal 15 3 2 4" xfId="5435" xr:uid="{00000000-0005-0000-0000-000032150000}"/>
    <cellStyle name="Normal 15 3 2 4 2" xfId="5436" xr:uid="{00000000-0005-0000-0000-000033150000}"/>
    <cellStyle name="Normal 15 3 2 4 2 2" xfId="5437" xr:uid="{00000000-0005-0000-0000-000034150000}"/>
    <cellStyle name="Normal 15 3 2 4 2 2 2" xfId="5438" xr:uid="{00000000-0005-0000-0000-000035150000}"/>
    <cellStyle name="Normal 15 3 2 4 2 2 3" xfId="5439" xr:uid="{00000000-0005-0000-0000-000036150000}"/>
    <cellStyle name="Normal 15 3 2 4 2 3" xfId="5440" xr:uid="{00000000-0005-0000-0000-000037150000}"/>
    <cellStyle name="Normal 15 3 2 4 2 3 2" xfId="5441" xr:uid="{00000000-0005-0000-0000-000038150000}"/>
    <cellStyle name="Normal 15 3 2 4 2 3 3" xfId="5442" xr:uid="{00000000-0005-0000-0000-000039150000}"/>
    <cellStyle name="Normal 15 3 2 4 2 4" xfId="5443" xr:uid="{00000000-0005-0000-0000-00003A150000}"/>
    <cellStyle name="Normal 15 3 2 4 2 5" xfId="5444" xr:uid="{00000000-0005-0000-0000-00003B150000}"/>
    <cellStyle name="Normal 15 3 2 4 3" xfId="5445" xr:uid="{00000000-0005-0000-0000-00003C150000}"/>
    <cellStyle name="Normal 15 3 2 4 3 2" xfId="5446" xr:uid="{00000000-0005-0000-0000-00003D150000}"/>
    <cellStyle name="Normal 15 3 2 4 3 2 2" xfId="5447" xr:uid="{00000000-0005-0000-0000-00003E150000}"/>
    <cellStyle name="Normal 15 3 2 4 3 2 3" xfId="5448" xr:uid="{00000000-0005-0000-0000-00003F150000}"/>
    <cellStyle name="Normal 15 3 2 4 3 3" xfId="5449" xr:uid="{00000000-0005-0000-0000-000040150000}"/>
    <cellStyle name="Normal 15 3 2 4 3 4" xfId="5450" xr:uid="{00000000-0005-0000-0000-000041150000}"/>
    <cellStyle name="Normal 15 3 2 4 4" xfId="5451" xr:uid="{00000000-0005-0000-0000-000042150000}"/>
    <cellStyle name="Normal 15 3 2 4 4 2" xfId="5452" xr:uid="{00000000-0005-0000-0000-000043150000}"/>
    <cellStyle name="Normal 15 3 2 4 4 3" xfId="5453" xr:uid="{00000000-0005-0000-0000-000044150000}"/>
    <cellStyle name="Normal 15 3 2 4 5" xfId="5454" xr:uid="{00000000-0005-0000-0000-000045150000}"/>
    <cellStyle name="Normal 15 3 2 4 5 2" xfId="5455" xr:uid="{00000000-0005-0000-0000-000046150000}"/>
    <cellStyle name="Normal 15 3 2 4 5 3" xfId="5456" xr:uid="{00000000-0005-0000-0000-000047150000}"/>
    <cellStyle name="Normal 15 3 2 4 6" xfId="5457" xr:uid="{00000000-0005-0000-0000-000048150000}"/>
    <cellStyle name="Normal 15 3 2 4 7" xfId="5458" xr:uid="{00000000-0005-0000-0000-000049150000}"/>
    <cellStyle name="Normal 15 3 2 5" xfId="5459" xr:uid="{00000000-0005-0000-0000-00004A150000}"/>
    <cellStyle name="Normal 15 3 2 5 2" xfId="5460" xr:uid="{00000000-0005-0000-0000-00004B150000}"/>
    <cellStyle name="Normal 15 3 2 5 2 2" xfId="5461" xr:uid="{00000000-0005-0000-0000-00004C150000}"/>
    <cellStyle name="Normal 15 3 2 5 2 3" xfId="5462" xr:uid="{00000000-0005-0000-0000-00004D150000}"/>
    <cellStyle name="Normal 15 3 2 5 3" xfId="5463" xr:uid="{00000000-0005-0000-0000-00004E150000}"/>
    <cellStyle name="Normal 15 3 2 5 3 2" xfId="5464" xr:uid="{00000000-0005-0000-0000-00004F150000}"/>
    <cellStyle name="Normal 15 3 2 5 3 3" xfId="5465" xr:uid="{00000000-0005-0000-0000-000050150000}"/>
    <cellStyle name="Normal 15 3 2 5 4" xfId="5466" xr:uid="{00000000-0005-0000-0000-000051150000}"/>
    <cellStyle name="Normal 15 3 2 5 5" xfId="5467" xr:uid="{00000000-0005-0000-0000-000052150000}"/>
    <cellStyle name="Normal 15 3 2 6" xfId="5468" xr:uid="{00000000-0005-0000-0000-000053150000}"/>
    <cellStyle name="Normal 15 3 2 6 2" xfId="5469" xr:uid="{00000000-0005-0000-0000-000054150000}"/>
    <cellStyle name="Normal 15 3 2 6 2 2" xfId="5470" xr:uid="{00000000-0005-0000-0000-000055150000}"/>
    <cellStyle name="Normal 15 3 2 6 2 3" xfId="5471" xr:uid="{00000000-0005-0000-0000-000056150000}"/>
    <cellStyle name="Normal 15 3 2 6 3" xfId="5472" xr:uid="{00000000-0005-0000-0000-000057150000}"/>
    <cellStyle name="Normal 15 3 2 6 3 2" xfId="5473" xr:uid="{00000000-0005-0000-0000-000058150000}"/>
    <cellStyle name="Normal 15 3 2 6 3 3" xfId="5474" xr:uid="{00000000-0005-0000-0000-000059150000}"/>
    <cellStyle name="Normal 15 3 2 6 4" xfId="5475" xr:uid="{00000000-0005-0000-0000-00005A150000}"/>
    <cellStyle name="Normal 15 3 2 6 5" xfId="5476" xr:uid="{00000000-0005-0000-0000-00005B150000}"/>
    <cellStyle name="Normal 15 3 2 7" xfId="5477" xr:uid="{00000000-0005-0000-0000-00005C150000}"/>
    <cellStyle name="Normal 15 3 2 7 2" xfId="5478" xr:uid="{00000000-0005-0000-0000-00005D150000}"/>
    <cellStyle name="Normal 15 3 2 7 2 2" xfId="5479" xr:uid="{00000000-0005-0000-0000-00005E150000}"/>
    <cellStyle name="Normal 15 3 2 7 2 3" xfId="5480" xr:uid="{00000000-0005-0000-0000-00005F150000}"/>
    <cellStyle name="Normal 15 3 2 7 3" xfId="5481" xr:uid="{00000000-0005-0000-0000-000060150000}"/>
    <cellStyle name="Normal 15 3 2 7 4" xfId="5482" xr:uid="{00000000-0005-0000-0000-000061150000}"/>
    <cellStyle name="Normal 15 3 2 8" xfId="5483" xr:uid="{00000000-0005-0000-0000-000062150000}"/>
    <cellStyle name="Normal 15 3 2 8 2" xfId="5484" xr:uid="{00000000-0005-0000-0000-000063150000}"/>
    <cellStyle name="Normal 15 3 2 8 3" xfId="5485" xr:uid="{00000000-0005-0000-0000-000064150000}"/>
    <cellStyle name="Normal 15 3 2 9" xfId="5486" xr:uid="{00000000-0005-0000-0000-000065150000}"/>
    <cellStyle name="Normal 15 3 2 9 2" xfId="5487" xr:uid="{00000000-0005-0000-0000-000066150000}"/>
    <cellStyle name="Normal 15 3 2 9 3" xfId="5488" xr:uid="{00000000-0005-0000-0000-000067150000}"/>
    <cellStyle name="Normal 15 3 3" xfId="5489" xr:uid="{00000000-0005-0000-0000-000068150000}"/>
    <cellStyle name="Normal 15 3 3 2" xfId="5490" xr:uid="{00000000-0005-0000-0000-000069150000}"/>
    <cellStyle name="Normal 15 3 3 2 2" xfId="5491" xr:uid="{00000000-0005-0000-0000-00006A150000}"/>
    <cellStyle name="Normal 15 3 3 2 2 2" xfId="5492" xr:uid="{00000000-0005-0000-0000-00006B150000}"/>
    <cellStyle name="Normal 15 3 3 2 2 2 2" xfId="5493" xr:uid="{00000000-0005-0000-0000-00006C150000}"/>
    <cellStyle name="Normal 15 3 3 2 2 2 3" xfId="5494" xr:uid="{00000000-0005-0000-0000-00006D150000}"/>
    <cellStyle name="Normal 15 3 3 2 2 3" xfId="5495" xr:uid="{00000000-0005-0000-0000-00006E150000}"/>
    <cellStyle name="Normal 15 3 3 2 2 3 2" xfId="5496" xr:uid="{00000000-0005-0000-0000-00006F150000}"/>
    <cellStyle name="Normal 15 3 3 2 2 3 3" xfId="5497" xr:uid="{00000000-0005-0000-0000-000070150000}"/>
    <cellStyle name="Normal 15 3 3 2 2 4" xfId="5498" xr:uid="{00000000-0005-0000-0000-000071150000}"/>
    <cellStyle name="Normal 15 3 3 2 2 5" xfId="5499" xr:uid="{00000000-0005-0000-0000-000072150000}"/>
    <cellStyle name="Normal 15 3 3 2 3" xfId="5500" xr:uid="{00000000-0005-0000-0000-000073150000}"/>
    <cellStyle name="Normal 15 3 3 2 3 2" xfId="5501" xr:uid="{00000000-0005-0000-0000-000074150000}"/>
    <cellStyle name="Normal 15 3 3 2 3 2 2" xfId="5502" xr:uid="{00000000-0005-0000-0000-000075150000}"/>
    <cellStyle name="Normal 15 3 3 2 3 2 3" xfId="5503" xr:uid="{00000000-0005-0000-0000-000076150000}"/>
    <cellStyle name="Normal 15 3 3 2 3 3" xfId="5504" xr:uid="{00000000-0005-0000-0000-000077150000}"/>
    <cellStyle name="Normal 15 3 3 2 3 3 2" xfId="5505" xr:uid="{00000000-0005-0000-0000-000078150000}"/>
    <cellStyle name="Normal 15 3 3 2 3 3 3" xfId="5506" xr:uid="{00000000-0005-0000-0000-000079150000}"/>
    <cellStyle name="Normal 15 3 3 2 3 4" xfId="5507" xr:uid="{00000000-0005-0000-0000-00007A150000}"/>
    <cellStyle name="Normal 15 3 3 2 3 5" xfId="5508" xr:uid="{00000000-0005-0000-0000-00007B150000}"/>
    <cellStyle name="Normal 15 3 3 2 4" xfId="5509" xr:uid="{00000000-0005-0000-0000-00007C150000}"/>
    <cellStyle name="Normal 15 3 3 2 4 2" xfId="5510" xr:uid="{00000000-0005-0000-0000-00007D150000}"/>
    <cellStyle name="Normal 15 3 3 2 4 3" xfId="5511" xr:uid="{00000000-0005-0000-0000-00007E150000}"/>
    <cellStyle name="Normal 15 3 3 2 5" xfId="5512" xr:uid="{00000000-0005-0000-0000-00007F150000}"/>
    <cellStyle name="Normal 15 3 3 2 5 2" xfId="5513" xr:uid="{00000000-0005-0000-0000-000080150000}"/>
    <cellStyle name="Normal 15 3 3 2 5 3" xfId="5514" xr:uid="{00000000-0005-0000-0000-000081150000}"/>
    <cellStyle name="Normal 15 3 3 2 6" xfId="5515" xr:uid="{00000000-0005-0000-0000-000082150000}"/>
    <cellStyle name="Normal 15 3 3 2 7" xfId="5516" xr:uid="{00000000-0005-0000-0000-000083150000}"/>
    <cellStyle name="Normal 15 3 3 3" xfId="5517" xr:uid="{00000000-0005-0000-0000-000084150000}"/>
    <cellStyle name="Normal 15 3 3 3 2" xfId="5518" xr:uid="{00000000-0005-0000-0000-000085150000}"/>
    <cellStyle name="Normal 15 3 3 3 2 2" xfId="5519" xr:uid="{00000000-0005-0000-0000-000086150000}"/>
    <cellStyle name="Normal 15 3 3 3 2 3" xfId="5520" xr:uid="{00000000-0005-0000-0000-000087150000}"/>
    <cellStyle name="Normal 15 3 3 3 3" xfId="5521" xr:uid="{00000000-0005-0000-0000-000088150000}"/>
    <cellStyle name="Normal 15 3 3 3 3 2" xfId="5522" xr:uid="{00000000-0005-0000-0000-000089150000}"/>
    <cellStyle name="Normal 15 3 3 3 3 3" xfId="5523" xr:uid="{00000000-0005-0000-0000-00008A150000}"/>
    <cellStyle name="Normal 15 3 3 3 4" xfId="5524" xr:uid="{00000000-0005-0000-0000-00008B150000}"/>
    <cellStyle name="Normal 15 3 3 3 5" xfId="5525" xr:uid="{00000000-0005-0000-0000-00008C150000}"/>
    <cellStyle name="Normal 15 3 3 4" xfId="5526" xr:uid="{00000000-0005-0000-0000-00008D150000}"/>
    <cellStyle name="Normal 15 3 3 4 2" xfId="5527" xr:uid="{00000000-0005-0000-0000-00008E150000}"/>
    <cellStyle name="Normal 15 3 3 4 2 2" xfId="5528" xr:uid="{00000000-0005-0000-0000-00008F150000}"/>
    <cellStyle name="Normal 15 3 3 4 2 3" xfId="5529" xr:uid="{00000000-0005-0000-0000-000090150000}"/>
    <cellStyle name="Normal 15 3 3 4 3" xfId="5530" xr:uid="{00000000-0005-0000-0000-000091150000}"/>
    <cellStyle name="Normal 15 3 3 4 3 2" xfId="5531" xr:uid="{00000000-0005-0000-0000-000092150000}"/>
    <cellStyle name="Normal 15 3 3 4 3 3" xfId="5532" xr:uid="{00000000-0005-0000-0000-000093150000}"/>
    <cellStyle name="Normal 15 3 3 4 4" xfId="5533" xr:uid="{00000000-0005-0000-0000-000094150000}"/>
    <cellStyle name="Normal 15 3 3 4 5" xfId="5534" xr:uid="{00000000-0005-0000-0000-000095150000}"/>
    <cellStyle name="Normal 15 3 3 5" xfId="5535" xr:uid="{00000000-0005-0000-0000-000096150000}"/>
    <cellStyle name="Normal 15 3 3 5 2" xfId="5536" xr:uid="{00000000-0005-0000-0000-000097150000}"/>
    <cellStyle name="Normal 15 3 3 5 3" xfId="5537" xr:uid="{00000000-0005-0000-0000-000098150000}"/>
    <cellStyle name="Normal 15 3 3 6" xfId="5538" xr:uid="{00000000-0005-0000-0000-000099150000}"/>
    <cellStyle name="Normal 15 3 3 6 2" xfId="5539" xr:uid="{00000000-0005-0000-0000-00009A150000}"/>
    <cellStyle name="Normal 15 3 3 6 3" xfId="5540" xr:uid="{00000000-0005-0000-0000-00009B150000}"/>
    <cellStyle name="Normal 15 3 3 7" xfId="5541" xr:uid="{00000000-0005-0000-0000-00009C150000}"/>
    <cellStyle name="Normal 15 3 3 7 2" xfId="5542" xr:uid="{00000000-0005-0000-0000-00009D150000}"/>
    <cellStyle name="Normal 15 3 3 7 3" xfId="5543" xr:uid="{00000000-0005-0000-0000-00009E150000}"/>
    <cellStyle name="Normal 15 3 3 8" xfId="5544" xr:uid="{00000000-0005-0000-0000-00009F150000}"/>
    <cellStyle name="Normal 15 3 3 9" xfId="5545" xr:uid="{00000000-0005-0000-0000-0000A0150000}"/>
    <cellStyle name="Normal 15 3 4" xfId="5546" xr:uid="{00000000-0005-0000-0000-0000A1150000}"/>
    <cellStyle name="Normal 15 3 4 2" xfId="5547" xr:uid="{00000000-0005-0000-0000-0000A2150000}"/>
    <cellStyle name="Normal 15 3 4 2 2" xfId="5548" xr:uid="{00000000-0005-0000-0000-0000A3150000}"/>
    <cellStyle name="Normal 15 3 4 2 2 2" xfId="5549" xr:uid="{00000000-0005-0000-0000-0000A4150000}"/>
    <cellStyle name="Normal 15 3 4 2 2 3" xfId="5550" xr:uid="{00000000-0005-0000-0000-0000A5150000}"/>
    <cellStyle name="Normal 15 3 4 2 3" xfId="5551" xr:uid="{00000000-0005-0000-0000-0000A6150000}"/>
    <cellStyle name="Normal 15 3 4 2 3 2" xfId="5552" xr:uid="{00000000-0005-0000-0000-0000A7150000}"/>
    <cellStyle name="Normal 15 3 4 2 3 3" xfId="5553" xr:uid="{00000000-0005-0000-0000-0000A8150000}"/>
    <cellStyle name="Normal 15 3 4 2 4" xfId="5554" xr:uid="{00000000-0005-0000-0000-0000A9150000}"/>
    <cellStyle name="Normal 15 3 4 2 5" xfId="5555" xr:uid="{00000000-0005-0000-0000-0000AA150000}"/>
    <cellStyle name="Normal 15 3 4 3" xfId="5556" xr:uid="{00000000-0005-0000-0000-0000AB150000}"/>
    <cellStyle name="Normal 15 3 4 3 2" xfId="5557" xr:uid="{00000000-0005-0000-0000-0000AC150000}"/>
    <cellStyle name="Normal 15 3 4 3 2 2" xfId="5558" xr:uid="{00000000-0005-0000-0000-0000AD150000}"/>
    <cellStyle name="Normal 15 3 4 3 2 3" xfId="5559" xr:uid="{00000000-0005-0000-0000-0000AE150000}"/>
    <cellStyle name="Normal 15 3 4 3 3" xfId="5560" xr:uid="{00000000-0005-0000-0000-0000AF150000}"/>
    <cellStyle name="Normal 15 3 4 3 3 2" xfId="5561" xr:uid="{00000000-0005-0000-0000-0000B0150000}"/>
    <cellStyle name="Normal 15 3 4 3 3 3" xfId="5562" xr:uid="{00000000-0005-0000-0000-0000B1150000}"/>
    <cellStyle name="Normal 15 3 4 3 4" xfId="5563" xr:uid="{00000000-0005-0000-0000-0000B2150000}"/>
    <cellStyle name="Normal 15 3 4 3 5" xfId="5564" xr:uid="{00000000-0005-0000-0000-0000B3150000}"/>
    <cellStyle name="Normal 15 3 4 4" xfId="5565" xr:uid="{00000000-0005-0000-0000-0000B4150000}"/>
    <cellStyle name="Normal 15 3 4 4 2" xfId="5566" xr:uid="{00000000-0005-0000-0000-0000B5150000}"/>
    <cellStyle name="Normal 15 3 4 4 3" xfId="5567" xr:uid="{00000000-0005-0000-0000-0000B6150000}"/>
    <cellStyle name="Normal 15 3 4 5" xfId="5568" xr:uid="{00000000-0005-0000-0000-0000B7150000}"/>
    <cellStyle name="Normal 15 3 4 5 2" xfId="5569" xr:uid="{00000000-0005-0000-0000-0000B8150000}"/>
    <cellStyle name="Normal 15 3 4 5 3" xfId="5570" xr:uid="{00000000-0005-0000-0000-0000B9150000}"/>
    <cellStyle name="Normal 15 3 4 6" xfId="5571" xr:uid="{00000000-0005-0000-0000-0000BA150000}"/>
    <cellStyle name="Normal 15 3 4 7" xfId="5572" xr:uid="{00000000-0005-0000-0000-0000BB150000}"/>
    <cellStyle name="Normal 15 3 5" xfId="5573" xr:uid="{00000000-0005-0000-0000-0000BC150000}"/>
    <cellStyle name="Normal 15 3 5 2" xfId="5574" xr:uid="{00000000-0005-0000-0000-0000BD150000}"/>
    <cellStyle name="Normal 15 3 5 2 2" xfId="5575" xr:uid="{00000000-0005-0000-0000-0000BE150000}"/>
    <cellStyle name="Normal 15 3 5 2 2 2" xfId="5576" xr:uid="{00000000-0005-0000-0000-0000BF150000}"/>
    <cellStyle name="Normal 15 3 5 2 2 3" xfId="5577" xr:uid="{00000000-0005-0000-0000-0000C0150000}"/>
    <cellStyle name="Normal 15 3 5 2 3" xfId="5578" xr:uid="{00000000-0005-0000-0000-0000C1150000}"/>
    <cellStyle name="Normal 15 3 5 2 3 2" xfId="5579" xr:uid="{00000000-0005-0000-0000-0000C2150000}"/>
    <cellStyle name="Normal 15 3 5 2 3 3" xfId="5580" xr:uid="{00000000-0005-0000-0000-0000C3150000}"/>
    <cellStyle name="Normal 15 3 5 2 4" xfId="5581" xr:uid="{00000000-0005-0000-0000-0000C4150000}"/>
    <cellStyle name="Normal 15 3 5 2 5" xfId="5582" xr:uid="{00000000-0005-0000-0000-0000C5150000}"/>
    <cellStyle name="Normal 15 3 5 3" xfId="5583" xr:uid="{00000000-0005-0000-0000-0000C6150000}"/>
    <cellStyle name="Normal 15 3 5 3 2" xfId="5584" xr:uid="{00000000-0005-0000-0000-0000C7150000}"/>
    <cellStyle name="Normal 15 3 5 3 2 2" xfId="5585" xr:uid="{00000000-0005-0000-0000-0000C8150000}"/>
    <cellStyle name="Normal 15 3 5 3 2 3" xfId="5586" xr:uid="{00000000-0005-0000-0000-0000C9150000}"/>
    <cellStyle name="Normal 15 3 5 3 3" xfId="5587" xr:uid="{00000000-0005-0000-0000-0000CA150000}"/>
    <cellStyle name="Normal 15 3 5 3 4" xfId="5588" xr:uid="{00000000-0005-0000-0000-0000CB150000}"/>
    <cellStyle name="Normal 15 3 5 4" xfId="5589" xr:uid="{00000000-0005-0000-0000-0000CC150000}"/>
    <cellStyle name="Normal 15 3 5 4 2" xfId="5590" xr:uid="{00000000-0005-0000-0000-0000CD150000}"/>
    <cellStyle name="Normal 15 3 5 4 3" xfId="5591" xr:uid="{00000000-0005-0000-0000-0000CE150000}"/>
    <cellStyle name="Normal 15 3 5 5" xfId="5592" xr:uid="{00000000-0005-0000-0000-0000CF150000}"/>
    <cellStyle name="Normal 15 3 5 5 2" xfId="5593" xr:uid="{00000000-0005-0000-0000-0000D0150000}"/>
    <cellStyle name="Normal 15 3 5 5 3" xfId="5594" xr:uid="{00000000-0005-0000-0000-0000D1150000}"/>
    <cellStyle name="Normal 15 3 5 6" xfId="5595" xr:uid="{00000000-0005-0000-0000-0000D2150000}"/>
    <cellStyle name="Normal 15 3 5 7" xfId="5596" xr:uid="{00000000-0005-0000-0000-0000D3150000}"/>
    <cellStyle name="Normal 15 3 6" xfId="5597" xr:uid="{00000000-0005-0000-0000-0000D4150000}"/>
    <cellStyle name="Normal 15 3 6 2" xfId="5598" xr:uid="{00000000-0005-0000-0000-0000D5150000}"/>
    <cellStyle name="Normal 15 3 6 2 2" xfId="5599" xr:uid="{00000000-0005-0000-0000-0000D6150000}"/>
    <cellStyle name="Normal 15 3 6 2 3" xfId="5600" xr:uid="{00000000-0005-0000-0000-0000D7150000}"/>
    <cellStyle name="Normal 15 3 6 3" xfId="5601" xr:uid="{00000000-0005-0000-0000-0000D8150000}"/>
    <cellStyle name="Normal 15 3 6 3 2" xfId="5602" xr:uid="{00000000-0005-0000-0000-0000D9150000}"/>
    <cellStyle name="Normal 15 3 6 3 3" xfId="5603" xr:uid="{00000000-0005-0000-0000-0000DA150000}"/>
    <cellStyle name="Normal 15 3 6 4" xfId="5604" xr:uid="{00000000-0005-0000-0000-0000DB150000}"/>
    <cellStyle name="Normal 15 3 6 5" xfId="5605" xr:uid="{00000000-0005-0000-0000-0000DC150000}"/>
    <cellStyle name="Normal 15 3 7" xfId="5606" xr:uid="{00000000-0005-0000-0000-0000DD150000}"/>
    <cellStyle name="Normal 15 3 7 2" xfId="5607" xr:uid="{00000000-0005-0000-0000-0000DE150000}"/>
    <cellStyle name="Normal 15 3 7 2 2" xfId="5608" xr:uid="{00000000-0005-0000-0000-0000DF150000}"/>
    <cellStyle name="Normal 15 3 7 2 3" xfId="5609" xr:uid="{00000000-0005-0000-0000-0000E0150000}"/>
    <cellStyle name="Normal 15 3 7 3" xfId="5610" xr:uid="{00000000-0005-0000-0000-0000E1150000}"/>
    <cellStyle name="Normal 15 3 7 3 2" xfId="5611" xr:uid="{00000000-0005-0000-0000-0000E2150000}"/>
    <cellStyle name="Normal 15 3 7 3 3" xfId="5612" xr:uid="{00000000-0005-0000-0000-0000E3150000}"/>
    <cellStyle name="Normal 15 3 7 4" xfId="5613" xr:uid="{00000000-0005-0000-0000-0000E4150000}"/>
    <cellStyle name="Normal 15 3 7 5" xfId="5614" xr:uid="{00000000-0005-0000-0000-0000E5150000}"/>
    <cellStyle name="Normal 15 3 8" xfId="5615" xr:uid="{00000000-0005-0000-0000-0000E6150000}"/>
    <cellStyle name="Normal 15 3 8 2" xfId="5616" xr:uid="{00000000-0005-0000-0000-0000E7150000}"/>
    <cellStyle name="Normal 15 3 8 2 2" xfId="5617" xr:uid="{00000000-0005-0000-0000-0000E8150000}"/>
    <cellStyle name="Normal 15 3 8 2 3" xfId="5618" xr:uid="{00000000-0005-0000-0000-0000E9150000}"/>
    <cellStyle name="Normal 15 3 8 3" xfId="5619" xr:uid="{00000000-0005-0000-0000-0000EA150000}"/>
    <cellStyle name="Normal 15 3 8 4" xfId="5620" xr:uid="{00000000-0005-0000-0000-0000EB150000}"/>
    <cellStyle name="Normal 15 3 9" xfId="5621" xr:uid="{00000000-0005-0000-0000-0000EC150000}"/>
    <cellStyle name="Normal 15 3 9 2" xfId="5622" xr:uid="{00000000-0005-0000-0000-0000ED150000}"/>
    <cellStyle name="Normal 15 3 9 3" xfId="5623" xr:uid="{00000000-0005-0000-0000-0000EE150000}"/>
    <cellStyle name="Normal 15 4" xfId="5624" xr:uid="{00000000-0005-0000-0000-0000EF150000}"/>
    <cellStyle name="Normal 15 4 10" xfId="5625" xr:uid="{00000000-0005-0000-0000-0000F0150000}"/>
    <cellStyle name="Normal 15 4 10 2" xfId="5626" xr:uid="{00000000-0005-0000-0000-0000F1150000}"/>
    <cellStyle name="Normal 15 4 10 3" xfId="5627" xr:uid="{00000000-0005-0000-0000-0000F2150000}"/>
    <cellStyle name="Normal 15 4 11" xfId="5628" xr:uid="{00000000-0005-0000-0000-0000F3150000}"/>
    <cellStyle name="Normal 15 4 11 2" xfId="5629" xr:uid="{00000000-0005-0000-0000-0000F4150000}"/>
    <cellStyle name="Normal 15 4 11 3" xfId="5630" xr:uid="{00000000-0005-0000-0000-0000F5150000}"/>
    <cellStyle name="Normal 15 4 12" xfId="5631" xr:uid="{00000000-0005-0000-0000-0000F6150000}"/>
    <cellStyle name="Normal 15 4 13" xfId="5632" xr:uid="{00000000-0005-0000-0000-0000F7150000}"/>
    <cellStyle name="Normal 15 4 2" xfId="5633" xr:uid="{00000000-0005-0000-0000-0000F8150000}"/>
    <cellStyle name="Normal 15 4 2 2" xfId="5634" xr:uid="{00000000-0005-0000-0000-0000F9150000}"/>
    <cellStyle name="Normal 15 4 2 2 2" xfId="5635" xr:uid="{00000000-0005-0000-0000-0000FA150000}"/>
    <cellStyle name="Normal 15 4 2 2 2 2" xfId="5636" xr:uid="{00000000-0005-0000-0000-0000FB150000}"/>
    <cellStyle name="Normal 15 4 2 2 2 2 2" xfId="5637" xr:uid="{00000000-0005-0000-0000-0000FC150000}"/>
    <cellStyle name="Normal 15 4 2 2 2 2 3" xfId="5638" xr:uid="{00000000-0005-0000-0000-0000FD150000}"/>
    <cellStyle name="Normal 15 4 2 2 2 3" xfId="5639" xr:uid="{00000000-0005-0000-0000-0000FE150000}"/>
    <cellStyle name="Normal 15 4 2 2 2 3 2" xfId="5640" xr:uid="{00000000-0005-0000-0000-0000FF150000}"/>
    <cellStyle name="Normal 15 4 2 2 2 3 3" xfId="5641" xr:uid="{00000000-0005-0000-0000-000000160000}"/>
    <cellStyle name="Normal 15 4 2 2 2 4" xfId="5642" xr:uid="{00000000-0005-0000-0000-000001160000}"/>
    <cellStyle name="Normal 15 4 2 2 2 5" xfId="5643" xr:uid="{00000000-0005-0000-0000-000002160000}"/>
    <cellStyle name="Normal 15 4 2 2 3" xfId="5644" xr:uid="{00000000-0005-0000-0000-000003160000}"/>
    <cellStyle name="Normal 15 4 2 2 3 2" xfId="5645" xr:uid="{00000000-0005-0000-0000-000004160000}"/>
    <cellStyle name="Normal 15 4 2 2 3 2 2" xfId="5646" xr:uid="{00000000-0005-0000-0000-000005160000}"/>
    <cellStyle name="Normal 15 4 2 2 3 2 3" xfId="5647" xr:uid="{00000000-0005-0000-0000-000006160000}"/>
    <cellStyle name="Normal 15 4 2 2 3 3" xfId="5648" xr:uid="{00000000-0005-0000-0000-000007160000}"/>
    <cellStyle name="Normal 15 4 2 2 3 3 2" xfId="5649" xr:uid="{00000000-0005-0000-0000-000008160000}"/>
    <cellStyle name="Normal 15 4 2 2 3 3 3" xfId="5650" xr:uid="{00000000-0005-0000-0000-000009160000}"/>
    <cellStyle name="Normal 15 4 2 2 3 4" xfId="5651" xr:uid="{00000000-0005-0000-0000-00000A160000}"/>
    <cellStyle name="Normal 15 4 2 2 3 5" xfId="5652" xr:uid="{00000000-0005-0000-0000-00000B160000}"/>
    <cellStyle name="Normal 15 4 2 2 4" xfId="5653" xr:uid="{00000000-0005-0000-0000-00000C160000}"/>
    <cellStyle name="Normal 15 4 2 2 4 2" xfId="5654" xr:uid="{00000000-0005-0000-0000-00000D160000}"/>
    <cellStyle name="Normal 15 4 2 2 4 3" xfId="5655" xr:uid="{00000000-0005-0000-0000-00000E160000}"/>
    <cellStyle name="Normal 15 4 2 2 5" xfId="5656" xr:uid="{00000000-0005-0000-0000-00000F160000}"/>
    <cellStyle name="Normal 15 4 2 2 5 2" xfId="5657" xr:uid="{00000000-0005-0000-0000-000010160000}"/>
    <cellStyle name="Normal 15 4 2 2 5 3" xfId="5658" xr:uid="{00000000-0005-0000-0000-000011160000}"/>
    <cellStyle name="Normal 15 4 2 2 6" xfId="5659" xr:uid="{00000000-0005-0000-0000-000012160000}"/>
    <cellStyle name="Normal 15 4 2 2 7" xfId="5660" xr:uid="{00000000-0005-0000-0000-000013160000}"/>
    <cellStyle name="Normal 15 4 2 3" xfId="5661" xr:uid="{00000000-0005-0000-0000-000014160000}"/>
    <cellStyle name="Normal 15 4 2 3 2" xfId="5662" xr:uid="{00000000-0005-0000-0000-000015160000}"/>
    <cellStyle name="Normal 15 4 2 3 2 2" xfId="5663" xr:uid="{00000000-0005-0000-0000-000016160000}"/>
    <cellStyle name="Normal 15 4 2 3 2 3" xfId="5664" xr:uid="{00000000-0005-0000-0000-000017160000}"/>
    <cellStyle name="Normal 15 4 2 3 3" xfId="5665" xr:uid="{00000000-0005-0000-0000-000018160000}"/>
    <cellStyle name="Normal 15 4 2 3 3 2" xfId="5666" xr:uid="{00000000-0005-0000-0000-000019160000}"/>
    <cellStyle name="Normal 15 4 2 3 3 3" xfId="5667" xr:uid="{00000000-0005-0000-0000-00001A160000}"/>
    <cellStyle name="Normal 15 4 2 3 4" xfId="5668" xr:uid="{00000000-0005-0000-0000-00001B160000}"/>
    <cellStyle name="Normal 15 4 2 3 5" xfId="5669" xr:uid="{00000000-0005-0000-0000-00001C160000}"/>
    <cellStyle name="Normal 15 4 2 4" xfId="5670" xr:uid="{00000000-0005-0000-0000-00001D160000}"/>
    <cellStyle name="Normal 15 4 2 4 2" xfId="5671" xr:uid="{00000000-0005-0000-0000-00001E160000}"/>
    <cellStyle name="Normal 15 4 2 4 2 2" xfId="5672" xr:uid="{00000000-0005-0000-0000-00001F160000}"/>
    <cellStyle name="Normal 15 4 2 4 2 3" xfId="5673" xr:uid="{00000000-0005-0000-0000-000020160000}"/>
    <cellStyle name="Normal 15 4 2 4 3" xfId="5674" xr:uid="{00000000-0005-0000-0000-000021160000}"/>
    <cellStyle name="Normal 15 4 2 4 3 2" xfId="5675" xr:uid="{00000000-0005-0000-0000-000022160000}"/>
    <cellStyle name="Normal 15 4 2 4 3 3" xfId="5676" xr:uid="{00000000-0005-0000-0000-000023160000}"/>
    <cellStyle name="Normal 15 4 2 4 4" xfId="5677" xr:uid="{00000000-0005-0000-0000-000024160000}"/>
    <cellStyle name="Normal 15 4 2 4 5" xfId="5678" xr:uid="{00000000-0005-0000-0000-000025160000}"/>
    <cellStyle name="Normal 15 4 2 5" xfId="5679" xr:uid="{00000000-0005-0000-0000-000026160000}"/>
    <cellStyle name="Normal 15 4 2 5 2" xfId="5680" xr:uid="{00000000-0005-0000-0000-000027160000}"/>
    <cellStyle name="Normal 15 4 2 5 3" xfId="5681" xr:uid="{00000000-0005-0000-0000-000028160000}"/>
    <cellStyle name="Normal 15 4 2 6" xfId="5682" xr:uid="{00000000-0005-0000-0000-000029160000}"/>
    <cellStyle name="Normal 15 4 2 6 2" xfId="5683" xr:uid="{00000000-0005-0000-0000-00002A160000}"/>
    <cellStyle name="Normal 15 4 2 6 3" xfId="5684" xr:uid="{00000000-0005-0000-0000-00002B160000}"/>
    <cellStyle name="Normal 15 4 2 7" xfId="5685" xr:uid="{00000000-0005-0000-0000-00002C160000}"/>
    <cellStyle name="Normal 15 4 2 7 2" xfId="5686" xr:uid="{00000000-0005-0000-0000-00002D160000}"/>
    <cellStyle name="Normal 15 4 2 7 3" xfId="5687" xr:uid="{00000000-0005-0000-0000-00002E160000}"/>
    <cellStyle name="Normal 15 4 2 8" xfId="5688" xr:uid="{00000000-0005-0000-0000-00002F160000}"/>
    <cellStyle name="Normal 15 4 2 9" xfId="5689" xr:uid="{00000000-0005-0000-0000-000030160000}"/>
    <cellStyle name="Normal 15 4 3" xfId="5690" xr:uid="{00000000-0005-0000-0000-000031160000}"/>
    <cellStyle name="Normal 15 4 3 2" xfId="5691" xr:uid="{00000000-0005-0000-0000-000032160000}"/>
    <cellStyle name="Normal 15 4 3 2 2" xfId="5692" xr:uid="{00000000-0005-0000-0000-000033160000}"/>
    <cellStyle name="Normal 15 4 3 2 2 2" xfId="5693" xr:uid="{00000000-0005-0000-0000-000034160000}"/>
    <cellStyle name="Normal 15 4 3 2 2 3" xfId="5694" xr:uid="{00000000-0005-0000-0000-000035160000}"/>
    <cellStyle name="Normal 15 4 3 2 3" xfId="5695" xr:uid="{00000000-0005-0000-0000-000036160000}"/>
    <cellStyle name="Normal 15 4 3 2 3 2" xfId="5696" xr:uid="{00000000-0005-0000-0000-000037160000}"/>
    <cellStyle name="Normal 15 4 3 2 3 3" xfId="5697" xr:uid="{00000000-0005-0000-0000-000038160000}"/>
    <cellStyle name="Normal 15 4 3 2 4" xfId="5698" xr:uid="{00000000-0005-0000-0000-000039160000}"/>
    <cellStyle name="Normal 15 4 3 2 5" xfId="5699" xr:uid="{00000000-0005-0000-0000-00003A160000}"/>
    <cellStyle name="Normal 15 4 3 3" xfId="5700" xr:uid="{00000000-0005-0000-0000-00003B160000}"/>
    <cellStyle name="Normal 15 4 3 3 2" xfId="5701" xr:uid="{00000000-0005-0000-0000-00003C160000}"/>
    <cellStyle name="Normal 15 4 3 3 2 2" xfId="5702" xr:uid="{00000000-0005-0000-0000-00003D160000}"/>
    <cellStyle name="Normal 15 4 3 3 2 3" xfId="5703" xr:uid="{00000000-0005-0000-0000-00003E160000}"/>
    <cellStyle name="Normal 15 4 3 3 3" xfId="5704" xr:uid="{00000000-0005-0000-0000-00003F160000}"/>
    <cellStyle name="Normal 15 4 3 3 3 2" xfId="5705" xr:uid="{00000000-0005-0000-0000-000040160000}"/>
    <cellStyle name="Normal 15 4 3 3 3 3" xfId="5706" xr:uid="{00000000-0005-0000-0000-000041160000}"/>
    <cellStyle name="Normal 15 4 3 3 4" xfId="5707" xr:uid="{00000000-0005-0000-0000-000042160000}"/>
    <cellStyle name="Normal 15 4 3 3 5" xfId="5708" xr:uid="{00000000-0005-0000-0000-000043160000}"/>
    <cellStyle name="Normal 15 4 3 4" xfId="5709" xr:uid="{00000000-0005-0000-0000-000044160000}"/>
    <cellStyle name="Normal 15 4 3 4 2" xfId="5710" xr:uid="{00000000-0005-0000-0000-000045160000}"/>
    <cellStyle name="Normal 15 4 3 4 3" xfId="5711" xr:uid="{00000000-0005-0000-0000-000046160000}"/>
    <cellStyle name="Normal 15 4 3 5" xfId="5712" xr:uid="{00000000-0005-0000-0000-000047160000}"/>
    <cellStyle name="Normal 15 4 3 5 2" xfId="5713" xr:uid="{00000000-0005-0000-0000-000048160000}"/>
    <cellStyle name="Normal 15 4 3 5 3" xfId="5714" xr:uid="{00000000-0005-0000-0000-000049160000}"/>
    <cellStyle name="Normal 15 4 3 6" xfId="5715" xr:uid="{00000000-0005-0000-0000-00004A160000}"/>
    <cellStyle name="Normal 15 4 3 7" xfId="5716" xr:uid="{00000000-0005-0000-0000-00004B160000}"/>
    <cellStyle name="Normal 15 4 4" xfId="5717" xr:uid="{00000000-0005-0000-0000-00004C160000}"/>
    <cellStyle name="Normal 15 4 4 2" xfId="5718" xr:uid="{00000000-0005-0000-0000-00004D160000}"/>
    <cellStyle name="Normal 15 4 4 2 2" xfId="5719" xr:uid="{00000000-0005-0000-0000-00004E160000}"/>
    <cellStyle name="Normal 15 4 4 2 2 2" xfId="5720" xr:uid="{00000000-0005-0000-0000-00004F160000}"/>
    <cellStyle name="Normal 15 4 4 2 2 3" xfId="5721" xr:uid="{00000000-0005-0000-0000-000050160000}"/>
    <cellStyle name="Normal 15 4 4 2 3" xfId="5722" xr:uid="{00000000-0005-0000-0000-000051160000}"/>
    <cellStyle name="Normal 15 4 4 2 3 2" xfId="5723" xr:uid="{00000000-0005-0000-0000-000052160000}"/>
    <cellStyle name="Normal 15 4 4 2 3 3" xfId="5724" xr:uid="{00000000-0005-0000-0000-000053160000}"/>
    <cellStyle name="Normal 15 4 4 2 4" xfId="5725" xr:uid="{00000000-0005-0000-0000-000054160000}"/>
    <cellStyle name="Normal 15 4 4 2 5" xfId="5726" xr:uid="{00000000-0005-0000-0000-000055160000}"/>
    <cellStyle name="Normal 15 4 4 3" xfId="5727" xr:uid="{00000000-0005-0000-0000-000056160000}"/>
    <cellStyle name="Normal 15 4 4 3 2" xfId="5728" xr:uid="{00000000-0005-0000-0000-000057160000}"/>
    <cellStyle name="Normal 15 4 4 3 2 2" xfId="5729" xr:uid="{00000000-0005-0000-0000-000058160000}"/>
    <cellStyle name="Normal 15 4 4 3 2 3" xfId="5730" xr:uid="{00000000-0005-0000-0000-000059160000}"/>
    <cellStyle name="Normal 15 4 4 3 3" xfId="5731" xr:uid="{00000000-0005-0000-0000-00005A160000}"/>
    <cellStyle name="Normal 15 4 4 3 4" xfId="5732" xr:uid="{00000000-0005-0000-0000-00005B160000}"/>
    <cellStyle name="Normal 15 4 4 4" xfId="5733" xr:uid="{00000000-0005-0000-0000-00005C160000}"/>
    <cellStyle name="Normal 15 4 4 4 2" xfId="5734" xr:uid="{00000000-0005-0000-0000-00005D160000}"/>
    <cellStyle name="Normal 15 4 4 4 3" xfId="5735" xr:uid="{00000000-0005-0000-0000-00005E160000}"/>
    <cellStyle name="Normal 15 4 4 5" xfId="5736" xr:uid="{00000000-0005-0000-0000-00005F160000}"/>
    <cellStyle name="Normal 15 4 4 5 2" xfId="5737" xr:uid="{00000000-0005-0000-0000-000060160000}"/>
    <cellStyle name="Normal 15 4 4 5 3" xfId="5738" xr:uid="{00000000-0005-0000-0000-000061160000}"/>
    <cellStyle name="Normal 15 4 4 6" xfId="5739" xr:uid="{00000000-0005-0000-0000-000062160000}"/>
    <cellStyle name="Normal 15 4 4 7" xfId="5740" xr:uid="{00000000-0005-0000-0000-000063160000}"/>
    <cellStyle name="Normal 15 4 5" xfId="5741" xr:uid="{00000000-0005-0000-0000-000064160000}"/>
    <cellStyle name="Normal 15 4 5 2" xfId="5742" xr:uid="{00000000-0005-0000-0000-000065160000}"/>
    <cellStyle name="Normal 15 4 5 2 2" xfId="5743" xr:uid="{00000000-0005-0000-0000-000066160000}"/>
    <cellStyle name="Normal 15 4 5 2 3" xfId="5744" xr:uid="{00000000-0005-0000-0000-000067160000}"/>
    <cellStyle name="Normal 15 4 5 3" xfId="5745" xr:uid="{00000000-0005-0000-0000-000068160000}"/>
    <cellStyle name="Normal 15 4 5 3 2" xfId="5746" xr:uid="{00000000-0005-0000-0000-000069160000}"/>
    <cellStyle name="Normal 15 4 5 3 3" xfId="5747" xr:uid="{00000000-0005-0000-0000-00006A160000}"/>
    <cellStyle name="Normal 15 4 5 4" xfId="5748" xr:uid="{00000000-0005-0000-0000-00006B160000}"/>
    <cellStyle name="Normal 15 4 5 5" xfId="5749" xr:uid="{00000000-0005-0000-0000-00006C160000}"/>
    <cellStyle name="Normal 15 4 6" xfId="5750" xr:uid="{00000000-0005-0000-0000-00006D160000}"/>
    <cellStyle name="Normal 15 4 6 2" xfId="5751" xr:uid="{00000000-0005-0000-0000-00006E160000}"/>
    <cellStyle name="Normal 15 4 6 2 2" xfId="5752" xr:uid="{00000000-0005-0000-0000-00006F160000}"/>
    <cellStyle name="Normal 15 4 6 2 3" xfId="5753" xr:uid="{00000000-0005-0000-0000-000070160000}"/>
    <cellStyle name="Normal 15 4 6 3" xfId="5754" xr:uid="{00000000-0005-0000-0000-000071160000}"/>
    <cellStyle name="Normal 15 4 6 3 2" xfId="5755" xr:uid="{00000000-0005-0000-0000-000072160000}"/>
    <cellStyle name="Normal 15 4 6 3 3" xfId="5756" xr:uid="{00000000-0005-0000-0000-000073160000}"/>
    <cellStyle name="Normal 15 4 6 4" xfId="5757" xr:uid="{00000000-0005-0000-0000-000074160000}"/>
    <cellStyle name="Normal 15 4 6 5" xfId="5758" xr:uid="{00000000-0005-0000-0000-000075160000}"/>
    <cellStyle name="Normal 15 4 7" xfId="5759" xr:uid="{00000000-0005-0000-0000-000076160000}"/>
    <cellStyle name="Normal 15 4 7 2" xfId="5760" xr:uid="{00000000-0005-0000-0000-000077160000}"/>
    <cellStyle name="Normal 15 4 7 2 2" xfId="5761" xr:uid="{00000000-0005-0000-0000-000078160000}"/>
    <cellStyle name="Normal 15 4 7 2 3" xfId="5762" xr:uid="{00000000-0005-0000-0000-000079160000}"/>
    <cellStyle name="Normal 15 4 7 3" xfId="5763" xr:uid="{00000000-0005-0000-0000-00007A160000}"/>
    <cellStyle name="Normal 15 4 7 4" xfId="5764" xr:uid="{00000000-0005-0000-0000-00007B160000}"/>
    <cellStyle name="Normal 15 4 8" xfId="5765" xr:uid="{00000000-0005-0000-0000-00007C160000}"/>
    <cellStyle name="Normal 15 4 8 2" xfId="5766" xr:uid="{00000000-0005-0000-0000-00007D160000}"/>
    <cellStyle name="Normal 15 4 8 3" xfId="5767" xr:uid="{00000000-0005-0000-0000-00007E160000}"/>
    <cellStyle name="Normal 15 4 9" xfId="5768" xr:uid="{00000000-0005-0000-0000-00007F160000}"/>
    <cellStyle name="Normal 15 4 9 2" xfId="5769" xr:uid="{00000000-0005-0000-0000-000080160000}"/>
    <cellStyle name="Normal 15 4 9 3" xfId="5770" xr:uid="{00000000-0005-0000-0000-000081160000}"/>
    <cellStyle name="Normal 15 5" xfId="5771" xr:uid="{00000000-0005-0000-0000-000082160000}"/>
    <cellStyle name="Normal 15 5 10" xfId="5772" xr:uid="{00000000-0005-0000-0000-000083160000}"/>
    <cellStyle name="Normal 15 5 10 2" xfId="5773" xr:uid="{00000000-0005-0000-0000-000084160000}"/>
    <cellStyle name="Normal 15 5 10 3" xfId="5774" xr:uid="{00000000-0005-0000-0000-000085160000}"/>
    <cellStyle name="Normal 15 5 11" xfId="5775" xr:uid="{00000000-0005-0000-0000-000086160000}"/>
    <cellStyle name="Normal 15 5 11 2" xfId="5776" xr:uid="{00000000-0005-0000-0000-000087160000}"/>
    <cellStyle name="Normal 15 5 11 3" xfId="5777" xr:uid="{00000000-0005-0000-0000-000088160000}"/>
    <cellStyle name="Normal 15 5 12" xfId="5778" xr:uid="{00000000-0005-0000-0000-000089160000}"/>
    <cellStyle name="Normal 15 5 13" xfId="5779" xr:uid="{00000000-0005-0000-0000-00008A160000}"/>
    <cellStyle name="Normal 15 5 2" xfId="5780" xr:uid="{00000000-0005-0000-0000-00008B160000}"/>
    <cellStyle name="Normal 15 5 2 2" xfId="5781" xr:uid="{00000000-0005-0000-0000-00008C160000}"/>
    <cellStyle name="Normal 15 5 2 2 2" xfId="5782" xr:uid="{00000000-0005-0000-0000-00008D160000}"/>
    <cellStyle name="Normal 15 5 2 2 2 2" xfId="5783" xr:uid="{00000000-0005-0000-0000-00008E160000}"/>
    <cellStyle name="Normal 15 5 2 2 2 2 2" xfId="5784" xr:uid="{00000000-0005-0000-0000-00008F160000}"/>
    <cellStyle name="Normal 15 5 2 2 2 2 3" xfId="5785" xr:uid="{00000000-0005-0000-0000-000090160000}"/>
    <cellStyle name="Normal 15 5 2 2 2 3" xfId="5786" xr:uid="{00000000-0005-0000-0000-000091160000}"/>
    <cellStyle name="Normal 15 5 2 2 2 3 2" xfId="5787" xr:uid="{00000000-0005-0000-0000-000092160000}"/>
    <cellStyle name="Normal 15 5 2 2 2 3 3" xfId="5788" xr:uid="{00000000-0005-0000-0000-000093160000}"/>
    <cellStyle name="Normal 15 5 2 2 2 4" xfId="5789" xr:uid="{00000000-0005-0000-0000-000094160000}"/>
    <cellStyle name="Normal 15 5 2 2 2 5" xfId="5790" xr:uid="{00000000-0005-0000-0000-000095160000}"/>
    <cellStyle name="Normal 15 5 2 2 3" xfId="5791" xr:uid="{00000000-0005-0000-0000-000096160000}"/>
    <cellStyle name="Normal 15 5 2 2 3 2" xfId="5792" xr:uid="{00000000-0005-0000-0000-000097160000}"/>
    <cellStyle name="Normal 15 5 2 2 3 2 2" xfId="5793" xr:uid="{00000000-0005-0000-0000-000098160000}"/>
    <cellStyle name="Normal 15 5 2 2 3 2 3" xfId="5794" xr:uid="{00000000-0005-0000-0000-000099160000}"/>
    <cellStyle name="Normal 15 5 2 2 3 3" xfId="5795" xr:uid="{00000000-0005-0000-0000-00009A160000}"/>
    <cellStyle name="Normal 15 5 2 2 3 3 2" xfId="5796" xr:uid="{00000000-0005-0000-0000-00009B160000}"/>
    <cellStyle name="Normal 15 5 2 2 3 3 3" xfId="5797" xr:uid="{00000000-0005-0000-0000-00009C160000}"/>
    <cellStyle name="Normal 15 5 2 2 3 4" xfId="5798" xr:uid="{00000000-0005-0000-0000-00009D160000}"/>
    <cellStyle name="Normal 15 5 2 2 3 5" xfId="5799" xr:uid="{00000000-0005-0000-0000-00009E160000}"/>
    <cellStyle name="Normal 15 5 2 2 4" xfId="5800" xr:uid="{00000000-0005-0000-0000-00009F160000}"/>
    <cellStyle name="Normal 15 5 2 2 4 2" xfId="5801" xr:uid="{00000000-0005-0000-0000-0000A0160000}"/>
    <cellStyle name="Normal 15 5 2 2 4 3" xfId="5802" xr:uid="{00000000-0005-0000-0000-0000A1160000}"/>
    <cellStyle name="Normal 15 5 2 2 5" xfId="5803" xr:uid="{00000000-0005-0000-0000-0000A2160000}"/>
    <cellStyle name="Normal 15 5 2 2 5 2" xfId="5804" xr:uid="{00000000-0005-0000-0000-0000A3160000}"/>
    <cellStyle name="Normal 15 5 2 2 5 3" xfId="5805" xr:uid="{00000000-0005-0000-0000-0000A4160000}"/>
    <cellStyle name="Normal 15 5 2 2 6" xfId="5806" xr:uid="{00000000-0005-0000-0000-0000A5160000}"/>
    <cellStyle name="Normal 15 5 2 2 7" xfId="5807" xr:uid="{00000000-0005-0000-0000-0000A6160000}"/>
    <cellStyle name="Normal 15 5 2 3" xfId="5808" xr:uid="{00000000-0005-0000-0000-0000A7160000}"/>
    <cellStyle name="Normal 15 5 2 3 2" xfId="5809" xr:uid="{00000000-0005-0000-0000-0000A8160000}"/>
    <cellStyle name="Normal 15 5 2 3 2 2" xfId="5810" xr:uid="{00000000-0005-0000-0000-0000A9160000}"/>
    <cellStyle name="Normal 15 5 2 3 2 3" xfId="5811" xr:uid="{00000000-0005-0000-0000-0000AA160000}"/>
    <cellStyle name="Normal 15 5 2 3 3" xfId="5812" xr:uid="{00000000-0005-0000-0000-0000AB160000}"/>
    <cellStyle name="Normal 15 5 2 3 3 2" xfId="5813" xr:uid="{00000000-0005-0000-0000-0000AC160000}"/>
    <cellStyle name="Normal 15 5 2 3 3 3" xfId="5814" xr:uid="{00000000-0005-0000-0000-0000AD160000}"/>
    <cellStyle name="Normal 15 5 2 3 4" xfId="5815" xr:uid="{00000000-0005-0000-0000-0000AE160000}"/>
    <cellStyle name="Normal 15 5 2 3 5" xfId="5816" xr:uid="{00000000-0005-0000-0000-0000AF160000}"/>
    <cellStyle name="Normal 15 5 2 4" xfId="5817" xr:uid="{00000000-0005-0000-0000-0000B0160000}"/>
    <cellStyle name="Normal 15 5 2 4 2" xfId="5818" xr:uid="{00000000-0005-0000-0000-0000B1160000}"/>
    <cellStyle name="Normal 15 5 2 4 2 2" xfId="5819" xr:uid="{00000000-0005-0000-0000-0000B2160000}"/>
    <cellStyle name="Normal 15 5 2 4 2 3" xfId="5820" xr:uid="{00000000-0005-0000-0000-0000B3160000}"/>
    <cellStyle name="Normal 15 5 2 4 3" xfId="5821" xr:uid="{00000000-0005-0000-0000-0000B4160000}"/>
    <cellStyle name="Normal 15 5 2 4 3 2" xfId="5822" xr:uid="{00000000-0005-0000-0000-0000B5160000}"/>
    <cellStyle name="Normal 15 5 2 4 3 3" xfId="5823" xr:uid="{00000000-0005-0000-0000-0000B6160000}"/>
    <cellStyle name="Normal 15 5 2 4 4" xfId="5824" xr:uid="{00000000-0005-0000-0000-0000B7160000}"/>
    <cellStyle name="Normal 15 5 2 4 5" xfId="5825" xr:uid="{00000000-0005-0000-0000-0000B8160000}"/>
    <cellStyle name="Normal 15 5 2 5" xfId="5826" xr:uid="{00000000-0005-0000-0000-0000B9160000}"/>
    <cellStyle name="Normal 15 5 2 5 2" xfId="5827" xr:uid="{00000000-0005-0000-0000-0000BA160000}"/>
    <cellStyle name="Normal 15 5 2 5 3" xfId="5828" xr:uid="{00000000-0005-0000-0000-0000BB160000}"/>
    <cellStyle name="Normal 15 5 2 6" xfId="5829" xr:uid="{00000000-0005-0000-0000-0000BC160000}"/>
    <cellStyle name="Normal 15 5 2 6 2" xfId="5830" xr:uid="{00000000-0005-0000-0000-0000BD160000}"/>
    <cellStyle name="Normal 15 5 2 6 3" xfId="5831" xr:uid="{00000000-0005-0000-0000-0000BE160000}"/>
    <cellStyle name="Normal 15 5 2 7" xfId="5832" xr:uid="{00000000-0005-0000-0000-0000BF160000}"/>
    <cellStyle name="Normal 15 5 2 7 2" xfId="5833" xr:uid="{00000000-0005-0000-0000-0000C0160000}"/>
    <cellStyle name="Normal 15 5 2 7 3" xfId="5834" xr:uid="{00000000-0005-0000-0000-0000C1160000}"/>
    <cellStyle name="Normal 15 5 2 8" xfId="5835" xr:uid="{00000000-0005-0000-0000-0000C2160000}"/>
    <cellStyle name="Normal 15 5 2 9" xfId="5836" xr:uid="{00000000-0005-0000-0000-0000C3160000}"/>
    <cellStyle name="Normal 15 5 3" xfId="5837" xr:uid="{00000000-0005-0000-0000-0000C4160000}"/>
    <cellStyle name="Normal 15 5 3 2" xfId="5838" xr:uid="{00000000-0005-0000-0000-0000C5160000}"/>
    <cellStyle name="Normal 15 5 3 2 2" xfId="5839" xr:uid="{00000000-0005-0000-0000-0000C6160000}"/>
    <cellStyle name="Normal 15 5 3 2 2 2" xfId="5840" xr:uid="{00000000-0005-0000-0000-0000C7160000}"/>
    <cellStyle name="Normal 15 5 3 2 2 3" xfId="5841" xr:uid="{00000000-0005-0000-0000-0000C8160000}"/>
    <cellStyle name="Normal 15 5 3 2 3" xfId="5842" xr:uid="{00000000-0005-0000-0000-0000C9160000}"/>
    <cellStyle name="Normal 15 5 3 2 3 2" xfId="5843" xr:uid="{00000000-0005-0000-0000-0000CA160000}"/>
    <cellStyle name="Normal 15 5 3 2 3 3" xfId="5844" xr:uid="{00000000-0005-0000-0000-0000CB160000}"/>
    <cellStyle name="Normal 15 5 3 2 4" xfId="5845" xr:uid="{00000000-0005-0000-0000-0000CC160000}"/>
    <cellStyle name="Normal 15 5 3 2 5" xfId="5846" xr:uid="{00000000-0005-0000-0000-0000CD160000}"/>
    <cellStyle name="Normal 15 5 3 3" xfId="5847" xr:uid="{00000000-0005-0000-0000-0000CE160000}"/>
    <cellStyle name="Normal 15 5 3 3 2" xfId="5848" xr:uid="{00000000-0005-0000-0000-0000CF160000}"/>
    <cellStyle name="Normal 15 5 3 3 2 2" xfId="5849" xr:uid="{00000000-0005-0000-0000-0000D0160000}"/>
    <cellStyle name="Normal 15 5 3 3 2 3" xfId="5850" xr:uid="{00000000-0005-0000-0000-0000D1160000}"/>
    <cellStyle name="Normal 15 5 3 3 3" xfId="5851" xr:uid="{00000000-0005-0000-0000-0000D2160000}"/>
    <cellStyle name="Normal 15 5 3 3 3 2" xfId="5852" xr:uid="{00000000-0005-0000-0000-0000D3160000}"/>
    <cellStyle name="Normal 15 5 3 3 3 3" xfId="5853" xr:uid="{00000000-0005-0000-0000-0000D4160000}"/>
    <cellStyle name="Normal 15 5 3 3 4" xfId="5854" xr:uid="{00000000-0005-0000-0000-0000D5160000}"/>
    <cellStyle name="Normal 15 5 3 3 5" xfId="5855" xr:uid="{00000000-0005-0000-0000-0000D6160000}"/>
    <cellStyle name="Normal 15 5 3 4" xfId="5856" xr:uid="{00000000-0005-0000-0000-0000D7160000}"/>
    <cellStyle name="Normal 15 5 3 4 2" xfId="5857" xr:uid="{00000000-0005-0000-0000-0000D8160000}"/>
    <cellStyle name="Normal 15 5 3 4 3" xfId="5858" xr:uid="{00000000-0005-0000-0000-0000D9160000}"/>
    <cellStyle name="Normal 15 5 3 5" xfId="5859" xr:uid="{00000000-0005-0000-0000-0000DA160000}"/>
    <cellStyle name="Normal 15 5 3 5 2" xfId="5860" xr:uid="{00000000-0005-0000-0000-0000DB160000}"/>
    <cellStyle name="Normal 15 5 3 5 3" xfId="5861" xr:uid="{00000000-0005-0000-0000-0000DC160000}"/>
    <cellStyle name="Normal 15 5 3 6" xfId="5862" xr:uid="{00000000-0005-0000-0000-0000DD160000}"/>
    <cellStyle name="Normal 15 5 3 7" xfId="5863" xr:uid="{00000000-0005-0000-0000-0000DE160000}"/>
    <cellStyle name="Normal 15 5 4" xfId="5864" xr:uid="{00000000-0005-0000-0000-0000DF160000}"/>
    <cellStyle name="Normal 15 5 4 2" xfId="5865" xr:uid="{00000000-0005-0000-0000-0000E0160000}"/>
    <cellStyle name="Normal 15 5 4 2 2" xfId="5866" xr:uid="{00000000-0005-0000-0000-0000E1160000}"/>
    <cellStyle name="Normal 15 5 4 2 2 2" xfId="5867" xr:uid="{00000000-0005-0000-0000-0000E2160000}"/>
    <cellStyle name="Normal 15 5 4 2 2 3" xfId="5868" xr:uid="{00000000-0005-0000-0000-0000E3160000}"/>
    <cellStyle name="Normal 15 5 4 2 3" xfId="5869" xr:uid="{00000000-0005-0000-0000-0000E4160000}"/>
    <cellStyle name="Normal 15 5 4 2 3 2" xfId="5870" xr:uid="{00000000-0005-0000-0000-0000E5160000}"/>
    <cellStyle name="Normal 15 5 4 2 3 3" xfId="5871" xr:uid="{00000000-0005-0000-0000-0000E6160000}"/>
    <cellStyle name="Normal 15 5 4 2 4" xfId="5872" xr:uid="{00000000-0005-0000-0000-0000E7160000}"/>
    <cellStyle name="Normal 15 5 4 2 5" xfId="5873" xr:uid="{00000000-0005-0000-0000-0000E8160000}"/>
    <cellStyle name="Normal 15 5 4 3" xfId="5874" xr:uid="{00000000-0005-0000-0000-0000E9160000}"/>
    <cellStyle name="Normal 15 5 4 3 2" xfId="5875" xr:uid="{00000000-0005-0000-0000-0000EA160000}"/>
    <cellStyle name="Normal 15 5 4 3 2 2" xfId="5876" xr:uid="{00000000-0005-0000-0000-0000EB160000}"/>
    <cellStyle name="Normal 15 5 4 3 2 3" xfId="5877" xr:uid="{00000000-0005-0000-0000-0000EC160000}"/>
    <cellStyle name="Normal 15 5 4 3 3" xfId="5878" xr:uid="{00000000-0005-0000-0000-0000ED160000}"/>
    <cellStyle name="Normal 15 5 4 3 4" xfId="5879" xr:uid="{00000000-0005-0000-0000-0000EE160000}"/>
    <cellStyle name="Normal 15 5 4 4" xfId="5880" xr:uid="{00000000-0005-0000-0000-0000EF160000}"/>
    <cellStyle name="Normal 15 5 4 4 2" xfId="5881" xr:uid="{00000000-0005-0000-0000-0000F0160000}"/>
    <cellStyle name="Normal 15 5 4 4 3" xfId="5882" xr:uid="{00000000-0005-0000-0000-0000F1160000}"/>
    <cellStyle name="Normal 15 5 4 5" xfId="5883" xr:uid="{00000000-0005-0000-0000-0000F2160000}"/>
    <cellStyle name="Normal 15 5 4 5 2" xfId="5884" xr:uid="{00000000-0005-0000-0000-0000F3160000}"/>
    <cellStyle name="Normal 15 5 4 5 3" xfId="5885" xr:uid="{00000000-0005-0000-0000-0000F4160000}"/>
    <cellStyle name="Normal 15 5 4 6" xfId="5886" xr:uid="{00000000-0005-0000-0000-0000F5160000}"/>
    <cellStyle name="Normal 15 5 4 7" xfId="5887" xr:uid="{00000000-0005-0000-0000-0000F6160000}"/>
    <cellStyle name="Normal 15 5 5" xfId="5888" xr:uid="{00000000-0005-0000-0000-0000F7160000}"/>
    <cellStyle name="Normal 15 5 5 2" xfId="5889" xr:uid="{00000000-0005-0000-0000-0000F8160000}"/>
    <cellStyle name="Normal 15 5 5 2 2" xfId="5890" xr:uid="{00000000-0005-0000-0000-0000F9160000}"/>
    <cellStyle name="Normal 15 5 5 2 3" xfId="5891" xr:uid="{00000000-0005-0000-0000-0000FA160000}"/>
    <cellStyle name="Normal 15 5 5 3" xfId="5892" xr:uid="{00000000-0005-0000-0000-0000FB160000}"/>
    <cellStyle name="Normal 15 5 5 3 2" xfId="5893" xr:uid="{00000000-0005-0000-0000-0000FC160000}"/>
    <cellStyle name="Normal 15 5 5 3 3" xfId="5894" xr:uid="{00000000-0005-0000-0000-0000FD160000}"/>
    <cellStyle name="Normal 15 5 5 4" xfId="5895" xr:uid="{00000000-0005-0000-0000-0000FE160000}"/>
    <cellStyle name="Normal 15 5 5 5" xfId="5896" xr:uid="{00000000-0005-0000-0000-0000FF160000}"/>
    <cellStyle name="Normal 15 5 6" xfId="5897" xr:uid="{00000000-0005-0000-0000-000000170000}"/>
    <cellStyle name="Normal 15 5 6 2" xfId="5898" xr:uid="{00000000-0005-0000-0000-000001170000}"/>
    <cellStyle name="Normal 15 5 6 2 2" xfId="5899" xr:uid="{00000000-0005-0000-0000-000002170000}"/>
    <cellStyle name="Normal 15 5 6 2 3" xfId="5900" xr:uid="{00000000-0005-0000-0000-000003170000}"/>
    <cellStyle name="Normal 15 5 6 3" xfId="5901" xr:uid="{00000000-0005-0000-0000-000004170000}"/>
    <cellStyle name="Normal 15 5 6 3 2" xfId="5902" xr:uid="{00000000-0005-0000-0000-000005170000}"/>
    <cellStyle name="Normal 15 5 6 3 3" xfId="5903" xr:uid="{00000000-0005-0000-0000-000006170000}"/>
    <cellStyle name="Normal 15 5 6 4" xfId="5904" xr:uid="{00000000-0005-0000-0000-000007170000}"/>
    <cellStyle name="Normal 15 5 6 5" xfId="5905" xr:uid="{00000000-0005-0000-0000-000008170000}"/>
    <cellStyle name="Normal 15 5 7" xfId="5906" xr:uid="{00000000-0005-0000-0000-000009170000}"/>
    <cellStyle name="Normal 15 5 7 2" xfId="5907" xr:uid="{00000000-0005-0000-0000-00000A170000}"/>
    <cellStyle name="Normal 15 5 7 2 2" xfId="5908" xr:uid="{00000000-0005-0000-0000-00000B170000}"/>
    <cellStyle name="Normal 15 5 7 2 3" xfId="5909" xr:uid="{00000000-0005-0000-0000-00000C170000}"/>
    <cellStyle name="Normal 15 5 7 3" xfId="5910" xr:uid="{00000000-0005-0000-0000-00000D170000}"/>
    <cellStyle name="Normal 15 5 7 4" xfId="5911" xr:uid="{00000000-0005-0000-0000-00000E170000}"/>
    <cellStyle name="Normal 15 5 8" xfId="5912" xr:uid="{00000000-0005-0000-0000-00000F170000}"/>
    <cellStyle name="Normal 15 5 8 2" xfId="5913" xr:uid="{00000000-0005-0000-0000-000010170000}"/>
    <cellStyle name="Normal 15 5 8 3" xfId="5914" xr:uid="{00000000-0005-0000-0000-000011170000}"/>
    <cellStyle name="Normal 15 5 9" xfId="5915" xr:uid="{00000000-0005-0000-0000-000012170000}"/>
    <cellStyle name="Normal 15 5 9 2" xfId="5916" xr:uid="{00000000-0005-0000-0000-000013170000}"/>
    <cellStyle name="Normal 15 5 9 3" xfId="5917" xr:uid="{00000000-0005-0000-0000-000014170000}"/>
    <cellStyle name="Normal 15 6" xfId="5918" xr:uid="{00000000-0005-0000-0000-000015170000}"/>
    <cellStyle name="Normal 15 6 10" xfId="5919" xr:uid="{00000000-0005-0000-0000-000016170000}"/>
    <cellStyle name="Normal 15 6 10 2" xfId="5920" xr:uid="{00000000-0005-0000-0000-000017170000}"/>
    <cellStyle name="Normal 15 6 10 3" xfId="5921" xr:uid="{00000000-0005-0000-0000-000018170000}"/>
    <cellStyle name="Normal 15 6 11" xfId="5922" xr:uid="{00000000-0005-0000-0000-000019170000}"/>
    <cellStyle name="Normal 15 6 11 2" xfId="5923" xr:uid="{00000000-0005-0000-0000-00001A170000}"/>
    <cellStyle name="Normal 15 6 11 3" xfId="5924" xr:uid="{00000000-0005-0000-0000-00001B170000}"/>
    <cellStyle name="Normal 15 6 12" xfId="5925" xr:uid="{00000000-0005-0000-0000-00001C170000}"/>
    <cellStyle name="Normal 15 6 13" xfId="5926" xr:uid="{00000000-0005-0000-0000-00001D170000}"/>
    <cellStyle name="Normal 15 6 2" xfId="5927" xr:uid="{00000000-0005-0000-0000-00001E170000}"/>
    <cellStyle name="Normal 15 6 2 2" xfId="5928" xr:uid="{00000000-0005-0000-0000-00001F170000}"/>
    <cellStyle name="Normal 15 6 2 2 2" xfId="5929" xr:uid="{00000000-0005-0000-0000-000020170000}"/>
    <cellStyle name="Normal 15 6 2 2 2 2" xfId="5930" xr:uid="{00000000-0005-0000-0000-000021170000}"/>
    <cellStyle name="Normal 15 6 2 2 2 2 2" xfId="5931" xr:uid="{00000000-0005-0000-0000-000022170000}"/>
    <cellStyle name="Normal 15 6 2 2 2 2 3" xfId="5932" xr:uid="{00000000-0005-0000-0000-000023170000}"/>
    <cellStyle name="Normal 15 6 2 2 2 3" xfId="5933" xr:uid="{00000000-0005-0000-0000-000024170000}"/>
    <cellStyle name="Normal 15 6 2 2 2 3 2" xfId="5934" xr:uid="{00000000-0005-0000-0000-000025170000}"/>
    <cellStyle name="Normal 15 6 2 2 2 3 3" xfId="5935" xr:uid="{00000000-0005-0000-0000-000026170000}"/>
    <cellStyle name="Normal 15 6 2 2 2 4" xfId="5936" xr:uid="{00000000-0005-0000-0000-000027170000}"/>
    <cellStyle name="Normal 15 6 2 2 2 5" xfId="5937" xr:uid="{00000000-0005-0000-0000-000028170000}"/>
    <cellStyle name="Normal 15 6 2 2 3" xfId="5938" xr:uid="{00000000-0005-0000-0000-000029170000}"/>
    <cellStyle name="Normal 15 6 2 2 3 2" xfId="5939" xr:uid="{00000000-0005-0000-0000-00002A170000}"/>
    <cellStyle name="Normal 15 6 2 2 3 2 2" xfId="5940" xr:uid="{00000000-0005-0000-0000-00002B170000}"/>
    <cellStyle name="Normal 15 6 2 2 3 2 3" xfId="5941" xr:uid="{00000000-0005-0000-0000-00002C170000}"/>
    <cellStyle name="Normal 15 6 2 2 3 3" xfId="5942" xr:uid="{00000000-0005-0000-0000-00002D170000}"/>
    <cellStyle name="Normal 15 6 2 2 3 3 2" xfId="5943" xr:uid="{00000000-0005-0000-0000-00002E170000}"/>
    <cellStyle name="Normal 15 6 2 2 3 3 3" xfId="5944" xr:uid="{00000000-0005-0000-0000-00002F170000}"/>
    <cellStyle name="Normal 15 6 2 2 3 4" xfId="5945" xr:uid="{00000000-0005-0000-0000-000030170000}"/>
    <cellStyle name="Normal 15 6 2 2 3 5" xfId="5946" xr:uid="{00000000-0005-0000-0000-000031170000}"/>
    <cellStyle name="Normal 15 6 2 2 4" xfId="5947" xr:uid="{00000000-0005-0000-0000-000032170000}"/>
    <cellStyle name="Normal 15 6 2 2 4 2" xfId="5948" xr:uid="{00000000-0005-0000-0000-000033170000}"/>
    <cellStyle name="Normal 15 6 2 2 4 3" xfId="5949" xr:uid="{00000000-0005-0000-0000-000034170000}"/>
    <cellStyle name="Normal 15 6 2 2 5" xfId="5950" xr:uid="{00000000-0005-0000-0000-000035170000}"/>
    <cellStyle name="Normal 15 6 2 2 5 2" xfId="5951" xr:uid="{00000000-0005-0000-0000-000036170000}"/>
    <cellStyle name="Normal 15 6 2 2 5 3" xfId="5952" xr:uid="{00000000-0005-0000-0000-000037170000}"/>
    <cellStyle name="Normal 15 6 2 2 6" xfId="5953" xr:uid="{00000000-0005-0000-0000-000038170000}"/>
    <cellStyle name="Normal 15 6 2 2 7" xfId="5954" xr:uid="{00000000-0005-0000-0000-000039170000}"/>
    <cellStyle name="Normal 15 6 2 3" xfId="5955" xr:uid="{00000000-0005-0000-0000-00003A170000}"/>
    <cellStyle name="Normal 15 6 2 3 2" xfId="5956" xr:uid="{00000000-0005-0000-0000-00003B170000}"/>
    <cellStyle name="Normal 15 6 2 3 2 2" xfId="5957" xr:uid="{00000000-0005-0000-0000-00003C170000}"/>
    <cellStyle name="Normal 15 6 2 3 2 3" xfId="5958" xr:uid="{00000000-0005-0000-0000-00003D170000}"/>
    <cellStyle name="Normal 15 6 2 3 3" xfId="5959" xr:uid="{00000000-0005-0000-0000-00003E170000}"/>
    <cellStyle name="Normal 15 6 2 3 3 2" xfId="5960" xr:uid="{00000000-0005-0000-0000-00003F170000}"/>
    <cellStyle name="Normal 15 6 2 3 3 3" xfId="5961" xr:uid="{00000000-0005-0000-0000-000040170000}"/>
    <cellStyle name="Normal 15 6 2 3 4" xfId="5962" xr:uid="{00000000-0005-0000-0000-000041170000}"/>
    <cellStyle name="Normal 15 6 2 3 5" xfId="5963" xr:uid="{00000000-0005-0000-0000-000042170000}"/>
    <cellStyle name="Normal 15 6 2 4" xfId="5964" xr:uid="{00000000-0005-0000-0000-000043170000}"/>
    <cellStyle name="Normal 15 6 2 4 2" xfId="5965" xr:uid="{00000000-0005-0000-0000-000044170000}"/>
    <cellStyle name="Normal 15 6 2 4 2 2" xfId="5966" xr:uid="{00000000-0005-0000-0000-000045170000}"/>
    <cellStyle name="Normal 15 6 2 4 2 3" xfId="5967" xr:uid="{00000000-0005-0000-0000-000046170000}"/>
    <cellStyle name="Normal 15 6 2 4 3" xfId="5968" xr:uid="{00000000-0005-0000-0000-000047170000}"/>
    <cellStyle name="Normal 15 6 2 4 3 2" xfId="5969" xr:uid="{00000000-0005-0000-0000-000048170000}"/>
    <cellStyle name="Normal 15 6 2 4 3 3" xfId="5970" xr:uid="{00000000-0005-0000-0000-000049170000}"/>
    <cellStyle name="Normal 15 6 2 4 4" xfId="5971" xr:uid="{00000000-0005-0000-0000-00004A170000}"/>
    <cellStyle name="Normal 15 6 2 4 5" xfId="5972" xr:uid="{00000000-0005-0000-0000-00004B170000}"/>
    <cellStyle name="Normal 15 6 2 5" xfId="5973" xr:uid="{00000000-0005-0000-0000-00004C170000}"/>
    <cellStyle name="Normal 15 6 2 5 2" xfId="5974" xr:uid="{00000000-0005-0000-0000-00004D170000}"/>
    <cellStyle name="Normal 15 6 2 5 3" xfId="5975" xr:uid="{00000000-0005-0000-0000-00004E170000}"/>
    <cellStyle name="Normal 15 6 2 6" xfId="5976" xr:uid="{00000000-0005-0000-0000-00004F170000}"/>
    <cellStyle name="Normal 15 6 2 6 2" xfId="5977" xr:uid="{00000000-0005-0000-0000-000050170000}"/>
    <cellStyle name="Normal 15 6 2 6 3" xfId="5978" xr:uid="{00000000-0005-0000-0000-000051170000}"/>
    <cellStyle name="Normal 15 6 2 7" xfId="5979" xr:uid="{00000000-0005-0000-0000-000052170000}"/>
    <cellStyle name="Normal 15 6 2 7 2" xfId="5980" xr:uid="{00000000-0005-0000-0000-000053170000}"/>
    <cellStyle name="Normal 15 6 2 7 3" xfId="5981" xr:uid="{00000000-0005-0000-0000-000054170000}"/>
    <cellStyle name="Normal 15 6 2 8" xfId="5982" xr:uid="{00000000-0005-0000-0000-000055170000}"/>
    <cellStyle name="Normal 15 6 2 9" xfId="5983" xr:uid="{00000000-0005-0000-0000-000056170000}"/>
    <cellStyle name="Normal 15 6 3" xfId="5984" xr:uid="{00000000-0005-0000-0000-000057170000}"/>
    <cellStyle name="Normal 15 6 3 2" xfId="5985" xr:uid="{00000000-0005-0000-0000-000058170000}"/>
    <cellStyle name="Normal 15 6 3 2 2" xfId="5986" xr:uid="{00000000-0005-0000-0000-000059170000}"/>
    <cellStyle name="Normal 15 6 3 2 2 2" xfId="5987" xr:uid="{00000000-0005-0000-0000-00005A170000}"/>
    <cellStyle name="Normal 15 6 3 2 2 3" xfId="5988" xr:uid="{00000000-0005-0000-0000-00005B170000}"/>
    <cellStyle name="Normal 15 6 3 2 3" xfId="5989" xr:uid="{00000000-0005-0000-0000-00005C170000}"/>
    <cellStyle name="Normal 15 6 3 2 3 2" xfId="5990" xr:uid="{00000000-0005-0000-0000-00005D170000}"/>
    <cellStyle name="Normal 15 6 3 2 3 3" xfId="5991" xr:uid="{00000000-0005-0000-0000-00005E170000}"/>
    <cellStyle name="Normal 15 6 3 2 4" xfId="5992" xr:uid="{00000000-0005-0000-0000-00005F170000}"/>
    <cellStyle name="Normal 15 6 3 2 5" xfId="5993" xr:uid="{00000000-0005-0000-0000-000060170000}"/>
    <cellStyle name="Normal 15 6 3 3" xfId="5994" xr:uid="{00000000-0005-0000-0000-000061170000}"/>
    <cellStyle name="Normal 15 6 3 3 2" xfId="5995" xr:uid="{00000000-0005-0000-0000-000062170000}"/>
    <cellStyle name="Normal 15 6 3 3 2 2" xfId="5996" xr:uid="{00000000-0005-0000-0000-000063170000}"/>
    <cellStyle name="Normal 15 6 3 3 2 3" xfId="5997" xr:uid="{00000000-0005-0000-0000-000064170000}"/>
    <cellStyle name="Normal 15 6 3 3 3" xfId="5998" xr:uid="{00000000-0005-0000-0000-000065170000}"/>
    <cellStyle name="Normal 15 6 3 3 3 2" xfId="5999" xr:uid="{00000000-0005-0000-0000-000066170000}"/>
    <cellStyle name="Normal 15 6 3 3 3 3" xfId="6000" xr:uid="{00000000-0005-0000-0000-000067170000}"/>
    <cellStyle name="Normal 15 6 3 3 4" xfId="6001" xr:uid="{00000000-0005-0000-0000-000068170000}"/>
    <cellStyle name="Normal 15 6 3 3 5" xfId="6002" xr:uid="{00000000-0005-0000-0000-000069170000}"/>
    <cellStyle name="Normal 15 6 3 4" xfId="6003" xr:uid="{00000000-0005-0000-0000-00006A170000}"/>
    <cellStyle name="Normal 15 6 3 4 2" xfId="6004" xr:uid="{00000000-0005-0000-0000-00006B170000}"/>
    <cellStyle name="Normal 15 6 3 4 3" xfId="6005" xr:uid="{00000000-0005-0000-0000-00006C170000}"/>
    <cellStyle name="Normal 15 6 3 5" xfId="6006" xr:uid="{00000000-0005-0000-0000-00006D170000}"/>
    <cellStyle name="Normal 15 6 3 5 2" xfId="6007" xr:uid="{00000000-0005-0000-0000-00006E170000}"/>
    <cellStyle name="Normal 15 6 3 5 3" xfId="6008" xr:uid="{00000000-0005-0000-0000-00006F170000}"/>
    <cellStyle name="Normal 15 6 3 6" xfId="6009" xr:uid="{00000000-0005-0000-0000-000070170000}"/>
    <cellStyle name="Normal 15 6 3 7" xfId="6010" xr:uid="{00000000-0005-0000-0000-000071170000}"/>
    <cellStyle name="Normal 15 6 4" xfId="6011" xr:uid="{00000000-0005-0000-0000-000072170000}"/>
    <cellStyle name="Normal 15 6 4 2" xfId="6012" xr:uid="{00000000-0005-0000-0000-000073170000}"/>
    <cellStyle name="Normal 15 6 4 2 2" xfId="6013" xr:uid="{00000000-0005-0000-0000-000074170000}"/>
    <cellStyle name="Normal 15 6 4 2 2 2" xfId="6014" xr:uid="{00000000-0005-0000-0000-000075170000}"/>
    <cellStyle name="Normal 15 6 4 2 2 3" xfId="6015" xr:uid="{00000000-0005-0000-0000-000076170000}"/>
    <cellStyle name="Normal 15 6 4 2 3" xfId="6016" xr:uid="{00000000-0005-0000-0000-000077170000}"/>
    <cellStyle name="Normal 15 6 4 2 3 2" xfId="6017" xr:uid="{00000000-0005-0000-0000-000078170000}"/>
    <cellStyle name="Normal 15 6 4 2 3 3" xfId="6018" xr:uid="{00000000-0005-0000-0000-000079170000}"/>
    <cellStyle name="Normal 15 6 4 2 4" xfId="6019" xr:uid="{00000000-0005-0000-0000-00007A170000}"/>
    <cellStyle name="Normal 15 6 4 2 5" xfId="6020" xr:uid="{00000000-0005-0000-0000-00007B170000}"/>
    <cellStyle name="Normal 15 6 4 3" xfId="6021" xr:uid="{00000000-0005-0000-0000-00007C170000}"/>
    <cellStyle name="Normal 15 6 4 3 2" xfId="6022" xr:uid="{00000000-0005-0000-0000-00007D170000}"/>
    <cellStyle name="Normal 15 6 4 3 2 2" xfId="6023" xr:uid="{00000000-0005-0000-0000-00007E170000}"/>
    <cellStyle name="Normal 15 6 4 3 2 3" xfId="6024" xr:uid="{00000000-0005-0000-0000-00007F170000}"/>
    <cellStyle name="Normal 15 6 4 3 3" xfId="6025" xr:uid="{00000000-0005-0000-0000-000080170000}"/>
    <cellStyle name="Normal 15 6 4 3 4" xfId="6026" xr:uid="{00000000-0005-0000-0000-000081170000}"/>
    <cellStyle name="Normal 15 6 4 4" xfId="6027" xr:uid="{00000000-0005-0000-0000-000082170000}"/>
    <cellStyle name="Normal 15 6 4 4 2" xfId="6028" xr:uid="{00000000-0005-0000-0000-000083170000}"/>
    <cellStyle name="Normal 15 6 4 4 3" xfId="6029" xr:uid="{00000000-0005-0000-0000-000084170000}"/>
    <cellStyle name="Normal 15 6 4 5" xfId="6030" xr:uid="{00000000-0005-0000-0000-000085170000}"/>
    <cellStyle name="Normal 15 6 4 5 2" xfId="6031" xr:uid="{00000000-0005-0000-0000-000086170000}"/>
    <cellStyle name="Normal 15 6 4 5 3" xfId="6032" xr:uid="{00000000-0005-0000-0000-000087170000}"/>
    <cellStyle name="Normal 15 6 4 6" xfId="6033" xr:uid="{00000000-0005-0000-0000-000088170000}"/>
    <cellStyle name="Normal 15 6 4 7" xfId="6034" xr:uid="{00000000-0005-0000-0000-000089170000}"/>
    <cellStyle name="Normal 15 6 5" xfId="6035" xr:uid="{00000000-0005-0000-0000-00008A170000}"/>
    <cellStyle name="Normal 15 6 5 2" xfId="6036" xr:uid="{00000000-0005-0000-0000-00008B170000}"/>
    <cellStyle name="Normal 15 6 5 2 2" xfId="6037" xr:uid="{00000000-0005-0000-0000-00008C170000}"/>
    <cellStyle name="Normal 15 6 5 2 3" xfId="6038" xr:uid="{00000000-0005-0000-0000-00008D170000}"/>
    <cellStyle name="Normal 15 6 5 3" xfId="6039" xr:uid="{00000000-0005-0000-0000-00008E170000}"/>
    <cellStyle name="Normal 15 6 5 3 2" xfId="6040" xr:uid="{00000000-0005-0000-0000-00008F170000}"/>
    <cellStyle name="Normal 15 6 5 3 3" xfId="6041" xr:uid="{00000000-0005-0000-0000-000090170000}"/>
    <cellStyle name="Normal 15 6 5 4" xfId="6042" xr:uid="{00000000-0005-0000-0000-000091170000}"/>
    <cellStyle name="Normal 15 6 5 5" xfId="6043" xr:uid="{00000000-0005-0000-0000-000092170000}"/>
    <cellStyle name="Normal 15 6 6" xfId="6044" xr:uid="{00000000-0005-0000-0000-000093170000}"/>
    <cellStyle name="Normal 15 6 6 2" xfId="6045" xr:uid="{00000000-0005-0000-0000-000094170000}"/>
    <cellStyle name="Normal 15 6 6 2 2" xfId="6046" xr:uid="{00000000-0005-0000-0000-000095170000}"/>
    <cellStyle name="Normal 15 6 6 2 3" xfId="6047" xr:uid="{00000000-0005-0000-0000-000096170000}"/>
    <cellStyle name="Normal 15 6 6 3" xfId="6048" xr:uid="{00000000-0005-0000-0000-000097170000}"/>
    <cellStyle name="Normal 15 6 6 3 2" xfId="6049" xr:uid="{00000000-0005-0000-0000-000098170000}"/>
    <cellStyle name="Normal 15 6 6 3 3" xfId="6050" xr:uid="{00000000-0005-0000-0000-000099170000}"/>
    <cellStyle name="Normal 15 6 6 4" xfId="6051" xr:uid="{00000000-0005-0000-0000-00009A170000}"/>
    <cellStyle name="Normal 15 6 6 5" xfId="6052" xr:uid="{00000000-0005-0000-0000-00009B170000}"/>
    <cellStyle name="Normal 15 6 7" xfId="6053" xr:uid="{00000000-0005-0000-0000-00009C170000}"/>
    <cellStyle name="Normal 15 6 7 2" xfId="6054" xr:uid="{00000000-0005-0000-0000-00009D170000}"/>
    <cellStyle name="Normal 15 6 7 2 2" xfId="6055" xr:uid="{00000000-0005-0000-0000-00009E170000}"/>
    <cellStyle name="Normal 15 6 7 2 3" xfId="6056" xr:uid="{00000000-0005-0000-0000-00009F170000}"/>
    <cellStyle name="Normal 15 6 7 3" xfId="6057" xr:uid="{00000000-0005-0000-0000-0000A0170000}"/>
    <cellStyle name="Normal 15 6 7 4" xfId="6058" xr:uid="{00000000-0005-0000-0000-0000A1170000}"/>
    <cellStyle name="Normal 15 6 8" xfId="6059" xr:uid="{00000000-0005-0000-0000-0000A2170000}"/>
    <cellStyle name="Normal 15 6 8 2" xfId="6060" xr:uid="{00000000-0005-0000-0000-0000A3170000}"/>
    <cellStyle name="Normal 15 6 8 3" xfId="6061" xr:uid="{00000000-0005-0000-0000-0000A4170000}"/>
    <cellStyle name="Normal 15 6 9" xfId="6062" xr:uid="{00000000-0005-0000-0000-0000A5170000}"/>
    <cellStyle name="Normal 15 6 9 2" xfId="6063" xr:uid="{00000000-0005-0000-0000-0000A6170000}"/>
    <cellStyle name="Normal 15 6 9 3" xfId="6064" xr:uid="{00000000-0005-0000-0000-0000A7170000}"/>
    <cellStyle name="Normal 15 7" xfId="6065" xr:uid="{00000000-0005-0000-0000-0000A8170000}"/>
    <cellStyle name="Normal 15 7 2" xfId="6066" xr:uid="{00000000-0005-0000-0000-0000A9170000}"/>
    <cellStyle name="Normal 15 7 2 2" xfId="6067" xr:uid="{00000000-0005-0000-0000-0000AA170000}"/>
    <cellStyle name="Normal 15 7 2 2 2" xfId="6068" xr:uid="{00000000-0005-0000-0000-0000AB170000}"/>
    <cellStyle name="Normal 15 7 2 2 2 2" xfId="6069" xr:uid="{00000000-0005-0000-0000-0000AC170000}"/>
    <cellStyle name="Normal 15 7 2 2 2 3" xfId="6070" xr:uid="{00000000-0005-0000-0000-0000AD170000}"/>
    <cellStyle name="Normal 15 7 2 2 3" xfId="6071" xr:uid="{00000000-0005-0000-0000-0000AE170000}"/>
    <cellStyle name="Normal 15 7 2 2 3 2" xfId="6072" xr:uid="{00000000-0005-0000-0000-0000AF170000}"/>
    <cellStyle name="Normal 15 7 2 2 3 3" xfId="6073" xr:uid="{00000000-0005-0000-0000-0000B0170000}"/>
    <cellStyle name="Normal 15 7 2 2 4" xfId="6074" xr:uid="{00000000-0005-0000-0000-0000B1170000}"/>
    <cellStyle name="Normal 15 7 2 2 5" xfId="6075" xr:uid="{00000000-0005-0000-0000-0000B2170000}"/>
    <cellStyle name="Normal 15 7 2 3" xfId="6076" xr:uid="{00000000-0005-0000-0000-0000B3170000}"/>
    <cellStyle name="Normal 15 7 2 3 2" xfId="6077" xr:uid="{00000000-0005-0000-0000-0000B4170000}"/>
    <cellStyle name="Normal 15 7 2 3 2 2" xfId="6078" xr:uid="{00000000-0005-0000-0000-0000B5170000}"/>
    <cellStyle name="Normal 15 7 2 3 2 3" xfId="6079" xr:uid="{00000000-0005-0000-0000-0000B6170000}"/>
    <cellStyle name="Normal 15 7 2 3 3" xfId="6080" xr:uid="{00000000-0005-0000-0000-0000B7170000}"/>
    <cellStyle name="Normal 15 7 2 3 3 2" xfId="6081" xr:uid="{00000000-0005-0000-0000-0000B8170000}"/>
    <cellStyle name="Normal 15 7 2 3 3 3" xfId="6082" xr:uid="{00000000-0005-0000-0000-0000B9170000}"/>
    <cellStyle name="Normal 15 7 2 3 4" xfId="6083" xr:uid="{00000000-0005-0000-0000-0000BA170000}"/>
    <cellStyle name="Normal 15 7 2 3 5" xfId="6084" xr:uid="{00000000-0005-0000-0000-0000BB170000}"/>
    <cellStyle name="Normal 15 7 2 4" xfId="6085" xr:uid="{00000000-0005-0000-0000-0000BC170000}"/>
    <cellStyle name="Normal 15 7 2 4 2" xfId="6086" xr:uid="{00000000-0005-0000-0000-0000BD170000}"/>
    <cellStyle name="Normal 15 7 2 4 3" xfId="6087" xr:uid="{00000000-0005-0000-0000-0000BE170000}"/>
    <cellStyle name="Normal 15 7 2 5" xfId="6088" xr:uid="{00000000-0005-0000-0000-0000BF170000}"/>
    <cellStyle name="Normal 15 7 2 5 2" xfId="6089" xr:uid="{00000000-0005-0000-0000-0000C0170000}"/>
    <cellStyle name="Normal 15 7 2 5 3" xfId="6090" xr:uid="{00000000-0005-0000-0000-0000C1170000}"/>
    <cellStyle name="Normal 15 7 2 6" xfId="6091" xr:uid="{00000000-0005-0000-0000-0000C2170000}"/>
    <cellStyle name="Normal 15 7 2 7" xfId="6092" xr:uid="{00000000-0005-0000-0000-0000C3170000}"/>
    <cellStyle name="Normal 15 7 3" xfId="6093" xr:uid="{00000000-0005-0000-0000-0000C4170000}"/>
    <cellStyle name="Normal 15 7 3 2" xfId="6094" xr:uid="{00000000-0005-0000-0000-0000C5170000}"/>
    <cellStyle name="Normal 15 7 3 2 2" xfId="6095" xr:uid="{00000000-0005-0000-0000-0000C6170000}"/>
    <cellStyle name="Normal 15 7 3 2 3" xfId="6096" xr:uid="{00000000-0005-0000-0000-0000C7170000}"/>
    <cellStyle name="Normal 15 7 3 3" xfId="6097" xr:uid="{00000000-0005-0000-0000-0000C8170000}"/>
    <cellStyle name="Normal 15 7 3 3 2" xfId="6098" xr:uid="{00000000-0005-0000-0000-0000C9170000}"/>
    <cellStyle name="Normal 15 7 3 3 3" xfId="6099" xr:uid="{00000000-0005-0000-0000-0000CA170000}"/>
    <cellStyle name="Normal 15 7 3 4" xfId="6100" xr:uid="{00000000-0005-0000-0000-0000CB170000}"/>
    <cellStyle name="Normal 15 7 3 5" xfId="6101" xr:uid="{00000000-0005-0000-0000-0000CC170000}"/>
    <cellStyle name="Normal 15 7 4" xfId="6102" xr:uid="{00000000-0005-0000-0000-0000CD170000}"/>
    <cellStyle name="Normal 15 7 4 2" xfId="6103" xr:uid="{00000000-0005-0000-0000-0000CE170000}"/>
    <cellStyle name="Normal 15 7 4 2 2" xfId="6104" xr:uid="{00000000-0005-0000-0000-0000CF170000}"/>
    <cellStyle name="Normal 15 7 4 2 3" xfId="6105" xr:uid="{00000000-0005-0000-0000-0000D0170000}"/>
    <cellStyle name="Normal 15 7 4 3" xfId="6106" xr:uid="{00000000-0005-0000-0000-0000D1170000}"/>
    <cellStyle name="Normal 15 7 4 3 2" xfId="6107" xr:uid="{00000000-0005-0000-0000-0000D2170000}"/>
    <cellStyle name="Normal 15 7 4 3 3" xfId="6108" xr:uid="{00000000-0005-0000-0000-0000D3170000}"/>
    <cellStyle name="Normal 15 7 4 4" xfId="6109" xr:uid="{00000000-0005-0000-0000-0000D4170000}"/>
    <cellStyle name="Normal 15 7 4 5" xfId="6110" xr:uid="{00000000-0005-0000-0000-0000D5170000}"/>
    <cellStyle name="Normal 15 7 5" xfId="6111" xr:uid="{00000000-0005-0000-0000-0000D6170000}"/>
    <cellStyle name="Normal 15 7 5 2" xfId="6112" xr:uid="{00000000-0005-0000-0000-0000D7170000}"/>
    <cellStyle name="Normal 15 7 5 3" xfId="6113" xr:uid="{00000000-0005-0000-0000-0000D8170000}"/>
    <cellStyle name="Normal 15 7 6" xfId="6114" xr:uid="{00000000-0005-0000-0000-0000D9170000}"/>
    <cellStyle name="Normal 15 7 6 2" xfId="6115" xr:uid="{00000000-0005-0000-0000-0000DA170000}"/>
    <cellStyle name="Normal 15 7 6 3" xfId="6116" xr:uid="{00000000-0005-0000-0000-0000DB170000}"/>
    <cellStyle name="Normal 15 7 7" xfId="6117" xr:uid="{00000000-0005-0000-0000-0000DC170000}"/>
    <cellStyle name="Normal 15 7 7 2" xfId="6118" xr:uid="{00000000-0005-0000-0000-0000DD170000}"/>
    <cellStyle name="Normal 15 7 7 3" xfId="6119" xr:uid="{00000000-0005-0000-0000-0000DE170000}"/>
    <cellStyle name="Normal 15 7 8" xfId="6120" xr:uid="{00000000-0005-0000-0000-0000DF170000}"/>
    <cellStyle name="Normal 15 7 9" xfId="6121" xr:uid="{00000000-0005-0000-0000-0000E0170000}"/>
    <cellStyle name="Normal 15 8" xfId="6122" xr:uid="{00000000-0005-0000-0000-0000E1170000}"/>
    <cellStyle name="Normal 15 8 2" xfId="6123" xr:uid="{00000000-0005-0000-0000-0000E2170000}"/>
    <cellStyle name="Normal 15 8 2 2" xfId="6124" xr:uid="{00000000-0005-0000-0000-0000E3170000}"/>
    <cellStyle name="Normal 15 8 2 2 2" xfId="6125" xr:uid="{00000000-0005-0000-0000-0000E4170000}"/>
    <cellStyle name="Normal 15 8 2 2 3" xfId="6126" xr:uid="{00000000-0005-0000-0000-0000E5170000}"/>
    <cellStyle name="Normal 15 8 2 3" xfId="6127" xr:uid="{00000000-0005-0000-0000-0000E6170000}"/>
    <cellStyle name="Normal 15 8 2 3 2" xfId="6128" xr:uid="{00000000-0005-0000-0000-0000E7170000}"/>
    <cellStyle name="Normal 15 8 2 3 3" xfId="6129" xr:uid="{00000000-0005-0000-0000-0000E8170000}"/>
    <cellStyle name="Normal 15 8 2 4" xfId="6130" xr:uid="{00000000-0005-0000-0000-0000E9170000}"/>
    <cellStyle name="Normal 15 8 2 5" xfId="6131" xr:uid="{00000000-0005-0000-0000-0000EA170000}"/>
    <cellStyle name="Normal 15 8 3" xfId="6132" xr:uid="{00000000-0005-0000-0000-0000EB170000}"/>
    <cellStyle name="Normal 15 8 3 2" xfId="6133" xr:uid="{00000000-0005-0000-0000-0000EC170000}"/>
    <cellStyle name="Normal 15 8 3 2 2" xfId="6134" xr:uid="{00000000-0005-0000-0000-0000ED170000}"/>
    <cellStyle name="Normal 15 8 3 2 3" xfId="6135" xr:uid="{00000000-0005-0000-0000-0000EE170000}"/>
    <cellStyle name="Normal 15 8 3 3" xfId="6136" xr:uid="{00000000-0005-0000-0000-0000EF170000}"/>
    <cellStyle name="Normal 15 8 3 3 2" xfId="6137" xr:uid="{00000000-0005-0000-0000-0000F0170000}"/>
    <cellStyle name="Normal 15 8 3 3 3" xfId="6138" xr:uid="{00000000-0005-0000-0000-0000F1170000}"/>
    <cellStyle name="Normal 15 8 3 4" xfId="6139" xr:uid="{00000000-0005-0000-0000-0000F2170000}"/>
    <cellStyle name="Normal 15 8 3 5" xfId="6140" xr:uid="{00000000-0005-0000-0000-0000F3170000}"/>
    <cellStyle name="Normal 15 8 4" xfId="6141" xr:uid="{00000000-0005-0000-0000-0000F4170000}"/>
    <cellStyle name="Normal 15 8 4 2" xfId="6142" xr:uid="{00000000-0005-0000-0000-0000F5170000}"/>
    <cellStyle name="Normal 15 8 4 3" xfId="6143" xr:uid="{00000000-0005-0000-0000-0000F6170000}"/>
    <cellStyle name="Normal 15 8 5" xfId="6144" xr:uid="{00000000-0005-0000-0000-0000F7170000}"/>
    <cellStyle name="Normal 15 8 5 2" xfId="6145" xr:uid="{00000000-0005-0000-0000-0000F8170000}"/>
    <cellStyle name="Normal 15 8 5 3" xfId="6146" xr:uid="{00000000-0005-0000-0000-0000F9170000}"/>
    <cellStyle name="Normal 15 8 6" xfId="6147" xr:uid="{00000000-0005-0000-0000-0000FA170000}"/>
    <cellStyle name="Normal 15 8 7" xfId="6148" xr:uid="{00000000-0005-0000-0000-0000FB170000}"/>
    <cellStyle name="Normal 15 9" xfId="6149" xr:uid="{00000000-0005-0000-0000-0000FC170000}"/>
    <cellStyle name="Normal 15 9 2" xfId="6150" xr:uid="{00000000-0005-0000-0000-0000FD170000}"/>
    <cellStyle name="Normal 15 9 2 2" xfId="6151" xr:uid="{00000000-0005-0000-0000-0000FE170000}"/>
    <cellStyle name="Normal 15 9 2 2 2" xfId="6152" xr:uid="{00000000-0005-0000-0000-0000FF170000}"/>
    <cellStyle name="Normal 15 9 2 2 3" xfId="6153" xr:uid="{00000000-0005-0000-0000-000000180000}"/>
    <cellStyle name="Normal 15 9 2 3" xfId="6154" xr:uid="{00000000-0005-0000-0000-000001180000}"/>
    <cellStyle name="Normal 15 9 2 3 2" xfId="6155" xr:uid="{00000000-0005-0000-0000-000002180000}"/>
    <cellStyle name="Normal 15 9 2 3 3" xfId="6156" xr:uid="{00000000-0005-0000-0000-000003180000}"/>
    <cellStyle name="Normal 15 9 2 4" xfId="6157" xr:uid="{00000000-0005-0000-0000-000004180000}"/>
    <cellStyle name="Normal 15 9 2 5" xfId="6158" xr:uid="{00000000-0005-0000-0000-000005180000}"/>
    <cellStyle name="Normal 15 9 3" xfId="6159" xr:uid="{00000000-0005-0000-0000-000006180000}"/>
    <cellStyle name="Normal 15 9 3 2" xfId="6160" xr:uid="{00000000-0005-0000-0000-000007180000}"/>
    <cellStyle name="Normal 15 9 3 2 2" xfId="6161" xr:uid="{00000000-0005-0000-0000-000008180000}"/>
    <cellStyle name="Normal 15 9 3 2 3" xfId="6162" xr:uid="{00000000-0005-0000-0000-000009180000}"/>
    <cellStyle name="Normal 15 9 3 3" xfId="6163" xr:uid="{00000000-0005-0000-0000-00000A180000}"/>
    <cellStyle name="Normal 15 9 3 4" xfId="6164" xr:uid="{00000000-0005-0000-0000-00000B180000}"/>
    <cellStyle name="Normal 15 9 4" xfId="6165" xr:uid="{00000000-0005-0000-0000-00000C180000}"/>
    <cellStyle name="Normal 15 9 4 2" xfId="6166" xr:uid="{00000000-0005-0000-0000-00000D180000}"/>
    <cellStyle name="Normal 15 9 4 3" xfId="6167" xr:uid="{00000000-0005-0000-0000-00000E180000}"/>
    <cellStyle name="Normal 15 9 5" xfId="6168" xr:uid="{00000000-0005-0000-0000-00000F180000}"/>
    <cellStyle name="Normal 15 9 5 2" xfId="6169" xr:uid="{00000000-0005-0000-0000-000010180000}"/>
    <cellStyle name="Normal 15 9 5 3" xfId="6170" xr:uid="{00000000-0005-0000-0000-000011180000}"/>
    <cellStyle name="Normal 15 9 6" xfId="6171" xr:uid="{00000000-0005-0000-0000-000012180000}"/>
    <cellStyle name="Normal 15 9 7" xfId="6172" xr:uid="{00000000-0005-0000-0000-000013180000}"/>
    <cellStyle name="Normal 16" xfId="6173" xr:uid="{00000000-0005-0000-0000-000014180000}"/>
    <cellStyle name="Normal 16 2" xfId="7" xr:uid="{00000000-0005-0000-0000-000015180000}"/>
    <cellStyle name="Normal 16 2 2" xfId="6175" xr:uid="{00000000-0005-0000-0000-000016180000}"/>
    <cellStyle name="Normal 16 2 2 2" xfId="6176" xr:uid="{00000000-0005-0000-0000-000017180000}"/>
    <cellStyle name="Normal 16 2 3" xfId="6177" xr:uid="{00000000-0005-0000-0000-000018180000}"/>
    <cellStyle name="Normal 16 2 3 2" xfId="6178" xr:uid="{00000000-0005-0000-0000-000019180000}"/>
    <cellStyle name="Normal 16 2 4" xfId="6179" xr:uid="{00000000-0005-0000-0000-00001A180000}"/>
    <cellStyle name="Normal 16 2 5" xfId="6174" xr:uid="{00000000-0005-0000-0000-00001B180000}"/>
    <cellStyle name="Normal 16 3" xfId="6180" xr:uid="{00000000-0005-0000-0000-00001C180000}"/>
    <cellStyle name="Normal 16 3 2" xfId="6181" xr:uid="{00000000-0005-0000-0000-00001D180000}"/>
    <cellStyle name="Normal 16 4" xfId="6182" xr:uid="{00000000-0005-0000-0000-00001E180000}"/>
    <cellStyle name="Normal 16 4 2" xfId="6183" xr:uid="{00000000-0005-0000-0000-00001F180000}"/>
    <cellStyle name="Normal 16 5" xfId="6184" xr:uid="{00000000-0005-0000-0000-000020180000}"/>
    <cellStyle name="Normal 17" xfId="6185" xr:uid="{00000000-0005-0000-0000-000021180000}"/>
    <cellStyle name="Normal 17 2" xfId="6186" xr:uid="{00000000-0005-0000-0000-000022180000}"/>
    <cellStyle name="Normal 17 2 2" xfId="6187" xr:uid="{00000000-0005-0000-0000-000023180000}"/>
    <cellStyle name="Normal 17 2 2 2" xfId="6188" xr:uid="{00000000-0005-0000-0000-000024180000}"/>
    <cellStyle name="Normal 17 2 3" xfId="6189" xr:uid="{00000000-0005-0000-0000-000025180000}"/>
    <cellStyle name="Normal 17 2 3 2" xfId="6190" xr:uid="{00000000-0005-0000-0000-000026180000}"/>
    <cellStyle name="Normal 17 2 4" xfId="6191" xr:uid="{00000000-0005-0000-0000-000027180000}"/>
    <cellStyle name="Normal 17 3" xfId="6192" xr:uid="{00000000-0005-0000-0000-000028180000}"/>
    <cellStyle name="Normal 17 3 2" xfId="6193" xr:uid="{00000000-0005-0000-0000-000029180000}"/>
    <cellStyle name="Normal 17 4" xfId="6194" xr:uid="{00000000-0005-0000-0000-00002A180000}"/>
    <cellStyle name="Normal 17 4 2" xfId="6195" xr:uid="{00000000-0005-0000-0000-00002B180000}"/>
    <cellStyle name="Normal 17 5" xfId="6196" xr:uid="{00000000-0005-0000-0000-00002C180000}"/>
    <cellStyle name="Normal 18" xfId="6197" xr:uid="{00000000-0005-0000-0000-00002D180000}"/>
    <cellStyle name="Normal 18 10" xfId="6198" xr:uid="{00000000-0005-0000-0000-00002E180000}"/>
    <cellStyle name="Normal 18 10 2" xfId="6199" xr:uid="{00000000-0005-0000-0000-00002F180000}"/>
    <cellStyle name="Normal 18 10 3" xfId="6200" xr:uid="{00000000-0005-0000-0000-000030180000}"/>
    <cellStyle name="Normal 18 11" xfId="6201" xr:uid="{00000000-0005-0000-0000-000031180000}"/>
    <cellStyle name="Normal 18 11 2" xfId="6202" xr:uid="{00000000-0005-0000-0000-000032180000}"/>
    <cellStyle name="Normal 18 11 3" xfId="6203" xr:uid="{00000000-0005-0000-0000-000033180000}"/>
    <cellStyle name="Normal 18 12" xfId="6204" xr:uid="{00000000-0005-0000-0000-000034180000}"/>
    <cellStyle name="Normal 18 12 2" xfId="6205" xr:uid="{00000000-0005-0000-0000-000035180000}"/>
    <cellStyle name="Normal 18 12 3" xfId="6206" xr:uid="{00000000-0005-0000-0000-000036180000}"/>
    <cellStyle name="Normal 18 13" xfId="6207" xr:uid="{00000000-0005-0000-0000-000037180000}"/>
    <cellStyle name="Normal 18 14" xfId="6208" xr:uid="{00000000-0005-0000-0000-000038180000}"/>
    <cellStyle name="Normal 18 2" xfId="6209" xr:uid="{00000000-0005-0000-0000-000039180000}"/>
    <cellStyle name="Normal 18 2 10" xfId="6210" xr:uid="{00000000-0005-0000-0000-00003A180000}"/>
    <cellStyle name="Normal 18 2 10 2" xfId="6211" xr:uid="{00000000-0005-0000-0000-00003B180000}"/>
    <cellStyle name="Normal 18 2 10 3" xfId="6212" xr:uid="{00000000-0005-0000-0000-00003C180000}"/>
    <cellStyle name="Normal 18 2 11" xfId="6213" xr:uid="{00000000-0005-0000-0000-00003D180000}"/>
    <cellStyle name="Normal 18 2 11 2" xfId="6214" xr:uid="{00000000-0005-0000-0000-00003E180000}"/>
    <cellStyle name="Normal 18 2 11 3" xfId="6215" xr:uid="{00000000-0005-0000-0000-00003F180000}"/>
    <cellStyle name="Normal 18 2 12" xfId="6216" xr:uid="{00000000-0005-0000-0000-000040180000}"/>
    <cellStyle name="Normal 18 2 13" xfId="6217" xr:uid="{00000000-0005-0000-0000-000041180000}"/>
    <cellStyle name="Normal 18 2 2" xfId="6218" xr:uid="{00000000-0005-0000-0000-000042180000}"/>
    <cellStyle name="Normal 18 2 2 2" xfId="6219" xr:uid="{00000000-0005-0000-0000-000043180000}"/>
    <cellStyle name="Normal 18 2 2 2 2" xfId="6220" xr:uid="{00000000-0005-0000-0000-000044180000}"/>
    <cellStyle name="Normal 18 2 2 2 2 2" xfId="6221" xr:uid="{00000000-0005-0000-0000-000045180000}"/>
    <cellStyle name="Normal 18 2 2 2 2 2 2" xfId="6222" xr:uid="{00000000-0005-0000-0000-000046180000}"/>
    <cellStyle name="Normal 18 2 2 2 2 2 3" xfId="6223" xr:uid="{00000000-0005-0000-0000-000047180000}"/>
    <cellStyle name="Normal 18 2 2 2 2 3" xfId="6224" xr:uid="{00000000-0005-0000-0000-000048180000}"/>
    <cellStyle name="Normal 18 2 2 2 2 3 2" xfId="6225" xr:uid="{00000000-0005-0000-0000-000049180000}"/>
    <cellStyle name="Normal 18 2 2 2 2 3 3" xfId="6226" xr:uid="{00000000-0005-0000-0000-00004A180000}"/>
    <cellStyle name="Normal 18 2 2 2 2 4" xfId="6227" xr:uid="{00000000-0005-0000-0000-00004B180000}"/>
    <cellStyle name="Normal 18 2 2 2 2 5" xfId="6228" xr:uid="{00000000-0005-0000-0000-00004C180000}"/>
    <cellStyle name="Normal 18 2 2 2 3" xfId="6229" xr:uid="{00000000-0005-0000-0000-00004D180000}"/>
    <cellStyle name="Normal 18 2 2 2 3 2" xfId="6230" xr:uid="{00000000-0005-0000-0000-00004E180000}"/>
    <cellStyle name="Normal 18 2 2 2 3 2 2" xfId="6231" xr:uid="{00000000-0005-0000-0000-00004F180000}"/>
    <cellStyle name="Normal 18 2 2 2 3 2 3" xfId="6232" xr:uid="{00000000-0005-0000-0000-000050180000}"/>
    <cellStyle name="Normal 18 2 2 2 3 3" xfId="6233" xr:uid="{00000000-0005-0000-0000-000051180000}"/>
    <cellStyle name="Normal 18 2 2 2 3 3 2" xfId="6234" xr:uid="{00000000-0005-0000-0000-000052180000}"/>
    <cellStyle name="Normal 18 2 2 2 3 3 3" xfId="6235" xr:uid="{00000000-0005-0000-0000-000053180000}"/>
    <cellStyle name="Normal 18 2 2 2 3 4" xfId="6236" xr:uid="{00000000-0005-0000-0000-000054180000}"/>
    <cellStyle name="Normal 18 2 2 2 3 5" xfId="6237" xr:uid="{00000000-0005-0000-0000-000055180000}"/>
    <cellStyle name="Normal 18 2 2 2 4" xfId="6238" xr:uid="{00000000-0005-0000-0000-000056180000}"/>
    <cellStyle name="Normal 18 2 2 2 4 2" xfId="6239" xr:uid="{00000000-0005-0000-0000-000057180000}"/>
    <cellStyle name="Normal 18 2 2 2 4 3" xfId="6240" xr:uid="{00000000-0005-0000-0000-000058180000}"/>
    <cellStyle name="Normal 18 2 2 2 5" xfId="6241" xr:uid="{00000000-0005-0000-0000-000059180000}"/>
    <cellStyle name="Normal 18 2 2 2 5 2" xfId="6242" xr:uid="{00000000-0005-0000-0000-00005A180000}"/>
    <cellStyle name="Normal 18 2 2 2 5 3" xfId="6243" xr:uid="{00000000-0005-0000-0000-00005B180000}"/>
    <cellStyle name="Normal 18 2 2 2 6" xfId="6244" xr:uid="{00000000-0005-0000-0000-00005C180000}"/>
    <cellStyle name="Normal 18 2 2 2 7" xfId="6245" xr:uid="{00000000-0005-0000-0000-00005D180000}"/>
    <cellStyle name="Normal 18 2 2 3" xfId="6246" xr:uid="{00000000-0005-0000-0000-00005E180000}"/>
    <cellStyle name="Normal 18 2 2 3 2" xfId="6247" xr:uid="{00000000-0005-0000-0000-00005F180000}"/>
    <cellStyle name="Normal 18 2 2 3 2 2" xfId="6248" xr:uid="{00000000-0005-0000-0000-000060180000}"/>
    <cellStyle name="Normal 18 2 2 3 2 3" xfId="6249" xr:uid="{00000000-0005-0000-0000-000061180000}"/>
    <cellStyle name="Normal 18 2 2 3 3" xfId="6250" xr:uid="{00000000-0005-0000-0000-000062180000}"/>
    <cellStyle name="Normal 18 2 2 3 3 2" xfId="6251" xr:uid="{00000000-0005-0000-0000-000063180000}"/>
    <cellStyle name="Normal 18 2 2 3 3 3" xfId="6252" xr:uid="{00000000-0005-0000-0000-000064180000}"/>
    <cellStyle name="Normal 18 2 2 3 4" xfId="6253" xr:uid="{00000000-0005-0000-0000-000065180000}"/>
    <cellStyle name="Normal 18 2 2 3 5" xfId="6254" xr:uid="{00000000-0005-0000-0000-000066180000}"/>
    <cellStyle name="Normal 18 2 2 4" xfId="6255" xr:uid="{00000000-0005-0000-0000-000067180000}"/>
    <cellStyle name="Normal 18 2 2 4 2" xfId="6256" xr:uid="{00000000-0005-0000-0000-000068180000}"/>
    <cellStyle name="Normal 18 2 2 4 2 2" xfId="6257" xr:uid="{00000000-0005-0000-0000-000069180000}"/>
    <cellStyle name="Normal 18 2 2 4 2 3" xfId="6258" xr:uid="{00000000-0005-0000-0000-00006A180000}"/>
    <cellStyle name="Normal 18 2 2 4 3" xfId="6259" xr:uid="{00000000-0005-0000-0000-00006B180000}"/>
    <cellStyle name="Normal 18 2 2 4 3 2" xfId="6260" xr:uid="{00000000-0005-0000-0000-00006C180000}"/>
    <cellStyle name="Normal 18 2 2 4 3 3" xfId="6261" xr:uid="{00000000-0005-0000-0000-00006D180000}"/>
    <cellStyle name="Normal 18 2 2 4 4" xfId="6262" xr:uid="{00000000-0005-0000-0000-00006E180000}"/>
    <cellStyle name="Normal 18 2 2 4 5" xfId="6263" xr:uid="{00000000-0005-0000-0000-00006F180000}"/>
    <cellStyle name="Normal 18 2 2 5" xfId="6264" xr:uid="{00000000-0005-0000-0000-000070180000}"/>
    <cellStyle name="Normal 18 2 2 5 2" xfId="6265" xr:uid="{00000000-0005-0000-0000-000071180000}"/>
    <cellStyle name="Normal 18 2 2 5 3" xfId="6266" xr:uid="{00000000-0005-0000-0000-000072180000}"/>
    <cellStyle name="Normal 18 2 2 6" xfId="6267" xr:uid="{00000000-0005-0000-0000-000073180000}"/>
    <cellStyle name="Normal 18 2 2 6 2" xfId="6268" xr:uid="{00000000-0005-0000-0000-000074180000}"/>
    <cellStyle name="Normal 18 2 2 6 3" xfId="6269" xr:uid="{00000000-0005-0000-0000-000075180000}"/>
    <cellStyle name="Normal 18 2 2 7" xfId="6270" xr:uid="{00000000-0005-0000-0000-000076180000}"/>
    <cellStyle name="Normal 18 2 2 7 2" xfId="6271" xr:uid="{00000000-0005-0000-0000-000077180000}"/>
    <cellStyle name="Normal 18 2 2 7 3" xfId="6272" xr:uid="{00000000-0005-0000-0000-000078180000}"/>
    <cellStyle name="Normal 18 2 2 8" xfId="6273" xr:uid="{00000000-0005-0000-0000-000079180000}"/>
    <cellStyle name="Normal 18 2 2 9" xfId="6274" xr:uid="{00000000-0005-0000-0000-00007A180000}"/>
    <cellStyle name="Normal 18 2 3" xfId="6275" xr:uid="{00000000-0005-0000-0000-00007B180000}"/>
    <cellStyle name="Normal 18 2 3 2" xfId="6276" xr:uid="{00000000-0005-0000-0000-00007C180000}"/>
    <cellStyle name="Normal 18 2 3 2 2" xfId="6277" xr:uid="{00000000-0005-0000-0000-00007D180000}"/>
    <cellStyle name="Normal 18 2 3 2 2 2" xfId="6278" xr:uid="{00000000-0005-0000-0000-00007E180000}"/>
    <cellStyle name="Normal 18 2 3 2 2 3" xfId="6279" xr:uid="{00000000-0005-0000-0000-00007F180000}"/>
    <cellStyle name="Normal 18 2 3 2 3" xfId="6280" xr:uid="{00000000-0005-0000-0000-000080180000}"/>
    <cellStyle name="Normal 18 2 3 2 3 2" xfId="6281" xr:uid="{00000000-0005-0000-0000-000081180000}"/>
    <cellStyle name="Normal 18 2 3 2 3 3" xfId="6282" xr:uid="{00000000-0005-0000-0000-000082180000}"/>
    <cellStyle name="Normal 18 2 3 2 4" xfId="6283" xr:uid="{00000000-0005-0000-0000-000083180000}"/>
    <cellStyle name="Normal 18 2 3 2 5" xfId="6284" xr:uid="{00000000-0005-0000-0000-000084180000}"/>
    <cellStyle name="Normal 18 2 3 3" xfId="6285" xr:uid="{00000000-0005-0000-0000-000085180000}"/>
    <cellStyle name="Normal 18 2 3 3 2" xfId="6286" xr:uid="{00000000-0005-0000-0000-000086180000}"/>
    <cellStyle name="Normal 18 2 3 3 2 2" xfId="6287" xr:uid="{00000000-0005-0000-0000-000087180000}"/>
    <cellStyle name="Normal 18 2 3 3 2 3" xfId="6288" xr:uid="{00000000-0005-0000-0000-000088180000}"/>
    <cellStyle name="Normal 18 2 3 3 3" xfId="6289" xr:uid="{00000000-0005-0000-0000-000089180000}"/>
    <cellStyle name="Normal 18 2 3 3 3 2" xfId="6290" xr:uid="{00000000-0005-0000-0000-00008A180000}"/>
    <cellStyle name="Normal 18 2 3 3 3 3" xfId="6291" xr:uid="{00000000-0005-0000-0000-00008B180000}"/>
    <cellStyle name="Normal 18 2 3 3 4" xfId="6292" xr:uid="{00000000-0005-0000-0000-00008C180000}"/>
    <cellStyle name="Normal 18 2 3 3 5" xfId="6293" xr:uid="{00000000-0005-0000-0000-00008D180000}"/>
    <cellStyle name="Normal 18 2 3 4" xfId="6294" xr:uid="{00000000-0005-0000-0000-00008E180000}"/>
    <cellStyle name="Normal 18 2 3 4 2" xfId="6295" xr:uid="{00000000-0005-0000-0000-00008F180000}"/>
    <cellStyle name="Normal 18 2 3 4 3" xfId="6296" xr:uid="{00000000-0005-0000-0000-000090180000}"/>
    <cellStyle name="Normal 18 2 3 5" xfId="6297" xr:uid="{00000000-0005-0000-0000-000091180000}"/>
    <cellStyle name="Normal 18 2 3 5 2" xfId="6298" xr:uid="{00000000-0005-0000-0000-000092180000}"/>
    <cellStyle name="Normal 18 2 3 5 3" xfId="6299" xr:uid="{00000000-0005-0000-0000-000093180000}"/>
    <cellStyle name="Normal 18 2 3 6" xfId="6300" xr:uid="{00000000-0005-0000-0000-000094180000}"/>
    <cellStyle name="Normal 18 2 3 7" xfId="6301" xr:uid="{00000000-0005-0000-0000-000095180000}"/>
    <cellStyle name="Normal 18 2 4" xfId="6302" xr:uid="{00000000-0005-0000-0000-000096180000}"/>
    <cellStyle name="Normal 18 2 4 2" xfId="6303" xr:uid="{00000000-0005-0000-0000-000097180000}"/>
    <cellStyle name="Normal 18 2 4 2 2" xfId="6304" xr:uid="{00000000-0005-0000-0000-000098180000}"/>
    <cellStyle name="Normal 18 2 4 2 2 2" xfId="6305" xr:uid="{00000000-0005-0000-0000-000099180000}"/>
    <cellStyle name="Normal 18 2 4 2 2 3" xfId="6306" xr:uid="{00000000-0005-0000-0000-00009A180000}"/>
    <cellStyle name="Normal 18 2 4 2 3" xfId="6307" xr:uid="{00000000-0005-0000-0000-00009B180000}"/>
    <cellStyle name="Normal 18 2 4 2 3 2" xfId="6308" xr:uid="{00000000-0005-0000-0000-00009C180000}"/>
    <cellStyle name="Normal 18 2 4 2 3 3" xfId="6309" xr:uid="{00000000-0005-0000-0000-00009D180000}"/>
    <cellStyle name="Normal 18 2 4 2 4" xfId="6310" xr:uid="{00000000-0005-0000-0000-00009E180000}"/>
    <cellStyle name="Normal 18 2 4 2 5" xfId="6311" xr:uid="{00000000-0005-0000-0000-00009F180000}"/>
    <cellStyle name="Normal 18 2 4 3" xfId="6312" xr:uid="{00000000-0005-0000-0000-0000A0180000}"/>
    <cellStyle name="Normal 18 2 4 3 2" xfId="6313" xr:uid="{00000000-0005-0000-0000-0000A1180000}"/>
    <cellStyle name="Normal 18 2 4 3 2 2" xfId="6314" xr:uid="{00000000-0005-0000-0000-0000A2180000}"/>
    <cellStyle name="Normal 18 2 4 3 2 3" xfId="6315" xr:uid="{00000000-0005-0000-0000-0000A3180000}"/>
    <cellStyle name="Normal 18 2 4 3 3" xfId="6316" xr:uid="{00000000-0005-0000-0000-0000A4180000}"/>
    <cellStyle name="Normal 18 2 4 3 4" xfId="6317" xr:uid="{00000000-0005-0000-0000-0000A5180000}"/>
    <cellStyle name="Normal 18 2 4 4" xfId="6318" xr:uid="{00000000-0005-0000-0000-0000A6180000}"/>
    <cellStyle name="Normal 18 2 4 4 2" xfId="6319" xr:uid="{00000000-0005-0000-0000-0000A7180000}"/>
    <cellStyle name="Normal 18 2 4 4 3" xfId="6320" xr:uid="{00000000-0005-0000-0000-0000A8180000}"/>
    <cellStyle name="Normal 18 2 4 5" xfId="6321" xr:uid="{00000000-0005-0000-0000-0000A9180000}"/>
    <cellStyle name="Normal 18 2 4 5 2" xfId="6322" xr:uid="{00000000-0005-0000-0000-0000AA180000}"/>
    <cellStyle name="Normal 18 2 4 5 3" xfId="6323" xr:uid="{00000000-0005-0000-0000-0000AB180000}"/>
    <cellStyle name="Normal 18 2 4 6" xfId="6324" xr:uid="{00000000-0005-0000-0000-0000AC180000}"/>
    <cellStyle name="Normal 18 2 4 7" xfId="6325" xr:uid="{00000000-0005-0000-0000-0000AD180000}"/>
    <cellStyle name="Normal 18 2 5" xfId="6326" xr:uid="{00000000-0005-0000-0000-0000AE180000}"/>
    <cellStyle name="Normal 18 2 5 2" xfId="6327" xr:uid="{00000000-0005-0000-0000-0000AF180000}"/>
    <cellStyle name="Normal 18 2 5 2 2" xfId="6328" xr:uid="{00000000-0005-0000-0000-0000B0180000}"/>
    <cellStyle name="Normal 18 2 5 2 3" xfId="6329" xr:uid="{00000000-0005-0000-0000-0000B1180000}"/>
    <cellStyle name="Normal 18 2 5 3" xfId="6330" xr:uid="{00000000-0005-0000-0000-0000B2180000}"/>
    <cellStyle name="Normal 18 2 5 3 2" xfId="6331" xr:uid="{00000000-0005-0000-0000-0000B3180000}"/>
    <cellStyle name="Normal 18 2 5 3 3" xfId="6332" xr:uid="{00000000-0005-0000-0000-0000B4180000}"/>
    <cellStyle name="Normal 18 2 5 4" xfId="6333" xr:uid="{00000000-0005-0000-0000-0000B5180000}"/>
    <cellStyle name="Normal 18 2 5 5" xfId="6334" xr:uid="{00000000-0005-0000-0000-0000B6180000}"/>
    <cellStyle name="Normal 18 2 6" xfId="6335" xr:uid="{00000000-0005-0000-0000-0000B7180000}"/>
    <cellStyle name="Normal 18 2 6 2" xfId="6336" xr:uid="{00000000-0005-0000-0000-0000B8180000}"/>
    <cellStyle name="Normal 18 2 6 2 2" xfId="6337" xr:uid="{00000000-0005-0000-0000-0000B9180000}"/>
    <cellStyle name="Normal 18 2 6 2 3" xfId="6338" xr:uid="{00000000-0005-0000-0000-0000BA180000}"/>
    <cellStyle name="Normal 18 2 6 3" xfId="6339" xr:uid="{00000000-0005-0000-0000-0000BB180000}"/>
    <cellStyle name="Normal 18 2 6 3 2" xfId="6340" xr:uid="{00000000-0005-0000-0000-0000BC180000}"/>
    <cellStyle name="Normal 18 2 6 3 3" xfId="6341" xr:uid="{00000000-0005-0000-0000-0000BD180000}"/>
    <cellStyle name="Normal 18 2 6 4" xfId="6342" xr:uid="{00000000-0005-0000-0000-0000BE180000}"/>
    <cellStyle name="Normal 18 2 6 5" xfId="6343" xr:uid="{00000000-0005-0000-0000-0000BF180000}"/>
    <cellStyle name="Normal 18 2 7" xfId="6344" xr:uid="{00000000-0005-0000-0000-0000C0180000}"/>
    <cellStyle name="Normal 18 2 7 2" xfId="6345" xr:uid="{00000000-0005-0000-0000-0000C1180000}"/>
    <cellStyle name="Normal 18 2 7 2 2" xfId="6346" xr:uid="{00000000-0005-0000-0000-0000C2180000}"/>
    <cellStyle name="Normal 18 2 7 2 3" xfId="6347" xr:uid="{00000000-0005-0000-0000-0000C3180000}"/>
    <cellStyle name="Normal 18 2 7 3" xfId="6348" xr:uid="{00000000-0005-0000-0000-0000C4180000}"/>
    <cellStyle name="Normal 18 2 7 4" xfId="6349" xr:uid="{00000000-0005-0000-0000-0000C5180000}"/>
    <cellStyle name="Normal 18 2 8" xfId="6350" xr:uid="{00000000-0005-0000-0000-0000C6180000}"/>
    <cellStyle name="Normal 18 2 8 2" xfId="6351" xr:uid="{00000000-0005-0000-0000-0000C7180000}"/>
    <cellStyle name="Normal 18 2 8 3" xfId="6352" xr:uid="{00000000-0005-0000-0000-0000C8180000}"/>
    <cellStyle name="Normal 18 2 9" xfId="6353" xr:uid="{00000000-0005-0000-0000-0000C9180000}"/>
    <cellStyle name="Normal 18 2 9 2" xfId="6354" xr:uid="{00000000-0005-0000-0000-0000CA180000}"/>
    <cellStyle name="Normal 18 2 9 3" xfId="6355" xr:uid="{00000000-0005-0000-0000-0000CB180000}"/>
    <cellStyle name="Normal 18 3" xfId="6356" xr:uid="{00000000-0005-0000-0000-0000CC180000}"/>
    <cellStyle name="Normal 18 3 2" xfId="6357" xr:uid="{00000000-0005-0000-0000-0000CD180000}"/>
    <cellStyle name="Normal 18 3 2 2" xfId="6358" xr:uid="{00000000-0005-0000-0000-0000CE180000}"/>
    <cellStyle name="Normal 18 3 2 2 2" xfId="6359" xr:uid="{00000000-0005-0000-0000-0000CF180000}"/>
    <cellStyle name="Normal 18 3 2 2 2 2" xfId="6360" xr:uid="{00000000-0005-0000-0000-0000D0180000}"/>
    <cellStyle name="Normal 18 3 2 2 2 3" xfId="6361" xr:uid="{00000000-0005-0000-0000-0000D1180000}"/>
    <cellStyle name="Normal 18 3 2 2 3" xfId="6362" xr:uid="{00000000-0005-0000-0000-0000D2180000}"/>
    <cellStyle name="Normal 18 3 2 2 3 2" xfId="6363" xr:uid="{00000000-0005-0000-0000-0000D3180000}"/>
    <cellStyle name="Normal 18 3 2 2 3 3" xfId="6364" xr:uid="{00000000-0005-0000-0000-0000D4180000}"/>
    <cellStyle name="Normal 18 3 2 2 4" xfId="6365" xr:uid="{00000000-0005-0000-0000-0000D5180000}"/>
    <cellStyle name="Normal 18 3 2 2 5" xfId="6366" xr:uid="{00000000-0005-0000-0000-0000D6180000}"/>
    <cellStyle name="Normal 18 3 2 3" xfId="6367" xr:uid="{00000000-0005-0000-0000-0000D7180000}"/>
    <cellStyle name="Normal 18 3 2 3 2" xfId="6368" xr:uid="{00000000-0005-0000-0000-0000D8180000}"/>
    <cellStyle name="Normal 18 3 2 3 2 2" xfId="6369" xr:uid="{00000000-0005-0000-0000-0000D9180000}"/>
    <cellStyle name="Normal 18 3 2 3 2 3" xfId="6370" xr:uid="{00000000-0005-0000-0000-0000DA180000}"/>
    <cellStyle name="Normal 18 3 2 3 3" xfId="6371" xr:uid="{00000000-0005-0000-0000-0000DB180000}"/>
    <cellStyle name="Normal 18 3 2 3 3 2" xfId="6372" xr:uid="{00000000-0005-0000-0000-0000DC180000}"/>
    <cellStyle name="Normal 18 3 2 3 3 3" xfId="6373" xr:uid="{00000000-0005-0000-0000-0000DD180000}"/>
    <cellStyle name="Normal 18 3 2 3 4" xfId="6374" xr:uid="{00000000-0005-0000-0000-0000DE180000}"/>
    <cellStyle name="Normal 18 3 2 3 5" xfId="6375" xr:uid="{00000000-0005-0000-0000-0000DF180000}"/>
    <cellStyle name="Normal 18 3 2 4" xfId="6376" xr:uid="{00000000-0005-0000-0000-0000E0180000}"/>
    <cellStyle name="Normal 18 3 2 4 2" xfId="6377" xr:uid="{00000000-0005-0000-0000-0000E1180000}"/>
    <cellStyle name="Normal 18 3 2 4 3" xfId="6378" xr:uid="{00000000-0005-0000-0000-0000E2180000}"/>
    <cellStyle name="Normal 18 3 2 5" xfId="6379" xr:uid="{00000000-0005-0000-0000-0000E3180000}"/>
    <cellStyle name="Normal 18 3 2 5 2" xfId="6380" xr:uid="{00000000-0005-0000-0000-0000E4180000}"/>
    <cellStyle name="Normal 18 3 2 5 3" xfId="6381" xr:uid="{00000000-0005-0000-0000-0000E5180000}"/>
    <cellStyle name="Normal 18 3 2 6" xfId="6382" xr:uid="{00000000-0005-0000-0000-0000E6180000}"/>
    <cellStyle name="Normal 18 3 2 7" xfId="6383" xr:uid="{00000000-0005-0000-0000-0000E7180000}"/>
    <cellStyle name="Normal 18 3 3" xfId="6384" xr:uid="{00000000-0005-0000-0000-0000E8180000}"/>
    <cellStyle name="Normal 18 3 3 2" xfId="6385" xr:uid="{00000000-0005-0000-0000-0000E9180000}"/>
    <cellStyle name="Normal 18 3 3 2 2" xfId="6386" xr:uid="{00000000-0005-0000-0000-0000EA180000}"/>
    <cellStyle name="Normal 18 3 3 2 3" xfId="6387" xr:uid="{00000000-0005-0000-0000-0000EB180000}"/>
    <cellStyle name="Normal 18 3 3 3" xfId="6388" xr:uid="{00000000-0005-0000-0000-0000EC180000}"/>
    <cellStyle name="Normal 18 3 3 3 2" xfId="6389" xr:uid="{00000000-0005-0000-0000-0000ED180000}"/>
    <cellStyle name="Normal 18 3 3 3 3" xfId="6390" xr:uid="{00000000-0005-0000-0000-0000EE180000}"/>
    <cellStyle name="Normal 18 3 3 4" xfId="6391" xr:uid="{00000000-0005-0000-0000-0000EF180000}"/>
    <cellStyle name="Normal 18 3 3 5" xfId="6392" xr:uid="{00000000-0005-0000-0000-0000F0180000}"/>
    <cellStyle name="Normal 18 3 4" xfId="6393" xr:uid="{00000000-0005-0000-0000-0000F1180000}"/>
    <cellStyle name="Normal 18 3 4 2" xfId="6394" xr:uid="{00000000-0005-0000-0000-0000F2180000}"/>
    <cellStyle name="Normal 18 3 4 2 2" xfId="6395" xr:uid="{00000000-0005-0000-0000-0000F3180000}"/>
    <cellStyle name="Normal 18 3 4 2 3" xfId="6396" xr:uid="{00000000-0005-0000-0000-0000F4180000}"/>
    <cellStyle name="Normal 18 3 4 3" xfId="6397" xr:uid="{00000000-0005-0000-0000-0000F5180000}"/>
    <cellStyle name="Normal 18 3 4 3 2" xfId="6398" xr:uid="{00000000-0005-0000-0000-0000F6180000}"/>
    <cellStyle name="Normal 18 3 4 3 3" xfId="6399" xr:uid="{00000000-0005-0000-0000-0000F7180000}"/>
    <cellStyle name="Normal 18 3 4 4" xfId="6400" xr:uid="{00000000-0005-0000-0000-0000F8180000}"/>
    <cellStyle name="Normal 18 3 4 5" xfId="6401" xr:uid="{00000000-0005-0000-0000-0000F9180000}"/>
    <cellStyle name="Normal 18 3 5" xfId="6402" xr:uid="{00000000-0005-0000-0000-0000FA180000}"/>
    <cellStyle name="Normal 18 3 5 2" xfId="6403" xr:uid="{00000000-0005-0000-0000-0000FB180000}"/>
    <cellStyle name="Normal 18 3 5 3" xfId="6404" xr:uid="{00000000-0005-0000-0000-0000FC180000}"/>
    <cellStyle name="Normal 18 3 6" xfId="6405" xr:uid="{00000000-0005-0000-0000-0000FD180000}"/>
    <cellStyle name="Normal 18 3 6 2" xfId="6406" xr:uid="{00000000-0005-0000-0000-0000FE180000}"/>
    <cellStyle name="Normal 18 3 6 3" xfId="6407" xr:uid="{00000000-0005-0000-0000-0000FF180000}"/>
    <cellStyle name="Normal 18 3 7" xfId="6408" xr:uid="{00000000-0005-0000-0000-000000190000}"/>
    <cellStyle name="Normal 18 3 7 2" xfId="6409" xr:uid="{00000000-0005-0000-0000-000001190000}"/>
    <cellStyle name="Normal 18 3 7 3" xfId="6410" xr:uid="{00000000-0005-0000-0000-000002190000}"/>
    <cellStyle name="Normal 18 3 8" xfId="6411" xr:uid="{00000000-0005-0000-0000-000003190000}"/>
    <cellStyle name="Normal 18 3 9" xfId="6412" xr:uid="{00000000-0005-0000-0000-000004190000}"/>
    <cellStyle name="Normal 18 4" xfId="6413" xr:uid="{00000000-0005-0000-0000-000005190000}"/>
    <cellStyle name="Normal 18 4 2" xfId="6414" xr:uid="{00000000-0005-0000-0000-000006190000}"/>
    <cellStyle name="Normal 18 4 2 2" xfId="6415" xr:uid="{00000000-0005-0000-0000-000007190000}"/>
    <cellStyle name="Normal 18 4 2 2 2" xfId="6416" xr:uid="{00000000-0005-0000-0000-000008190000}"/>
    <cellStyle name="Normal 18 4 2 2 3" xfId="6417" xr:uid="{00000000-0005-0000-0000-000009190000}"/>
    <cellStyle name="Normal 18 4 2 3" xfId="6418" xr:uid="{00000000-0005-0000-0000-00000A190000}"/>
    <cellStyle name="Normal 18 4 2 3 2" xfId="6419" xr:uid="{00000000-0005-0000-0000-00000B190000}"/>
    <cellStyle name="Normal 18 4 2 3 3" xfId="6420" xr:uid="{00000000-0005-0000-0000-00000C190000}"/>
    <cellStyle name="Normal 18 4 2 4" xfId="6421" xr:uid="{00000000-0005-0000-0000-00000D190000}"/>
    <cellStyle name="Normal 18 4 2 5" xfId="6422" xr:uid="{00000000-0005-0000-0000-00000E190000}"/>
    <cellStyle name="Normal 18 4 3" xfId="6423" xr:uid="{00000000-0005-0000-0000-00000F190000}"/>
    <cellStyle name="Normal 18 4 3 2" xfId="6424" xr:uid="{00000000-0005-0000-0000-000010190000}"/>
    <cellStyle name="Normal 18 4 3 2 2" xfId="6425" xr:uid="{00000000-0005-0000-0000-000011190000}"/>
    <cellStyle name="Normal 18 4 3 2 3" xfId="6426" xr:uid="{00000000-0005-0000-0000-000012190000}"/>
    <cellStyle name="Normal 18 4 3 3" xfId="6427" xr:uid="{00000000-0005-0000-0000-000013190000}"/>
    <cellStyle name="Normal 18 4 3 3 2" xfId="6428" xr:uid="{00000000-0005-0000-0000-000014190000}"/>
    <cellStyle name="Normal 18 4 3 3 3" xfId="6429" xr:uid="{00000000-0005-0000-0000-000015190000}"/>
    <cellStyle name="Normal 18 4 3 4" xfId="6430" xr:uid="{00000000-0005-0000-0000-000016190000}"/>
    <cellStyle name="Normal 18 4 3 5" xfId="6431" xr:uid="{00000000-0005-0000-0000-000017190000}"/>
    <cellStyle name="Normal 18 4 4" xfId="6432" xr:uid="{00000000-0005-0000-0000-000018190000}"/>
    <cellStyle name="Normal 18 4 4 2" xfId="6433" xr:uid="{00000000-0005-0000-0000-000019190000}"/>
    <cellStyle name="Normal 18 4 4 3" xfId="6434" xr:uid="{00000000-0005-0000-0000-00001A190000}"/>
    <cellStyle name="Normal 18 4 5" xfId="6435" xr:uid="{00000000-0005-0000-0000-00001B190000}"/>
    <cellStyle name="Normal 18 4 5 2" xfId="6436" xr:uid="{00000000-0005-0000-0000-00001C190000}"/>
    <cellStyle name="Normal 18 4 5 3" xfId="6437" xr:uid="{00000000-0005-0000-0000-00001D190000}"/>
    <cellStyle name="Normal 18 4 6" xfId="6438" xr:uid="{00000000-0005-0000-0000-00001E190000}"/>
    <cellStyle name="Normal 18 4 7" xfId="6439" xr:uid="{00000000-0005-0000-0000-00001F190000}"/>
    <cellStyle name="Normal 18 5" xfId="6440" xr:uid="{00000000-0005-0000-0000-000020190000}"/>
    <cellStyle name="Normal 18 5 2" xfId="6441" xr:uid="{00000000-0005-0000-0000-000021190000}"/>
    <cellStyle name="Normal 18 5 2 2" xfId="6442" xr:uid="{00000000-0005-0000-0000-000022190000}"/>
    <cellStyle name="Normal 18 5 2 2 2" xfId="6443" xr:uid="{00000000-0005-0000-0000-000023190000}"/>
    <cellStyle name="Normal 18 5 2 2 3" xfId="6444" xr:uid="{00000000-0005-0000-0000-000024190000}"/>
    <cellStyle name="Normal 18 5 2 3" xfId="6445" xr:uid="{00000000-0005-0000-0000-000025190000}"/>
    <cellStyle name="Normal 18 5 2 3 2" xfId="6446" xr:uid="{00000000-0005-0000-0000-000026190000}"/>
    <cellStyle name="Normal 18 5 2 3 3" xfId="6447" xr:uid="{00000000-0005-0000-0000-000027190000}"/>
    <cellStyle name="Normal 18 5 2 4" xfId="6448" xr:uid="{00000000-0005-0000-0000-000028190000}"/>
    <cellStyle name="Normal 18 5 2 5" xfId="6449" xr:uid="{00000000-0005-0000-0000-000029190000}"/>
    <cellStyle name="Normal 18 5 3" xfId="6450" xr:uid="{00000000-0005-0000-0000-00002A190000}"/>
    <cellStyle name="Normal 18 5 3 2" xfId="6451" xr:uid="{00000000-0005-0000-0000-00002B190000}"/>
    <cellStyle name="Normal 18 5 3 2 2" xfId="6452" xr:uid="{00000000-0005-0000-0000-00002C190000}"/>
    <cellStyle name="Normal 18 5 3 2 3" xfId="6453" xr:uid="{00000000-0005-0000-0000-00002D190000}"/>
    <cellStyle name="Normal 18 5 3 3" xfId="6454" xr:uid="{00000000-0005-0000-0000-00002E190000}"/>
    <cellStyle name="Normal 18 5 3 4" xfId="6455" xr:uid="{00000000-0005-0000-0000-00002F190000}"/>
    <cellStyle name="Normal 18 5 4" xfId="6456" xr:uid="{00000000-0005-0000-0000-000030190000}"/>
    <cellStyle name="Normal 18 5 4 2" xfId="6457" xr:uid="{00000000-0005-0000-0000-000031190000}"/>
    <cellStyle name="Normal 18 5 4 3" xfId="6458" xr:uid="{00000000-0005-0000-0000-000032190000}"/>
    <cellStyle name="Normal 18 5 5" xfId="6459" xr:uid="{00000000-0005-0000-0000-000033190000}"/>
    <cellStyle name="Normal 18 5 5 2" xfId="6460" xr:uid="{00000000-0005-0000-0000-000034190000}"/>
    <cellStyle name="Normal 18 5 5 3" xfId="6461" xr:uid="{00000000-0005-0000-0000-000035190000}"/>
    <cellStyle name="Normal 18 5 6" xfId="6462" xr:uid="{00000000-0005-0000-0000-000036190000}"/>
    <cellStyle name="Normal 18 5 7" xfId="6463" xr:uid="{00000000-0005-0000-0000-000037190000}"/>
    <cellStyle name="Normal 18 6" xfId="6464" xr:uid="{00000000-0005-0000-0000-000038190000}"/>
    <cellStyle name="Normal 18 6 2" xfId="6465" xr:uid="{00000000-0005-0000-0000-000039190000}"/>
    <cellStyle name="Normal 18 6 2 2" xfId="6466" xr:uid="{00000000-0005-0000-0000-00003A190000}"/>
    <cellStyle name="Normal 18 6 2 3" xfId="6467" xr:uid="{00000000-0005-0000-0000-00003B190000}"/>
    <cellStyle name="Normal 18 6 3" xfId="6468" xr:uid="{00000000-0005-0000-0000-00003C190000}"/>
    <cellStyle name="Normal 18 6 3 2" xfId="6469" xr:uid="{00000000-0005-0000-0000-00003D190000}"/>
    <cellStyle name="Normal 18 6 3 3" xfId="6470" xr:uid="{00000000-0005-0000-0000-00003E190000}"/>
    <cellStyle name="Normal 18 6 4" xfId="6471" xr:uid="{00000000-0005-0000-0000-00003F190000}"/>
    <cellStyle name="Normal 18 6 5" xfId="6472" xr:uid="{00000000-0005-0000-0000-000040190000}"/>
    <cellStyle name="Normal 18 7" xfId="6473" xr:uid="{00000000-0005-0000-0000-000041190000}"/>
    <cellStyle name="Normal 18 7 2" xfId="6474" xr:uid="{00000000-0005-0000-0000-000042190000}"/>
    <cellStyle name="Normal 18 7 2 2" xfId="6475" xr:uid="{00000000-0005-0000-0000-000043190000}"/>
    <cellStyle name="Normal 18 7 2 3" xfId="6476" xr:uid="{00000000-0005-0000-0000-000044190000}"/>
    <cellStyle name="Normal 18 7 3" xfId="6477" xr:uid="{00000000-0005-0000-0000-000045190000}"/>
    <cellStyle name="Normal 18 7 3 2" xfId="6478" xr:uid="{00000000-0005-0000-0000-000046190000}"/>
    <cellStyle name="Normal 18 7 3 3" xfId="6479" xr:uid="{00000000-0005-0000-0000-000047190000}"/>
    <cellStyle name="Normal 18 7 4" xfId="6480" xr:uid="{00000000-0005-0000-0000-000048190000}"/>
    <cellStyle name="Normal 18 7 5" xfId="6481" xr:uid="{00000000-0005-0000-0000-000049190000}"/>
    <cellStyle name="Normal 18 8" xfId="6482" xr:uid="{00000000-0005-0000-0000-00004A190000}"/>
    <cellStyle name="Normal 18 8 2" xfId="6483" xr:uid="{00000000-0005-0000-0000-00004B190000}"/>
    <cellStyle name="Normal 18 8 2 2" xfId="6484" xr:uid="{00000000-0005-0000-0000-00004C190000}"/>
    <cellStyle name="Normal 18 8 2 3" xfId="6485" xr:uid="{00000000-0005-0000-0000-00004D190000}"/>
    <cellStyle name="Normal 18 8 3" xfId="6486" xr:uid="{00000000-0005-0000-0000-00004E190000}"/>
    <cellStyle name="Normal 18 8 4" xfId="6487" xr:uid="{00000000-0005-0000-0000-00004F190000}"/>
    <cellStyle name="Normal 18 9" xfId="6488" xr:uid="{00000000-0005-0000-0000-000050190000}"/>
    <cellStyle name="Normal 18 9 2" xfId="6489" xr:uid="{00000000-0005-0000-0000-000051190000}"/>
    <cellStyle name="Normal 18 9 3" xfId="6490" xr:uid="{00000000-0005-0000-0000-000052190000}"/>
    <cellStyle name="Normal 19" xfId="6491" xr:uid="{00000000-0005-0000-0000-000053190000}"/>
    <cellStyle name="Normal 19 10" xfId="6492" xr:uid="{00000000-0005-0000-0000-000054190000}"/>
    <cellStyle name="Normal 19 10 2" xfId="6493" xr:uid="{00000000-0005-0000-0000-000055190000}"/>
    <cellStyle name="Normal 19 10 3" xfId="6494" xr:uid="{00000000-0005-0000-0000-000056190000}"/>
    <cellStyle name="Normal 19 11" xfId="6495" xr:uid="{00000000-0005-0000-0000-000057190000}"/>
    <cellStyle name="Normal 19 11 2" xfId="6496" xr:uid="{00000000-0005-0000-0000-000058190000}"/>
    <cellStyle name="Normal 19 11 3" xfId="6497" xr:uid="{00000000-0005-0000-0000-000059190000}"/>
    <cellStyle name="Normal 19 12" xfId="6498" xr:uid="{00000000-0005-0000-0000-00005A190000}"/>
    <cellStyle name="Normal 19 12 2" xfId="6499" xr:uid="{00000000-0005-0000-0000-00005B190000}"/>
    <cellStyle name="Normal 19 12 3" xfId="6500" xr:uid="{00000000-0005-0000-0000-00005C190000}"/>
    <cellStyle name="Normal 19 13" xfId="6501" xr:uid="{00000000-0005-0000-0000-00005D190000}"/>
    <cellStyle name="Normal 19 13 2" xfId="6502" xr:uid="{00000000-0005-0000-0000-00005E190000}"/>
    <cellStyle name="Normal 19 13 3" xfId="6503" xr:uid="{00000000-0005-0000-0000-00005F190000}"/>
    <cellStyle name="Normal 19 14" xfId="6504" xr:uid="{00000000-0005-0000-0000-000060190000}"/>
    <cellStyle name="Normal 19 15" xfId="6505" xr:uid="{00000000-0005-0000-0000-000061190000}"/>
    <cellStyle name="Normal 19 2" xfId="6506" xr:uid="{00000000-0005-0000-0000-000062190000}"/>
    <cellStyle name="Normal 19 2 10" xfId="6507" xr:uid="{00000000-0005-0000-0000-000063190000}"/>
    <cellStyle name="Normal 19 2 10 2" xfId="6508" xr:uid="{00000000-0005-0000-0000-000064190000}"/>
    <cellStyle name="Normal 19 2 10 3" xfId="6509" xr:uid="{00000000-0005-0000-0000-000065190000}"/>
    <cellStyle name="Normal 19 2 11" xfId="6510" xr:uid="{00000000-0005-0000-0000-000066190000}"/>
    <cellStyle name="Normal 19 2 11 2" xfId="6511" xr:uid="{00000000-0005-0000-0000-000067190000}"/>
    <cellStyle name="Normal 19 2 11 3" xfId="6512" xr:uid="{00000000-0005-0000-0000-000068190000}"/>
    <cellStyle name="Normal 19 2 12" xfId="6513" xr:uid="{00000000-0005-0000-0000-000069190000}"/>
    <cellStyle name="Normal 19 2 13" xfId="6514" xr:uid="{00000000-0005-0000-0000-00006A190000}"/>
    <cellStyle name="Normal 19 2 2" xfId="6515" xr:uid="{00000000-0005-0000-0000-00006B190000}"/>
    <cellStyle name="Normal 19 2 2 2" xfId="6516" xr:uid="{00000000-0005-0000-0000-00006C190000}"/>
    <cellStyle name="Normal 19 2 2 2 2" xfId="6517" xr:uid="{00000000-0005-0000-0000-00006D190000}"/>
    <cellStyle name="Normal 19 2 2 2 2 2" xfId="6518" xr:uid="{00000000-0005-0000-0000-00006E190000}"/>
    <cellStyle name="Normal 19 2 2 2 2 2 2" xfId="6519" xr:uid="{00000000-0005-0000-0000-00006F190000}"/>
    <cellStyle name="Normal 19 2 2 2 2 2 3" xfId="6520" xr:uid="{00000000-0005-0000-0000-000070190000}"/>
    <cellStyle name="Normal 19 2 2 2 2 3" xfId="6521" xr:uid="{00000000-0005-0000-0000-000071190000}"/>
    <cellStyle name="Normal 19 2 2 2 2 3 2" xfId="6522" xr:uid="{00000000-0005-0000-0000-000072190000}"/>
    <cellStyle name="Normal 19 2 2 2 2 3 3" xfId="6523" xr:uid="{00000000-0005-0000-0000-000073190000}"/>
    <cellStyle name="Normal 19 2 2 2 2 4" xfId="6524" xr:uid="{00000000-0005-0000-0000-000074190000}"/>
    <cellStyle name="Normal 19 2 2 2 2 5" xfId="6525" xr:uid="{00000000-0005-0000-0000-000075190000}"/>
    <cellStyle name="Normal 19 2 2 2 3" xfId="6526" xr:uid="{00000000-0005-0000-0000-000076190000}"/>
    <cellStyle name="Normal 19 2 2 2 3 2" xfId="6527" xr:uid="{00000000-0005-0000-0000-000077190000}"/>
    <cellStyle name="Normal 19 2 2 2 3 2 2" xfId="6528" xr:uid="{00000000-0005-0000-0000-000078190000}"/>
    <cellStyle name="Normal 19 2 2 2 3 2 3" xfId="6529" xr:uid="{00000000-0005-0000-0000-000079190000}"/>
    <cellStyle name="Normal 19 2 2 2 3 3" xfId="6530" xr:uid="{00000000-0005-0000-0000-00007A190000}"/>
    <cellStyle name="Normal 19 2 2 2 3 3 2" xfId="6531" xr:uid="{00000000-0005-0000-0000-00007B190000}"/>
    <cellStyle name="Normal 19 2 2 2 3 3 3" xfId="6532" xr:uid="{00000000-0005-0000-0000-00007C190000}"/>
    <cellStyle name="Normal 19 2 2 2 3 4" xfId="6533" xr:uid="{00000000-0005-0000-0000-00007D190000}"/>
    <cellStyle name="Normal 19 2 2 2 3 5" xfId="6534" xr:uid="{00000000-0005-0000-0000-00007E190000}"/>
    <cellStyle name="Normal 19 2 2 2 4" xfId="6535" xr:uid="{00000000-0005-0000-0000-00007F190000}"/>
    <cellStyle name="Normal 19 2 2 2 4 2" xfId="6536" xr:uid="{00000000-0005-0000-0000-000080190000}"/>
    <cellStyle name="Normal 19 2 2 2 4 3" xfId="6537" xr:uid="{00000000-0005-0000-0000-000081190000}"/>
    <cellStyle name="Normal 19 2 2 2 5" xfId="6538" xr:uid="{00000000-0005-0000-0000-000082190000}"/>
    <cellStyle name="Normal 19 2 2 2 5 2" xfId="6539" xr:uid="{00000000-0005-0000-0000-000083190000}"/>
    <cellStyle name="Normal 19 2 2 2 5 3" xfId="6540" xr:uid="{00000000-0005-0000-0000-000084190000}"/>
    <cellStyle name="Normal 19 2 2 2 6" xfId="6541" xr:uid="{00000000-0005-0000-0000-000085190000}"/>
    <cellStyle name="Normal 19 2 2 2 7" xfId="6542" xr:uid="{00000000-0005-0000-0000-000086190000}"/>
    <cellStyle name="Normal 19 2 2 3" xfId="6543" xr:uid="{00000000-0005-0000-0000-000087190000}"/>
    <cellStyle name="Normal 19 2 2 3 2" xfId="6544" xr:uid="{00000000-0005-0000-0000-000088190000}"/>
    <cellStyle name="Normal 19 2 2 3 2 2" xfId="6545" xr:uid="{00000000-0005-0000-0000-000089190000}"/>
    <cellStyle name="Normal 19 2 2 3 2 3" xfId="6546" xr:uid="{00000000-0005-0000-0000-00008A190000}"/>
    <cellStyle name="Normal 19 2 2 3 3" xfId="6547" xr:uid="{00000000-0005-0000-0000-00008B190000}"/>
    <cellStyle name="Normal 19 2 2 3 3 2" xfId="6548" xr:uid="{00000000-0005-0000-0000-00008C190000}"/>
    <cellStyle name="Normal 19 2 2 3 3 3" xfId="6549" xr:uid="{00000000-0005-0000-0000-00008D190000}"/>
    <cellStyle name="Normal 19 2 2 3 4" xfId="6550" xr:uid="{00000000-0005-0000-0000-00008E190000}"/>
    <cellStyle name="Normal 19 2 2 3 5" xfId="6551" xr:uid="{00000000-0005-0000-0000-00008F190000}"/>
    <cellStyle name="Normal 19 2 2 4" xfId="6552" xr:uid="{00000000-0005-0000-0000-000090190000}"/>
    <cellStyle name="Normal 19 2 2 4 2" xfId="6553" xr:uid="{00000000-0005-0000-0000-000091190000}"/>
    <cellStyle name="Normal 19 2 2 4 2 2" xfId="6554" xr:uid="{00000000-0005-0000-0000-000092190000}"/>
    <cellStyle name="Normal 19 2 2 4 2 3" xfId="6555" xr:uid="{00000000-0005-0000-0000-000093190000}"/>
    <cellStyle name="Normal 19 2 2 4 3" xfId="6556" xr:uid="{00000000-0005-0000-0000-000094190000}"/>
    <cellStyle name="Normal 19 2 2 4 3 2" xfId="6557" xr:uid="{00000000-0005-0000-0000-000095190000}"/>
    <cellStyle name="Normal 19 2 2 4 3 3" xfId="6558" xr:uid="{00000000-0005-0000-0000-000096190000}"/>
    <cellStyle name="Normal 19 2 2 4 4" xfId="6559" xr:uid="{00000000-0005-0000-0000-000097190000}"/>
    <cellStyle name="Normal 19 2 2 4 5" xfId="6560" xr:uid="{00000000-0005-0000-0000-000098190000}"/>
    <cellStyle name="Normal 19 2 2 5" xfId="6561" xr:uid="{00000000-0005-0000-0000-000099190000}"/>
    <cellStyle name="Normal 19 2 2 5 2" xfId="6562" xr:uid="{00000000-0005-0000-0000-00009A190000}"/>
    <cellStyle name="Normal 19 2 2 5 3" xfId="6563" xr:uid="{00000000-0005-0000-0000-00009B190000}"/>
    <cellStyle name="Normal 19 2 2 6" xfId="6564" xr:uid="{00000000-0005-0000-0000-00009C190000}"/>
    <cellStyle name="Normal 19 2 2 6 2" xfId="6565" xr:uid="{00000000-0005-0000-0000-00009D190000}"/>
    <cellStyle name="Normal 19 2 2 6 3" xfId="6566" xr:uid="{00000000-0005-0000-0000-00009E190000}"/>
    <cellStyle name="Normal 19 2 2 7" xfId="6567" xr:uid="{00000000-0005-0000-0000-00009F190000}"/>
    <cellStyle name="Normal 19 2 2 7 2" xfId="6568" xr:uid="{00000000-0005-0000-0000-0000A0190000}"/>
    <cellStyle name="Normal 19 2 2 7 3" xfId="6569" xr:uid="{00000000-0005-0000-0000-0000A1190000}"/>
    <cellStyle name="Normal 19 2 2 8" xfId="6570" xr:uid="{00000000-0005-0000-0000-0000A2190000}"/>
    <cellStyle name="Normal 19 2 2 9" xfId="6571" xr:uid="{00000000-0005-0000-0000-0000A3190000}"/>
    <cellStyle name="Normal 19 2 3" xfId="6572" xr:uid="{00000000-0005-0000-0000-0000A4190000}"/>
    <cellStyle name="Normal 19 2 3 2" xfId="6573" xr:uid="{00000000-0005-0000-0000-0000A5190000}"/>
    <cellStyle name="Normal 19 2 3 2 2" xfId="6574" xr:uid="{00000000-0005-0000-0000-0000A6190000}"/>
    <cellStyle name="Normal 19 2 3 2 2 2" xfId="6575" xr:uid="{00000000-0005-0000-0000-0000A7190000}"/>
    <cellStyle name="Normal 19 2 3 2 2 3" xfId="6576" xr:uid="{00000000-0005-0000-0000-0000A8190000}"/>
    <cellStyle name="Normal 19 2 3 2 3" xfId="6577" xr:uid="{00000000-0005-0000-0000-0000A9190000}"/>
    <cellStyle name="Normal 19 2 3 2 3 2" xfId="6578" xr:uid="{00000000-0005-0000-0000-0000AA190000}"/>
    <cellStyle name="Normal 19 2 3 2 3 3" xfId="6579" xr:uid="{00000000-0005-0000-0000-0000AB190000}"/>
    <cellStyle name="Normal 19 2 3 2 4" xfId="6580" xr:uid="{00000000-0005-0000-0000-0000AC190000}"/>
    <cellStyle name="Normal 19 2 3 2 5" xfId="6581" xr:uid="{00000000-0005-0000-0000-0000AD190000}"/>
    <cellStyle name="Normal 19 2 3 3" xfId="6582" xr:uid="{00000000-0005-0000-0000-0000AE190000}"/>
    <cellStyle name="Normal 19 2 3 3 2" xfId="6583" xr:uid="{00000000-0005-0000-0000-0000AF190000}"/>
    <cellStyle name="Normal 19 2 3 3 2 2" xfId="6584" xr:uid="{00000000-0005-0000-0000-0000B0190000}"/>
    <cellStyle name="Normal 19 2 3 3 2 3" xfId="6585" xr:uid="{00000000-0005-0000-0000-0000B1190000}"/>
    <cellStyle name="Normal 19 2 3 3 3" xfId="6586" xr:uid="{00000000-0005-0000-0000-0000B2190000}"/>
    <cellStyle name="Normal 19 2 3 3 3 2" xfId="6587" xr:uid="{00000000-0005-0000-0000-0000B3190000}"/>
    <cellStyle name="Normal 19 2 3 3 3 3" xfId="6588" xr:uid="{00000000-0005-0000-0000-0000B4190000}"/>
    <cellStyle name="Normal 19 2 3 3 4" xfId="6589" xr:uid="{00000000-0005-0000-0000-0000B5190000}"/>
    <cellStyle name="Normal 19 2 3 3 5" xfId="6590" xr:uid="{00000000-0005-0000-0000-0000B6190000}"/>
    <cellStyle name="Normal 19 2 3 4" xfId="6591" xr:uid="{00000000-0005-0000-0000-0000B7190000}"/>
    <cellStyle name="Normal 19 2 3 4 2" xfId="6592" xr:uid="{00000000-0005-0000-0000-0000B8190000}"/>
    <cellStyle name="Normal 19 2 3 4 3" xfId="6593" xr:uid="{00000000-0005-0000-0000-0000B9190000}"/>
    <cellStyle name="Normal 19 2 3 5" xfId="6594" xr:uid="{00000000-0005-0000-0000-0000BA190000}"/>
    <cellStyle name="Normal 19 2 3 5 2" xfId="6595" xr:uid="{00000000-0005-0000-0000-0000BB190000}"/>
    <cellStyle name="Normal 19 2 3 5 3" xfId="6596" xr:uid="{00000000-0005-0000-0000-0000BC190000}"/>
    <cellStyle name="Normal 19 2 3 6" xfId="6597" xr:uid="{00000000-0005-0000-0000-0000BD190000}"/>
    <cellStyle name="Normal 19 2 3 7" xfId="6598" xr:uid="{00000000-0005-0000-0000-0000BE190000}"/>
    <cellStyle name="Normal 19 2 4" xfId="6599" xr:uid="{00000000-0005-0000-0000-0000BF190000}"/>
    <cellStyle name="Normal 19 2 4 2" xfId="6600" xr:uid="{00000000-0005-0000-0000-0000C0190000}"/>
    <cellStyle name="Normal 19 2 4 2 2" xfId="6601" xr:uid="{00000000-0005-0000-0000-0000C1190000}"/>
    <cellStyle name="Normal 19 2 4 2 2 2" xfId="6602" xr:uid="{00000000-0005-0000-0000-0000C2190000}"/>
    <cellStyle name="Normal 19 2 4 2 2 3" xfId="6603" xr:uid="{00000000-0005-0000-0000-0000C3190000}"/>
    <cellStyle name="Normal 19 2 4 2 3" xfId="6604" xr:uid="{00000000-0005-0000-0000-0000C4190000}"/>
    <cellStyle name="Normal 19 2 4 2 3 2" xfId="6605" xr:uid="{00000000-0005-0000-0000-0000C5190000}"/>
    <cellStyle name="Normal 19 2 4 2 3 3" xfId="6606" xr:uid="{00000000-0005-0000-0000-0000C6190000}"/>
    <cellStyle name="Normal 19 2 4 2 4" xfId="6607" xr:uid="{00000000-0005-0000-0000-0000C7190000}"/>
    <cellStyle name="Normal 19 2 4 2 5" xfId="6608" xr:uid="{00000000-0005-0000-0000-0000C8190000}"/>
    <cellStyle name="Normal 19 2 4 3" xfId="6609" xr:uid="{00000000-0005-0000-0000-0000C9190000}"/>
    <cellStyle name="Normal 19 2 4 3 2" xfId="6610" xr:uid="{00000000-0005-0000-0000-0000CA190000}"/>
    <cellStyle name="Normal 19 2 4 3 2 2" xfId="6611" xr:uid="{00000000-0005-0000-0000-0000CB190000}"/>
    <cellStyle name="Normal 19 2 4 3 2 3" xfId="6612" xr:uid="{00000000-0005-0000-0000-0000CC190000}"/>
    <cellStyle name="Normal 19 2 4 3 3" xfId="6613" xr:uid="{00000000-0005-0000-0000-0000CD190000}"/>
    <cellStyle name="Normal 19 2 4 3 4" xfId="6614" xr:uid="{00000000-0005-0000-0000-0000CE190000}"/>
    <cellStyle name="Normal 19 2 4 4" xfId="6615" xr:uid="{00000000-0005-0000-0000-0000CF190000}"/>
    <cellStyle name="Normal 19 2 4 4 2" xfId="6616" xr:uid="{00000000-0005-0000-0000-0000D0190000}"/>
    <cellStyle name="Normal 19 2 4 4 3" xfId="6617" xr:uid="{00000000-0005-0000-0000-0000D1190000}"/>
    <cellStyle name="Normal 19 2 4 5" xfId="6618" xr:uid="{00000000-0005-0000-0000-0000D2190000}"/>
    <cellStyle name="Normal 19 2 4 5 2" xfId="6619" xr:uid="{00000000-0005-0000-0000-0000D3190000}"/>
    <cellStyle name="Normal 19 2 4 5 3" xfId="6620" xr:uid="{00000000-0005-0000-0000-0000D4190000}"/>
    <cellStyle name="Normal 19 2 4 6" xfId="6621" xr:uid="{00000000-0005-0000-0000-0000D5190000}"/>
    <cellStyle name="Normal 19 2 4 7" xfId="6622" xr:uid="{00000000-0005-0000-0000-0000D6190000}"/>
    <cellStyle name="Normal 19 2 5" xfId="6623" xr:uid="{00000000-0005-0000-0000-0000D7190000}"/>
    <cellStyle name="Normal 19 2 5 2" xfId="6624" xr:uid="{00000000-0005-0000-0000-0000D8190000}"/>
    <cellStyle name="Normal 19 2 5 2 2" xfId="6625" xr:uid="{00000000-0005-0000-0000-0000D9190000}"/>
    <cellStyle name="Normal 19 2 5 2 3" xfId="6626" xr:uid="{00000000-0005-0000-0000-0000DA190000}"/>
    <cellStyle name="Normal 19 2 5 3" xfId="6627" xr:uid="{00000000-0005-0000-0000-0000DB190000}"/>
    <cellStyle name="Normal 19 2 5 3 2" xfId="6628" xr:uid="{00000000-0005-0000-0000-0000DC190000}"/>
    <cellStyle name="Normal 19 2 5 3 3" xfId="6629" xr:uid="{00000000-0005-0000-0000-0000DD190000}"/>
    <cellStyle name="Normal 19 2 5 4" xfId="6630" xr:uid="{00000000-0005-0000-0000-0000DE190000}"/>
    <cellStyle name="Normal 19 2 5 5" xfId="6631" xr:uid="{00000000-0005-0000-0000-0000DF190000}"/>
    <cellStyle name="Normal 19 2 6" xfId="6632" xr:uid="{00000000-0005-0000-0000-0000E0190000}"/>
    <cellStyle name="Normal 19 2 6 2" xfId="6633" xr:uid="{00000000-0005-0000-0000-0000E1190000}"/>
    <cellStyle name="Normal 19 2 6 2 2" xfId="6634" xr:uid="{00000000-0005-0000-0000-0000E2190000}"/>
    <cellStyle name="Normal 19 2 6 2 3" xfId="6635" xr:uid="{00000000-0005-0000-0000-0000E3190000}"/>
    <cellStyle name="Normal 19 2 6 3" xfId="6636" xr:uid="{00000000-0005-0000-0000-0000E4190000}"/>
    <cellStyle name="Normal 19 2 6 3 2" xfId="6637" xr:uid="{00000000-0005-0000-0000-0000E5190000}"/>
    <cellStyle name="Normal 19 2 6 3 3" xfId="6638" xr:uid="{00000000-0005-0000-0000-0000E6190000}"/>
    <cellStyle name="Normal 19 2 6 4" xfId="6639" xr:uid="{00000000-0005-0000-0000-0000E7190000}"/>
    <cellStyle name="Normal 19 2 6 5" xfId="6640" xr:uid="{00000000-0005-0000-0000-0000E8190000}"/>
    <cellStyle name="Normal 19 2 7" xfId="6641" xr:uid="{00000000-0005-0000-0000-0000E9190000}"/>
    <cellStyle name="Normal 19 2 7 2" xfId="6642" xr:uid="{00000000-0005-0000-0000-0000EA190000}"/>
    <cellStyle name="Normal 19 2 7 2 2" xfId="6643" xr:uid="{00000000-0005-0000-0000-0000EB190000}"/>
    <cellStyle name="Normal 19 2 7 2 3" xfId="6644" xr:uid="{00000000-0005-0000-0000-0000EC190000}"/>
    <cellStyle name="Normal 19 2 7 3" xfId="6645" xr:uid="{00000000-0005-0000-0000-0000ED190000}"/>
    <cellStyle name="Normal 19 2 7 4" xfId="6646" xr:uid="{00000000-0005-0000-0000-0000EE190000}"/>
    <cellStyle name="Normal 19 2 8" xfId="6647" xr:uid="{00000000-0005-0000-0000-0000EF190000}"/>
    <cellStyle name="Normal 19 2 8 2" xfId="6648" xr:uid="{00000000-0005-0000-0000-0000F0190000}"/>
    <cellStyle name="Normal 19 2 8 3" xfId="6649" xr:uid="{00000000-0005-0000-0000-0000F1190000}"/>
    <cellStyle name="Normal 19 2 9" xfId="6650" xr:uid="{00000000-0005-0000-0000-0000F2190000}"/>
    <cellStyle name="Normal 19 2 9 2" xfId="6651" xr:uid="{00000000-0005-0000-0000-0000F3190000}"/>
    <cellStyle name="Normal 19 2 9 3" xfId="6652" xr:uid="{00000000-0005-0000-0000-0000F4190000}"/>
    <cellStyle name="Normal 19 3" xfId="6653" xr:uid="{00000000-0005-0000-0000-0000F5190000}"/>
    <cellStyle name="Normal 19 3 2" xfId="6654" xr:uid="{00000000-0005-0000-0000-0000F6190000}"/>
    <cellStyle name="Normal 19 4" xfId="6655" xr:uid="{00000000-0005-0000-0000-0000F7190000}"/>
    <cellStyle name="Normal 19 4 2" xfId="6656" xr:uid="{00000000-0005-0000-0000-0000F8190000}"/>
    <cellStyle name="Normal 19 4 2 2" xfId="6657" xr:uid="{00000000-0005-0000-0000-0000F9190000}"/>
    <cellStyle name="Normal 19 4 2 2 2" xfId="6658" xr:uid="{00000000-0005-0000-0000-0000FA190000}"/>
    <cellStyle name="Normal 19 4 2 2 2 2" xfId="6659" xr:uid="{00000000-0005-0000-0000-0000FB190000}"/>
    <cellStyle name="Normal 19 4 2 2 2 3" xfId="6660" xr:uid="{00000000-0005-0000-0000-0000FC190000}"/>
    <cellStyle name="Normal 19 4 2 2 3" xfId="6661" xr:uid="{00000000-0005-0000-0000-0000FD190000}"/>
    <cellStyle name="Normal 19 4 2 2 3 2" xfId="6662" xr:uid="{00000000-0005-0000-0000-0000FE190000}"/>
    <cellStyle name="Normal 19 4 2 2 3 3" xfId="6663" xr:uid="{00000000-0005-0000-0000-0000FF190000}"/>
    <cellStyle name="Normal 19 4 2 2 4" xfId="6664" xr:uid="{00000000-0005-0000-0000-0000001A0000}"/>
    <cellStyle name="Normal 19 4 2 2 5" xfId="6665" xr:uid="{00000000-0005-0000-0000-0000011A0000}"/>
    <cellStyle name="Normal 19 4 2 3" xfId="6666" xr:uid="{00000000-0005-0000-0000-0000021A0000}"/>
    <cellStyle name="Normal 19 4 2 3 2" xfId="6667" xr:uid="{00000000-0005-0000-0000-0000031A0000}"/>
    <cellStyle name="Normal 19 4 2 3 2 2" xfId="6668" xr:uid="{00000000-0005-0000-0000-0000041A0000}"/>
    <cellStyle name="Normal 19 4 2 3 2 3" xfId="6669" xr:uid="{00000000-0005-0000-0000-0000051A0000}"/>
    <cellStyle name="Normal 19 4 2 3 3" xfId="6670" xr:uid="{00000000-0005-0000-0000-0000061A0000}"/>
    <cellStyle name="Normal 19 4 2 3 3 2" xfId="6671" xr:uid="{00000000-0005-0000-0000-0000071A0000}"/>
    <cellStyle name="Normal 19 4 2 3 3 3" xfId="6672" xr:uid="{00000000-0005-0000-0000-0000081A0000}"/>
    <cellStyle name="Normal 19 4 2 3 4" xfId="6673" xr:uid="{00000000-0005-0000-0000-0000091A0000}"/>
    <cellStyle name="Normal 19 4 2 3 5" xfId="6674" xr:uid="{00000000-0005-0000-0000-00000A1A0000}"/>
    <cellStyle name="Normal 19 4 2 4" xfId="6675" xr:uid="{00000000-0005-0000-0000-00000B1A0000}"/>
    <cellStyle name="Normal 19 4 2 4 2" xfId="6676" xr:uid="{00000000-0005-0000-0000-00000C1A0000}"/>
    <cellStyle name="Normal 19 4 2 4 3" xfId="6677" xr:uid="{00000000-0005-0000-0000-00000D1A0000}"/>
    <cellStyle name="Normal 19 4 2 5" xfId="6678" xr:uid="{00000000-0005-0000-0000-00000E1A0000}"/>
    <cellStyle name="Normal 19 4 2 5 2" xfId="6679" xr:uid="{00000000-0005-0000-0000-00000F1A0000}"/>
    <cellStyle name="Normal 19 4 2 5 3" xfId="6680" xr:uid="{00000000-0005-0000-0000-0000101A0000}"/>
    <cellStyle name="Normal 19 4 2 6" xfId="6681" xr:uid="{00000000-0005-0000-0000-0000111A0000}"/>
    <cellStyle name="Normal 19 4 2 7" xfId="6682" xr:uid="{00000000-0005-0000-0000-0000121A0000}"/>
    <cellStyle name="Normal 19 4 3" xfId="6683" xr:uid="{00000000-0005-0000-0000-0000131A0000}"/>
    <cellStyle name="Normal 19 4 3 2" xfId="6684" xr:uid="{00000000-0005-0000-0000-0000141A0000}"/>
    <cellStyle name="Normal 19 4 3 2 2" xfId="6685" xr:uid="{00000000-0005-0000-0000-0000151A0000}"/>
    <cellStyle name="Normal 19 4 3 2 3" xfId="6686" xr:uid="{00000000-0005-0000-0000-0000161A0000}"/>
    <cellStyle name="Normal 19 4 3 3" xfId="6687" xr:uid="{00000000-0005-0000-0000-0000171A0000}"/>
    <cellStyle name="Normal 19 4 3 3 2" xfId="6688" xr:uid="{00000000-0005-0000-0000-0000181A0000}"/>
    <cellStyle name="Normal 19 4 3 3 3" xfId="6689" xr:uid="{00000000-0005-0000-0000-0000191A0000}"/>
    <cellStyle name="Normal 19 4 3 4" xfId="6690" xr:uid="{00000000-0005-0000-0000-00001A1A0000}"/>
    <cellStyle name="Normal 19 4 3 5" xfId="6691" xr:uid="{00000000-0005-0000-0000-00001B1A0000}"/>
    <cellStyle name="Normal 19 4 4" xfId="6692" xr:uid="{00000000-0005-0000-0000-00001C1A0000}"/>
    <cellStyle name="Normal 19 4 4 2" xfId="6693" xr:uid="{00000000-0005-0000-0000-00001D1A0000}"/>
    <cellStyle name="Normal 19 4 4 2 2" xfId="6694" xr:uid="{00000000-0005-0000-0000-00001E1A0000}"/>
    <cellStyle name="Normal 19 4 4 2 3" xfId="6695" xr:uid="{00000000-0005-0000-0000-00001F1A0000}"/>
    <cellStyle name="Normal 19 4 4 3" xfId="6696" xr:uid="{00000000-0005-0000-0000-0000201A0000}"/>
    <cellStyle name="Normal 19 4 4 3 2" xfId="6697" xr:uid="{00000000-0005-0000-0000-0000211A0000}"/>
    <cellStyle name="Normal 19 4 4 3 3" xfId="6698" xr:uid="{00000000-0005-0000-0000-0000221A0000}"/>
    <cellStyle name="Normal 19 4 4 4" xfId="6699" xr:uid="{00000000-0005-0000-0000-0000231A0000}"/>
    <cellStyle name="Normal 19 4 4 5" xfId="6700" xr:uid="{00000000-0005-0000-0000-0000241A0000}"/>
    <cellStyle name="Normal 19 4 5" xfId="6701" xr:uid="{00000000-0005-0000-0000-0000251A0000}"/>
    <cellStyle name="Normal 19 4 5 2" xfId="6702" xr:uid="{00000000-0005-0000-0000-0000261A0000}"/>
    <cellStyle name="Normal 19 4 5 3" xfId="6703" xr:uid="{00000000-0005-0000-0000-0000271A0000}"/>
    <cellStyle name="Normal 19 4 6" xfId="6704" xr:uid="{00000000-0005-0000-0000-0000281A0000}"/>
    <cellStyle name="Normal 19 4 6 2" xfId="6705" xr:uid="{00000000-0005-0000-0000-0000291A0000}"/>
    <cellStyle name="Normal 19 4 6 3" xfId="6706" xr:uid="{00000000-0005-0000-0000-00002A1A0000}"/>
    <cellStyle name="Normal 19 4 7" xfId="6707" xr:uid="{00000000-0005-0000-0000-00002B1A0000}"/>
    <cellStyle name="Normal 19 4 7 2" xfId="6708" xr:uid="{00000000-0005-0000-0000-00002C1A0000}"/>
    <cellStyle name="Normal 19 4 7 3" xfId="6709" xr:uid="{00000000-0005-0000-0000-00002D1A0000}"/>
    <cellStyle name="Normal 19 4 8" xfId="6710" xr:uid="{00000000-0005-0000-0000-00002E1A0000}"/>
    <cellStyle name="Normal 19 4 9" xfId="6711" xr:uid="{00000000-0005-0000-0000-00002F1A0000}"/>
    <cellStyle name="Normal 19 5" xfId="6712" xr:uid="{00000000-0005-0000-0000-0000301A0000}"/>
    <cellStyle name="Normal 19 5 2" xfId="6713" xr:uid="{00000000-0005-0000-0000-0000311A0000}"/>
    <cellStyle name="Normal 19 5 2 2" xfId="6714" xr:uid="{00000000-0005-0000-0000-0000321A0000}"/>
    <cellStyle name="Normal 19 5 2 2 2" xfId="6715" xr:uid="{00000000-0005-0000-0000-0000331A0000}"/>
    <cellStyle name="Normal 19 5 2 2 3" xfId="6716" xr:uid="{00000000-0005-0000-0000-0000341A0000}"/>
    <cellStyle name="Normal 19 5 2 3" xfId="6717" xr:uid="{00000000-0005-0000-0000-0000351A0000}"/>
    <cellStyle name="Normal 19 5 2 3 2" xfId="6718" xr:uid="{00000000-0005-0000-0000-0000361A0000}"/>
    <cellStyle name="Normal 19 5 2 3 3" xfId="6719" xr:uid="{00000000-0005-0000-0000-0000371A0000}"/>
    <cellStyle name="Normal 19 5 2 4" xfId="6720" xr:uid="{00000000-0005-0000-0000-0000381A0000}"/>
    <cellStyle name="Normal 19 5 2 5" xfId="6721" xr:uid="{00000000-0005-0000-0000-0000391A0000}"/>
    <cellStyle name="Normal 19 5 3" xfId="6722" xr:uid="{00000000-0005-0000-0000-00003A1A0000}"/>
    <cellStyle name="Normal 19 5 3 2" xfId="6723" xr:uid="{00000000-0005-0000-0000-00003B1A0000}"/>
    <cellStyle name="Normal 19 5 3 2 2" xfId="6724" xr:uid="{00000000-0005-0000-0000-00003C1A0000}"/>
    <cellStyle name="Normal 19 5 3 2 3" xfId="6725" xr:uid="{00000000-0005-0000-0000-00003D1A0000}"/>
    <cellStyle name="Normal 19 5 3 3" xfId="6726" xr:uid="{00000000-0005-0000-0000-00003E1A0000}"/>
    <cellStyle name="Normal 19 5 3 3 2" xfId="6727" xr:uid="{00000000-0005-0000-0000-00003F1A0000}"/>
    <cellStyle name="Normal 19 5 3 3 3" xfId="6728" xr:uid="{00000000-0005-0000-0000-0000401A0000}"/>
    <cellStyle name="Normal 19 5 3 4" xfId="6729" xr:uid="{00000000-0005-0000-0000-0000411A0000}"/>
    <cellStyle name="Normal 19 5 3 5" xfId="6730" xr:uid="{00000000-0005-0000-0000-0000421A0000}"/>
    <cellStyle name="Normal 19 5 4" xfId="6731" xr:uid="{00000000-0005-0000-0000-0000431A0000}"/>
    <cellStyle name="Normal 19 5 4 2" xfId="6732" xr:uid="{00000000-0005-0000-0000-0000441A0000}"/>
    <cellStyle name="Normal 19 5 4 3" xfId="6733" xr:uid="{00000000-0005-0000-0000-0000451A0000}"/>
    <cellStyle name="Normal 19 5 5" xfId="6734" xr:uid="{00000000-0005-0000-0000-0000461A0000}"/>
    <cellStyle name="Normal 19 5 5 2" xfId="6735" xr:uid="{00000000-0005-0000-0000-0000471A0000}"/>
    <cellStyle name="Normal 19 5 5 3" xfId="6736" xr:uid="{00000000-0005-0000-0000-0000481A0000}"/>
    <cellStyle name="Normal 19 5 6" xfId="6737" xr:uid="{00000000-0005-0000-0000-0000491A0000}"/>
    <cellStyle name="Normal 19 5 7" xfId="6738" xr:uid="{00000000-0005-0000-0000-00004A1A0000}"/>
    <cellStyle name="Normal 19 6" xfId="6739" xr:uid="{00000000-0005-0000-0000-00004B1A0000}"/>
    <cellStyle name="Normal 19 6 2" xfId="6740" xr:uid="{00000000-0005-0000-0000-00004C1A0000}"/>
    <cellStyle name="Normal 19 6 2 2" xfId="6741" xr:uid="{00000000-0005-0000-0000-00004D1A0000}"/>
    <cellStyle name="Normal 19 6 2 2 2" xfId="6742" xr:uid="{00000000-0005-0000-0000-00004E1A0000}"/>
    <cellStyle name="Normal 19 6 2 2 3" xfId="6743" xr:uid="{00000000-0005-0000-0000-00004F1A0000}"/>
    <cellStyle name="Normal 19 6 2 3" xfId="6744" xr:uid="{00000000-0005-0000-0000-0000501A0000}"/>
    <cellStyle name="Normal 19 6 2 3 2" xfId="6745" xr:uid="{00000000-0005-0000-0000-0000511A0000}"/>
    <cellStyle name="Normal 19 6 2 3 3" xfId="6746" xr:uid="{00000000-0005-0000-0000-0000521A0000}"/>
    <cellStyle name="Normal 19 6 2 4" xfId="6747" xr:uid="{00000000-0005-0000-0000-0000531A0000}"/>
    <cellStyle name="Normal 19 6 2 5" xfId="6748" xr:uid="{00000000-0005-0000-0000-0000541A0000}"/>
    <cellStyle name="Normal 19 6 3" xfId="6749" xr:uid="{00000000-0005-0000-0000-0000551A0000}"/>
    <cellStyle name="Normal 19 6 3 2" xfId="6750" xr:uid="{00000000-0005-0000-0000-0000561A0000}"/>
    <cellStyle name="Normal 19 6 3 2 2" xfId="6751" xr:uid="{00000000-0005-0000-0000-0000571A0000}"/>
    <cellStyle name="Normal 19 6 3 2 3" xfId="6752" xr:uid="{00000000-0005-0000-0000-0000581A0000}"/>
    <cellStyle name="Normal 19 6 3 3" xfId="6753" xr:uid="{00000000-0005-0000-0000-0000591A0000}"/>
    <cellStyle name="Normal 19 6 3 4" xfId="6754" xr:uid="{00000000-0005-0000-0000-00005A1A0000}"/>
    <cellStyle name="Normal 19 6 4" xfId="6755" xr:uid="{00000000-0005-0000-0000-00005B1A0000}"/>
    <cellStyle name="Normal 19 6 4 2" xfId="6756" xr:uid="{00000000-0005-0000-0000-00005C1A0000}"/>
    <cellStyle name="Normal 19 6 4 3" xfId="6757" xr:uid="{00000000-0005-0000-0000-00005D1A0000}"/>
    <cellStyle name="Normal 19 6 5" xfId="6758" xr:uid="{00000000-0005-0000-0000-00005E1A0000}"/>
    <cellStyle name="Normal 19 6 5 2" xfId="6759" xr:uid="{00000000-0005-0000-0000-00005F1A0000}"/>
    <cellStyle name="Normal 19 6 5 3" xfId="6760" xr:uid="{00000000-0005-0000-0000-0000601A0000}"/>
    <cellStyle name="Normal 19 6 6" xfId="6761" xr:uid="{00000000-0005-0000-0000-0000611A0000}"/>
    <cellStyle name="Normal 19 6 7" xfId="6762" xr:uid="{00000000-0005-0000-0000-0000621A0000}"/>
    <cellStyle name="Normal 19 7" xfId="6763" xr:uid="{00000000-0005-0000-0000-0000631A0000}"/>
    <cellStyle name="Normal 19 7 2" xfId="6764" xr:uid="{00000000-0005-0000-0000-0000641A0000}"/>
    <cellStyle name="Normal 19 7 2 2" xfId="6765" xr:uid="{00000000-0005-0000-0000-0000651A0000}"/>
    <cellStyle name="Normal 19 7 2 3" xfId="6766" xr:uid="{00000000-0005-0000-0000-0000661A0000}"/>
    <cellStyle name="Normal 19 7 3" xfId="6767" xr:uid="{00000000-0005-0000-0000-0000671A0000}"/>
    <cellStyle name="Normal 19 7 3 2" xfId="6768" xr:uid="{00000000-0005-0000-0000-0000681A0000}"/>
    <cellStyle name="Normal 19 7 3 3" xfId="6769" xr:uid="{00000000-0005-0000-0000-0000691A0000}"/>
    <cellStyle name="Normal 19 7 4" xfId="6770" xr:uid="{00000000-0005-0000-0000-00006A1A0000}"/>
    <cellStyle name="Normal 19 7 5" xfId="6771" xr:uid="{00000000-0005-0000-0000-00006B1A0000}"/>
    <cellStyle name="Normal 19 8" xfId="6772" xr:uid="{00000000-0005-0000-0000-00006C1A0000}"/>
    <cellStyle name="Normal 19 8 2" xfId="6773" xr:uid="{00000000-0005-0000-0000-00006D1A0000}"/>
    <cellStyle name="Normal 19 8 2 2" xfId="6774" xr:uid="{00000000-0005-0000-0000-00006E1A0000}"/>
    <cellStyle name="Normal 19 8 2 3" xfId="6775" xr:uid="{00000000-0005-0000-0000-00006F1A0000}"/>
    <cellStyle name="Normal 19 8 3" xfId="6776" xr:uid="{00000000-0005-0000-0000-0000701A0000}"/>
    <cellStyle name="Normal 19 8 3 2" xfId="6777" xr:uid="{00000000-0005-0000-0000-0000711A0000}"/>
    <cellStyle name="Normal 19 8 3 3" xfId="6778" xr:uid="{00000000-0005-0000-0000-0000721A0000}"/>
    <cellStyle name="Normal 19 8 4" xfId="6779" xr:uid="{00000000-0005-0000-0000-0000731A0000}"/>
    <cellStyle name="Normal 19 8 5" xfId="6780" xr:uid="{00000000-0005-0000-0000-0000741A0000}"/>
    <cellStyle name="Normal 19 9" xfId="6781" xr:uid="{00000000-0005-0000-0000-0000751A0000}"/>
    <cellStyle name="Normal 19 9 2" xfId="6782" xr:uid="{00000000-0005-0000-0000-0000761A0000}"/>
    <cellStyle name="Normal 19 9 2 2" xfId="6783" xr:uid="{00000000-0005-0000-0000-0000771A0000}"/>
    <cellStyle name="Normal 19 9 2 3" xfId="6784" xr:uid="{00000000-0005-0000-0000-0000781A0000}"/>
    <cellStyle name="Normal 19 9 3" xfId="6785" xr:uid="{00000000-0005-0000-0000-0000791A0000}"/>
    <cellStyle name="Normal 19 9 4" xfId="6786" xr:uid="{00000000-0005-0000-0000-00007A1A0000}"/>
    <cellStyle name="Normal 2" xfId="10" xr:uid="{00000000-0005-0000-0000-00007B1A0000}"/>
    <cellStyle name="Normal 2 10" xfId="6787" xr:uid="{00000000-0005-0000-0000-00007C1A0000}"/>
    <cellStyle name="Normal 2 10 2" xfId="6788" xr:uid="{00000000-0005-0000-0000-00007D1A0000}"/>
    <cellStyle name="Normal 2 10 2 2" xfId="6789" xr:uid="{00000000-0005-0000-0000-00007E1A0000}"/>
    <cellStyle name="Normal 2 10 3" xfId="6790" xr:uid="{00000000-0005-0000-0000-00007F1A0000}"/>
    <cellStyle name="Normal 2 10 3 2" xfId="6791" xr:uid="{00000000-0005-0000-0000-0000801A0000}"/>
    <cellStyle name="Normal 2 10 4" xfId="6792" xr:uid="{00000000-0005-0000-0000-0000811A0000}"/>
    <cellStyle name="Normal 2 11" xfId="2" xr:uid="{00000000-0005-0000-0000-0000821A0000}"/>
    <cellStyle name="Normal 2 11 2" xfId="18" xr:uid="{00000000-0005-0000-0000-0000831A0000}"/>
    <cellStyle name="Normal 2 11 2 2" xfId="6795" xr:uid="{00000000-0005-0000-0000-0000841A0000}"/>
    <cellStyle name="Normal 2 11 2 3" xfId="6794" xr:uid="{00000000-0005-0000-0000-0000851A0000}"/>
    <cellStyle name="Normal 2 11 3" xfId="6796" xr:uid="{00000000-0005-0000-0000-0000861A0000}"/>
    <cellStyle name="Normal 2 11 3 2" xfId="6797" xr:uid="{00000000-0005-0000-0000-0000871A0000}"/>
    <cellStyle name="Normal 2 11 4" xfId="6798" xr:uid="{00000000-0005-0000-0000-0000881A0000}"/>
    <cellStyle name="Normal 2 11 5" xfId="6793" xr:uid="{00000000-0005-0000-0000-0000891A0000}"/>
    <cellStyle name="Normal 2 12" xfId="6799" xr:uid="{00000000-0005-0000-0000-00008A1A0000}"/>
    <cellStyle name="Normal 2 12 2" xfId="6800" xr:uid="{00000000-0005-0000-0000-00008B1A0000}"/>
    <cellStyle name="Normal 2 12 2 2" xfId="6801" xr:uid="{00000000-0005-0000-0000-00008C1A0000}"/>
    <cellStyle name="Normal 2 12 3" xfId="6802" xr:uid="{00000000-0005-0000-0000-00008D1A0000}"/>
    <cellStyle name="Normal 2 12 3 2" xfId="6803" xr:uid="{00000000-0005-0000-0000-00008E1A0000}"/>
    <cellStyle name="Normal 2 12 4" xfId="6804" xr:uid="{00000000-0005-0000-0000-00008F1A0000}"/>
    <cellStyle name="Normal 2 13" xfId="6805" xr:uid="{00000000-0005-0000-0000-0000901A0000}"/>
    <cellStyle name="Normal 2 13 2" xfId="6806" xr:uid="{00000000-0005-0000-0000-0000911A0000}"/>
    <cellStyle name="Normal 2 13 2 2" xfId="6807" xr:uid="{00000000-0005-0000-0000-0000921A0000}"/>
    <cellStyle name="Normal 2 13 3" xfId="6808" xr:uid="{00000000-0005-0000-0000-0000931A0000}"/>
    <cellStyle name="Normal 2 13 3 2" xfId="6809" xr:uid="{00000000-0005-0000-0000-0000941A0000}"/>
    <cellStyle name="Normal 2 13 4" xfId="6810" xr:uid="{00000000-0005-0000-0000-0000951A0000}"/>
    <cellStyle name="Normal 2 14" xfId="6811" xr:uid="{00000000-0005-0000-0000-0000961A0000}"/>
    <cellStyle name="Normal 2 14 2" xfId="6812" xr:uid="{00000000-0005-0000-0000-0000971A0000}"/>
    <cellStyle name="Normal 2 14 2 2" xfId="6813" xr:uid="{00000000-0005-0000-0000-0000981A0000}"/>
    <cellStyle name="Normal 2 14 2 2 2" xfId="6814" xr:uid="{00000000-0005-0000-0000-0000991A0000}"/>
    <cellStyle name="Normal 2 14 2 2 3" xfId="6815" xr:uid="{00000000-0005-0000-0000-00009A1A0000}"/>
    <cellStyle name="Normal 2 14 2 3" xfId="6816" xr:uid="{00000000-0005-0000-0000-00009B1A0000}"/>
    <cellStyle name="Normal 2 14 2 3 2" xfId="6817" xr:uid="{00000000-0005-0000-0000-00009C1A0000}"/>
    <cellStyle name="Normal 2 14 2 3 3" xfId="6818" xr:uid="{00000000-0005-0000-0000-00009D1A0000}"/>
    <cellStyle name="Normal 2 14 2 4" xfId="6819" xr:uid="{00000000-0005-0000-0000-00009E1A0000}"/>
    <cellStyle name="Normal 2 14 2 5" xfId="6820" xr:uid="{00000000-0005-0000-0000-00009F1A0000}"/>
    <cellStyle name="Normal 2 14 3" xfId="6821" xr:uid="{00000000-0005-0000-0000-0000A01A0000}"/>
    <cellStyle name="Normal 2 14 3 2" xfId="6822" xr:uid="{00000000-0005-0000-0000-0000A11A0000}"/>
    <cellStyle name="Normal 2 14 3 2 2" xfId="6823" xr:uid="{00000000-0005-0000-0000-0000A21A0000}"/>
    <cellStyle name="Normal 2 14 3 2 3" xfId="6824" xr:uid="{00000000-0005-0000-0000-0000A31A0000}"/>
    <cellStyle name="Normal 2 14 3 3" xfId="6825" xr:uid="{00000000-0005-0000-0000-0000A41A0000}"/>
    <cellStyle name="Normal 2 14 3 3 2" xfId="6826" xr:uid="{00000000-0005-0000-0000-0000A51A0000}"/>
    <cellStyle name="Normal 2 14 3 3 3" xfId="6827" xr:uid="{00000000-0005-0000-0000-0000A61A0000}"/>
    <cellStyle name="Normal 2 14 3 4" xfId="6828" xr:uid="{00000000-0005-0000-0000-0000A71A0000}"/>
    <cellStyle name="Normal 2 14 3 5" xfId="6829" xr:uid="{00000000-0005-0000-0000-0000A81A0000}"/>
    <cellStyle name="Normal 2 14 4" xfId="6830" xr:uid="{00000000-0005-0000-0000-0000A91A0000}"/>
    <cellStyle name="Normal 2 14 4 2" xfId="6831" xr:uid="{00000000-0005-0000-0000-0000AA1A0000}"/>
    <cellStyle name="Normal 2 14 4 3" xfId="6832" xr:uid="{00000000-0005-0000-0000-0000AB1A0000}"/>
    <cellStyle name="Normal 2 14 5" xfId="6833" xr:uid="{00000000-0005-0000-0000-0000AC1A0000}"/>
    <cellStyle name="Normal 2 14 5 2" xfId="6834" xr:uid="{00000000-0005-0000-0000-0000AD1A0000}"/>
    <cellStyle name="Normal 2 14 5 3" xfId="6835" xr:uid="{00000000-0005-0000-0000-0000AE1A0000}"/>
    <cellStyle name="Normal 2 14 6" xfId="6836" xr:uid="{00000000-0005-0000-0000-0000AF1A0000}"/>
    <cellStyle name="Normal 2 14 7" xfId="6837" xr:uid="{00000000-0005-0000-0000-0000B01A0000}"/>
    <cellStyle name="Normal 2 15" xfId="6838" xr:uid="{00000000-0005-0000-0000-0000B11A0000}"/>
    <cellStyle name="Normal 2 15 2" xfId="6839" xr:uid="{00000000-0005-0000-0000-0000B21A0000}"/>
    <cellStyle name="Normal 2 16" xfId="6840" xr:uid="{00000000-0005-0000-0000-0000B31A0000}"/>
    <cellStyle name="Normal 2 16 2" xfId="6841" xr:uid="{00000000-0005-0000-0000-0000B41A0000}"/>
    <cellStyle name="Normal 2 17" xfId="6842" xr:uid="{00000000-0005-0000-0000-0000B51A0000}"/>
    <cellStyle name="Normal 2 18" xfId="6843" xr:uid="{00000000-0005-0000-0000-0000B61A0000}"/>
    <cellStyle name="Normal 2 18 2" xfId="6844" xr:uid="{00000000-0005-0000-0000-0000B71A0000}"/>
    <cellStyle name="Normal 2 19" xfId="6845" xr:uid="{00000000-0005-0000-0000-0000B81A0000}"/>
    <cellStyle name="Normal 2 19 2" xfId="6846" xr:uid="{00000000-0005-0000-0000-0000B91A0000}"/>
    <cellStyle name="Normal 2 2" xfId="12" xr:uid="{00000000-0005-0000-0000-0000BA1A0000}"/>
    <cellStyle name="Normal 2 2 2" xfId="6848" xr:uid="{00000000-0005-0000-0000-0000BB1A0000}"/>
    <cellStyle name="Normal 2 2 2 2" xfId="6849" xr:uid="{00000000-0005-0000-0000-0000BC1A0000}"/>
    <cellStyle name="Normal 2 2 3" xfId="6850" xr:uid="{00000000-0005-0000-0000-0000BD1A0000}"/>
    <cellStyle name="Normal 2 2 3 2" xfId="6851" xr:uid="{00000000-0005-0000-0000-0000BE1A0000}"/>
    <cellStyle name="Normal 2 2 4" xfId="6852" xr:uid="{00000000-0005-0000-0000-0000BF1A0000}"/>
    <cellStyle name="Normal 2 2 5" xfId="6847" xr:uid="{00000000-0005-0000-0000-0000C01A0000}"/>
    <cellStyle name="Normal 2 3" xfId="6853" xr:uid="{00000000-0005-0000-0000-0000C11A0000}"/>
    <cellStyle name="Normal 2 3 10" xfId="6854" xr:uid="{00000000-0005-0000-0000-0000C21A0000}"/>
    <cellStyle name="Normal 2 3 2" xfId="6855" xr:uid="{00000000-0005-0000-0000-0000C31A0000}"/>
    <cellStyle name="Normal 2 3 2 2" xfId="6856" xr:uid="{00000000-0005-0000-0000-0000C41A0000}"/>
    <cellStyle name="Normal 2 3 2 2 2" xfId="6857" xr:uid="{00000000-0005-0000-0000-0000C51A0000}"/>
    <cellStyle name="Normal 2 3 2 3" xfId="6858" xr:uid="{00000000-0005-0000-0000-0000C61A0000}"/>
    <cellStyle name="Normal 2 3 2 3 2" xfId="6859" xr:uid="{00000000-0005-0000-0000-0000C71A0000}"/>
    <cellStyle name="Normal 2 3 2 4" xfId="6860" xr:uid="{00000000-0005-0000-0000-0000C81A0000}"/>
    <cellStyle name="Normal 2 3 3" xfId="6861" xr:uid="{00000000-0005-0000-0000-0000C91A0000}"/>
    <cellStyle name="Normal 2 3 3 2" xfId="6862" xr:uid="{00000000-0005-0000-0000-0000CA1A0000}"/>
    <cellStyle name="Normal 2 3 3 2 2" xfId="6863" xr:uid="{00000000-0005-0000-0000-0000CB1A0000}"/>
    <cellStyle name="Normal 2 3 3 3" xfId="6864" xr:uid="{00000000-0005-0000-0000-0000CC1A0000}"/>
    <cellStyle name="Normal 2 3 3 3 2" xfId="6865" xr:uid="{00000000-0005-0000-0000-0000CD1A0000}"/>
    <cellStyle name="Normal 2 3 3 4" xfId="6866" xr:uid="{00000000-0005-0000-0000-0000CE1A0000}"/>
    <cellStyle name="Normal 2 3 4" xfId="6867" xr:uid="{00000000-0005-0000-0000-0000CF1A0000}"/>
    <cellStyle name="Normal 2 3 4 2" xfId="6868" xr:uid="{00000000-0005-0000-0000-0000D01A0000}"/>
    <cellStyle name="Normal 2 3 4 2 2" xfId="6869" xr:uid="{00000000-0005-0000-0000-0000D11A0000}"/>
    <cellStyle name="Normal 2 3 4 3" xfId="6870" xr:uid="{00000000-0005-0000-0000-0000D21A0000}"/>
    <cellStyle name="Normal 2 3 4 3 2" xfId="6871" xr:uid="{00000000-0005-0000-0000-0000D31A0000}"/>
    <cellStyle name="Normal 2 3 4 4" xfId="6872" xr:uid="{00000000-0005-0000-0000-0000D41A0000}"/>
    <cellStyle name="Normal 2 3 5" xfId="6873" xr:uid="{00000000-0005-0000-0000-0000D51A0000}"/>
    <cellStyle name="Normal 2 3 5 2" xfId="6874" xr:uid="{00000000-0005-0000-0000-0000D61A0000}"/>
    <cellStyle name="Normal 2 3 5 2 2" xfId="6875" xr:uid="{00000000-0005-0000-0000-0000D71A0000}"/>
    <cellStyle name="Normal 2 3 5 3" xfId="6876" xr:uid="{00000000-0005-0000-0000-0000D81A0000}"/>
    <cellStyle name="Normal 2 3 5 3 2" xfId="6877" xr:uid="{00000000-0005-0000-0000-0000D91A0000}"/>
    <cellStyle name="Normal 2 3 5 4" xfId="6878" xr:uid="{00000000-0005-0000-0000-0000DA1A0000}"/>
    <cellStyle name="Normal 2 3 6" xfId="6879" xr:uid="{00000000-0005-0000-0000-0000DB1A0000}"/>
    <cellStyle name="Normal 2 3 6 2" xfId="6880" xr:uid="{00000000-0005-0000-0000-0000DC1A0000}"/>
    <cellStyle name="Normal 2 3 6 2 2" xfId="6881" xr:uid="{00000000-0005-0000-0000-0000DD1A0000}"/>
    <cellStyle name="Normal 2 3 6 3" xfId="6882" xr:uid="{00000000-0005-0000-0000-0000DE1A0000}"/>
    <cellStyle name="Normal 2 3 6 3 2" xfId="6883" xr:uid="{00000000-0005-0000-0000-0000DF1A0000}"/>
    <cellStyle name="Normal 2 3 6 4" xfId="6884" xr:uid="{00000000-0005-0000-0000-0000E01A0000}"/>
    <cellStyle name="Normal 2 3 7" xfId="6885" xr:uid="{00000000-0005-0000-0000-0000E11A0000}"/>
    <cellStyle name="Normal 2 3 7 2" xfId="6886" xr:uid="{00000000-0005-0000-0000-0000E21A0000}"/>
    <cellStyle name="Normal 2 3 7 2 2" xfId="6887" xr:uid="{00000000-0005-0000-0000-0000E31A0000}"/>
    <cellStyle name="Normal 2 3 7 3" xfId="6888" xr:uid="{00000000-0005-0000-0000-0000E41A0000}"/>
    <cellStyle name="Normal 2 3 7 3 2" xfId="6889" xr:uid="{00000000-0005-0000-0000-0000E51A0000}"/>
    <cellStyle name="Normal 2 3 7 4" xfId="6890" xr:uid="{00000000-0005-0000-0000-0000E61A0000}"/>
    <cellStyle name="Normal 2 3 8" xfId="6891" xr:uid="{00000000-0005-0000-0000-0000E71A0000}"/>
    <cellStyle name="Normal 2 3 8 2" xfId="6892" xr:uid="{00000000-0005-0000-0000-0000E81A0000}"/>
    <cellStyle name="Normal 2 3 9" xfId="6893" xr:uid="{00000000-0005-0000-0000-0000E91A0000}"/>
    <cellStyle name="Normal 2 3 9 2" xfId="6894" xr:uid="{00000000-0005-0000-0000-0000EA1A0000}"/>
    <cellStyle name="Normal 2 4" xfId="6895" xr:uid="{00000000-0005-0000-0000-0000EB1A0000}"/>
    <cellStyle name="Normal 2 4 2" xfId="6896" xr:uid="{00000000-0005-0000-0000-0000EC1A0000}"/>
    <cellStyle name="Normal 2 4 2 2" xfId="6897" xr:uid="{00000000-0005-0000-0000-0000ED1A0000}"/>
    <cellStyle name="Normal 2 4 3" xfId="6898" xr:uid="{00000000-0005-0000-0000-0000EE1A0000}"/>
    <cellStyle name="Normal 2 5" xfId="6899" xr:uid="{00000000-0005-0000-0000-0000EF1A0000}"/>
    <cellStyle name="Normal 2 5 2" xfId="6900" xr:uid="{00000000-0005-0000-0000-0000F01A0000}"/>
    <cellStyle name="Normal 2 5 2 2" xfId="6901" xr:uid="{00000000-0005-0000-0000-0000F11A0000}"/>
    <cellStyle name="Normal 2 5 2 2 2" xfId="6902" xr:uid="{00000000-0005-0000-0000-0000F21A0000}"/>
    <cellStyle name="Normal 2 5 2 3" xfId="6903" xr:uid="{00000000-0005-0000-0000-0000F31A0000}"/>
    <cellStyle name="Normal 2 5 2 3 2" xfId="6904" xr:uid="{00000000-0005-0000-0000-0000F41A0000}"/>
    <cellStyle name="Normal 2 5 2 4" xfId="6905" xr:uid="{00000000-0005-0000-0000-0000F51A0000}"/>
    <cellStyle name="Normal 2 5 3" xfId="6906" xr:uid="{00000000-0005-0000-0000-0000F61A0000}"/>
    <cellStyle name="Normal 2 5 3 2" xfId="6907" xr:uid="{00000000-0005-0000-0000-0000F71A0000}"/>
    <cellStyle name="Normal 2 5 3 2 2" xfId="6908" xr:uid="{00000000-0005-0000-0000-0000F81A0000}"/>
    <cellStyle name="Normal 2 5 3 3" xfId="6909" xr:uid="{00000000-0005-0000-0000-0000F91A0000}"/>
    <cellStyle name="Normal 2 5 4" xfId="6910" xr:uid="{00000000-0005-0000-0000-0000FA1A0000}"/>
    <cellStyle name="Normal 2 5 4 2" xfId="6911" xr:uid="{00000000-0005-0000-0000-0000FB1A0000}"/>
    <cellStyle name="Normal 2 5 4 2 2" xfId="6912" xr:uid="{00000000-0005-0000-0000-0000FC1A0000}"/>
    <cellStyle name="Normal 2 5 4 2 2 2" xfId="6913" xr:uid="{00000000-0005-0000-0000-0000FD1A0000}"/>
    <cellStyle name="Normal 2 5 4 2 2 3" xfId="6914" xr:uid="{00000000-0005-0000-0000-0000FE1A0000}"/>
    <cellStyle name="Normal 2 5 4 2 3" xfId="6915" xr:uid="{00000000-0005-0000-0000-0000FF1A0000}"/>
    <cellStyle name="Normal 2 5 4 2 3 2" xfId="6916" xr:uid="{00000000-0005-0000-0000-0000001B0000}"/>
    <cellStyle name="Normal 2 5 4 2 3 3" xfId="6917" xr:uid="{00000000-0005-0000-0000-0000011B0000}"/>
    <cellStyle name="Normal 2 5 4 2 4" xfId="6918" xr:uid="{00000000-0005-0000-0000-0000021B0000}"/>
    <cellStyle name="Normal 2 5 4 2 5" xfId="6919" xr:uid="{00000000-0005-0000-0000-0000031B0000}"/>
    <cellStyle name="Normal 2 5 4 3" xfId="6920" xr:uid="{00000000-0005-0000-0000-0000041B0000}"/>
    <cellStyle name="Normal 2 5 4 3 2" xfId="6921" xr:uid="{00000000-0005-0000-0000-0000051B0000}"/>
    <cellStyle name="Normal 2 5 4 3 2 2" xfId="6922" xr:uid="{00000000-0005-0000-0000-0000061B0000}"/>
    <cellStyle name="Normal 2 5 4 3 2 3" xfId="6923" xr:uid="{00000000-0005-0000-0000-0000071B0000}"/>
    <cellStyle name="Normal 2 5 4 3 3" xfId="6924" xr:uid="{00000000-0005-0000-0000-0000081B0000}"/>
    <cellStyle name="Normal 2 5 4 3 3 2" xfId="6925" xr:uid="{00000000-0005-0000-0000-0000091B0000}"/>
    <cellStyle name="Normal 2 5 4 3 3 3" xfId="6926" xr:uid="{00000000-0005-0000-0000-00000A1B0000}"/>
    <cellStyle name="Normal 2 5 4 3 4" xfId="6927" xr:uid="{00000000-0005-0000-0000-00000B1B0000}"/>
    <cellStyle name="Normal 2 5 4 3 5" xfId="6928" xr:uid="{00000000-0005-0000-0000-00000C1B0000}"/>
    <cellStyle name="Normal 2 5 4 4" xfId="6929" xr:uid="{00000000-0005-0000-0000-00000D1B0000}"/>
    <cellStyle name="Normal 2 5 4 4 2" xfId="6930" xr:uid="{00000000-0005-0000-0000-00000E1B0000}"/>
    <cellStyle name="Normal 2 5 4 4 3" xfId="6931" xr:uid="{00000000-0005-0000-0000-00000F1B0000}"/>
    <cellStyle name="Normal 2 5 4 5" xfId="6932" xr:uid="{00000000-0005-0000-0000-0000101B0000}"/>
    <cellStyle name="Normal 2 5 4 5 2" xfId="6933" xr:uid="{00000000-0005-0000-0000-0000111B0000}"/>
    <cellStyle name="Normal 2 5 4 5 3" xfId="6934" xr:uid="{00000000-0005-0000-0000-0000121B0000}"/>
    <cellStyle name="Normal 2 5 4 6" xfId="6935" xr:uid="{00000000-0005-0000-0000-0000131B0000}"/>
    <cellStyle name="Normal 2 5 4 7" xfId="6936" xr:uid="{00000000-0005-0000-0000-0000141B0000}"/>
    <cellStyle name="Normal 2 5 5" xfId="6937" xr:uid="{00000000-0005-0000-0000-0000151B0000}"/>
    <cellStyle name="Normal 2 5 5 2" xfId="6938" xr:uid="{00000000-0005-0000-0000-0000161B0000}"/>
    <cellStyle name="Normal 2 5 5 2 2" xfId="6939" xr:uid="{00000000-0005-0000-0000-0000171B0000}"/>
    <cellStyle name="Normal 2 5 5 2 2 2" xfId="6940" xr:uid="{00000000-0005-0000-0000-0000181B0000}"/>
    <cellStyle name="Normal 2 5 5 2 2 3" xfId="6941" xr:uid="{00000000-0005-0000-0000-0000191B0000}"/>
    <cellStyle name="Normal 2 5 5 2 3" xfId="6942" xr:uid="{00000000-0005-0000-0000-00001A1B0000}"/>
    <cellStyle name="Normal 2 5 5 2 3 2" xfId="6943" xr:uid="{00000000-0005-0000-0000-00001B1B0000}"/>
    <cellStyle name="Normal 2 5 5 2 3 3" xfId="6944" xr:uid="{00000000-0005-0000-0000-00001C1B0000}"/>
    <cellStyle name="Normal 2 5 5 2 4" xfId="6945" xr:uid="{00000000-0005-0000-0000-00001D1B0000}"/>
    <cellStyle name="Normal 2 5 5 2 5" xfId="6946" xr:uid="{00000000-0005-0000-0000-00001E1B0000}"/>
    <cellStyle name="Normal 2 5 5 3" xfId="6947" xr:uid="{00000000-0005-0000-0000-00001F1B0000}"/>
    <cellStyle name="Normal 2 5 5 3 2" xfId="6948" xr:uid="{00000000-0005-0000-0000-0000201B0000}"/>
    <cellStyle name="Normal 2 5 5 3 2 2" xfId="6949" xr:uid="{00000000-0005-0000-0000-0000211B0000}"/>
    <cellStyle name="Normal 2 5 5 3 2 3" xfId="6950" xr:uid="{00000000-0005-0000-0000-0000221B0000}"/>
    <cellStyle name="Normal 2 5 5 3 3" xfId="6951" xr:uid="{00000000-0005-0000-0000-0000231B0000}"/>
    <cellStyle name="Normal 2 5 5 3 3 2" xfId="6952" xr:uid="{00000000-0005-0000-0000-0000241B0000}"/>
    <cellStyle name="Normal 2 5 5 3 3 3" xfId="6953" xr:uid="{00000000-0005-0000-0000-0000251B0000}"/>
    <cellStyle name="Normal 2 5 5 3 4" xfId="6954" xr:uid="{00000000-0005-0000-0000-0000261B0000}"/>
    <cellStyle name="Normal 2 5 5 3 5" xfId="6955" xr:uid="{00000000-0005-0000-0000-0000271B0000}"/>
    <cellStyle name="Normal 2 5 5 4" xfId="6956" xr:uid="{00000000-0005-0000-0000-0000281B0000}"/>
    <cellStyle name="Normal 2 5 5 4 2" xfId="6957" xr:uid="{00000000-0005-0000-0000-0000291B0000}"/>
    <cellStyle name="Normal 2 5 5 4 3" xfId="6958" xr:uid="{00000000-0005-0000-0000-00002A1B0000}"/>
    <cellStyle name="Normal 2 5 5 5" xfId="6959" xr:uid="{00000000-0005-0000-0000-00002B1B0000}"/>
    <cellStyle name="Normal 2 5 5 5 2" xfId="6960" xr:uid="{00000000-0005-0000-0000-00002C1B0000}"/>
    <cellStyle name="Normal 2 5 5 5 3" xfId="6961" xr:uid="{00000000-0005-0000-0000-00002D1B0000}"/>
    <cellStyle name="Normal 2 5 5 6" xfId="6962" xr:uid="{00000000-0005-0000-0000-00002E1B0000}"/>
    <cellStyle name="Normal 2 5 5 7" xfId="6963" xr:uid="{00000000-0005-0000-0000-00002F1B0000}"/>
    <cellStyle name="Normal 2 5 6" xfId="6964" xr:uid="{00000000-0005-0000-0000-0000301B0000}"/>
    <cellStyle name="Normal 2 5 6 2" xfId="6965" xr:uid="{00000000-0005-0000-0000-0000311B0000}"/>
    <cellStyle name="Normal 2 5 7" xfId="6966" xr:uid="{00000000-0005-0000-0000-0000321B0000}"/>
    <cellStyle name="Normal 2 6" xfId="6967" xr:uid="{00000000-0005-0000-0000-0000331B0000}"/>
    <cellStyle name="Normal 2 6 10" xfId="6968" xr:uid="{00000000-0005-0000-0000-0000341B0000}"/>
    <cellStyle name="Normal 2 6 10 2" xfId="6969" xr:uid="{00000000-0005-0000-0000-0000351B0000}"/>
    <cellStyle name="Normal 2 6 10 3" xfId="6970" xr:uid="{00000000-0005-0000-0000-0000361B0000}"/>
    <cellStyle name="Normal 2 6 11" xfId="6971" xr:uid="{00000000-0005-0000-0000-0000371B0000}"/>
    <cellStyle name="Normal 2 6 11 2" xfId="6972" xr:uid="{00000000-0005-0000-0000-0000381B0000}"/>
    <cellStyle name="Normal 2 6 11 3" xfId="6973" xr:uid="{00000000-0005-0000-0000-0000391B0000}"/>
    <cellStyle name="Normal 2 6 12" xfId="6974" xr:uid="{00000000-0005-0000-0000-00003A1B0000}"/>
    <cellStyle name="Normal 2 6 12 2" xfId="6975" xr:uid="{00000000-0005-0000-0000-00003B1B0000}"/>
    <cellStyle name="Normal 2 6 12 3" xfId="6976" xr:uid="{00000000-0005-0000-0000-00003C1B0000}"/>
    <cellStyle name="Normal 2 6 13" xfId="6977" xr:uid="{00000000-0005-0000-0000-00003D1B0000}"/>
    <cellStyle name="Normal 2 6 13 2" xfId="6978" xr:uid="{00000000-0005-0000-0000-00003E1B0000}"/>
    <cellStyle name="Normal 2 6 13 3" xfId="6979" xr:uid="{00000000-0005-0000-0000-00003F1B0000}"/>
    <cellStyle name="Normal 2 6 14" xfId="6980" xr:uid="{00000000-0005-0000-0000-0000401B0000}"/>
    <cellStyle name="Normal 2 6 15" xfId="6981" xr:uid="{00000000-0005-0000-0000-0000411B0000}"/>
    <cellStyle name="Normal 2 6 2" xfId="6982" xr:uid="{00000000-0005-0000-0000-0000421B0000}"/>
    <cellStyle name="Normal 2 6 2 10" xfId="6983" xr:uid="{00000000-0005-0000-0000-0000431B0000}"/>
    <cellStyle name="Normal 2 6 2 10 2" xfId="6984" xr:uid="{00000000-0005-0000-0000-0000441B0000}"/>
    <cellStyle name="Normal 2 6 2 10 3" xfId="6985" xr:uid="{00000000-0005-0000-0000-0000451B0000}"/>
    <cellStyle name="Normal 2 6 2 11" xfId="6986" xr:uid="{00000000-0005-0000-0000-0000461B0000}"/>
    <cellStyle name="Normal 2 6 2 11 2" xfId="6987" xr:uid="{00000000-0005-0000-0000-0000471B0000}"/>
    <cellStyle name="Normal 2 6 2 11 3" xfId="6988" xr:uid="{00000000-0005-0000-0000-0000481B0000}"/>
    <cellStyle name="Normal 2 6 2 12" xfId="6989" xr:uid="{00000000-0005-0000-0000-0000491B0000}"/>
    <cellStyle name="Normal 2 6 2 13" xfId="6990" xr:uid="{00000000-0005-0000-0000-00004A1B0000}"/>
    <cellStyle name="Normal 2 6 2 2" xfId="6991" xr:uid="{00000000-0005-0000-0000-00004B1B0000}"/>
    <cellStyle name="Normal 2 6 2 2 2" xfId="6992" xr:uid="{00000000-0005-0000-0000-00004C1B0000}"/>
    <cellStyle name="Normal 2 6 2 2 2 2" xfId="6993" xr:uid="{00000000-0005-0000-0000-00004D1B0000}"/>
    <cellStyle name="Normal 2 6 2 2 2 2 2" xfId="6994" xr:uid="{00000000-0005-0000-0000-00004E1B0000}"/>
    <cellStyle name="Normal 2 6 2 2 2 2 2 2" xfId="6995" xr:uid="{00000000-0005-0000-0000-00004F1B0000}"/>
    <cellStyle name="Normal 2 6 2 2 2 2 2 3" xfId="6996" xr:uid="{00000000-0005-0000-0000-0000501B0000}"/>
    <cellStyle name="Normal 2 6 2 2 2 2 3" xfId="6997" xr:uid="{00000000-0005-0000-0000-0000511B0000}"/>
    <cellStyle name="Normal 2 6 2 2 2 2 3 2" xfId="6998" xr:uid="{00000000-0005-0000-0000-0000521B0000}"/>
    <cellStyle name="Normal 2 6 2 2 2 2 3 3" xfId="6999" xr:uid="{00000000-0005-0000-0000-0000531B0000}"/>
    <cellStyle name="Normal 2 6 2 2 2 2 4" xfId="7000" xr:uid="{00000000-0005-0000-0000-0000541B0000}"/>
    <cellStyle name="Normal 2 6 2 2 2 2 5" xfId="7001" xr:uid="{00000000-0005-0000-0000-0000551B0000}"/>
    <cellStyle name="Normal 2 6 2 2 2 3" xfId="7002" xr:uid="{00000000-0005-0000-0000-0000561B0000}"/>
    <cellStyle name="Normal 2 6 2 2 2 3 2" xfId="7003" xr:uid="{00000000-0005-0000-0000-0000571B0000}"/>
    <cellStyle name="Normal 2 6 2 2 2 3 2 2" xfId="7004" xr:uid="{00000000-0005-0000-0000-0000581B0000}"/>
    <cellStyle name="Normal 2 6 2 2 2 3 2 3" xfId="7005" xr:uid="{00000000-0005-0000-0000-0000591B0000}"/>
    <cellStyle name="Normal 2 6 2 2 2 3 3" xfId="7006" xr:uid="{00000000-0005-0000-0000-00005A1B0000}"/>
    <cellStyle name="Normal 2 6 2 2 2 3 3 2" xfId="7007" xr:uid="{00000000-0005-0000-0000-00005B1B0000}"/>
    <cellStyle name="Normal 2 6 2 2 2 3 3 3" xfId="7008" xr:uid="{00000000-0005-0000-0000-00005C1B0000}"/>
    <cellStyle name="Normal 2 6 2 2 2 3 4" xfId="7009" xr:uid="{00000000-0005-0000-0000-00005D1B0000}"/>
    <cellStyle name="Normal 2 6 2 2 2 3 5" xfId="7010" xr:uid="{00000000-0005-0000-0000-00005E1B0000}"/>
    <cellStyle name="Normal 2 6 2 2 2 4" xfId="7011" xr:uid="{00000000-0005-0000-0000-00005F1B0000}"/>
    <cellStyle name="Normal 2 6 2 2 2 4 2" xfId="7012" xr:uid="{00000000-0005-0000-0000-0000601B0000}"/>
    <cellStyle name="Normal 2 6 2 2 2 4 3" xfId="7013" xr:uid="{00000000-0005-0000-0000-0000611B0000}"/>
    <cellStyle name="Normal 2 6 2 2 2 5" xfId="7014" xr:uid="{00000000-0005-0000-0000-0000621B0000}"/>
    <cellStyle name="Normal 2 6 2 2 2 5 2" xfId="7015" xr:uid="{00000000-0005-0000-0000-0000631B0000}"/>
    <cellStyle name="Normal 2 6 2 2 2 5 3" xfId="7016" xr:uid="{00000000-0005-0000-0000-0000641B0000}"/>
    <cellStyle name="Normal 2 6 2 2 2 6" xfId="7017" xr:uid="{00000000-0005-0000-0000-0000651B0000}"/>
    <cellStyle name="Normal 2 6 2 2 2 7" xfId="7018" xr:uid="{00000000-0005-0000-0000-0000661B0000}"/>
    <cellStyle name="Normal 2 6 2 2 3" xfId="7019" xr:uid="{00000000-0005-0000-0000-0000671B0000}"/>
    <cellStyle name="Normal 2 6 2 2 3 2" xfId="7020" xr:uid="{00000000-0005-0000-0000-0000681B0000}"/>
    <cellStyle name="Normal 2 6 2 2 3 2 2" xfId="7021" xr:uid="{00000000-0005-0000-0000-0000691B0000}"/>
    <cellStyle name="Normal 2 6 2 2 3 2 3" xfId="7022" xr:uid="{00000000-0005-0000-0000-00006A1B0000}"/>
    <cellStyle name="Normal 2 6 2 2 3 3" xfId="7023" xr:uid="{00000000-0005-0000-0000-00006B1B0000}"/>
    <cellStyle name="Normal 2 6 2 2 3 3 2" xfId="7024" xr:uid="{00000000-0005-0000-0000-00006C1B0000}"/>
    <cellStyle name="Normal 2 6 2 2 3 3 3" xfId="7025" xr:uid="{00000000-0005-0000-0000-00006D1B0000}"/>
    <cellStyle name="Normal 2 6 2 2 3 4" xfId="7026" xr:uid="{00000000-0005-0000-0000-00006E1B0000}"/>
    <cellStyle name="Normal 2 6 2 2 3 5" xfId="7027" xr:uid="{00000000-0005-0000-0000-00006F1B0000}"/>
    <cellStyle name="Normal 2 6 2 2 4" xfId="7028" xr:uid="{00000000-0005-0000-0000-0000701B0000}"/>
    <cellStyle name="Normal 2 6 2 2 4 2" xfId="7029" xr:uid="{00000000-0005-0000-0000-0000711B0000}"/>
    <cellStyle name="Normal 2 6 2 2 4 2 2" xfId="7030" xr:uid="{00000000-0005-0000-0000-0000721B0000}"/>
    <cellStyle name="Normal 2 6 2 2 4 2 3" xfId="7031" xr:uid="{00000000-0005-0000-0000-0000731B0000}"/>
    <cellStyle name="Normal 2 6 2 2 4 3" xfId="7032" xr:uid="{00000000-0005-0000-0000-0000741B0000}"/>
    <cellStyle name="Normal 2 6 2 2 4 3 2" xfId="7033" xr:uid="{00000000-0005-0000-0000-0000751B0000}"/>
    <cellStyle name="Normal 2 6 2 2 4 3 3" xfId="7034" xr:uid="{00000000-0005-0000-0000-0000761B0000}"/>
    <cellStyle name="Normal 2 6 2 2 4 4" xfId="7035" xr:uid="{00000000-0005-0000-0000-0000771B0000}"/>
    <cellStyle name="Normal 2 6 2 2 4 5" xfId="7036" xr:uid="{00000000-0005-0000-0000-0000781B0000}"/>
    <cellStyle name="Normal 2 6 2 2 5" xfId="7037" xr:uid="{00000000-0005-0000-0000-0000791B0000}"/>
    <cellStyle name="Normal 2 6 2 2 5 2" xfId="7038" xr:uid="{00000000-0005-0000-0000-00007A1B0000}"/>
    <cellStyle name="Normal 2 6 2 2 5 3" xfId="7039" xr:uid="{00000000-0005-0000-0000-00007B1B0000}"/>
    <cellStyle name="Normal 2 6 2 2 6" xfId="7040" xr:uid="{00000000-0005-0000-0000-00007C1B0000}"/>
    <cellStyle name="Normal 2 6 2 2 6 2" xfId="7041" xr:uid="{00000000-0005-0000-0000-00007D1B0000}"/>
    <cellStyle name="Normal 2 6 2 2 6 3" xfId="7042" xr:uid="{00000000-0005-0000-0000-00007E1B0000}"/>
    <cellStyle name="Normal 2 6 2 2 7" xfId="7043" xr:uid="{00000000-0005-0000-0000-00007F1B0000}"/>
    <cellStyle name="Normal 2 6 2 2 7 2" xfId="7044" xr:uid="{00000000-0005-0000-0000-0000801B0000}"/>
    <cellStyle name="Normal 2 6 2 2 7 3" xfId="7045" xr:uid="{00000000-0005-0000-0000-0000811B0000}"/>
    <cellStyle name="Normal 2 6 2 2 8" xfId="7046" xr:uid="{00000000-0005-0000-0000-0000821B0000}"/>
    <cellStyle name="Normal 2 6 2 2 9" xfId="7047" xr:uid="{00000000-0005-0000-0000-0000831B0000}"/>
    <cellStyle name="Normal 2 6 2 3" xfId="7048" xr:uid="{00000000-0005-0000-0000-0000841B0000}"/>
    <cellStyle name="Normal 2 6 2 3 2" xfId="7049" xr:uid="{00000000-0005-0000-0000-0000851B0000}"/>
    <cellStyle name="Normal 2 6 2 3 2 2" xfId="7050" xr:uid="{00000000-0005-0000-0000-0000861B0000}"/>
    <cellStyle name="Normal 2 6 2 3 2 2 2" xfId="7051" xr:uid="{00000000-0005-0000-0000-0000871B0000}"/>
    <cellStyle name="Normal 2 6 2 3 2 2 3" xfId="7052" xr:uid="{00000000-0005-0000-0000-0000881B0000}"/>
    <cellStyle name="Normal 2 6 2 3 2 3" xfId="7053" xr:uid="{00000000-0005-0000-0000-0000891B0000}"/>
    <cellStyle name="Normal 2 6 2 3 2 3 2" xfId="7054" xr:uid="{00000000-0005-0000-0000-00008A1B0000}"/>
    <cellStyle name="Normal 2 6 2 3 2 3 3" xfId="7055" xr:uid="{00000000-0005-0000-0000-00008B1B0000}"/>
    <cellStyle name="Normal 2 6 2 3 2 4" xfId="7056" xr:uid="{00000000-0005-0000-0000-00008C1B0000}"/>
    <cellStyle name="Normal 2 6 2 3 2 5" xfId="7057" xr:uid="{00000000-0005-0000-0000-00008D1B0000}"/>
    <cellStyle name="Normal 2 6 2 3 3" xfId="7058" xr:uid="{00000000-0005-0000-0000-00008E1B0000}"/>
    <cellStyle name="Normal 2 6 2 3 3 2" xfId="7059" xr:uid="{00000000-0005-0000-0000-00008F1B0000}"/>
    <cellStyle name="Normal 2 6 2 3 3 2 2" xfId="7060" xr:uid="{00000000-0005-0000-0000-0000901B0000}"/>
    <cellStyle name="Normal 2 6 2 3 3 2 3" xfId="7061" xr:uid="{00000000-0005-0000-0000-0000911B0000}"/>
    <cellStyle name="Normal 2 6 2 3 3 3" xfId="7062" xr:uid="{00000000-0005-0000-0000-0000921B0000}"/>
    <cellStyle name="Normal 2 6 2 3 3 3 2" xfId="7063" xr:uid="{00000000-0005-0000-0000-0000931B0000}"/>
    <cellStyle name="Normal 2 6 2 3 3 3 3" xfId="7064" xr:uid="{00000000-0005-0000-0000-0000941B0000}"/>
    <cellStyle name="Normal 2 6 2 3 3 4" xfId="7065" xr:uid="{00000000-0005-0000-0000-0000951B0000}"/>
    <cellStyle name="Normal 2 6 2 3 3 5" xfId="7066" xr:uid="{00000000-0005-0000-0000-0000961B0000}"/>
    <cellStyle name="Normal 2 6 2 3 4" xfId="7067" xr:uid="{00000000-0005-0000-0000-0000971B0000}"/>
    <cellStyle name="Normal 2 6 2 3 4 2" xfId="7068" xr:uid="{00000000-0005-0000-0000-0000981B0000}"/>
    <cellStyle name="Normal 2 6 2 3 4 3" xfId="7069" xr:uid="{00000000-0005-0000-0000-0000991B0000}"/>
    <cellStyle name="Normal 2 6 2 3 5" xfId="7070" xr:uid="{00000000-0005-0000-0000-00009A1B0000}"/>
    <cellStyle name="Normal 2 6 2 3 5 2" xfId="7071" xr:uid="{00000000-0005-0000-0000-00009B1B0000}"/>
    <cellStyle name="Normal 2 6 2 3 5 3" xfId="7072" xr:uid="{00000000-0005-0000-0000-00009C1B0000}"/>
    <cellStyle name="Normal 2 6 2 3 6" xfId="7073" xr:uid="{00000000-0005-0000-0000-00009D1B0000}"/>
    <cellStyle name="Normal 2 6 2 3 7" xfId="7074" xr:uid="{00000000-0005-0000-0000-00009E1B0000}"/>
    <cellStyle name="Normal 2 6 2 4" xfId="7075" xr:uid="{00000000-0005-0000-0000-00009F1B0000}"/>
    <cellStyle name="Normal 2 6 2 4 2" xfId="7076" xr:uid="{00000000-0005-0000-0000-0000A01B0000}"/>
    <cellStyle name="Normal 2 6 2 4 2 2" xfId="7077" xr:uid="{00000000-0005-0000-0000-0000A11B0000}"/>
    <cellStyle name="Normal 2 6 2 4 2 2 2" xfId="7078" xr:uid="{00000000-0005-0000-0000-0000A21B0000}"/>
    <cellStyle name="Normal 2 6 2 4 2 2 3" xfId="7079" xr:uid="{00000000-0005-0000-0000-0000A31B0000}"/>
    <cellStyle name="Normal 2 6 2 4 2 3" xfId="7080" xr:uid="{00000000-0005-0000-0000-0000A41B0000}"/>
    <cellStyle name="Normal 2 6 2 4 2 3 2" xfId="7081" xr:uid="{00000000-0005-0000-0000-0000A51B0000}"/>
    <cellStyle name="Normal 2 6 2 4 2 3 3" xfId="7082" xr:uid="{00000000-0005-0000-0000-0000A61B0000}"/>
    <cellStyle name="Normal 2 6 2 4 2 4" xfId="7083" xr:uid="{00000000-0005-0000-0000-0000A71B0000}"/>
    <cellStyle name="Normal 2 6 2 4 2 5" xfId="7084" xr:uid="{00000000-0005-0000-0000-0000A81B0000}"/>
    <cellStyle name="Normal 2 6 2 4 3" xfId="7085" xr:uid="{00000000-0005-0000-0000-0000A91B0000}"/>
    <cellStyle name="Normal 2 6 2 4 3 2" xfId="7086" xr:uid="{00000000-0005-0000-0000-0000AA1B0000}"/>
    <cellStyle name="Normal 2 6 2 4 3 2 2" xfId="7087" xr:uid="{00000000-0005-0000-0000-0000AB1B0000}"/>
    <cellStyle name="Normal 2 6 2 4 3 2 3" xfId="7088" xr:uid="{00000000-0005-0000-0000-0000AC1B0000}"/>
    <cellStyle name="Normal 2 6 2 4 3 3" xfId="7089" xr:uid="{00000000-0005-0000-0000-0000AD1B0000}"/>
    <cellStyle name="Normal 2 6 2 4 3 4" xfId="7090" xr:uid="{00000000-0005-0000-0000-0000AE1B0000}"/>
    <cellStyle name="Normal 2 6 2 4 4" xfId="7091" xr:uid="{00000000-0005-0000-0000-0000AF1B0000}"/>
    <cellStyle name="Normal 2 6 2 4 4 2" xfId="7092" xr:uid="{00000000-0005-0000-0000-0000B01B0000}"/>
    <cellStyle name="Normal 2 6 2 4 4 3" xfId="7093" xr:uid="{00000000-0005-0000-0000-0000B11B0000}"/>
    <cellStyle name="Normal 2 6 2 4 5" xfId="7094" xr:uid="{00000000-0005-0000-0000-0000B21B0000}"/>
    <cellStyle name="Normal 2 6 2 4 5 2" xfId="7095" xr:uid="{00000000-0005-0000-0000-0000B31B0000}"/>
    <cellStyle name="Normal 2 6 2 4 5 3" xfId="7096" xr:uid="{00000000-0005-0000-0000-0000B41B0000}"/>
    <cellStyle name="Normal 2 6 2 4 6" xfId="7097" xr:uid="{00000000-0005-0000-0000-0000B51B0000}"/>
    <cellStyle name="Normal 2 6 2 4 7" xfId="7098" xr:uid="{00000000-0005-0000-0000-0000B61B0000}"/>
    <cellStyle name="Normal 2 6 2 5" xfId="7099" xr:uid="{00000000-0005-0000-0000-0000B71B0000}"/>
    <cellStyle name="Normal 2 6 2 5 2" xfId="7100" xr:uid="{00000000-0005-0000-0000-0000B81B0000}"/>
    <cellStyle name="Normal 2 6 2 5 2 2" xfId="7101" xr:uid="{00000000-0005-0000-0000-0000B91B0000}"/>
    <cellStyle name="Normal 2 6 2 5 2 3" xfId="7102" xr:uid="{00000000-0005-0000-0000-0000BA1B0000}"/>
    <cellStyle name="Normal 2 6 2 5 3" xfId="7103" xr:uid="{00000000-0005-0000-0000-0000BB1B0000}"/>
    <cellStyle name="Normal 2 6 2 5 3 2" xfId="7104" xr:uid="{00000000-0005-0000-0000-0000BC1B0000}"/>
    <cellStyle name="Normal 2 6 2 5 3 3" xfId="7105" xr:uid="{00000000-0005-0000-0000-0000BD1B0000}"/>
    <cellStyle name="Normal 2 6 2 5 4" xfId="7106" xr:uid="{00000000-0005-0000-0000-0000BE1B0000}"/>
    <cellStyle name="Normal 2 6 2 5 5" xfId="7107" xr:uid="{00000000-0005-0000-0000-0000BF1B0000}"/>
    <cellStyle name="Normal 2 6 2 6" xfId="7108" xr:uid="{00000000-0005-0000-0000-0000C01B0000}"/>
    <cellStyle name="Normal 2 6 2 6 2" xfId="7109" xr:uid="{00000000-0005-0000-0000-0000C11B0000}"/>
    <cellStyle name="Normal 2 6 2 6 2 2" xfId="7110" xr:uid="{00000000-0005-0000-0000-0000C21B0000}"/>
    <cellStyle name="Normal 2 6 2 6 2 3" xfId="7111" xr:uid="{00000000-0005-0000-0000-0000C31B0000}"/>
    <cellStyle name="Normal 2 6 2 6 3" xfId="7112" xr:uid="{00000000-0005-0000-0000-0000C41B0000}"/>
    <cellStyle name="Normal 2 6 2 6 3 2" xfId="7113" xr:uid="{00000000-0005-0000-0000-0000C51B0000}"/>
    <cellStyle name="Normal 2 6 2 6 3 3" xfId="7114" xr:uid="{00000000-0005-0000-0000-0000C61B0000}"/>
    <cellStyle name="Normal 2 6 2 6 4" xfId="7115" xr:uid="{00000000-0005-0000-0000-0000C71B0000}"/>
    <cellStyle name="Normal 2 6 2 6 5" xfId="7116" xr:uid="{00000000-0005-0000-0000-0000C81B0000}"/>
    <cellStyle name="Normal 2 6 2 7" xfId="7117" xr:uid="{00000000-0005-0000-0000-0000C91B0000}"/>
    <cellStyle name="Normal 2 6 2 7 2" xfId="7118" xr:uid="{00000000-0005-0000-0000-0000CA1B0000}"/>
    <cellStyle name="Normal 2 6 2 7 2 2" xfId="7119" xr:uid="{00000000-0005-0000-0000-0000CB1B0000}"/>
    <cellStyle name="Normal 2 6 2 7 2 3" xfId="7120" xr:uid="{00000000-0005-0000-0000-0000CC1B0000}"/>
    <cellStyle name="Normal 2 6 2 7 3" xfId="7121" xr:uid="{00000000-0005-0000-0000-0000CD1B0000}"/>
    <cellStyle name="Normal 2 6 2 7 4" xfId="7122" xr:uid="{00000000-0005-0000-0000-0000CE1B0000}"/>
    <cellStyle name="Normal 2 6 2 8" xfId="7123" xr:uid="{00000000-0005-0000-0000-0000CF1B0000}"/>
    <cellStyle name="Normal 2 6 2 8 2" xfId="7124" xr:uid="{00000000-0005-0000-0000-0000D01B0000}"/>
    <cellStyle name="Normal 2 6 2 8 3" xfId="7125" xr:uid="{00000000-0005-0000-0000-0000D11B0000}"/>
    <cellStyle name="Normal 2 6 2 9" xfId="7126" xr:uid="{00000000-0005-0000-0000-0000D21B0000}"/>
    <cellStyle name="Normal 2 6 2 9 2" xfId="7127" xr:uid="{00000000-0005-0000-0000-0000D31B0000}"/>
    <cellStyle name="Normal 2 6 2 9 3" xfId="7128" xr:uid="{00000000-0005-0000-0000-0000D41B0000}"/>
    <cellStyle name="Normal 2 6 3" xfId="7129" xr:uid="{00000000-0005-0000-0000-0000D51B0000}"/>
    <cellStyle name="Normal 2 6 3 2" xfId="7130" xr:uid="{00000000-0005-0000-0000-0000D61B0000}"/>
    <cellStyle name="Normal 2 6 4" xfId="7131" xr:uid="{00000000-0005-0000-0000-0000D71B0000}"/>
    <cellStyle name="Normal 2 6 4 2" xfId="7132" xr:uid="{00000000-0005-0000-0000-0000D81B0000}"/>
    <cellStyle name="Normal 2 6 4 2 2" xfId="7133" xr:uid="{00000000-0005-0000-0000-0000D91B0000}"/>
    <cellStyle name="Normal 2 6 4 2 2 2" xfId="7134" xr:uid="{00000000-0005-0000-0000-0000DA1B0000}"/>
    <cellStyle name="Normal 2 6 4 2 2 2 2" xfId="7135" xr:uid="{00000000-0005-0000-0000-0000DB1B0000}"/>
    <cellStyle name="Normal 2 6 4 2 2 2 3" xfId="7136" xr:uid="{00000000-0005-0000-0000-0000DC1B0000}"/>
    <cellStyle name="Normal 2 6 4 2 2 3" xfId="7137" xr:uid="{00000000-0005-0000-0000-0000DD1B0000}"/>
    <cellStyle name="Normal 2 6 4 2 2 3 2" xfId="7138" xr:uid="{00000000-0005-0000-0000-0000DE1B0000}"/>
    <cellStyle name="Normal 2 6 4 2 2 3 3" xfId="7139" xr:uid="{00000000-0005-0000-0000-0000DF1B0000}"/>
    <cellStyle name="Normal 2 6 4 2 2 4" xfId="7140" xr:uid="{00000000-0005-0000-0000-0000E01B0000}"/>
    <cellStyle name="Normal 2 6 4 2 2 5" xfId="7141" xr:uid="{00000000-0005-0000-0000-0000E11B0000}"/>
    <cellStyle name="Normal 2 6 4 2 3" xfId="7142" xr:uid="{00000000-0005-0000-0000-0000E21B0000}"/>
    <cellStyle name="Normal 2 6 4 2 3 2" xfId="7143" xr:uid="{00000000-0005-0000-0000-0000E31B0000}"/>
    <cellStyle name="Normal 2 6 4 2 3 2 2" xfId="7144" xr:uid="{00000000-0005-0000-0000-0000E41B0000}"/>
    <cellStyle name="Normal 2 6 4 2 3 2 3" xfId="7145" xr:uid="{00000000-0005-0000-0000-0000E51B0000}"/>
    <cellStyle name="Normal 2 6 4 2 3 3" xfId="7146" xr:uid="{00000000-0005-0000-0000-0000E61B0000}"/>
    <cellStyle name="Normal 2 6 4 2 3 3 2" xfId="7147" xr:uid="{00000000-0005-0000-0000-0000E71B0000}"/>
    <cellStyle name="Normal 2 6 4 2 3 3 3" xfId="7148" xr:uid="{00000000-0005-0000-0000-0000E81B0000}"/>
    <cellStyle name="Normal 2 6 4 2 3 4" xfId="7149" xr:uid="{00000000-0005-0000-0000-0000E91B0000}"/>
    <cellStyle name="Normal 2 6 4 2 3 5" xfId="7150" xr:uid="{00000000-0005-0000-0000-0000EA1B0000}"/>
    <cellStyle name="Normal 2 6 4 2 4" xfId="7151" xr:uid="{00000000-0005-0000-0000-0000EB1B0000}"/>
    <cellStyle name="Normal 2 6 4 2 4 2" xfId="7152" xr:uid="{00000000-0005-0000-0000-0000EC1B0000}"/>
    <cellStyle name="Normal 2 6 4 2 4 3" xfId="7153" xr:uid="{00000000-0005-0000-0000-0000ED1B0000}"/>
    <cellStyle name="Normal 2 6 4 2 5" xfId="7154" xr:uid="{00000000-0005-0000-0000-0000EE1B0000}"/>
    <cellStyle name="Normal 2 6 4 2 5 2" xfId="7155" xr:uid="{00000000-0005-0000-0000-0000EF1B0000}"/>
    <cellStyle name="Normal 2 6 4 2 5 3" xfId="7156" xr:uid="{00000000-0005-0000-0000-0000F01B0000}"/>
    <cellStyle name="Normal 2 6 4 2 6" xfId="7157" xr:uid="{00000000-0005-0000-0000-0000F11B0000}"/>
    <cellStyle name="Normal 2 6 4 2 7" xfId="7158" xr:uid="{00000000-0005-0000-0000-0000F21B0000}"/>
    <cellStyle name="Normal 2 6 4 3" xfId="7159" xr:uid="{00000000-0005-0000-0000-0000F31B0000}"/>
    <cellStyle name="Normal 2 6 4 3 2" xfId="7160" xr:uid="{00000000-0005-0000-0000-0000F41B0000}"/>
    <cellStyle name="Normal 2 6 4 3 2 2" xfId="7161" xr:uid="{00000000-0005-0000-0000-0000F51B0000}"/>
    <cellStyle name="Normal 2 6 4 3 2 3" xfId="7162" xr:uid="{00000000-0005-0000-0000-0000F61B0000}"/>
    <cellStyle name="Normal 2 6 4 3 3" xfId="7163" xr:uid="{00000000-0005-0000-0000-0000F71B0000}"/>
    <cellStyle name="Normal 2 6 4 3 3 2" xfId="7164" xr:uid="{00000000-0005-0000-0000-0000F81B0000}"/>
    <cellStyle name="Normal 2 6 4 3 3 3" xfId="7165" xr:uid="{00000000-0005-0000-0000-0000F91B0000}"/>
    <cellStyle name="Normal 2 6 4 3 4" xfId="7166" xr:uid="{00000000-0005-0000-0000-0000FA1B0000}"/>
    <cellStyle name="Normal 2 6 4 3 5" xfId="7167" xr:uid="{00000000-0005-0000-0000-0000FB1B0000}"/>
    <cellStyle name="Normal 2 6 4 4" xfId="7168" xr:uid="{00000000-0005-0000-0000-0000FC1B0000}"/>
    <cellStyle name="Normal 2 6 4 4 2" xfId="7169" xr:uid="{00000000-0005-0000-0000-0000FD1B0000}"/>
    <cellStyle name="Normal 2 6 4 4 2 2" xfId="7170" xr:uid="{00000000-0005-0000-0000-0000FE1B0000}"/>
    <cellStyle name="Normal 2 6 4 4 2 3" xfId="7171" xr:uid="{00000000-0005-0000-0000-0000FF1B0000}"/>
    <cellStyle name="Normal 2 6 4 4 3" xfId="7172" xr:uid="{00000000-0005-0000-0000-0000001C0000}"/>
    <cellStyle name="Normal 2 6 4 4 3 2" xfId="7173" xr:uid="{00000000-0005-0000-0000-0000011C0000}"/>
    <cellStyle name="Normal 2 6 4 4 3 3" xfId="7174" xr:uid="{00000000-0005-0000-0000-0000021C0000}"/>
    <cellStyle name="Normal 2 6 4 4 4" xfId="7175" xr:uid="{00000000-0005-0000-0000-0000031C0000}"/>
    <cellStyle name="Normal 2 6 4 4 5" xfId="7176" xr:uid="{00000000-0005-0000-0000-0000041C0000}"/>
    <cellStyle name="Normal 2 6 4 5" xfId="7177" xr:uid="{00000000-0005-0000-0000-0000051C0000}"/>
    <cellStyle name="Normal 2 6 4 5 2" xfId="7178" xr:uid="{00000000-0005-0000-0000-0000061C0000}"/>
    <cellStyle name="Normal 2 6 4 5 3" xfId="7179" xr:uid="{00000000-0005-0000-0000-0000071C0000}"/>
    <cellStyle name="Normal 2 6 4 6" xfId="7180" xr:uid="{00000000-0005-0000-0000-0000081C0000}"/>
    <cellStyle name="Normal 2 6 4 6 2" xfId="7181" xr:uid="{00000000-0005-0000-0000-0000091C0000}"/>
    <cellStyle name="Normal 2 6 4 6 3" xfId="7182" xr:uid="{00000000-0005-0000-0000-00000A1C0000}"/>
    <cellStyle name="Normal 2 6 4 7" xfId="7183" xr:uid="{00000000-0005-0000-0000-00000B1C0000}"/>
    <cellStyle name="Normal 2 6 4 7 2" xfId="7184" xr:uid="{00000000-0005-0000-0000-00000C1C0000}"/>
    <cellStyle name="Normal 2 6 4 7 3" xfId="7185" xr:uid="{00000000-0005-0000-0000-00000D1C0000}"/>
    <cellStyle name="Normal 2 6 4 8" xfId="7186" xr:uid="{00000000-0005-0000-0000-00000E1C0000}"/>
    <cellStyle name="Normal 2 6 4 9" xfId="7187" xr:uid="{00000000-0005-0000-0000-00000F1C0000}"/>
    <cellStyle name="Normal 2 6 5" xfId="7188" xr:uid="{00000000-0005-0000-0000-0000101C0000}"/>
    <cellStyle name="Normal 2 6 5 2" xfId="7189" xr:uid="{00000000-0005-0000-0000-0000111C0000}"/>
    <cellStyle name="Normal 2 6 5 2 2" xfId="7190" xr:uid="{00000000-0005-0000-0000-0000121C0000}"/>
    <cellStyle name="Normal 2 6 5 2 2 2" xfId="7191" xr:uid="{00000000-0005-0000-0000-0000131C0000}"/>
    <cellStyle name="Normal 2 6 5 2 2 3" xfId="7192" xr:uid="{00000000-0005-0000-0000-0000141C0000}"/>
    <cellStyle name="Normal 2 6 5 2 3" xfId="7193" xr:uid="{00000000-0005-0000-0000-0000151C0000}"/>
    <cellStyle name="Normal 2 6 5 2 3 2" xfId="7194" xr:uid="{00000000-0005-0000-0000-0000161C0000}"/>
    <cellStyle name="Normal 2 6 5 2 3 3" xfId="7195" xr:uid="{00000000-0005-0000-0000-0000171C0000}"/>
    <cellStyle name="Normal 2 6 5 2 4" xfId="7196" xr:uid="{00000000-0005-0000-0000-0000181C0000}"/>
    <cellStyle name="Normal 2 6 5 2 5" xfId="7197" xr:uid="{00000000-0005-0000-0000-0000191C0000}"/>
    <cellStyle name="Normal 2 6 5 3" xfId="7198" xr:uid="{00000000-0005-0000-0000-00001A1C0000}"/>
    <cellStyle name="Normal 2 6 5 3 2" xfId="7199" xr:uid="{00000000-0005-0000-0000-00001B1C0000}"/>
    <cellStyle name="Normal 2 6 5 3 2 2" xfId="7200" xr:uid="{00000000-0005-0000-0000-00001C1C0000}"/>
    <cellStyle name="Normal 2 6 5 3 2 3" xfId="7201" xr:uid="{00000000-0005-0000-0000-00001D1C0000}"/>
    <cellStyle name="Normal 2 6 5 3 3" xfId="7202" xr:uid="{00000000-0005-0000-0000-00001E1C0000}"/>
    <cellStyle name="Normal 2 6 5 3 3 2" xfId="7203" xr:uid="{00000000-0005-0000-0000-00001F1C0000}"/>
    <cellStyle name="Normal 2 6 5 3 3 3" xfId="7204" xr:uid="{00000000-0005-0000-0000-0000201C0000}"/>
    <cellStyle name="Normal 2 6 5 3 4" xfId="7205" xr:uid="{00000000-0005-0000-0000-0000211C0000}"/>
    <cellStyle name="Normal 2 6 5 3 5" xfId="7206" xr:uid="{00000000-0005-0000-0000-0000221C0000}"/>
    <cellStyle name="Normal 2 6 5 4" xfId="7207" xr:uid="{00000000-0005-0000-0000-0000231C0000}"/>
    <cellStyle name="Normal 2 6 5 4 2" xfId="7208" xr:uid="{00000000-0005-0000-0000-0000241C0000}"/>
    <cellStyle name="Normal 2 6 5 4 3" xfId="7209" xr:uid="{00000000-0005-0000-0000-0000251C0000}"/>
    <cellStyle name="Normal 2 6 5 5" xfId="7210" xr:uid="{00000000-0005-0000-0000-0000261C0000}"/>
    <cellStyle name="Normal 2 6 5 5 2" xfId="7211" xr:uid="{00000000-0005-0000-0000-0000271C0000}"/>
    <cellStyle name="Normal 2 6 5 5 3" xfId="7212" xr:uid="{00000000-0005-0000-0000-0000281C0000}"/>
    <cellStyle name="Normal 2 6 5 6" xfId="7213" xr:uid="{00000000-0005-0000-0000-0000291C0000}"/>
    <cellStyle name="Normal 2 6 5 7" xfId="7214" xr:uid="{00000000-0005-0000-0000-00002A1C0000}"/>
    <cellStyle name="Normal 2 6 6" xfId="7215" xr:uid="{00000000-0005-0000-0000-00002B1C0000}"/>
    <cellStyle name="Normal 2 6 6 2" xfId="7216" xr:uid="{00000000-0005-0000-0000-00002C1C0000}"/>
    <cellStyle name="Normal 2 6 6 2 2" xfId="7217" xr:uid="{00000000-0005-0000-0000-00002D1C0000}"/>
    <cellStyle name="Normal 2 6 6 2 2 2" xfId="7218" xr:uid="{00000000-0005-0000-0000-00002E1C0000}"/>
    <cellStyle name="Normal 2 6 6 2 2 3" xfId="7219" xr:uid="{00000000-0005-0000-0000-00002F1C0000}"/>
    <cellStyle name="Normal 2 6 6 2 3" xfId="7220" xr:uid="{00000000-0005-0000-0000-0000301C0000}"/>
    <cellStyle name="Normal 2 6 6 2 3 2" xfId="7221" xr:uid="{00000000-0005-0000-0000-0000311C0000}"/>
    <cellStyle name="Normal 2 6 6 2 3 3" xfId="7222" xr:uid="{00000000-0005-0000-0000-0000321C0000}"/>
    <cellStyle name="Normal 2 6 6 2 4" xfId="7223" xr:uid="{00000000-0005-0000-0000-0000331C0000}"/>
    <cellStyle name="Normal 2 6 6 2 5" xfId="7224" xr:uid="{00000000-0005-0000-0000-0000341C0000}"/>
    <cellStyle name="Normal 2 6 6 3" xfId="7225" xr:uid="{00000000-0005-0000-0000-0000351C0000}"/>
    <cellStyle name="Normal 2 6 6 3 2" xfId="7226" xr:uid="{00000000-0005-0000-0000-0000361C0000}"/>
    <cellStyle name="Normal 2 6 6 3 2 2" xfId="7227" xr:uid="{00000000-0005-0000-0000-0000371C0000}"/>
    <cellStyle name="Normal 2 6 6 3 2 3" xfId="7228" xr:uid="{00000000-0005-0000-0000-0000381C0000}"/>
    <cellStyle name="Normal 2 6 6 3 3" xfId="7229" xr:uid="{00000000-0005-0000-0000-0000391C0000}"/>
    <cellStyle name="Normal 2 6 6 3 4" xfId="7230" xr:uid="{00000000-0005-0000-0000-00003A1C0000}"/>
    <cellStyle name="Normal 2 6 6 4" xfId="7231" xr:uid="{00000000-0005-0000-0000-00003B1C0000}"/>
    <cellStyle name="Normal 2 6 6 4 2" xfId="7232" xr:uid="{00000000-0005-0000-0000-00003C1C0000}"/>
    <cellStyle name="Normal 2 6 6 4 3" xfId="7233" xr:uid="{00000000-0005-0000-0000-00003D1C0000}"/>
    <cellStyle name="Normal 2 6 6 5" xfId="7234" xr:uid="{00000000-0005-0000-0000-00003E1C0000}"/>
    <cellStyle name="Normal 2 6 6 5 2" xfId="7235" xr:uid="{00000000-0005-0000-0000-00003F1C0000}"/>
    <cellStyle name="Normal 2 6 6 5 3" xfId="7236" xr:uid="{00000000-0005-0000-0000-0000401C0000}"/>
    <cellStyle name="Normal 2 6 6 6" xfId="7237" xr:uid="{00000000-0005-0000-0000-0000411C0000}"/>
    <cellStyle name="Normal 2 6 6 7" xfId="7238" xr:uid="{00000000-0005-0000-0000-0000421C0000}"/>
    <cellStyle name="Normal 2 6 7" xfId="7239" xr:uid="{00000000-0005-0000-0000-0000431C0000}"/>
    <cellStyle name="Normal 2 6 7 2" xfId="7240" xr:uid="{00000000-0005-0000-0000-0000441C0000}"/>
    <cellStyle name="Normal 2 6 7 2 2" xfId="7241" xr:uid="{00000000-0005-0000-0000-0000451C0000}"/>
    <cellStyle name="Normal 2 6 7 2 3" xfId="7242" xr:uid="{00000000-0005-0000-0000-0000461C0000}"/>
    <cellStyle name="Normal 2 6 7 3" xfId="7243" xr:uid="{00000000-0005-0000-0000-0000471C0000}"/>
    <cellStyle name="Normal 2 6 7 3 2" xfId="7244" xr:uid="{00000000-0005-0000-0000-0000481C0000}"/>
    <cellStyle name="Normal 2 6 7 3 3" xfId="7245" xr:uid="{00000000-0005-0000-0000-0000491C0000}"/>
    <cellStyle name="Normal 2 6 7 4" xfId="7246" xr:uid="{00000000-0005-0000-0000-00004A1C0000}"/>
    <cellStyle name="Normal 2 6 7 5" xfId="7247" xr:uid="{00000000-0005-0000-0000-00004B1C0000}"/>
    <cellStyle name="Normal 2 6 8" xfId="7248" xr:uid="{00000000-0005-0000-0000-00004C1C0000}"/>
    <cellStyle name="Normal 2 6 8 2" xfId="7249" xr:uid="{00000000-0005-0000-0000-00004D1C0000}"/>
    <cellStyle name="Normal 2 6 8 2 2" xfId="7250" xr:uid="{00000000-0005-0000-0000-00004E1C0000}"/>
    <cellStyle name="Normal 2 6 8 2 3" xfId="7251" xr:uid="{00000000-0005-0000-0000-00004F1C0000}"/>
    <cellStyle name="Normal 2 6 8 3" xfId="7252" xr:uid="{00000000-0005-0000-0000-0000501C0000}"/>
    <cellStyle name="Normal 2 6 8 3 2" xfId="7253" xr:uid="{00000000-0005-0000-0000-0000511C0000}"/>
    <cellStyle name="Normal 2 6 8 3 3" xfId="7254" xr:uid="{00000000-0005-0000-0000-0000521C0000}"/>
    <cellStyle name="Normal 2 6 8 4" xfId="7255" xr:uid="{00000000-0005-0000-0000-0000531C0000}"/>
    <cellStyle name="Normal 2 6 8 5" xfId="7256" xr:uid="{00000000-0005-0000-0000-0000541C0000}"/>
    <cellStyle name="Normal 2 6 9" xfId="7257" xr:uid="{00000000-0005-0000-0000-0000551C0000}"/>
    <cellStyle name="Normal 2 6 9 2" xfId="7258" xr:uid="{00000000-0005-0000-0000-0000561C0000}"/>
    <cellStyle name="Normal 2 6 9 2 2" xfId="7259" xr:uid="{00000000-0005-0000-0000-0000571C0000}"/>
    <cellStyle name="Normal 2 6 9 2 3" xfId="7260" xr:uid="{00000000-0005-0000-0000-0000581C0000}"/>
    <cellStyle name="Normal 2 6 9 3" xfId="7261" xr:uid="{00000000-0005-0000-0000-0000591C0000}"/>
    <cellStyle name="Normal 2 6 9 4" xfId="7262" xr:uid="{00000000-0005-0000-0000-00005A1C0000}"/>
    <cellStyle name="Normal 2 7" xfId="7263" xr:uid="{00000000-0005-0000-0000-00005B1C0000}"/>
    <cellStyle name="Normal 2 7 10" xfId="7264" xr:uid="{00000000-0005-0000-0000-00005C1C0000}"/>
    <cellStyle name="Normal 2 7 10 2" xfId="7265" xr:uid="{00000000-0005-0000-0000-00005D1C0000}"/>
    <cellStyle name="Normal 2 7 10 3" xfId="7266" xr:uid="{00000000-0005-0000-0000-00005E1C0000}"/>
    <cellStyle name="Normal 2 7 11" xfId="7267" xr:uid="{00000000-0005-0000-0000-00005F1C0000}"/>
    <cellStyle name="Normal 2 7 11 2" xfId="7268" xr:uid="{00000000-0005-0000-0000-0000601C0000}"/>
    <cellStyle name="Normal 2 7 11 3" xfId="7269" xr:uid="{00000000-0005-0000-0000-0000611C0000}"/>
    <cellStyle name="Normal 2 7 12" xfId="7270" xr:uid="{00000000-0005-0000-0000-0000621C0000}"/>
    <cellStyle name="Normal 2 7 13" xfId="7271" xr:uid="{00000000-0005-0000-0000-0000631C0000}"/>
    <cellStyle name="Normal 2 7 2" xfId="7272" xr:uid="{00000000-0005-0000-0000-0000641C0000}"/>
    <cellStyle name="Normal 2 7 2 2" xfId="7273" xr:uid="{00000000-0005-0000-0000-0000651C0000}"/>
    <cellStyle name="Normal 2 7 2 2 2" xfId="7274" xr:uid="{00000000-0005-0000-0000-0000661C0000}"/>
    <cellStyle name="Normal 2 7 2 2 2 2" xfId="7275" xr:uid="{00000000-0005-0000-0000-0000671C0000}"/>
    <cellStyle name="Normal 2 7 2 2 2 2 2" xfId="7276" xr:uid="{00000000-0005-0000-0000-0000681C0000}"/>
    <cellStyle name="Normal 2 7 2 2 2 2 3" xfId="7277" xr:uid="{00000000-0005-0000-0000-0000691C0000}"/>
    <cellStyle name="Normal 2 7 2 2 2 3" xfId="7278" xr:uid="{00000000-0005-0000-0000-00006A1C0000}"/>
    <cellStyle name="Normal 2 7 2 2 2 3 2" xfId="7279" xr:uid="{00000000-0005-0000-0000-00006B1C0000}"/>
    <cellStyle name="Normal 2 7 2 2 2 3 3" xfId="7280" xr:uid="{00000000-0005-0000-0000-00006C1C0000}"/>
    <cellStyle name="Normal 2 7 2 2 2 4" xfId="7281" xr:uid="{00000000-0005-0000-0000-00006D1C0000}"/>
    <cellStyle name="Normal 2 7 2 2 2 5" xfId="7282" xr:uid="{00000000-0005-0000-0000-00006E1C0000}"/>
    <cellStyle name="Normal 2 7 2 2 3" xfId="7283" xr:uid="{00000000-0005-0000-0000-00006F1C0000}"/>
    <cellStyle name="Normal 2 7 2 2 3 2" xfId="7284" xr:uid="{00000000-0005-0000-0000-0000701C0000}"/>
    <cellStyle name="Normal 2 7 2 2 3 2 2" xfId="7285" xr:uid="{00000000-0005-0000-0000-0000711C0000}"/>
    <cellStyle name="Normal 2 7 2 2 3 2 3" xfId="7286" xr:uid="{00000000-0005-0000-0000-0000721C0000}"/>
    <cellStyle name="Normal 2 7 2 2 3 3" xfId="7287" xr:uid="{00000000-0005-0000-0000-0000731C0000}"/>
    <cellStyle name="Normal 2 7 2 2 3 3 2" xfId="7288" xr:uid="{00000000-0005-0000-0000-0000741C0000}"/>
    <cellStyle name="Normal 2 7 2 2 3 3 3" xfId="7289" xr:uid="{00000000-0005-0000-0000-0000751C0000}"/>
    <cellStyle name="Normal 2 7 2 2 3 4" xfId="7290" xr:uid="{00000000-0005-0000-0000-0000761C0000}"/>
    <cellStyle name="Normal 2 7 2 2 3 5" xfId="7291" xr:uid="{00000000-0005-0000-0000-0000771C0000}"/>
    <cellStyle name="Normal 2 7 2 2 4" xfId="7292" xr:uid="{00000000-0005-0000-0000-0000781C0000}"/>
    <cellStyle name="Normal 2 7 2 2 4 2" xfId="7293" xr:uid="{00000000-0005-0000-0000-0000791C0000}"/>
    <cellStyle name="Normal 2 7 2 2 4 3" xfId="7294" xr:uid="{00000000-0005-0000-0000-00007A1C0000}"/>
    <cellStyle name="Normal 2 7 2 2 5" xfId="7295" xr:uid="{00000000-0005-0000-0000-00007B1C0000}"/>
    <cellStyle name="Normal 2 7 2 2 5 2" xfId="7296" xr:uid="{00000000-0005-0000-0000-00007C1C0000}"/>
    <cellStyle name="Normal 2 7 2 2 5 3" xfId="7297" xr:uid="{00000000-0005-0000-0000-00007D1C0000}"/>
    <cellStyle name="Normal 2 7 2 2 6" xfId="7298" xr:uid="{00000000-0005-0000-0000-00007E1C0000}"/>
    <cellStyle name="Normal 2 7 2 2 7" xfId="7299" xr:uid="{00000000-0005-0000-0000-00007F1C0000}"/>
    <cellStyle name="Normal 2 7 2 3" xfId="7300" xr:uid="{00000000-0005-0000-0000-0000801C0000}"/>
    <cellStyle name="Normal 2 7 2 3 2" xfId="7301" xr:uid="{00000000-0005-0000-0000-0000811C0000}"/>
    <cellStyle name="Normal 2 7 2 3 2 2" xfId="7302" xr:uid="{00000000-0005-0000-0000-0000821C0000}"/>
    <cellStyle name="Normal 2 7 2 3 2 3" xfId="7303" xr:uid="{00000000-0005-0000-0000-0000831C0000}"/>
    <cellStyle name="Normal 2 7 2 3 3" xfId="7304" xr:uid="{00000000-0005-0000-0000-0000841C0000}"/>
    <cellStyle name="Normal 2 7 2 3 3 2" xfId="7305" xr:uid="{00000000-0005-0000-0000-0000851C0000}"/>
    <cellStyle name="Normal 2 7 2 3 3 3" xfId="7306" xr:uid="{00000000-0005-0000-0000-0000861C0000}"/>
    <cellStyle name="Normal 2 7 2 3 4" xfId="7307" xr:uid="{00000000-0005-0000-0000-0000871C0000}"/>
    <cellStyle name="Normal 2 7 2 3 5" xfId="7308" xr:uid="{00000000-0005-0000-0000-0000881C0000}"/>
    <cellStyle name="Normal 2 7 2 4" xfId="7309" xr:uid="{00000000-0005-0000-0000-0000891C0000}"/>
    <cellStyle name="Normal 2 7 2 4 2" xfId="7310" xr:uid="{00000000-0005-0000-0000-00008A1C0000}"/>
    <cellStyle name="Normal 2 7 2 4 2 2" xfId="7311" xr:uid="{00000000-0005-0000-0000-00008B1C0000}"/>
    <cellStyle name="Normal 2 7 2 4 2 3" xfId="7312" xr:uid="{00000000-0005-0000-0000-00008C1C0000}"/>
    <cellStyle name="Normal 2 7 2 4 3" xfId="7313" xr:uid="{00000000-0005-0000-0000-00008D1C0000}"/>
    <cellStyle name="Normal 2 7 2 4 3 2" xfId="7314" xr:uid="{00000000-0005-0000-0000-00008E1C0000}"/>
    <cellStyle name="Normal 2 7 2 4 3 3" xfId="7315" xr:uid="{00000000-0005-0000-0000-00008F1C0000}"/>
    <cellStyle name="Normal 2 7 2 4 4" xfId="7316" xr:uid="{00000000-0005-0000-0000-0000901C0000}"/>
    <cellStyle name="Normal 2 7 2 4 5" xfId="7317" xr:uid="{00000000-0005-0000-0000-0000911C0000}"/>
    <cellStyle name="Normal 2 7 2 5" xfId="7318" xr:uid="{00000000-0005-0000-0000-0000921C0000}"/>
    <cellStyle name="Normal 2 7 2 5 2" xfId="7319" xr:uid="{00000000-0005-0000-0000-0000931C0000}"/>
    <cellStyle name="Normal 2 7 2 5 3" xfId="7320" xr:uid="{00000000-0005-0000-0000-0000941C0000}"/>
    <cellStyle name="Normal 2 7 2 6" xfId="7321" xr:uid="{00000000-0005-0000-0000-0000951C0000}"/>
    <cellStyle name="Normal 2 7 2 6 2" xfId="7322" xr:uid="{00000000-0005-0000-0000-0000961C0000}"/>
    <cellStyle name="Normal 2 7 2 6 3" xfId="7323" xr:uid="{00000000-0005-0000-0000-0000971C0000}"/>
    <cellStyle name="Normal 2 7 2 7" xfId="7324" xr:uid="{00000000-0005-0000-0000-0000981C0000}"/>
    <cellStyle name="Normal 2 7 2 7 2" xfId="7325" xr:uid="{00000000-0005-0000-0000-0000991C0000}"/>
    <cellStyle name="Normal 2 7 2 7 3" xfId="7326" xr:uid="{00000000-0005-0000-0000-00009A1C0000}"/>
    <cellStyle name="Normal 2 7 2 8" xfId="7327" xr:uid="{00000000-0005-0000-0000-00009B1C0000}"/>
    <cellStyle name="Normal 2 7 2 9" xfId="7328" xr:uid="{00000000-0005-0000-0000-00009C1C0000}"/>
    <cellStyle name="Normal 2 7 3" xfId="7329" xr:uid="{00000000-0005-0000-0000-00009D1C0000}"/>
    <cellStyle name="Normal 2 7 3 2" xfId="7330" xr:uid="{00000000-0005-0000-0000-00009E1C0000}"/>
    <cellStyle name="Normal 2 7 3 2 2" xfId="7331" xr:uid="{00000000-0005-0000-0000-00009F1C0000}"/>
    <cellStyle name="Normal 2 7 3 2 2 2" xfId="7332" xr:uid="{00000000-0005-0000-0000-0000A01C0000}"/>
    <cellStyle name="Normal 2 7 3 2 2 3" xfId="7333" xr:uid="{00000000-0005-0000-0000-0000A11C0000}"/>
    <cellStyle name="Normal 2 7 3 2 3" xfId="7334" xr:uid="{00000000-0005-0000-0000-0000A21C0000}"/>
    <cellStyle name="Normal 2 7 3 2 3 2" xfId="7335" xr:uid="{00000000-0005-0000-0000-0000A31C0000}"/>
    <cellStyle name="Normal 2 7 3 2 3 3" xfId="7336" xr:uid="{00000000-0005-0000-0000-0000A41C0000}"/>
    <cellStyle name="Normal 2 7 3 2 4" xfId="7337" xr:uid="{00000000-0005-0000-0000-0000A51C0000}"/>
    <cellStyle name="Normal 2 7 3 2 5" xfId="7338" xr:uid="{00000000-0005-0000-0000-0000A61C0000}"/>
    <cellStyle name="Normal 2 7 3 3" xfId="7339" xr:uid="{00000000-0005-0000-0000-0000A71C0000}"/>
    <cellStyle name="Normal 2 7 3 3 2" xfId="7340" xr:uid="{00000000-0005-0000-0000-0000A81C0000}"/>
    <cellStyle name="Normal 2 7 3 3 2 2" xfId="7341" xr:uid="{00000000-0005-0000-0000-0000A91C0000}"/>
    <cellStyle name="Normal 2 7 3 3 2 3" xfId="7342" xr:uid="{00000000-0005-0000-0000-0000AA1C0000}"/>
    <cellStyle name="Normal 2 7 3 3 3" xfId="7343" xr:uid="{00000000-0005-0000-0000-0000AB1C0000}"/>
    <cellStyle name="Normal 2 7 3 3 3 2" xfId="7344" xr:uid="{00000000-0005-0000-0000-0000AC1C0000}"/>
    <cellStyle name="Normal 2 7 3 3 3 3" xfId="7345" xr:uid="{00000000-0005-0000-0000-0000AD1C0000}"/>
    <cellStyle name="Normal 2 7 3 3 4" xfId="7346" xr:uid="{00000000-0005-0000-0000-0000AE1C0000}"/>
    <cellStyle name="Normal 2 7 3 3 5" xfId="7347" xr:uid="{00000000-0005-0000-0000-0000AF1C0000}"/>
    <cellStyle name="Normal 2 7 3 4" xfId="7348" xr:uid="{00000000-0005-0000-0000-0000B01C0000}"/>
    <cellStyle name="Normal 2 7 3 4 2" xfId="7349" xr:uid="{00000000-0005-0000-0000-0000B11C0000}"/>
    <cellStyle name="Normal 2 7 3 4 3" xfId="7350" xr:uid="{00000000-0005-0000-0000-0000B21C0000}"/>
    <cellStyle name="Normal 2 7 3 5" xfId="7351" xr:uid="{00000000-0005-0000-0000-0000B31C0000}"/>
    <cellStyle name="Normal 2 7 3 5 2" xfId="7352" xr:uid="{00000000-0005-0000-0000-0000B41C0000}"/>
    <cellStyle name="Normal 2 7 3 5 3" xfId="7353" xr:uid="{00000000-0005-0000-0000-0000B51C0000}"/>
    <cellStyle name="Normal 2 7 3 6" xfId="7354" xr:uid="{00000000-0005-0000-0000-0000B61C0000}"/>
    <cellStyle name="Normal 2 7 3 7" xfId="7355" xr:uid="{00000000-0005-0000-0000-0000B71C0000}"/>
    <cellStyle name="Normal 2 7 4" xfId="7356" xr:uid="{00000000-0005-0000-0000-0000B81C0000}"/>
    <cellStyle name="Normal 2 7 4 2" xfId="7357" xr:uid="{00000000-0005-0000-0000-0000B91C0000}"/>
    <cellStyle name="Normal 2 7 4 2 2" xfId="7358" xr:uid="{00000000-0005-0000-0000-0000BA1C0000}"/>
    <cellStyle name="Normal 2 7 4 2 2 2" xfId="7359" xr:uid="{00000000-0005-0000-0000-0000BB1C0000}"/>
    <cellStyle name="Normal 2 7 4 2 2 3" xfId="7360" xr:uid="{00000000-0005-0000-0000-0000BC1C0000}"/>
    <cellStyle name="Normal 2 7 4 2 3" xfId="7361" xr:uid="{00000000-0005-0000-0000-0000BD1C0000}"/>
    <cellStyle name="Normal 2 7 4 2 3 2" xfId="7362" xr:uid="{00000000-0005-0000-0000-0000BE1C0000}"/>
    <cellStyle name="Normal 2 7 4 2 3 3" xfId="7363" xr:uid="{00000000-0005-0000-0000-0000BF1C0000}"/>
    <cellStyle name="Normal 2 7 4 2 4" xfId="7364" xr:uid="{00000000-0005-0000-0000-0000C01C0000}"/>
    <cellStyle name="Normal 2 7 4 2 5" xfId="7365" xr:uid="{00000000-0005-0000-0000-0000C11C0000}"/>
    <cellStyle name="Normal 2 7 4 3" xfId="7366" xr:uid="{00000000-0005-0000-0000-0000C21C0000}"/>
    <cellStyle name="Normal 2 7 4 3 2" xfId="7367" xr:uid="{00000000-0005-0000-0000-0000C31C0000}"/>
    <cellStyle name="Normal 2 7 4 3 2 2" xfId="7368" xr:uid="{00000000-0005-0000-0000-0000C41C0000}"/>
    <cellStyle name="Normal 2 7 4 3 2 3" xfId="7369" xr:uid="{00000000-0005-0000-0000-0000C51C0000}"/>
    <cellStyle name="Normal 2 7 4 3 3" xfId="7370" xr:uid="{00000000-0005-0000-0000-0000C61C0000}"/>
    <cellStyle name="Normal 2 7 4 3 4" xfId="7371" xr:uid="{00000000-0005-0000-0000-0000C71C0000}"/>
    <cellStyle name="Normal 2 7 4 4" xfId="7372" xr:uid="{00000000-0005-0000-0000-0000C81C0000}"/>
    <cellStyle name="Normal 2 7 4 4 2" xfId="7373" xr:uid="{00000000-0005-0000-0000-0000C91C0000}"/>
    <cellStyle name="Normal 2 7 4 4 3" xfId="7374" xr:uid="{00000000-0005-0000-0000-0000CA1C0000}"/>
    <cellStyle name="Normal 2 7 4 5" xfId="7375" xr:uid="{00000000-0005-0000-0000-0000CB1C0000}"/>
    <cellStyle name="Normal 2 7 4 5 2" xfId="7376" xr:uid="{00000000-0005-0000-0000-0000CC1C0000}"/>
    <cellStyle name="Normal 2 7 4 5 3" xfId="7377" xr:uid="{00000000-0005-0000-0000-0000CD1C0000}"/>
    <cellStyle name="Normal 2 7 4 6" xfId="7378" xr:uid="{00000000-0005-0000-0000-0000CE1C0000}"/>
    <cellStyle name="Normal 2 7 4 7" xfId="7379" xr:uid="{00000000-0005-0000-0000-0000CF1C0000}"/>
    <cellStyle name="Normal 2 7 5" xfId="7380" xr:uid="{00000000-0005-0000-0000-0000D01C0000}"/>
    <cellStyle name="Normal 2 7 5 2" xfId="7381" xr:uid="{00000000-0005-0000-0000-0000D11C0000}"/>
    <cellStyle name="Normal 2 7 5 2 2" xfId="7382" xr:uid="{00000000-0005-0000-0000-0000D21C0000}"/>
    <cellStyle name="Normal 2 7 5 2 3" xfId="7383" xr:uid="{00000000-0005-0000-0000-0000D31C0000}"/>
    <cellStyle name="Normal 2 7 5 3" xfId="7384" xr:uid="{00000000-0005-0000-0000-0000D41C0000}"/>
    <cellStyle name="Normal 2 7 5 3 2" xfId="7385" xr:uid="{00000000-0005-0000-0000-0000D51C0000}"/>
    <cellStyle name="Normal 2 7 5 3 3" xfId="7386" xr:uid="{00000000-0005-0000-0000-0000D61C0000}"/>
    <cellStyle name="Normal 2 7 5 4" xfId="7387" xr:uid="{00000000-0005-0000-0000-0000D71C0000}"/>
    <cellStyle name="Normal 2 7 5 5" xfId="7388" xr:uid="{00000000-0005-0000-0000-0000D81C0000}"/>
    <cellStyle name="Normal 2 7 6" xfId="7389" xr:uid="{00000000-0005-0000-0000-0000D91C0000}"/>
    <cellStyle name="Normal 2 7 6 2" xfId="7390" xr:uid="{00000000-0005-0000-0000-0000DA1C0000}"/>
    <cellStyle name="Normal 2 7 6 2 2" xfId="7391" xr:uid="{00000000-0005-0000-0000-0000DB1C0000}"/>
    <cellStyle name="Normal 2 7 6 2 3" xfId="7392" xr:uid="{00000000-0005-0000-0000-0000DC1C0000}"/>
    <cellStyle name="Normal 2 7 6 3" xfId="7393" xr:uid="{00000000-0005-0000-0000-0000DD1C0000}"/>
    <cellStyle name="Normal 2 7 6 3 2" xfId="7394" xr:uid="{00000000-0005-0000-0000-0000DE1C0000}"/>
    <cellStyle name="Normal 2 7 6 3 3" xfId="7395" xr:uid="{00000000-0005-0000-0000-0000DF1C0000}"/>
    <cellStyle name="Normal 2 7 6 4" xfId="7396" xr:uid="{00000000-0005-0000-0000-0000E01C0000}"/>
    <cellStyle name="Normal 2 7 6 5" xfId="7397" xr:uid="{00000000-0005-0000-0000-0000E11C0000}"/>
    <cellStyle name="Normal 2 7 7" xfId="7398" xr:uid="{00000000-0005-0000-0000-0000E21C0000}"/>
    <cellStyle name="Normal 2 7 7 2" xfId="7399" xr:uid="{00000000-0005-0000-0000-0000E31C0000}"/>
    <cellStyle name="Normal 2 7 7 2 2" xfId="7400" xr:uid="{00000000-0005-0000-0000-0000E41C0000}"/>
    <cellStyle name="Normal 2 7 7 2 3" xfId="7401" xr:uid="{00000000-0005-0000-0000-0000E51C0000}"/>
    <cellStyle name="Normal 2 7 7 3" xfId="7402" xr:uid="{00000000-0005-0000-0000-0000E61C0000}"/>
    <cellStyle name="Normal 2 7 7 4" xfId="7403" xr:uid="{00000000-0005-0000-0000-0000E71C0000}"/>
    <cellStyle name="Normal 2 7 8" xfId="7404" xr:uid="{00000000-0005-0000-0000-0000E81C0000}"/>
    <cellStyle name="Normal 2 7 8 2" xfId="7405" xr:uid="{00000000-0005-0000-0000-0000E91C0000}"/>
    <cellStyle name="Normal 2 7 8 3" xfId="7406" xr:uid="{00000000-0005-0000-0000-0000EA1C0000}"/>
    <cellStyle name="Normal 2 7 9" xfId="7407" xr:uid="{00000000-0005-0000-0000-0000EB1C0000}"/>
    <cellStyle name="Normal 2 7 9 2" xfId="7408" xr:uid="{00000000-0005-0000-0000-0000EC1C0000}"/>
    <cellStyle name="Normal 2 7 9 3" xfId="7409" xr:uid="{00000000-0005-0000-0000-0000ED1C0000}"/>
    <cellStyle name="Normal 2 8" xfId="7410" xr:uid="{00000000-0005-0000-0000-0000EE1C0000}"/>
    <cellStyle name="Normal 2 8 10" xfId="7411" xr:uid="{00000000-0005-0000-0000-0000EF1C0000}"/>
    <cellStyle name="Normal 2 8 10 2" xfId="7412" xr:uid="{00000000-0005-0000-0000-0000F01C0000}"/>
    <cellStyle name="Normal 2 8 10 3" xfId="7413" xr:uid="{00000000-0005-0000-0000-0000F11C0000}"/>
    <cellStyle name="Normal 2 8 11" xfId="7414" xr:uid="{00000000-0005-0000-0000-0000F21C0000}"/>
    <cellStyle name="Normal 2 8 11 2" xfId="7415" xr:uid="{00000000-0005-0000-0000-0000F31C0000}"/>
    <cellStyle name="Normal 2 8 11 3" xfId="7416" xr:uid="{00000000-0005-0000-0000-0000F41C0000}"/>
    <cellStyle name="Normal 2 8 12" xfId="7417" xr:uid="{00000000-0005-0000-0000-0000F51C0000}"/>
    <cellStyle name="Normal 2 8 13" xfId="7418" xr:uid="{00000000-0005-0000-0000-0000F61C0000}"/>
    <cellStyle name="Normal 2 8 2" xfId="7419" xr:uid="{00000000-0005-0000-0000-0000F71C0000}"/>
    <cellStyle name="Normal 2 8 2 2" xfId="7420" xr:uid="{00000000-0005-0000-0000-0000F81C0000}"/>
    <cellStyle name="Normal 2 8 2 2 2" xfId="7421" xr:uid="{00000000-0005-0000-0000-0000F91C0000}"/>
    <cellStyle name="Normal 2 8 2 2 2 2" xfId="7422" xr:uid="{00000000-0005-0000-0000-0000FA1C0000}"/>
    <cellStyle name="Normal 2 8 2 2 2 2 2" xfId="7423" xr:uid="{00000000-0005-0000-0000-0000FB1C0000}"/>
    <cellStyle name="Normal 2 8 2 2 2 2 3" xfId="7424" xr:uid="{00000000-0005-0000-0000-0000FC1C0000}"/>
    <cellStyle name="Normal 2 8 2 2 2 3" xfId="7425" xr:uid="{00000000-0005-0000-0000-0000FD1C0000}"/>
    <cellStyle name="Normal 2 8 2 2 2 3 2" xfId="7426" xr:uid="{00000000-0005-0000-0000-0000FE1C0000}"/>
    <cellStyle name="Normal 2 8 2 2 2 3 3" xfId="7427" xr:uid="{00000000-0005-0000-0000-0000FF1C0000}"/>
    <cellStyle name="Normal 2 8 2 2 2 4" xfId="7428" xr:uid="{00000000-0005-0000-0000-0000001D0000}"/>
    <cellStyle name="Normal 2 8 2 2 2 5" xfId="7429" xr:uid="{00000000-0005-0000-0000-0000011D0000}"/>
    <cellStyle name="Normal 2 8 2 2 3" xfId="7430" xr:uid="{00000000-0005-0000-0000-0000021D0000}"/>
    <cellStyle name="Normal 2 8 2 2 3 2" xfId="7431" xr:uid="{00000000-0005-0000-0000-0000031D0000}"/>
    <cellStyle name="Normal 2 8 2 2 3 2 2" xfId="7432" xr:uid="{00000000-0005-0000-0000-0000041D0000}"/>
    <cellStyle name="Normal 2 8 2 2 3 2 3" xfId="7433" xr:uid="{00000000-0005-0000-0000-0000051D0000}"/>
    <cellStyle name="Normal 2 8 2 2 3 3" xfId="7434" xr:uid="{00000000-0005-0000-0000-0000061D0000}"/>
    <cellStyle name="Normal 2 8 2 2 3 3 2" xfId="7435" xr:uid="{00000000-0005-0000-0000-0000071D0000}"/>
    <cellStyle name="Normal 2 8 2 2 3 3 3" xfId="7436" xr:uid="{00000000-0005-0000-0000-0000081D0000}"/>
    <cellStyle name="Normal 2 8 2 2 3 4" xfId="7437" xr:uid="{00000000-0005-0000-0000-0000091D0000}"/>
    <cellStyle name="Normal 2 8 2 2 3 5" xfId="7438" xr:uid="{00000000-0005-0000-0000-00000A1D0000}"/>
    <cellStyle name="Normal 2 8 2 2 4" xfId="7439" xr:uid="{00000000-0005-0000-0000-00000B1D0000}"/>
    <cellStyle name="Normal 2 8 2 2 4 2" xfId="7440" xr:uid="{00000000-0005-0000-0000-00000C1D0000}"/>
    <cellStyle name="Normal 2 8 2 2 4 3" xfId="7441" xr:uid="{00000000-0005-0000-0000-00000D1D0000}"/>
    <cellStyle name="Normal 2 8 2 2 5" xfId="7442" xr:uid="{00000000-0005-0000-0000-00000E1D0000}"/>
    <cellStyle name="Normal 2 8 2 2 5 2" xfId="7443" xr:uid="{00000000-0005-0000-0000-00000F1D0000}"/>
    <cellStyle name="Normal 2 8 2 2 5 3" xfId="7444" xr:uid="{00000000-0005-0000-0000-0000101D0000}"/>
    <cellStyle name="Normal 2 8 2 2 6" xfId="7445" xr:uid="{00000000-0005-0000-0000-0000111D0000}"/>
    <cellStyle name="Normal 2 8 2 2 7" xfId="7446" xr:uid="{00000000-0005-0000-0000-0000121D0000}"/>
    <cellStyle name="Normal 2 8 2 3" xfId="7447" xr:uid="{00000000-0005-0000-0000-0000131D0000}"/>
    <cellStyle name="Normal 2 8 2 3 2" xfId="7448" xr:uid="{00000000-0005-0000-0000-0000141D0000}"/>
    <cellStyle name="Normal 2 8 2 3 2 2" xfId="7449" xr:uid="{00000000-0005-0000-0000-0000151D0000}"/>
    <cellStyle name="Normal 2 8 2 3 2 3" xfId="7450" xr:uid="{00000000-0005-0000-0000-0000161D0000}"/>
    <cellStyle name="Normal 2 8 2 3 3" xfId="7451" xr:uid="{00000000-0005-0000-0000-0000171D0000}"/>
    <cellStyle name="Normal 2 8 2 3 3 2" xfId="7452" xr:uid="{00000000-0005-0000-0000-0000181D0000}"/>
    <cellStyle name="Normal 2 8 2 3 3 3" xfId="7453" xr:uid="{00000000-0005-0000-0000-0000191D0000}"/>
    <cellStyle name="Normal 2 8 2 3 4" xfId="7454" xr:uid="{00000000-0005-0000-0000-00001A1D0000}"/>
    <cellStyle name="Normal 2 8 2 3 5" xfId="7455" xr:uid="{00000000-0005-0000-0000-00001B1D0000}"/>
    <cellStyle name="Normal 2 8 2 4" xfId="7456" xr:uid="{00000000-0005-0000-0000-00001C1D0000}"/>
    <cellStyle name="Normal 2 8 2 4 2" xfId="7457" xr:uid="{00000000-0005-0000-0000-00001D1D0000}"/>
    <cellStyle name="Normal 2 8 2 4 2 2" xfId="7458" xr:uid="{00000000-0005-0000-0000-00001E1D0000}"/>
    <cellStyle name="Normal 2 8 2 4 2 3" xfId="7459" xr:uid="{00000000-0005-0000-0000-00001F1D0000}"/>
    <cellStyle name="Normal 2 8 2 4 3" xfId="7460" xr:uid="{00000000-0005-0000-0000-0000201D0000}"/>
    <cellStyle name="Normal 2 8 2 4 3 2" xfId="7461" xr:uid="{00000000-0005-0000-0000-0000211D0000}"/>
    <cellStyle name="Normal 2 8 2 4 3 3" xfId="7462" xr:uid="{00000000-0005-0000-0000-0000221D0000}"/>
    <cellStyle name="Normal 2 8 2 4 4" xfId="7463" xr:uid="{00000000-0005-0000-0000-0000231D0000}"/>
    <cellStyle name="Normal 2 8 2 4 5" xfId="7464" xr:uid="{00000000-0005-0000-0000-0000241D0000}"/>
    <cellStyle name="Normal 2 8 2 5" xfId="7465" xr:uid="{00000000-0005-0000-0000-0000251D0000}"/>
    <cellStyle name="Normal 2 8 2 5 2" xfId="7466" xr:uid="{00000000-0005-0000-0000-0000261D0000}"/>
    <cellStyle name="Normal 2 8 2 5 3" xfId="7467" xr:uid="{00000000-0005-0000-0000-0000271D0000}"/>
    <cellStyle name="Normal 2 8 2 6" xfId="7468" xr:uid="{00000000-0005-0000-0000-0000281D0000}"/>
    <cellStyle name="Normal 2 8 2 6 2" xfId="7469" xr:uid="{00000000-0005-0000-0000-0000291D0000}"/>
    <cellStyle name="Normal 2 8 2 6 3" xfId="7470" xr:uid="{00000000-0005-0000-0000-00002A1D0000}"/>
    <cellStyle name="Normal 2 8 2 7" xfId="7471" xr:uid="{00000000-0005-0000-0000-00002B1D0000}"/>
    <cellStyle name="Normal 2 8 2 7 2" xfId="7472" xr:uid="{00000000-0005-0000-0000-00002C1D0000}"/>
    <cellStyle name="Normal 2 8 2 7 3" xfId="7473" xr:uid="{00000000-0005-0000-0000-00002D1D0000}"/>
    <cellStyle name="Normal 2 8 2 8" xfId="7474" xr:uid="{00000000-0005-0000-0000-00002E1D0000}"/>
    <cellStyle name="Normal 2 8 2 9" xfId="7475" xr:uid="{00000000-0005-0000-0000-00002F1D0000}"/>
    <cellStyle name="Normal 2 8 3" xfId="7476" xr:uid="{00000000-0005-0000-0000-0000301D0000}"/>
    <cellStyle name="Normal 2 8 3 2" xfId="7477" xr:uid="{00000000-0005-0000-0000-0000311D0000}"/>
    <cellStyle name="Normal 2 8 3 2 2" xfId="7478" xr:uid="{00000000-0005-0000-0000-0000321D0000}"/>
    <cellStyle name="Normal 2 8 3 2 2 2" xfId="7479" xr:uid="{00000000-0005-0000-0000-0000331D0000}"/>
    <cellStyle name="Normal 2 8 3 2 2 3" xfId="7480" xr:uid="{00000000-0005-0000-0000-0000341D0000}"/>
    <cellStyle name="Normal 2 8 3 2 3" xfId="7481" xr:uid="{00000000-0005-0000-0000-0000351D0000}"/>
    <cellStyle name="Normal 2 8 3 2 3 2" xfId="7482" xr:uid="{00000000-0005-0000-0000-0000361D0000}"/>
    <cellStyle name="Normal 2 8 3 2 3 3" xfId="7483" xr:uid="{00000000-0005-0000-0000-0000371D0000}"/>
    <cellStyle name="Normal 2 8 3 2 4" xfId="7484" xr:uid="{00000000-0005-0000-0000-0000381D0000}"/>
    <cellStyle name="Normal 2 8 3 2 5" xfId="7485" xr:uid="{00000000-0005-0000-0000-0000391D0000}"/>
    <cellStyle name="Normal 2 8 3 3" xfId="7486" xr:uid="{00000000-0005-0000-0000-00003A1D0000}"/>
    <cellStyle name="Normal 2 8 3 3 2" xfId="7487" xr:uid="{00000000-0005-0000-0000-00003B1D0000}"/>
    <cellStyle name="Normal 2 8 3 3 2 2" xfId="7488" xr:uid="{00000000-0005-0000-0000-00003C1D0000}"/>
    <cellStyle name="Normal 2 8 3 3 2 3" xfId="7489" xr:uid="{00000000-0005-0000-0000-00003D1D0000}"/>
    <cellStyle name="Normal 2 8 3 3 3" xfId="7490" xr:uid="{00000000-0005-0000-0000-00003E1D0000}"/>
    <cellStyle name="Normal 2 8 3 3 3 2" xfId="7491" xr:uid="{00000000-0005-0000-0000-00003F1D0000}"/>
    <cellStyle name="Normal 2 8 3 3 3 3" xfId="7492" xr:uid="{00000000-0005-0000-0000-0000401D0000}"/>
    <cellStyle name="Normal 2 8 3 3 4" xfId="7493" xr:uid="{00000000-0005-0000-0000-0000411D0000}"/>
    <cellStyle name="Normal 2 8 3 3 5" xfId="7494" xr:uid="{00000000-0005-0000-0000-0000421D0000}"/>
    <cellStyle name="Normal 2 8 3 4" xfId="7495" xr:uid="{00000000-0005-0000-0000-0000431D0000}"/>
    <cellStyle name="Normal 2 8 3 4 2" xfId="7496" xr:uid="{00000000-0005-0000-0000-0000441D0000}"/>
    <cellStyle name="Normal 2 8 3 4 3" xfId="7497" xr:uid="{00000000-0005-0000-0000-0000451D0000}"/>
    <cellStyle name="Normal 2 8 3 5" xfId="7498" xr:uid="{00000000-0005-0000-0000-0000461D0000}"/>
    <cellStyle name="Normal 2 8 3 5 2" xfId="7499" xr:uid="{00000000-0005-0000-0000-0000471D0000}"/>
    <cellStyle name="Normal 2 8 3 5 3" xfId="7500" xr:uid="{00000000-0005-0000-0000-0000481D0000}"/>
    <cellStyle name="Normal 2 8 3 6" xfId="7501" xr:uid="{00000000-0005-0000-0000-0000491D0000}"/>
    <cellStyle name="Normal 2 8 3 7" xfId="7502" xr:uid="{00000000-0005-0000-0000-00004A1D0000}"/>
    <cellStyle name="Normal 2 8 4" xfId="7503" xr:uid="{00000000-0005-0000-0000-00004B1D0000}"/>
    <cellStyle name="Normal 2 8 4 2" xfId="7504" xr:uid="{00000000-0005-0000-0000-00004C1D0000}"/>
    <cellStyle name="Normal 2 8 4 2 2" xfId="7505" xr:uid="{00000000-0005-0000-0000-00004D1D0000}"/>
    <cellStyle name="Normal 2 8 4 2 2 2" xfId="7506" xr:uid="{00000000-0005-0000-0000-00004E1D0000}"/>
    <cellStyle name="Normal 2 8 4 2 2 3" xfId="7507" xr:uid="{00000000-0005-0000-0000-00004F1D0000}"/>
    <cellStyle name="Normal 2 8 4 2 3" xfId="7508" xr:uid="{00000000-0005-0000-0000-0000501D0000}"/>
    <cellStyle name="Normal 2 8 4 2 3 2" xfId="7509" xr:uid="{00000000-0005-0000-0000-0000511D0000}"/>
    <cellStyle name="Normal 2 8 4 2 3 3" xfId="7510" xr:uid="{00000000-0005-0000-0000-0000521D0000}"/>
    <cellStyle name="Normal 2 8 4 2 4" xfId="7511" xr:uid="{00000000-0005-0000-0000-0000531D0000}"/>
    <cellStyle name="Normal 2 8 4 2 5" xfId="7512" xr:uid="{00000000-0005-0000-0000-0000541D0000}"/>
    <cellStyle name="Normal 2 8 4 3" xfId="7513" xr:uid="{00000000-0005-0000-0000-0000551D0000}"/>
    <cellStyle name="Normal 2 8 4 3 2" xfId="7514" xr:uid="{00000000-0005-0000-0000-0000561D0000}"/>
    <cellStyle name="Normal 2 8 4 3 2 2" xfId="7515" xr:uid="{00000000-0005-0000-0000-0000571D0000}"/>
    <cellStyle name="Normal 2 8 4 3 2 3" xfId="7516" xr:uid="{00000000-0005-0000-0000-0000581D0000}"/>
    <cellStyle name="Normal 2 8 4 3 3" xfId="7517" xr:uid="{00000000-0005-0000-0000-0000591D0000}"/>
    <cellStyle name="Normal 2 8 4 3 4" xfId="7518" xr:uid="{00000000-0005-0000-0000-00005A1D0000}"/>
    <cellStyle name="Normal 2 8 4 4" xfId="7519" xr:uid="{00000000-0005-0000-0000-00005B1D0000}"/>
    <cellStyle name="Normal 2 8 4 4 2" xfId="7520" xr:uid="{00000000-0005-0000-0000-00005C1D0000}"/>
    <cellStyle name="Normal 2 8 4 4 3" xfId="7521" xr:uid="{00000000-0005-0000-0000-00005D1D0000}"/>
    <cellStyle name="Normal 2 8 4 5" xfId="7522" xr:uid="{00000000-0005-0000-0000-00005E1D0000}"/>
    <cellStyle name="Normal 2 8 4 5 2" xfId="7523" xr:uid="{00000000-0005-0000-0000-00005F1D0000}"/>
    <cellStyle name="Normal 2 8 4 5 3" xfId="7524" xr:uid="{00000000-0005-0000-0000-0000601D0000}"/>
    <cellStyle name="Normal 2 8 4 6" xfId="7525" xr:uid="{00000000-0005-0000-0000-0000611D0000}"/>
    <cellStyle name="Normal 2 8 4 7" xfId="7526" xr:uid="{00000000-0005-0000-0000-0000621D0000}"/>
    <cellStyle name="Normal 2 8 5" xfId="7527" xr:uid="{00000000-0005-0000-0000-0000631D0000}"/>
    <cellStyle name="Normal 2 8 5 2" xfId="7528" xr:uid="{00000000-0005-0000-0000-0000641D0000}"/>
    <cellStyle name="Normal 2 8 5 2 2" xfId="7529" xr:uid="{00000000-0005-0000-0000-0000651D0000}"/>
    <cellStyle name="Normal 2 8 5 2 3" xfId="7530" xr:uid="{00000000-0005-0000-0000-0000661D0000}"/>
    <cellStyle name="Normal 2 8 5 3" xfId="7531" xr:uid="{00000000-0005-0000-0000-0000671D0000}"/>
    <cellStyle name="Normal 2 8 5 3 2" xfId="7532" xr:uid="{00000000-0005-0000-0000-0000681D0000}"/>
    <cellStyle name="Normal 2 8 5 3 3" xfId="7533" xr:uid="{00000000-0005-0000-0000-0000691D0000}"/>
    <cellStyle name="Normal 2 8 5 4" xfId="7534" xr:uid="{00000000-0005-0000-0000-00006A1D0000}"/>
    <cellStyle name="Normal 2 8 5 5" xfId="7535" xr:uid="{00000000-0005-0000-0000-00006B1D0000}"/>
    <cellStyle name="Normal 2 8 6" xfId="7536" xr:uid="{00000000-0005-0000-0000-00006C1D0000}"/>
    <cellStyle name="Normal 2 8 6 2" xfId="7537" xr:uid="{00000000-0005-0000-0000-00006D1D0000}"/>
    <cellStyle name="Normal 2 8 6 2 2" xfId="7538" xr:uid="{00000000-0005-0000-0000-00006E1D0000}"/>
    <cellStyle name="Normal 2 8 6 2 3" xfId="7539" xr:uid="{00000000-0005-0000-0000-00006F1D0000}"/>
    <cellStyle name="Normal 2 8 6 3" xfId="7540" xr:uid="{00000000-0005-0000-0000-0000701D0000}"/>
    <cellStyle name="Normal 2 8 6 3 2" xfId="7541" xr:uid="{00000000-0005-0000-0000-0000711D0000}"/>
    <cellStyle name="Normal 2 8 6 3 3" xfId="7542" xr:uid="{00000000-0005-0000-0000-0000721D0000}"/>
    <cellStyle name="Normal 2 8 6 4" xfId="7543" xr:uid="{00000000-0005-0000-0000-0000731D0000}"/>
    <cellStyle name="Normal 2 8 6 5" xfId="7544" xr:uid="{00000000-0005-0000-0000-0000741D0000}"/>
    <cellStyle name="Normal 2 8 7" xfId="7545" xr:uid="{00000000-0005-0000-0000-0000751D0000}"/>
    <cellStyle name="Normal 2 8 7 2" xfId="7546" xr:uid="{00000000-0005-0000-0000-0000761D0000}"/>
    <cellStyle name="Normal 2 8 7 2 2" xfId="7547" xr:uid="{00000000-0005-0000-0000-0000771D0000}"/>
    <cellStyle name="Normal 2 8 7 2 3" xfId="7548" xr:uid="{00000000-0005-0000-0000-0000781D0000}"/>
    <cellStyle name="Normal 2 8 7 3" xfId="7549" xr:uid="{00000000-0005-0000-0000-0000791D0000}"/>
    <cellStyle name="Normal 2 8 7 4" xfId="7550" xr:uid="{00000000-0005-0000-0000-00007A1D0000}"/>
    <cellStyle name="Normal 2 8 8" xfId="7551" xr:uid="{00000000-0005-0000-0000-00007B1D0000}"/>
    <cellStyle name="Normal 2 8 8 2" xfId="7552" xr:uid="{00000000-0005-0000-0000-00007C1D0000}"/>
    <cellStyle name="Normal 2 8 8 3" xfId="7553" xr:uid="{00000000-0005-0000-0000-00007D1D0000}"/>
    <cellStyle name="Normal 2 8 9" xfId="7554" xr:uid="{00000000-0005-0000-0000-00007E1D0000}"/>
    <cellStyle name="Normal 2 8 9 2" xfId="7555" xr:uid="{00000000-0005-0000-0000-00007F1D0000}"/>
    <cellStyle name="Normal 2 8 9 3" xfId="7556" xr:uid="{00000000-0005-0000-0000-0000801D0000}"/>
    <cellStyle name="Normal 2 9" xfId="7557" xr:uid="{00000000-0005-0000-0000-0000811D0000}"/>
    <cellStyle name="Normal 2 9 2" xfId="7558" xr:uid="{00000000-0005-0000-0000-0000821D0000}"/>
    <cellStyle name="Normal 2 9 2 2" xfId="7559" xr:uid="{00000000-0005-0000-0000-0000831D0000}"/>
    <cellStyle name="Normal 2 9 3" xfId="7560" xr:uid="{00000000-0005-0000-0000-0000841D0000}"/>
    <cellStyle name="Normal 2 9 3 2" xfId="7561" xr:uid="{00000000-0005-0000-0000-0000851D0000}"/>
    <cellStyle name="Normal 2 9 4" xfId="7562" xr:uid="{00000000-0005-0000-0000-0000861D0000}"/>
    <cellStyle name="Normal 20" xfId="7563" xr:uid="{00000000-0005-0000-0000-0000871D0000}"/>
    <cellStyle name="Normal 20 2" xfId="7564" xr:uid="{00000000-0005-0000-0000-0000881D0000}"/>
    <cellStyle name="Normal 20 2 10" xfId="7565" xr:uid="{00000000-0005-0000-0000-0000891D0000}"/>
    <cellStyle name="Normal 20 2 10 2" xfId="7566" xr:uid="{00000000-0005-0000-0000-00008A1D0000}"/>
    <cellStyle name="Normal 20 2 10 3" xfId="7567" xr:uid="{00000000-0005-0000-0000-00008B1D0000}"/>
    <cellStyle name="Normal 20 2 11" xfId="7568" xr:uid="{00000000-0005-0000-0000-00008C1D0000}"/>
    <cellStyle name="Normal 20 2 12" xfId="7569" xr:uid="{00000000-0005-0000-0000-00008D1D0000}"/>
    <cellStyle name="Normal 20 2 2" xfId="7570" xr:uid="{00000000-0005-0000-0000-00008E1D0000}"/>
    <cellStyle name="Normal 20 2 2 2" xfId="7571" xr:uid="{00000000-0005-0000-0000-00008F1D0000}"/>
    <cellStyle name="Normal 20 2 2 2 2" xfId="7572" xr:uid="{00000000-0005-0000-0000-0000901D0000}"/>
    <cellStyle name="Normal 20 2 2 2 2 2" xfId="7573" xr:uid="{00000000-0005-0000-0000-0000911D0000}"/>
    <cellStyle name="Normal 20 2 2 2 2 2 2" xfId="7574" xr:uid="{00000000-0005-0000-0000-0000921D0000}"/>
    <cellStyle name="Normal 20 2 2 2 2 2 3" xfId="7575" xr:uid="{00000000-0005-0000-0000-0000931D0000}"/>
    <cellStyle name="Normal 20 2 2 2 2 3" xfId="7576" xr:uid="{00000000-0005-0000-0000-0000941D0000}"/>
    <cellStyle name="Normal 20 2 2 2 2 3 2" xfId="7577" xr:uid="{00000000-0005-0000-0000-0000951D0000}"/>
    <cellStyle name="Normal 20 2 2 2 2 3 3" xfId="7578" xr:uid="{00000000-0005-0000-0000-0000961D0000}"/>
    <cellStyle name="Normal 20 2 2 2 2 4" xfId="7579" xr:uid="{00000000-0005-0000-0000-0000971D0000}"/>
    <cellStyle name="Normal 20 2 2 2 2 5" xfId="7580" xr:uid="{00000000-0005-0000-0000-0000981D0000}"/>
    <cellStyle name="Normal 20 2 2 2 3" xfId="7581" xr:uid="{00000000-0005-0000-0000-0000991D0000}"/>
    <cellStyle name="Normal 20 2 2 2 3 2" xfId="7582" xr:uid="{00000000-0005-0000-0000-00009A1D0000}"/>
    <cellStyle name="Normal 20 2 2 2 3 2 2" xfId="7583" xr:uid="{00000000-0005-0000-0000-00009B1D0000}"/>
    <cellStyle name="Normal 20 2 2 2 3 2 3" xfId="7584" xr:uid="{00000000-0005-0000-0000-00009C1D0000}"/>
    <cellStyle name="Normal 20 2 2 2 3 3" xfId="7585" xr:uid="{00000000-0005-0000-0000-00009D1D0000}"/>
    <cellStyle name="Normal 20 2 2 2 3 3 2" xfId="7586" xr:uid="{00000000-0005-0000-0000-00009E1D0000}"/>
    <cellStyle name="Normal 20 2 2 2 3 3 3" xfId="7587" xr:uid="{00000000-0005-0000-0000-00009F1D0000}"/>
    <cellStyle name="Normal 20 2 2 2 3 4" xfId="7588" xr:uid="{00000000-0005-0000-0000-0000A01D0000}"/>
    <cellStyle name="Normal 20 2 2 2 3 5" xfId="7589" xr:uid="{00000000-0005-0000-0000-0000A11D0000}"/>
    <cellStyle name="Normal 20 2 2 2 4" xfId="7590" xr:uid="{00000000-0005-0000-0000-0000A21D0000}"/>
    <cellStyle name="Normal 20 2 2 2 4 2" xfId="7591" xr:uid="{00000000-0005-0000-0000-0000A31D0000}"/>
    <cellStyle name="Normal 20 2 2 2 4 3" xfId="7592" xr:uid="{00000000-0005-0000-0000-0000A41D0000}"/>
    <cellStyle name="Normal 20 2 2 2 5" xfId="7593" xr:uid="{00000000-0005-0000-0000-0000A51D0000}"/>
    <cellStyle name="Normal 20 2 2 2 5 2" xfId="7594" xr:uid="{00000000-0005-0000-0000-0000A61D0000}"/>
    <cellStyle name="Normal 20 2 2 2 5 3" xfId="7595" xr:uid="{00000000-0005-0000-0000-0000A71D0000}"/>
    <cellStyle name="Normal 20 2 2 2 6" xfId="7596" xr:uid="{00000000-0005-0000-0000-0000A81D0000}"/>
    <cellStyle name="Normal 20 2 2 2 7" xfId="7597" xr:uid="{00000000-0005-0000-0000-0000A91D0000}"/>
    <cellStyle name="Normal 20 2 2 3" xfId="7598" xr:uid="{00000000-0005-0000-0000-0000AA1D0000}"/>
    <cellStyle name="Normal 20 2 2 3 2" xfId="7599" xr:uid="{00000000-0005-0000-0000-0000AB1D0000}"/>
    <cellStyle name="Normal 20 2 2 3 2 2" xfId="7600" xr:uid="{00000000-0005-0000-0000-0000AC1D0000}"/>
    <cellStyle name="Normal 20 2 2 3 2 3" xfId="7601" xr:uid="{00000000-0005-0000-0000-0000AD1D0000}"/>
    <cellStyle name="Normal 20 2 2 3 3" xfId="7602" xr:uid="{00000000-0005-0000-0000-0000AE1D0000}"/>
    <cellStyle name="Normal 20 2 2 3 3 2" xfId="7603" xr:uid="{00000000-0005-0000-0000-0000AF1D0000}"/>
    <cellStyle name="Normal 20 2 2 3 3 3" xfId="7604" xr:uid="{00000000-0005-0000-0000-0000B01D0000}"/>
    <cellStyle name="Normal 20 2 2 3 4" xfId="7605" xr:uid="{00000000-0005-0000-0000-0000B11D0000}"/>
    <cellStyle name="Normal 20 2 2 3 5" xfId="7606" xr:uid="{00000000-0005-0000-0000-0000B21D0000}"/>
    <cellStyle name="Normal 20 2 2 4" xfId="7607" xr:uid="{00000000-0005-0000-0000-0000B31D0000}"/>
    <cellStyle name="Normal 20 2 2 4 2" xfId="7608" xr:uid="{00000000-0005-0000-0000-0000B41D0000}"/>
    <cellStyle name="Normal 20 2 2 4 2 2" xfId="7609" xr:uid="{00000000-0005-0000-0000-0000B51D0000}"/>
    <cellStyle name="Normal 20 2 2 4 2 3" xfId="7610" xr:uid="{00000000-0005-0000-0000-0000B61D0000}"/>
    <cellStyle name="Normal 20 2 2 4 3" xfId="7611" xr:uid="{00000000-0005-0000-0000-0000B71D0000}"/>
    <cellStyle name="Normal 20 2 2 4 3 2" xfId="7612" xr:uid="{00000000-0005-0000-0000-0000B81D0000}"/>
    <cellStyle name="Normal 20 2 2 4 3 3" xfId="7613" xr:uid="{00000000-0005-0000-0000-0000B91D0000}"/>
    <cellStyle name="Normal 20 2 2 4 4" xfId="7614" xr:uid="{00000000-0005-0000-0000-0000BA1D0000}"/>
    <cellStyle name="Normal 20 2 2 4 5" xfId="7615" xr:uid="{00000000-0005-0000-0000-0000BB1D0000}"/>
    <cellStyle name="Normal 20 2 2 5" xfId="7616" xr:uid="{00000000-0005-0000-0000-0000BC1D0000}"/>
    <cellStyle name="Normal 20 2 2 5 2" xfId="7617" xr:uid="{00000000-0005-0000-0000-0000BD1D0000}"/>
    <cellStyle name="Normal 20 2 2 5 3" xfId="7618" xr:uid="{00000000-0005-0000-0000-0000BE1D0000}"/>
    <cellStyle name="Normal 20 2 2 6" xfId="7619" xr:uid="{00000000-0005-0000-0000-0000BF1D0000}"/>
    <cellStyle name="Normal 20 2 2 6 2" xfId="7620" xr:uid="{00000000-0005-0000-0000-0000C01D0000}"/>
    <cellStyle name="Normal 20 2 2 6 3" xfId="7621" xr:uid="{00000000-0005-0000-0000-0000C11D0000}"/>
    <cellStyle name="Normal 20 2 2 7" xfId="7622" xr:uid="{00000000-0005-0000-0000-0000C21D0000}"/>
    <cellStyle name="Normal 20 2 2 7 2" xfId="7623" xr:uid="{00000000-0005-0000-0000-0000C31D0000}"/>
    <cellStyle name="Normal 20 2 2 7 3" xfId="7624" xr:uid="{00000000-0005-0000-0000-0000C41D0000}"/>
    <cellStyle name="Normal 20 2 2 8" xfId="7625" xr:uid="{00000000-0005-0000-0000-0000C51D0000}"/>
    <cellStyle name="Normal 20 2 2 9" xfId="7626" xr:uid="{00000000-0005-0000-0000-0000C61D0000}"/>
    <cellStyle name="Normal 20 2 3" xfId="7627" xr:uid="{00000000-0005-0000-0000-0000C71D0000}"/>
    <cellStyle name="Normal 20 2 3 2" xfId="7628" xr:uid="{00000000-0005-0000-0000-0000C81D0000}"/>
    <cellStyle name="Normal 20 2 3 2 2" xfId="7629" xr:uid="{00000000-0005-0000-0000-0000C91D0000}"/>
    <cellStyle name="Normal 20 2 3 2 2 2" xfId="7630" xr:uid="{00000000-0005-0000-0000-0000CA1D0000}"/>
    <cellStyle name="Normal 20 2 3 2 2 3" xfId="7631" xr:uid="{00000000-0005-0000-0000-0000CB1D0000}"/>
    <cellStyle name="Normal 20 2 3 2 3" xfId="7632" xr:uid="{00000000-0005-0000-0000-0000CC1D0000}"/>
    <cellStyle name="Normal 20 2 3 2 3 2" xfId="7633" xr:uid="{00000000-0005-0000-0000-0000CD1D0000}"/>
    <cellStyle name="Normal 20 2 3 2 3 3" xfId="7634" xr:uid="{00000000-0005-0000-0000-0000CE1D0000}"/>
    <cellStyle name="Normal 20 2 3 2 4" xfId="7635" xr:uid="{00000000-0005-0000-0000-0000CF1D0000}"/>
    <cellStyle name="Normal 20 2 3 2 5" xfId="7636" xr:uid="{00000000-0005-0000-0000-0000D01D0000}"/>
    <cellStyle name="Normal 20 2 3 3" xfId="7637" xr:uid="{00000000-0005-0000-0000-0000D11D0000}"/>
    <cellStyle name="Normal 20 2 3 3 2" xfId="7638" xr:uid="{00000000-0005-0000-0000-0000D21D0000}"/>
    <cellStyle name="Normal 20 2 3 3 2 2" xfId="7639" xr:uid="{00000000-0005-0000-0000-0000D31D0000}"/>
    <cellStyle name="Normal 20 2 3 3 2 3" xfId="7640" xr:uid="{00000000-0005-0000-0000-0000D41D0000}"/>
    <cellStyle name="Normal 20 2 3 3 3" xfId="7641" xr:uid="{00000000-0005-0000-0000-0000D51D0000}"/>
    <cellStyle name="Normal 20 2 3 3 3 2" xfId="7642" xr:uid="{00000000-0005-0000-0000-0000D61D0000}"/>
    <cellStyle name="Normal 20 2 3 3 3 3" xfId="7643" xr:uid="{00000000-0005-0000-0000-0000D71D0000}"/>
    <cellStyle name="Normal 20 2 3 3 4" xfId="7644" xr:uid="{00000000-0005-0000-0000-0000D81D0000}"/>
    <cellStyle name="Normal 20 2 3 3 5" xfId="7645" xr:uid="{00000000-0005-0000-0000-0000D91D0000}"/>
    <cellStyle name="Normal 20 2 3 4" xfId="7646" xr:uid="{00000000-0005-0000-0000-0000DA1D0000}"/>
    <cellStyle name="Normal 20 2 3 4 2" xfId="7647" xr:uid="{00000000-0005-0000-0000-0000DB1D0000}"/>
    <cellStyle name="Normal 20 2 3 4 3" xfId="7648" xr:uid="{00000000-0005-0000-0000-0000DC1D0000}"/>
    <cellStyle name="Normal 20 2 3 5" xfId="7649" xr:uid="{00000000-0005-0000-0000-0000DD1D0000}"/>
    <cellStyle name="Normal 20 2 3 5 2" xfId="7650" xr:uid="{00000000-0005-0000-0000-0000DE1D0000}"/>
    <cellStyle name="Normal 20 2 3 5 3" xfId="7651" xr:uid="{00000000-0005-0000-0000-0000DF1D0000}"/>
    <cellStyle name="Normal 20 2 3 6" xfId="7652" xr:uid="{00000000-0005-0000-0000-0000E01D0000}"/>
    <cellStyle name="Normal 20 2 3 7" xfId="7653" xr:uid="{00000000-0005-0000-0000-0000E11D0000}"/>
    <cellStyle name="Normal 20 2 4" xfId="7654" xr:uid="{00000000-0005-0000-0000-0000E21D0000}"/>
    <cellStyle name="Normal 20 2 4 2" xfId="7655" xr:uid="{00000000-0005-0000-0000-0000E31D0000}"/>
    <cellStyle name="Normal 20 2 4 2 2" xfId="7656" xr:uid="{00000000-0005-0000-0000-0000E41D0000}"/>
    <cellStyle name="Normal 20 2 4 2 2 2" xfId="7657" xr:uid="{00000000-0005-0000-0000-0000E51D0000}"/>
    <cellStyle name="Normal 20 2 4 2 2 3" xfId="7658" xr:uid="{00000000-0005-0000-0000-0000E61D0000}"/>
    <cellStyle name="Normal 20 2 4 2 3" xfId="7659" xr:uid="{00000000-0005-0000-0000-0000E71D0000}"/>
    <cellStyle name="Normal 20 2 4 2 3 2" xfId="7660" xr:uid="{00000000-0005-0000-0000-0000E81D0000}"/>
    <cellStyle name="Normal 20 2 4 2 3 3" xfId="7661" xr:uid="{00000000-0005-0000-0000-0000E91D0000}"/>
    <cellStyle name="Normal 20 2 4 2 4" xfId="7662" xr:uid="{00000000-0005-0000-0000-0000EA1D0000}"/>
    <cellStyle name="Normal 20 2 4 2 5" xfId="7663" xr:uid="{00000000-0005-0000-0000-0000EB1D0000}"/>
    <cellStyle name="Normal 20 2 4 3" xfId="7664" xr:uid="{00000000-0005-0000-0000-0000EC1D0000}"/>
    <cellStyle name="Normal 20 2 4 3 2" xfId="7665" xr:uid="{00000000-0005-0000-0000-0000ED1D0000}"/>
    <cellStyle name="Normal 20 2 4 3 2 2" xfId="7666" xr:uid="{00000000-0005-0000-0000-0000EE1D0000}"/>
    <cellStyle name="Normal 20 2 4 3 2 3" xfId="7667" xr:uid="{00000000-0005-0000-0000-0000EF1D0000}"/>
    <cellStyle name="Normal 20 2 4 3 3" xfId="7668" xr:uid="{00000000-0005-0000-0000-0000F01D0000}"/>
    <cellStyle name="Normal 20 2 4 3 4" xfId="7669" xr:uid="{00000000-0005-0000-0000-0000F11D0000}"/>
    <cellStyle name="Normal 20 2 4 4" xfId="7670" xr:uid="{00000000-0005-0000-0000-0000F21D0000}"/>
    <cellStyle name="Normal 20 2 4 4 2" xfId="7671" xr:uid="{00000000-0005-0000-0000-0000F31D0000}"/>
    <cellStyle name="Normal 20 2 4 4 3" xfId="7672" xr:uid="{00000000-0005-0000-0000-0000F41D0000}"/>
    <cellStyle name="Normal 20 2 4 5" xfId="7673" xr:uid="{00000000-0005-0000-0000-0000F51D0000}"/>
    <cellStyle name="Normal 20 2 4 5 2" xfId="7674" xr:uid="{00000000-0005-0000-0000-0000F61D0000}"/>
    <cellStyle name="Normal 20 2 4 5 3" xfId="7675" xr:uid="{00000000-0005-0000-0000-0000F71D0000}"/>
    <cellStyle name="Normal 20 2 4 6" xfId="7676" xr:uid="{00000000-0005-0000-0000-0000F81D0000}"/>
    <cellStyle name="Normal 20 2 4 7" xfId="7677" xr:uid="{00000000-0005-0000-0000-0000F91D0000}"/>
    <cellStyle name="Normal 20 2 5" xfId="7678" xr:uid="{00000000-0005-0000-0000-0000FA1D0000}"/>
    <cellStyle name="Normal 20 2 5 2" xfId="7679" xr:uid="{00000000-0005-0000-0000-0000FB1D0000}"/>
    <cellStyle name="Normal 20 2 5 2 2" xfId="7680" xr:uid="{00000000-0005-0000-0000-0000FC1D0000}"/>
    <cellStyle name="Normal 20 2 5 2 3" xfId="7681" xr:uid="{00000000-0005-0000-0000-0000FD1D0000}"/>
    <cellStyle name="Normal 20 2 5 3" xfId="7682" xr:uid="{00000000-0005-0000-0000-0000FE1D0000}"/>
    <cellStyle name="Normal 20 2 5 3 2" xfId="7683" xr:uid="{00000000-0005-0000-0000-0000FF1D0000}"/>
    <cellStyle name="Normal 20 2 5 3 3" xfId="7684" xr:uid="{00000000-0005-0000-0000-0000001E0000}"/>
    <cellStyle name="Normal 20 2 5 4" xfId="7685" xr:uid="{00000000-0005-0000-0000-0000011E0000}"/>
    <cellStyle name="Normal 20 2 5 5" xfId="7686" xr:uid="{00000000-0005-0000-0000-0000021E0000}"/>
    <cellStyle name="Normal 20 2 6" xfId="7687" xr:uid="{00000000-0005-0000-0000-0000031E0000}"/>
    <cellStyle name="Normal 20 2 6 2" xfId="7688" xr:uid="{00000000-0005-0000-0000-0000041E0000}"/>
    <cellStyle name="Normal 20 2 6 2 2" xfId="7689" xr:uid="{00000000-0005-0000-0000-0000051E0000}"/>
    <cellStyle name="Normal 20 2 6 2 3" xfId="7690" xr:uid="{00000000-0005-0000-0000-0000061E0000}"/>
    <cellStyle name="Normal 20 2 6 3" xfId="7691" xr:uid="{00000000-0005-0000-0000-0000071E0000}"/>
    <cellStyle name="Normal 20 2 6 3 2" xfId="7692" xr:uid="{00000000-0005-0000-0000-0000081E0000}"/>
    <cellStyle name="Normal 20 2 6 3 3" xfId="7693" xr:uid="{00000000-0005-0000-0000-0000091E0000}"/>
    <cellStyle name="Normal 20 2 6 4" xfId="7694" xr:uid="{00000000-0005-0000-0000-00000A1E0000}"/>
    <cellStyle name="Normal 20 2 6 5" xfId="7695" xr:uid="{00000000-0005-0000-0000-00000B1E0000}"/>
    <cellStyle name="Normal 20 2 7" xfId="7696" xr:uid="{00000000-0005-0000-0000-00000C1E0000}"/>
    <cellStyle name="Normal 20 2 7 2" xfId="7697" xr:uid="{00000000-0005-0000-0000-00000D1E0000}"/>
    <cellStyle name="Normal 20 2 7 2 2" xfId="7698" xr:uid="{00000000-0005-0000-0000-00000E1E0000}"/>
    <cellStyle name="Normal 20 2 7 2 3" xfId="7699" xr:uid="{00000000-0005-0000-0000-00000F1E0000}"/>
    <cellStyle name="Normal 20 2 7 3" xfId="7700" xr:uid="{00000000-0005-0000-0000-0000101E0000}"/>
    <cellStyle name="Normal 20 2 7 4" xfId="7701" xr:uid="{00000000-0005-0000-0000-0000111E0000}"/>
    <cellStyle name="Normal 20 2 8" xfId="7702" xr:uid="{00000000-0005-0000-0000-0000121E0000}"/>
    <cellStyle name="Normal 20 2 8 2" xfId="7703" xr:uid="{00000000-0005-0000-0000-0000131E0000}"/>
    <cellStyle name="Normal 20 2 8 3" xfId="7704" xr:uid="{00000000-0005-0000-0000-0000141E0000}"/>
    <cellStyle name="Normal 20 2 9" xfId="7705" xr:uid="{00000000-0005-0000-0000-0000151E0000}"/>
    <cellStyle name="Normal 20 2 9 2" xfId="7706" xr:uid="{00000000-0005-0000-0000-0000161E0000}"/>
    <cellStyle name="Normal 20 2 9 3" xfId="7707" xr:uid="{00000000-0005-0000-0000-0000171E0000}"/>
    <cellStyle name="Normal 20 3" xfId="7708" xr:uid="{00000000-0005-0000-0000-0000181E0000}"/>
    <cellStyle name="Normal 20 3 2" xfId="7709" xr:uid="{00000000-0005-0000-0000-0000191E0000}"/>
    <cellStyle name="Normal 20 4" xfId="7710" xr:uid="{00000000-0005-0000-0000-00001A1E0000}"/>
    <cellStyle name="Normal 21" xfId="7711" xr:uid="{00000000-0005-0000-0000-00001B1E0000}"/>
    <cellStyle name="Normal 21 2" xfId="7712" xr:uid="{00000000-0005-0000-0000-00001C1E0000}"/>
    <cellStyle name="Normal 21 2 10" xfId="7713" xr:uid="{00000000-0005-0000-0000-00001D1E0000}"/>
    <cellStyle name="Normal 21 2 10 2" xfId="7714" xr:uid="{00000000-0005-0000-0000-00001E1E0000}"/>
    <cellStyle name="Normal 21 2 10 3" xfId="7715" xr:uid="{00000000-0005-0000-0000-00001F1E0000}"/>
    <cellStyle name="Normal 21 2 11" xfId="7716" xr:uid="{00000000-0005-0000-0000-0000201E0000}"/>
    <cellStyle name="Normal 21 2 12" xfId="7717" xr:uid="{00000000-0005-0000-0000-0000211E0000}"/>
    <cellStyle name="Normal 21 2 2" xfId="7718" xr:uid="{00000000-0005-0000-0000-0000221E0000}"/>
    <cellStyle name="Normal 21 2 2 2" xfId="7719" xr:uid="{00000000-0005-0000-0000-0000231E0000}"/>
    <cellStyle name="Normal 21 2 2 2 2" xfId="7720" xr:uid="{00000000-0005-0000-0000-0000241E0000}"/>
    <cellStyle name="Normal 21 2 2 2 2 2" xfId="7721" xr:uid="{00000000-0005-0000-0000-0000251E0000}"/>
    <cellStyle name="Normal 21 2 2 2 2 2 2" xfId="7722" xr:uid="{00000000-0005-0000-0000-0000261E0000}"/>
    <cellStyle name="Normal 21 2 2 2 2 2 3" xfId="7723" xr:uid="{00000000-0005-0000-0000-0000271E0000}"/>
    <cellStyle name="Normal 21 2 2 2 2 3" xfId="7724" xr:uid="{00000000-0005-0000-0000-0000281E0000}"/>
    <cellStyle name="Normal 21 2 2 2 2 3 2" xfId="7725" xr:uid="{00000000-0005-0000-0000-0000291E0000}"/>
    <cellStyle name="Normal 21 2 2 2 2 3 3" xfId="7726" xr:uid="{00000000-0005-0000-0000-00002A1E0000}"/>
    <cellStyle name="Normal 21 2 2 2 2 4" xfId="7727" xr:uid="{00000000-0005-0000-0000-00002B1E0000}"/>
    <cellStyle name="Normal 21 2 2 2 2 5" xfId="7728" xr:uid="{00000000-0005-0000-0000-00002C1E0000}"/>
    <cellStyle name="Normal 21 2 2 2 3" xfId="7729" xr:uid="{00000000-0005-0000-0000-00002D1E0000}"/>
    <cellStyle name="Normal 21 2 2 2 3 2" xfId="7730" xr:uid="{00000000-0005-0000-0000-00002E1E0000}"/>
    <cellStyle name="Normal 21 2 2 2 3 2 2" xfId="7731" xr:uid="{00000000-0005-0000-0000-00002F1E0000}"/>
    <cellStyle name="Normal 21 2 2 2 3 2 3" xfId="7732" xr:uid="{00000000-0005-0000-0000-0000301E0000}"/>
    <cellStyle name="Normal 21 2 2 2 3 3" xfId="7733" xr:uid="{00000000-0005-0000-0000-0000311E0000}"/>
    <cellStyle name="Normal 21 2 2 2 3 3 2" xfId="7734" xr:uid="{00000000-0005-0000-0000-0000321E0000}"/>
    <cellStyle name="Normal 21 2 2 2 3 3 3" xfId="7735" xr:uid="{00000000-0005-0000-0000-0000331E0000}"/>
    <cellStyle name="Normal 21 2 2 2 3 4" xfId="7736" xr:uid="{00000000-0005-0000-0000-0000341E0000}"/>
    <cellStyle name="Normal 21 2 2 2 3 5" xfId="7737" xr:uid="{00000000-0005-0000-0000-0000351E0000}"/>
    <cellStyle name="Normal 21 2 2 2 4" xfId="7738" xr:uid="{00000000-0005-0000-0000-0000361E0000}"/>
    <cellStyle name="Normal 21 2 2 2 4 2" xfId="7739" xr:uid="{00000000-0005-0000-0000-0000371E0000}"/>
    <cellStyle name="Normal 21 2 2 2 4 3" xfId="7740" xr:uid="{00000000-0005-0000-0000-0000381E0000}"/>
    <cellStyle name="Normal 21 2 2 2 5" xfId="7741" xr:uid="{00000000-0005-0000-0000-0000391E0000}"/>
    <cellStyle name="Normal 21 2 2 2 5 2" xfId="7742" xr:uid="{00000000-0005-0000-0000-00003A1E0000}"/>
    <cellStyle name="Normal 21 2 2 2 5 3" xfId="7743" xr:uid="{00000000-0005-0000-0000-00003B1E0000}"/>
    <cellStyle name="Normal 21 2 2 2 6" xfId="7744" xr:uid="{00000000-0005-0000-0000-00003C1E0000}"/>
    <cellStyle name="Normal 21 2 2 2 7" xfId="7745" xr:uid="{00000000-0005-0000-0000-00003D1E0000}"/>
    <cellStyle name="Normal 21 2 2 3" xfId="7746" xr:uid="{00000000-0005-0000-0000-00003E1E0000}"/>
    <cellStyle name="Normal 21 2 2 3 2" xfId="7747" xr:uid="{00000000-0005-0000-0000-00003F1E0000}"/>
    <cellStyle name="Normal 21 2 2 3 2 2" xfId="7748" xr:uid="{00000000-0005-0000-0000-0000401E0000}"/>
    <cellStyle name="Normal 21 2 2 3 2 3" xfId="7749" xr:uid="{00000000-0005-0000-0000-0000411E0000}"/>
    <cellStyle name="Normal 21 2 2 3 3" xfId="7750" xr:uid="{00000000-0005-0000-0000-0000421E0000}"/>
    <cellStyle name="Normal 21 2 2 3 3 2" xfId="7751" xr:uid="{00000000-0005-0000-0000-0000431E0000}"/>
    <cellStyle name="Normal 21 2 2 3 3 3" xfId="7752" xr:uid="{00000000-0005-0000-0000-0000441E0000}"/>
    <cellStyle name="Normal 21 2 2 3 4" xfId="7753" xr:uid="{00000000-0005-0000-0000-0000451E0000}"/>
    <cellStyle name="Normal 21 2 2 3 5" xfId="7754" xr:uid="{00000000-0005-0000-0000-0000461E0000}"/>
    <cellStyle name="Normal 21 2 2 4" xfId="7755" xr:uid="{00000000-0005-0000-0000-0000471E0000}"/>
    <cellStyle name="Normal 21 2 2 4 2" xfId="7756" xr:uid="{00000000-0005-0000-0000-0000481E0000}"/>
    <cellStyle name="Normal 21 2 2 4 2 2" xfId="7757" xr:uid="{00000000-0005-0000-0000-0000491E0000}"/>
    <cellStyle name="Normal 21 2 2 4 2 3" xfId="7758" xr:uid="{00000000-0005-0000-0000-00004A1E0000}"/>
    <cellStyle name="Normal 21 2 2 4 3" xfId="7759" xr:uid="{00000000-0005-0000-0000-00004B1E0000}"/>
    <cellStyle name="Normal 21 2 2 4 3 2" xfId="7760" xr:uid="{00000000-0005-0000-0000-00004C1E0000}"/>
    <cellStyle name="Normal 21 2 2 4 3 3" xfId="7761" xr:uid="{00000000-0005-0000-0000-00004D1E0000}"/>
    <cellStyle name="Normal 21 2 2 4 4" xfId="7762" xr:uid="{00000000-0005-0000-0000-00004E1E0000}"/>
    <cellStyle name="Normal 21 2 2 4 5" xfId="7763" xr:uid="{00000000-0005-0000-0000-00004F1E0000}"/>
    <cellStyle name="Normal 21 2 2 5" xfId="7764" xr:uid="{00000000-0005-0000-0000-0000501E0000}"/>
    <cellStyle name="Normal 21 2 2 5 2" xfId="7765" xr:uid="{00000000-0005-0000-0000-0000511E0000}"/>
    <cellStyle name="Normal 21 2 2 5 3" xfId="7766" xr:uid="{00000000-0005-0000-0000-0000521E0000}"/>
    <cellStyle name="Normal 21 2 2 6" xfId="7767" xr:uid="{00000000-0005-0000-0000-0000531E0000}"/>
    <cellStyle name="Normal 21 2 2 6 2" xfId="7768" xr:uid="{00000000-0005-0000-0000-0000541E0000}"/>
    <cellStyle name="Normal 21 2 2 6 3" xfId="7769" xr:uid="{00000000-0005-0000-0000-0000551E0000}"/>
    <cellStyle name="Normal 21 2 2 7" xfId="7770" xr:uid="{00000000-0005-0000-0000-0000561E0000}"/>
    <cellStyle name="Normal 21 2 2 7 2" xfId="7771" xr:uid="{00000000-0005-0000-0000-0000571E0000}"/>
    <cellStyle name="Normal 21 2 2 7 3" xfId="7772" xr:uid="{00000000-0005-0000-0000-0000581E0000}"/>
    <cellStyle name="Normal 21 2 2 8" xfId="7773" xr:uid="{00000000-0005-0000-0000-0000591E0000}"/>
    <cellStyle name="Normal 21 2 2 9" xfId="7774" xr:uid="{00000000-0005-0000-0000-00005A1E0000}"/>
    <cellStyle name="Normal 21 2 3" xfId="7775" xr:uid="{00000000-0005-0000-0000-00005B1E0000}"/>
    <cellStyle name="Normal 21 2 3 2" xfId="7776" xr:uid="{00000000-0005-0000-0000-00005C1E0000}"/>
    <cellStyle name="Normal 21 2 3 2 2" xfId="7777" xr:uid="{00000000-0005-0000-0000-00005D1E0000}"/>
    <cellStyle name="Normal 21 2 3 2 2 2" xfId="7778" xr:uid="{00000000-0005-0000-0000-00005E1E0000}"/>
    <cellStyle name="Normal 21 2 3 2 2 3" xfId="7779" xr:uid="{00000000-0005-0000-0000-00005F1E0000}"/>
    <cellStyle name="Normal 21 2 3 2 3" xfId="7780" xr:uid="{00000000-0005-0000-0000-0000601E0000}"/>
    <cellStyle name="Normal 21 2 3 2 3 2" xfId="7781" xr:uid="{00000000-0005-0000-0000-0000611E0000}"/>
    <cellStyle name="Normal 21 2 3 2 3 3" xfId="7782" xr:uid="{00000000-0005-0000-0000-0000621E0000}"/>
    <cellStyle name="Normal 21 2 3 2 4" xfId="7783" xr:uid="{00000000-0005-0000-0000-0000631E0000}"/>
    <cellStyle name="Normal 21 2 3 2 5" xfId="7784" xr:uid="{00000000-0005-0000-0000-0000641E0000}"/>
    <cellStyle name="Normal 21 2 3 3" xfId="7785" xr:uid="{00000000-0005-0000-0000-0000651E0000}"/>
    <cellStyle name="Normal 21 2 3 3 2" xfId="7786" xr:uid="{00000000-0005-0000-0000-0000661E0000}"/>
    <cellStyle name="Normal 21 2 3 3 2 2" xfId="7787" xr:uid="{00000000-0005-0000-0000-0000671E0000}"/>
    <cellStyle name="Normal 21 2 3 3 2 3" xfId="7788" xr:uid="{00000000-0005-0000-0000-0000681E0000}"/>
    <cellStyle name="Normal 21 2 3 3 3" xfId="7789" xr:uid="{00000000-0005-0000-0000-0000691E0000}"/>
    <cellStyle name="Normal 21 2 3 3 3 2" xfId="7790" xr:uid="{00000000-0005-0000-0000-00006A1E0000}"/>
    <cellStyle name="Normal 21 2 3 3 3 3" xfId="7791" xr:uid="{00000000-0005-0000-0000-00006B1E0000}"/>
    <cellStyle name="Normal 21 2 3 3 4" xfId="7792" xr:uid="{00000000-0005-0000-0000-00006C1E0000}"/>
    <cellStyle name="Normal 21 2 3 3 5" xfId="7793" xr:uid="{00000000-0005-0000-0000-00006D1E0000}"/>
    <cellStyle name="Normal 21 2 3 4" xfId="7794" xr:uid="{00000000-0005-0000-0000-00006E1E0000}"/>
    <cellStyle name="Normal 21 2 3 4 2" xfId="7795" xr:uid="{00000000-0005-0000-0000-00006F1E0000}"/>
    <cellStyle name="Normal 21 2 3 4 3" xfId="7796" xr:uid="{00000000-0005-0000-0000-0000701E0000}"/>
    <cellStyle name="Normal 21 2 3 5" xfId="7797" xr:uid="{00000000-0005-0000-0000-0000711E0000}"/>
    <cellStyle name="Normal 21 2 3 5 2" xfId="7798" xr:uid="{00000000-0005-0000-0000-0000721E0000}"/>
    <cellStyle name="Normal 21 2 3 5 3" xfId="7799" xr:uid="{00000000-0005-0000-0000-0000731E0000}"/>
    <cellStyle name="Normal 21 2 3 6" xfId="7800" xr:uid="{00000000-0005-0000-0000-0000741E0000}"/>
    <cellStyle name="Normal 21 2 3 7" xfId="7801" xr:uid="{00000000-0005-0000-0000-0000751E0000}"/>
    <cellStyle name="Normal 21 2 4" xfId="7802" xr:uid="{00000000-0005-0000-0000-0000761E0000}"/>
    <cellStyle name="Normal 21 2 4 2" xfId="7803" xr:uid="{00000000-0005-0000-0000-0000771E0000}"/>
    <cellStyle name="Normal 21 2 4 2 2" xfId="7804" xr:uid="{00000000-0005-0000-0000-0000781E0000}"/>
    <cellStyle name="Normal 21 2 4 2 2 2" xfId="7805" xr:uid="{00000000-0005-0000-0000-0000791E0000}"/>
    <cellStyle name="Normal 21 2 4 2 2 3" xfId="7806" xr:uid="{00000000-0005-0000-0000-00007A1E0000}"/>
    <cellStyle name="Normal 21 2 4 2 3" xfId="7807" xr:uid="{00000000-0005-0000-0000-00007B1E0000}"/>
    <cellStyle name="Normal 21 2 4 2 3 2" xfId="7808" xr:uid="{00000000-0005-0000-0000-00007C1E0000}"/>
    <cellStyle name="Normal 21 2 4 2 3 3" xfId="7809" xr:uid="{00000000-0005-0000-0000-00007D1E0000}"/>
    <cellStyle name="Normal 21 2 4 2 4" xfId="7810" xr:uid="{00000000-0005-0000-0000-00007E1E0000}"/>
    <cellStyle name="Normal 21 2 4 2 5" xfId="7811" xr:uid="{00000000-0005-0000-0000-00007F1E0000}"/>
    <cellStyle name="Normal 21 2 4 3" xfId="7812" xr:uid="{00000000-0005-0000-0000-0000801E0000}"/>
    <cellStyle name="Normal 21 2 4 3 2" xfId="7813" xr:uid="{00000000-0005-0000-0000-0000811E0000}"/>
    <cellStyle name="Normal 21 2 4 3 2 2" xfId="7814" xr:uid="{00000000-0005-0000-0000-0000821E0000}"/>
    <cellStyle name="Normal 21 2 4 3 2 3" xfId="7815" xr:uid="{00000000-0005-0000-0000-0000831E0000}"/>
    <cellStyle name="Normal 21 2 4 3 3" xfId="7816" xr:uid="{00000000-0005-0000-0000-0000841E0000}"/>
    <cellStyle name="Normal 21 2 4 3 4" xfId="7817" xr:uid="{00000000-0005-0000-0000-0000851E0000}"/>
    <cellStyle name="Normal 21 2 4 4" xfId="7818" xr:uid="{00000000-0005-0000-0000-0000861E0000}"/>
    <cellStyle name="Normal 21 2 4 4 2" xfId="7819" xr:uid="{00000000-0005-0000-0000-0000871E0000}"/>
    <cellStyle name="Normal 21 2 4 4 3" xfId="7820" xr:uid="{00000000-0005-0000-0000-0000881E0000}"/>
    <cellStyle name="Normal 21 2 4 5" xfId="7821" xr:uid="{00000000-0005-0000-0000-0000891E0000}"/>
    <cellStyle name="Normal 21 2 4 5 2" xfId="7822" xr:uid="{00000000-0005-0000-0000-00008A1E0000}"/>
    <cellStyle name="Normal 21 2 4 5 3" xfId="7823" xr:uid="{00000000-0005-0000-0000-00008B1E0000}"/>
    <cellStyle name="Normal 21 2 4 6" xfId="7824" xr:uid="{00000000-0005-0000-0000-00008C1E0000}"/>
    <cellStyle name="Normal 21 2 4 7" xfId="7825" xr:uid="{00000000-0005-0000-0000-00008D1E0000}"/>
    <cellStyle name="Normal 21 2 5" xfId="7826" xr:uid="{00000000-0005-0000-0000-00008E1E0000}"/>
    <cellStyle name="Normal 21 2 5 2" xfId="7827" xr:uid="{00000000-0005-0000-0000-00008F1E0000}"/>
    <cellStyle name="Normal 21 2 5 2 2" xfId="7828" xr:uid="{00000000-0005-0000-0000-0000901E0000}"/>
    <cellStyle name="Normal 21 2 5 2 3" xfId="7829" xr:uid="{00000000-0005-0000-0000-0000911E0000}"/>
    <cellStyle name="Normal 21 2 5 3" xfId="7830" xr:uid="{00000000-0005-0000-0000-0000921E0000}"/>
    <cellStyle name="Normal 21 2 5 3 2" xfId="7831" xr:uid="{00000000-0005-0000-0000-0000931E0000}"/>
    <cellStyle name="Normal 21 2 5 3 3" xfId="7832" xr:uid="{00000000-0005-0000-0000-0000941E0000}"/>
    <cellStyle name="Normal 21 2 5 4" xfId="7833" xr:uid="{00000000-0005-0000-0000-0000951E0000}"/>
    <cellStyle name="Normal 21 2 5 5" xfId="7834" xr:uid="{00000000-0005-0000-0000-0000961E0000}"/>
    <cellStyle name="Normal 21 2 6" xfId="7835" xr:uid="{00000000-0005-0000-0000-0000971E0000}"/>
    <cellStyle name="Normal 21 2 6 2" xfId="7836" xr:uid="{00000000-0005-0000-0000-0000981E0000}"/>
    <cellStyle name="Normal 21 2 6 2 2" xfId="7837" xr:uid="{00000000-0005-0000-0000-0000991E0000}"/>
    <cellStyle name="Normal 21 2 6 2 3" xfId="7838" xr:uid="{00000000-0005-0000-0000-00009A1E0000}"/>
    <cellStyle name="Normal 21 2 6 3" xfId="7839" xr:uid="{00000000-0005-0000-0000-00009B1E0000}"/>
    <cellStyle name="Normal 21 2 6 3 2" xfId="7840" xr:uid="{00000000-0005-0000-0000-00009C1E0000}"/>
    <cellStyle name="Normal 21 2 6 3 3" xfId="7841" xr:uid="{00000000-0005-0000-0000-00009D1E0000}"/>
    <cellStyle name="Normal 21 2 6 4" xfId="7842" xr:uid="{00000000-0005-0000-0000-00009E1E0000}"/>
    <cellStyle name="Normal 21 2 6 5" xfId="7843" xr:uid="{00000000-0005-0000-0000-00009F1E0000}"/>
    <cellStyle name="Normal 21 2 7" xfId="7844" xr:uid="{00000000-0005-0000-0000-0000A01E0000}"/>
    <cellStyle name="Normal 21 2 7 2" xfId="7845" xr:uid="{00000000-0005-0000-0000-0000A11E0000}"/>
    <cellStyle name="Normal 21 2 7 2 2" xfId="7846" xr:uid="{00000000-0005-0000-0000-0000A21E0000}"/>
    <cellStyle name="Normal 21 2 7 2 3" xfId="7847" xr:uid="{00000000-0005-0000-0000-0000A31E0000}"/>
    <cellStyle name="Normal 21 2 7 3" xfId="7848" xr:uid="{00000000-0005-0000-0000-0000A41E0000}"/>
    <cellStyle name="Normal 21 2 7 4" xfId="7849" xr:uid="{00000000-0005-0000-0000-0000A51E0000}"/>
    <cellStyle name="Normal 21 2 8" xfId="7850" xr:uid="{00000000-0005-0000-0000-0000A61E0000}"/>
    <cellStyle name="Normal 21 2 8 2" xfId="7851" xr:uid="{00000000-0005-0000-0000-0000A71E0000}"/>
    <cellStyle name="Normal 21 2 8 3" xfId="7852" xr:uid="{00000000-0005-0000-0000-0000A81E0000}"/>
    <cellStyle name="Normal 21 2 9" xfId="7853" xr:uid="{00000000-0005-0000-0000-0000A91E0000}"/>
    <cellStyle name="Normal 21 2 9 2" xfId="7854" xr:uid="{00000000-0005-0000-0000-0000AA1E0000}"/>
    <cellStyle name="Normal 21 2 9 3" xfId="7855" xr:uid="{00000000-0005-0000-0000-0000AB1E0000}"/>
    <cellStyle name="Normal 21 3" xfId="7856" xr:uid="{00000000-0005-0000-0000-0000AC1E0000}"/>
    <cellStyle name="Normal 21 3 2" xfId="7857" xr:uid="{00000000-0005-0000-0000-0000AD1E0000}"/>
    <cellStyle name="Normal 21 4" xfId="7858" xr:uid="{00000000-0005-0000-0000-0000AE1E0000}"/>
    <cellStyle name="Normal 22" xfId="7859" xr:uid="{00000000-0005-0000-0000-0000AF1E0000}"/>
    <cellStyle name="Normal 22 2" xfId="7860" xr:uid="{00000000-0005-0000-0000-0000B01E0000}"/>
    <cellStyle name="Normal 22 2 10" xfId="7861" xr:uid="{00000000-0005-0000-0000-0000B11E0000}"/>
    <cellStyle name="Normal 22 2 10 2" xfId="7862" xr:uid="{00000000-0005-0000-0000-0000B21E0000}"/>
    <cellStyle name="Normal 22 2 10 3" xfId="7863" xr:uid="{00000000-0005-0000-0000-0000B31E0000}"/>
    <cellStyle name="Normal 22 2 11" xfId="7864" xr:uid="{00000000-0005-0000-0000-0000B41E0000}"/>
    <cellStyle name="Normal 22 2 12" xfId="7865" xr:uid="{00000000-0005-0000-0000-0000B51E0000}"/>
    <cellStyle name="Normal 22 2 2" xfId="7866" xr:uid="{00000000-0005-0000-0000-0000B61E0000}"/>
    <cellStyle name="Normal 22 2 2 2" xfId="7867" xr:uid="{00000000-0005-0000-0000-0000B71E0000}"/>
    <cellStyle name="Normal 22 2 2 2 2" xfId="7868" xr:uid="{00000000-0005-0000-0000-0000B81E0000}"/>
    <cellStyle name="Normal 22 2 2 2 2 2" xfId="7869" xr:uid="{00000000-0005-0000-0000-0000B91E0000}"/>
    <cellStyle name="Normal 22 2 2 2 2 2 2" xfId="7870" xr:uid="{00000000-0005-0000-0000-0000BA1E0000}"/>
    <cellStyle name="Normal 22 2 2 2 2 2 3" xfId="7871" xr:uid="{00000000-0005-0000-0000-0000BB1E0000}"/>
    <cellStyle name="Normal 22 2 2 2 2 3" xfId="7872" xr:uid="{00000000-0005-0000-0000-0000BC1E0000}"/>
    <cellStyle name="Normal 22 2 2 2 2 3 2" xfId="7873" xr:uid="{00000000-0005-0000-0000-0000BD1E0000}"/>
    <cellStyle name="Normal 22 2 2 2 2 3 3" xfId="7874" xr:uid="{00000000-0005-0000-0000-0000BE1E0000}"/>
    <cellStyle name="Normal 22 2 2 2 2 4" xfId="7875" xr:uid="{00000000-0005-0000-0000-0000BF1E0000}"/>
    <cellStyle name="Normal 22 2 2 2 2 5" xfId="7876" xr:uid="{00000000-0005-0000-0000-0000C01E0000}"/>
    <cellStyle name="Normal 22 2 2 2 3" xfId="7877" xr:uid="{00000000-0005-0000-0000-0000C11E0000}"/>
    <cellStyle name="Normal 22 2 2 2 3 2" xfId="7878" xr:uid="{00000000-0005-0000-0000-0000C21E0000}"/>
    <cellStyle name="Normal 22 2 2 2 3 2 2" xfId="7879" xr:uid="{00000000-0005-0000-0000-0000C31E0000}"/>
    <cellStyle name="Normal 22 2 2 2 3 2 3" xfId="7880" xr:uid="{00000000-0005-0000-0000-0000C41E0000}"/>
    <cellStyle name="Normal 22 2 2 2 3 3" xfId="7881" xr:uid="{00000000-0005-0000-0000-0000C51E0000}"/>
    <cellStyle name="Normal 22 2 2 2 3 3 2" xfId="7882" xr:uid="{00000000-0005-0000-0000-0000C61E0000}"/>
    <cellStyle name="Normal 22 2 2 2 3 3 3" xfId="7883" xr:uid="{00000000-0005-0000-0000-0000C71E0000}"/>
    <cellStyle name="Normal 22 2 2 2 3 4" xfId="7884" xr:uid="{00000000-0005-0000-0000-0000C81E0000}"/>
    <cellStyle name="Normal 22 2 2 2 3 5" xfId="7885" xr:uid="{00000000-0005-0000-0000-0000C91E0000}"/>
    <cellStyle name="Normal 22 2 2 2 4" xfId="7886" xr:uid="{00000000-0005-0000-0000-0000CA1E0000}"/>
    <cellStyle name="Normal 22 2 2 2 4 2" xfId="7887" xr:uid="{00000000-0005-0000-0000-0000CB1E0000}"/>
    <cellStyle name="Normal 22 2 2 2 4 3" xfId="7888" xr:uid="{00000000-0005-0000-0000-0000CC1E0000}"/>
    <cellStyle name="Normal 22 2 2 2 5" xfId="7889" xr:uid="{00000000-0005-0000-0000-0000CD1E0000}"/>
    <cellStyle name="Normal 22 2 2 2 5 2" xfId="7890" xr:uid="{00000000-0005-0000-0000-0000CE1E0000}"/>
    <cellStyle name="Normal 22 2 2 2 5 3" xfId="7891" xr:uid="{00000000-0005-0000-0000-0000CF1E0000}"/>
    <cellStyle name="Normal 22 2 2 2 6" xfId="7892" xr:uid="{00000000-0005-0000-0000-0000D01E0000}"/>
    <cellStyle name="Normal 22 2 2 2 7" xfId="7893" xr:uid="{00000000-0005-0000-0000-0000D11E0000}"/>
    <cellStyle name="Normal 22 2 2 3" xfId="7894" xr:uid="{00000000-0005-0000-0000-0000D21E0000}"/>
    <cellStyle name="Normal 22 2 2 3 2" xfId="7895" xr:uid="{00000000-0005-0000-0000-0000D31E0000}"/>
    <cellStyle name="Normal 22 2 2 3 2 2" xfId="7896" xr:uid="{00000000-0005-0000-0000-0000D41E0000}"/>
    <cellStyle name="Normal 22 2 2 3 2 3" xfId="7897" xr:uid="{00000000-0005-0000-0000-0000D51E0000}"/>
    <cellStyle name="Normal 22 2 2 3 3" xfId="7898" xr:uid="{00000000-0005-0000-0000-0000D61E0000}"/>
    <cellStyle name="Normal 22 2 2 3 3 2" xfId="7899" xr:uid="{00000000-0005-0000-0000-0000D71E0000}"/>
    <cellStyle name="Normal 22 2 2 3 3 3" xfId="7900" xr:uid="{00000000-0005-0000-0000-0000D81E0000}"/>
    <cellStyle name="Normal 22 2 2 3 4" xfId="7901" xr:uid="{00000000-0005-0000-0000-0000D91E0000}"/>
    <cellStyle name="Normal 22 2 2 3 5" xfId="7902" xr:uid="{00000000-0005-0000-0000-0000DA1E0000}"/>
    <cellStyle name="Normal 22 2 2 4" xfId="7903" xr:uid="{00000000-0005-0000-0000-0000DB1E0000}"/>
    <cellStyle name="Normal 22 2 2 4 2" xfId="7904" xr:uid="{00000000-0005-0000-0000-0000DC1E0000}"/>
    <cellStyle name="Normal 22 2 2 4 2 2" xfId="7905" xr:uid="{00000000-0005-0000-0000-0000DD1E0000}"/>
    <cellStyle name="Normal 22 2 2 4 2 3" xfId="7906" xr:uid="{00000000-0005-0000-0000-0000DE1E0000}"/>
    <cellStyle name="Normal 22 2 2 4 3" xfId="7907" xr:uid="{00000000-0005-0000-0000-0000DF1E0000}"/>
    <cellStyle name="Normal 22 2 2 4 3 2" xfId="7908" xr:uid="{00000000-0005-0000-0000-0000E01E0000}"/>
    <cellStyle name="Normal 22 2 2 4 3 3" xfId="7909" xr:uid="{00000000-0005-0000-0000-0000E11E0000}"/>
    <cellStyle name="Normal 22 2 2 4 4" xfId="7910" xr:uid="{00000000-0005-0000-0000-0000E21E0000}"/>
    <cellStyle name="Normal 22 2 2 4 5" xfId="7911" xr:uid="{00000000-0005-0000-0000-0000E31E0000}"/>
    <cellStyle name="Normal 22 2 2 5" xfId="7912" xr:uid="{00000000-0005-0000-0000-0000E41E0000}"/>
    <cellStyle name="Normal 22 2 2 5 2" xfId="7913" xr:uid="{00000000-0005-0000-0000-0000E51E0000}"/>
    <cellStyle name="Normal 22 2 2 5 3" xfId="7914" xr:uid="{00000000-0005-0000-0000-0000E61E0000}"/>
    <cellStyle name="Normal 22 2 2 6" xfId="7915" xr:uid="{00000000-0005-0000-0000-0000E71E0000}"/>
    <cellStyle name="Normal 22 2 2 6 2" xfId="7916" xr:uid="{00000000-0005-0000-0000-0000E81E0000}"/>
    <cellStyle name="Normal 22 2 2 6 3" xfId="7917" xr:uid="{00000000-0005-0000-0000-0000E91E0000}"/>
    <cellStyle name="Normal 22 2 2 7" xfId="7918" xr:uid="{00000000-0005-0000-0000-0000EA1E0000}"/>
    <cellStyle name="Normal 22 2 2 7 2" xfId="7919" xr:uid="{00000000-0005-0000-0000-0000EB1E0000}"/>
    <cellStyle name="Normal 22 2 2 7 3" xfId="7920" xr:uid="{00000000-0005-0000-0000-0000EC1E0000}"/>
    <cellStyle name="Normal 22 2 2 8" xfId="7921" xr:uid="{00000000-0005-0000-0000-0000ED1E0000}"/>
    <cellStyle name="Normal 22 2 2 9" xfId="7922" xr:uid="{00000000-0005-0000-0000-0000EE1E0000}"/>
    <cellStyle name="Normal 22 2 3" xfId="7923" xr:uid="{00000000-0005-0000-0000-0000EF1E0000}"/>
    <cellStyle name="Normal 22 2 3 2" xfId="7924" xr:uid="{00000000-0005-0000-0000-0000F01E0000}"/>
    <cellStyle name="Normal 22 2 3 2 2" xfId="7925" xr:uid="{00000000-0005-0000-0000-0000F11E0000}"/>
    <cellStyle name="Normal 22 2 3 2 2 2" xfId="7926" xr:uid="{00000000-0005-0000-0000-0000F21E0000}"/>
    <cellStyle name="Normal 22 2 3 2 2 3" xfId="7927" xr:uid="{00000000-0005-0000-0000-0000F31E0000}"/>
    <cellStyle name="Normal 22 2 3 2 3" xfId="7928" xr:uid="{00000000-0005-0000-0000-0000F41E0000}"/>
    <cellStyle name="Normal 22 2 3 2 3 2" xfId="7929" xr:uid="{00000000-0005-0000-0000-0000F51E0000}"/>
    <cellStyle name="Normal 22 2 3 2 3 3" xfId="7930" xr:uid="{00000000-0005-0000-0000-0000F61E0000}"/>
    <cellStyle name="Normal 22 2 3 2 4" xfId="7931" xr:uid="{00000000-0005-0000-0000-0000F71E0000}"/>
    <cellStyle name="Normal 22 2 3 2 5" xfId="7932" xr:uid="{00000000-0005-0000-0000-0000F81E0000}"/>
    <cellStyle name="Normal 22 2 3 3" xfId="7933" xr:uid="{00000000-0005-0000-0000-0000F91E0000}"/>
    <cellStyle name="Normal 22 2 3 3 2" xfId="7934" xr:uid="{00000000-0005-0000-0000-0000FA1E0000}"/>
    <cellStyle name="Normal 22 2 3 3 2 2" xfId="7935" xr:uid="{00000000-0005-0000-0000-0000FB1E0000}"/>
    <cellStyle name="Normal 22 2 3 3 2 3" xfId="7936" xr:uid="{00000000-0005-0000-0000-0000FC1E0000}"/>
    <cellStyle name="Normal 22 2 3 3 3" xfId="7937" xr:uid="{00000000-0005-0000-0000-0000FD1E0000}"/>
    <cellStyle name="Normal 22 2 3 3 3 2" xfId="7938" xr:uid="{00000000-0005-0000-0000-0000FE1E0000}"/>
    <cellStyle name="Normal 22 2 3 3 3 3" xfId="7939" xr:uid="{00000000-0005-0000-0000-0000FF1E0000}"/>
    <cellStyle name="Normal 22 2 3 3 4" xfId="7940" xr:uid="{00000000-0005-0000-0000-0000001F0000}"/>
    <cellStyle name="Normal 22 2 3 3 5" xfId="7941" xr:uid="{00000000-0005-0000-0000-0000011F0000}"/>
    <cellStyle name="Normal 22 2 3 4" xfId="7942" xr:uid="{00000000-0005-0000-0000-0000021F0000}"/>
    <cellStyle name="Normal 22 2 3 4 2" xfId="7943" xr:uid="{00000000-0005-0000-0000-0000031F0000}"/>
    <cellStyle name="Normal 22 2 3 4 3" xfId="7944" xr:uid="{00000000-0005-0000-0000-0000041F0000}"/>
    <cellStyle name="Normal 22 2 3 5" xfId="7945" xr:uid="{00000000-0005-0000-0000-0000051F0000}"/>
    <cellStyle name="Normal 22 2 3 5 2" xfId="7946" xr:uid="{00000000-0005-0000-0000-0000061F0000}"/>
    <cellStyle name="Normal 22 2 3 5 3" xfId="7947" xr:uid="{00000000-0005-0000-0000-0000071F0000}"/>
    <cellStyle name="Normal 22 2 3 6" xfId="7948" xr:uid="{00000000-0005-0000-0000-0000081F0000}"/>
    <cellStyle name="Normal 22 2 3 7" xfId="7949" xr:uid="{00000000-0005-0000-0000-0000091F0000}"/>
    <cellStyle name="Normal 22 2 4" xfId="7950" xr:uid="{00000000-0005-0000-0000-00000A1F0000}"/>
    <cellStyle name="Normal 22 2 4 2" xfId="7951" xr:uid="{00000000-0005-0000-0000-00000B1F0000}"/>
    <cellStyle name="Normal 22 2 4 2 2" xfId="7952" xr:uid="{00000000-0005-0000-0000-00000C1F0000}"/>
    <cellStyle name="Normal 22 2 4 2 2 2" xfId="7953" xr:uid="{00000000-0005-0000-0000-00000D1F0000}"/>
    <cellStyle name="Normal 22 2 4 2 2 3" xfId="7954" xr:uid="{00000000-0005-0000-0000-00000E1F0000}"/>
    <cellStyle name="Normal 22 2 4 2 3" xfId="7955" xr:uid="{00000000-0005-0000-0000-00000F1F0000}"/>
    <cellStyle name="Normal 22 2 4 2 3 2" xfId="7956" xr:uid="{00000000-0005-0000-0000-0000101F0000}"/>
    <cellStyle name="Normal 22 2 4 2 3 3" xfId="7957" xr:uid="{00000000-0005-0000-0000-0000111F0000}"/>
    <cellStyle name="Normal 22 2 4 2 4" xfId="7958" xr:uid="{00000000-0005-0000-0000-0000121F0000}"/>
    <cellStyle name="Normal 22 2 4 2 5" xfId="7959" xr:uid="{00000000-0005-0000-0000-0000131F0000}"/>
    <cellStyle name="Normal 22 2 4 3" xfId="7960" xr:uid="{00000000-0005-0000-0000-0000141F0000}"/>
    <cellStyle name="Normal 22 2 4 3 2" xfId="7961" xr:uid="{00000000-0005-0000-0000-0000151F0000}"/>
    <cellStyle name="Normal 22 2 4 3 2 2" xfId="7962" xr:uid="{00000000-0005-0000-0000-0000161F0000}"/>
    <cellStyle name="Normal 22 2 4 3 2 3" xfId="7963" xr:uid="{00000000-0005-0000-0000-0000171F0000}"/>
    <cellStyle name="Normal 22 2 4 3 3" xfId="7964" xr:uid="{00000000-0005-0000-0000-0000181F0000}"/>
    <cellStyle name="Normal 22 2 4 3 4" xfId="7965" xr:uid="{00000000-0005-0000-0000-0000191F0000}"/>
    <cellStyle name="Normal 22 2 4 4" xfId="7966" xr:uid="{00000000-0005-0000-0000-00001A1F0000}"/>
    <cellStyle name="Normal 22 2 4 4 2" xfId="7967" xr:uid="{00000000-0005-0000-0000-00001B1F0000}"/>
    <cellStyle name="Normal 22 2 4 4 3" xfId="7968" xr:uid="{00000000-0005-0000-0000-00001C1F0000}"/>
    <cellStyle name="Normal 22 2 4 5" xfId="7969" xr:uid="{00000000-0005-0000-0000-00001D1F0000}"/>
    <cellStyle name="Normal 22 2 4 5 2" xfId="7970" xr:uid="{00000000-0005-0000-0000-00001E1F0000}"/>
    <cellStyle name="Normal 22 2 4 5 3" xfId="7971" xr:uid="{00000000-0005-0000-0000-00001F1F0000}"/>
    <cellStyle name="Normal 22 2 4 6" xfId="7972" xr:uid="{00000000-0005-0000-0000-0000201F0000}"/>
    <cellStyle name="Normal 22 2 4 7" xfId="7973" xr:uid="{00000000-0005-0000-0000-0000211F0000}"/>
    <cellStyle name="Normal 22 2 5" xfId="7974" xr:uid="{00000000-0005-0000-0000-0000221F0000}"/>
    <cellStyle name="Normal 22 2 5 2" xfId="7975" xr:uid="{00000000-0005-0000-0000-0000231F0000}"/>
    <cellStyle name="Normal 22 2 5 2 2" xfId="7976" xr:uid="{00000000-0005-0000-0000-0000241F0000}"/>
    <cellStyle name="Normal 22 2 5 2 3" xfId="7977" xr:uid="{00000000-0005-0000-0000-0000251F0000}"/>
    <cellStyle name="Normal 22 2 5 3" xfId="7978" xr:uid="{00000000-0005-0000-0000-0000261F0000}"/>
    <cellStyle name="Normal 22 2 5 3 2" xfId="7979" xr:uid="{00000000-0005-0000-0000-0000271F0000}"/>
    <cellStyle name="Normal 22 2 5 3 3" xfId="7980" xr:uid="{00000000-0005-0000-0000-0000281F0000}"/>
    <cellStyle name="Normal 22 2 5 4" xfId="7981" xr:uid="{00000000-0005-0000-0000-0000291F0000}"/>
    <cellStyle name="Normal 22 2 5 5" xfId="7982" xr:uid="{00000000-0005-0000-0000-00002A1F0000}"/>
    <cellStyle name="Normal 22 2 6" xfId="7983" xr:uid="{00000000-0005-0000-0000-00002B1F0000}"/>
    <cellStyle name="Normal 22 2 6 2" xfId="7984" xr:uid="{00000000-0005-0000-0000-00002C1F0000}"/>
    <cellStyle name="Normal 22 2 6 2 2" xfId="7985" xr:uid="{00000000-0005-0000-0000-00002D1F0000}"/>
    <cellStyle name="Normal 22 2 6 2 3" xfId="7986" xr:uid="{00000000-0005-0000-0000-00002E1F0000}"/>
    <cellStyle name="Normal 22 2 6 3" xfId="7987" xr:uid="{00000000-0005-0000-0000-00002F1F0000}"/>
    <cellStyle name="Normal 22 2 6 3 2" xfId="7988" xr:uid="{00000000-0005-0000-0000-0000301F0000}"/>
    <cellStyle name="Normal 22 2 6 3 3" xfId="7989" xr:uid="{00000000-0005-0000-0000-0000311F0000}"/>
    <cellStyle name="Normal 22 2 6 4" xfId="7990" xr:uid="{00000000-0005-0000-0000-0000321F0000}"/>
    <cellStyle name="Normal 22 2 6 5" xfId="7991" xr:uid="{00000000-0005-0000-0000-0000331F0000}"/>
    <cellStyle name="Normal 22 2 7" xfId="7992" xr:uid="{00000000-0005-0000-0000-0000341F0000}"/>
    <cellStyle name="Normal 22 2 7 2" xfId="7993" xr:uid="{00000000-0005-0000-0000-0000351F0000}"/>
    <cellStyle name="Normal 22 2 7 2 2" xfId="7994" xr:uid="{00000000-0005-0000-0000-0000361F0000}"/>
    <cellStyle name="Normal 22 2 7 2 3" xfId="7995" xr:uid="{00000000-0005-0000-0000-0000371F0000}"/>
    <cellStyle name="Normal 22 2 7 3" xfId="7996" xr:uid="{00000000-0005-0000-0000-0000381F0000}"/>
    <cellStyle name="Normal 22 2 7 4" xfId="7997" xr:uid="{00000000-0005-0000-0000-0000391F0000}"/>
    <cellStyle name="Normal 22 2 8" xfId="7998" xr:uid="{00000000-0005-0000-0000-00003A1F0000}"/>
    <cellStyle name="Normal 22 2 8 2" xfId="7999" xr:uid="{00000000-0005-0000-0000-00003B1F0000}"/>
    <cellStyle name="Normal 22 2 8 3" xfId="8000" xr:uid="{00000000-0005-0000-0000-00003C1F0000}"/>
    <cellStyle name="Normal 22 2 9" xfId="8001" xr:uid="{00000000-0005-0000-0000-00003D1F0000}"/>
    <cellStyle name="Normal 22 2 9 2" xfId="8002" xr:uid="{00000000-0005-0000-0000-00003E1F0000}"/>
    <cellStyle name="Normal 22 2 9 3" xfId="8003" xr:uid="{00000000-0005-0000-0000-00003F1F0000}"/>
    <cellStyle name="Normal 22 3" xfId="8004" xr:uid="{00000000-0005-0000-0000-0000401F0000}"/>
    <cellStyle name="Normal 22 3 2" xfId="8005" xr:uid="{00000000-0005-0000-0000-0000411F0000}"/>
    <cellStyle name="Normal 22 4" xfId="8006" xr:uid="{00000000-0005-0000-0000-0000421F0000}"/>
    <cellStyle name="Normal 23" xfId="8007" xr:uid="{00000000-0005-0000-0000-0000431F0000}"/>
    <cellStyle name="Normal 23 2" xfId="8008" xr:uid="{00000000-0005-0000-0000-0000441F0000}"/>
    <cellStyle name="Normal 23 2 2" xfId="8009" xr:uid="{00000000-0005-0000-0000-0000451F0000}"/>
    <cellStyle name="Normal 23 3" xfId="8010" xr:uid="{00000000-0005-0000-0000-0000461F0000}"/>
    <cellStyle name="Normal 24" xfId="8011" xr:uid="{00000000-0005-0000-0000-0000471F0000}"/>
    <cellStyle name="Normal 24 2" xfId="8012" xr:uid="{00000000-0005-0000-0000-0000481F0000}"/>
    <cellStyle name="Normal 24 2 2" xfId="8013" xr:uid="{00000000-0005-0000-0000-0000491F0000}"/>
    <cellStyle name="Normal 24 3" xfId="8014" xr:uid="{00000000-0005-0000-0000-00004A1F0000}"/>
    <cellStyle name="Normal 25" xfId="8015" xr:uid="{00000000-0005-0000-0000-00004B1F0000}"/>
    <cellStyle name="Normal 25 10" xfId="8016" xr:uid="{00000000-0005-0000-0000-00004C1F0000}"/>
    <cellStyle name="Normal 25 10 2" xfId="8017" xr:uid="{00000000-0005-0000-0000-00004D1F0000}"/>
    <cellStyle name="Normal 25 10 3" xfId="8018" xr:uid="{00000000-0005-0000-0000-00004E1F0000}"/>
    <cellStyle name="Normal 25 11" xfId="8019" xr:uid="{00000000-0005-0000-0000-00004F1F0000}"/>
    <cellStyle name="Normal 25 11 2" xfId="8020" xr:uid="{00000000-0005-0000-0000-0000501F0000}"/>
    <cellStyle name="Normal 25 11 3" xfId="8021" xr:uid="{00000000-0005-0000-0000-0000511F0000}"/>
    <cellStyle name="Normal 25 12" xfId="8022" xr:uid="{00000000-0005-0000-0000-0000521F0000}"/>
    <cellStyle name="Normal 25 13" xfId="8023" xr:uid="{00000000-0005-0000-0000-0000531F0000}"/>
    <cellStyle name="Normal 25 2" xfId="8024" xr:uid="{00000000-0005-0000-0000-0000541F0000}"/>
    <cellStyle name="Normal 25 2 2" xfId="8025" xr:uid="{00000000-0005-0000-0000-0000551F0000}"/>
    <cellStyle name="Normal 25 2 2 2" xfId="8026" xr:uid="{00000000-0005-0000-0000-0000561F0000}"/>
    <cellStyle name="Normal 25 2 2 2 2" xfId="8027" xr:uid="{00000000-0005-0000-0000-0000571F0000}"/>
    <cellStyle name="Normal 25 2 2 2 2 2" xfId="8028" xr:uid="{00000000-0005-0000-0000-0000581F0000}"/>
    <cellStyle name="Normal 25 2 2 2 2 3" xfId="8029" xr:uid="{00000000-0005-0000-0000-0000591F0000}"/>
    <cellStyle name="Normal 25 2 2 2 3" xfId="8030" xr:uid="{00000000-0005-0000-0000-00005A1F0000}"/>
    <cellStyle name="Normal 25 2 2 2 3 2" xfId="8031" xr:uid="{00000000-0005-0000-0000-00005B1F0000}"/>
    <cellStyle name="Normal 25 2 2 2 3 3" xfId="8032" xr:uid="{00000000-0005-0000-0000-00005C1F0000}"/>
    <cellStyle name="Normal 25 2 2 2 4" xfId="8033" xr:uid="{00000000-0005-0000-0000-00005D1F0000}"/>
    <cellStyle name="Normal 25 2 2 2 5" xfId="8034" xr:uid="{00000000-0005-0000-0000-00005E1F0000}"/>
    <cellStyle name="Normal 25 2 2 3" xfId="8035" xr:uid="{00000000-0005-0000-0000-00005F1F0000}"/>
    <cellStyle name="Normal 25 2 2 3 2" xfId="8036" xr:uid="{00000000-0005-0000-0000-0000601F0000}"/>
    <cellStyle name="Normal 25 2 2 3 2 2" xfId="8037" xr:uid="{00000000-0005-0000-0000-0000611F0000}"/>
    <cellStyle name="Normal 25 2 2 3 2 3" xfId="8038" xr:uid="{00000000-0005-0000-0000-0000621F0000}"/>
    <cellStyle name="Normal 25 2 2 3 3" xfId="8039" xr:uid="{00000000-0005-0000-0000-0000631F0000}"/>
    <cellStyle name="Normal 25 2 2 3 3 2" xfId="8040" xr:uid="{00000000-0005-0000-0000-0000641F0000}"/>
    <cellStyle name="Normal 25 2 2 3 3 3" xfId="8041" xr:uid="{00000000-0005-0000-0000-0000651F0000}"/>
    <cellStyle name="Normal 25 2 2 3 4" xfId="8042" xr:uid="{00000000-0005-0000-0000-0000661F0000}"/>
    <cellStyle name="Normal 25 2 2 3 5" xfId="8043" xr:uid="{00000000-0005-0000-0000-0000671F0000}"/>
    <cellStyle name="Normal 25 2 2 4" xfId="8044" xr:uid="{00000000-0005-0000-0000-0000681F0000}"/>
    <cellStyle name="Normal 25 2 2 4 2" xfId="8045" xr:uid="{00000000-0005-0000-0000-0000691F0000}"/>
    <cellStyle name="Normal 25 2 2 4 3" xfId="8046" xr:uid="{00000000-0005-0000-0000-00006A1F0000}"/>
    <cellStyle name="Normal 25 2 2 5" xfId="8047" xr:uid="{00000000-0005-0000-0000-00006B1F0000}"/>
    <cellStyle name="Normal 25 2 2 5 2" xfId="8048" xr:uid="{00000000-0005-0000-0000-00006C1F0000}"/>
    <cellStyle name="Normal 25 2 2 5 3" xfId="8049" xr:uid="{00000000-0005-0000-0000-00006D1F0000}"/>
    <cellStyle name="Normal 25 2 2 6" xfId="8050" xr:uid="{00000000-0005-0000-0000-00006E1F0000}"/>
    <cellStyle name="Normal 25 2 2 7" xfId="8051" xr:uid="{00000000-0005-0000-0000-00006F1F0000}"/>
    <cellStyle name="Normal 25 2 3" xfId="8052" xr:uid="{00000000-0005-0000-0000-0000701F0000}"/>
    <cellStyle name="Normal 25 2 3 2" xfId="8053" xr:uid="{00000000-0005-0000-0000-0000711F0000}"/>
    <cellStyle name="Normal 25 2 3 2 2" xfId="8054" xr:uid="{00000000-0005-0000-0000-0000721F0000}"/>
    <cellStyle name="Normal 25 2 3 2 3" xfId="8055" xr:uid="{00000000-0005-0000-0000-0000731F0000}"/>
    <cellStyle name="Normal 25 2 3 3" xfId="8056" xr:uid="{00000000-0005-0000-0000-0000741F0000}"/>
    <cellStyle name="Normal 25 2 3 3 2" xfId="8057" xr:uid="{00000000-0005-0000-0000-0000751F0000}"/>
    <cellStyle name="Normal 25 2 3 3 3" xfId="8058" xr:uid="{00000000-0005-0000-0000-0000761F0000}"/>
    <cellStyle name="Normal 25 2 3 4" xfId="8059" xr:uid="{00000000-0005-0000-0000-0000771F0000}"/>
    <cellStyle name="Normal 25 2 3 5" xfId="8060" xr:uid="{00000000-0005-0000-0000-0000781F0000}"/>
    <cellStyle name="Normal 25 2 4" xfId="8061" xr:uid="{00000000-0005-0000-0000-0000791F0000}"/>
    <cellStyle name="Normal 25 2 4 2" xfId="8062" xr:uid="{00000000-0005-0000-0000-00007A1F0000}"/>
    <cellStyle name="Normal 25 2 4 2 2" xfId="8063" xr:uid="{00000000-0005-0000-0000-00007B1F0000}"/>
    <cellStyle name="Normal 25 2 4 2 3" xfId="8064" xr:uid="{00000000-0005-0000-0000-00007C1F0000}"/>
    <cellStyle name="Normal 25 2 4 3" xfId="8065" xr:uid="{00000000-0005-0000-0000-00007D1F0000}"/>
    <cellStyle name="Normal 25 2 4 3 2" xfId="8066" xr:uid="{00000000-0005-0000-0000-00007E1F0000}"/>
    <cellStyle name="Normal 25 2 4 3 3" xfId="8067" xr:uid="{00000000-0005-0000-0000-00007F1F0000}"/>
    <cellStyle name="Normal 25 2 4 4" xfId="8068" xr:uid="{00000000-0005-0000-0000-0000801F0000}"/>
    <cellStyle name="Normal 25 2 4 5" xfId="8069" xr:uid="{00000000-0005-0000-0000-0000811F0000}"/>
    <cellStyle name="Normal 25 2 5" xfId="8070" xr:uid="{00000000-0005-0000-0000-0000821F0000}"/>
    <cellStyle name="Normal 25 2 5 2" xfId="8071" xr:uid="{00000000-0005-0000-0000-0000831F0000}"/>
    <cellStyle name="Normal 25 2 5 3" xfId="8072" xr:uid="{00000000-0005-0000-0000-0000841F0000}"/>
    <cellStyle name="Normal 25 2 6" xfId="8073" xr:uid="{00000000-0005-0000-0000-0000851F0000}"/>
    <cellStyle name="Normal 25 2 6 2" xfId="8074" xr:uid="{00000000-0005-0000-0000-0000861F0000}"/>
    <cellStyle name="Normal 25 2 6 3" xfId="8075" xr:uid="{00000000-0005-0000-0000-0000871F0000}"/>
    <cellStyle name="Normal 25 2 7" xfId="8076" xr:uid="{00000000-0005-0000-0000-0000881F0000}"/>
    <cellStyle name="Normal 25 2 7 2" xfId="8077" xr:uid="{00000000-0005-0000-0000-0000891F0000}"/>
    <cellStyle name="Normal 25 2 7 3" xfId="8078" xr:uid="{00000000-0005-0000-0000-00008A1F0000}"/>
    <cellStyle name="Normal 25 2 8" xfId="8079" xr:uid="{00000000-0005-0000-0000-00008B1F0000}"/>
    <cellStyle name="Normal 25 2 9" xfId="8080" xr:uid="{00000000-0005-0000-0000-00008C1F0000}"/>
    <cellStyle name="Normal 25 3" xfId="8081" xr:uid="{00000000-0005-0000-0000-00008D1F0000}"/>
    <cellStyle name="Normal 25 3 2" xfId="8082" xr:uid="{00000000-0005-0000-0000-00008E1F0000}"/>
    <cellStyle name="Normal 25 3 2 2" xfId="8083" xr:uid="{00000000-0005-0000-0000-00008F1F0000}"/>
    <cellStyle name="Normal 25 3 2 2 2" xfId="8084" xr:uid="{00000000-0005-0000-0000-0000901F0000}"/>
    <cellStyle name="Normal 25 3 2 2 3" xfId="8085" xr:uid="{00000000-0005-0000-0000-0000911F0000}"/>
    <cellStyle name="Normal 25 3 2 3" xfId="8086" xr:uid="{00000000-0005-0000-0000-0000921F0000}"/>
    <cellStyle name="Normal 25 3 2 3 2" xfId="8087" xr:uid="{00000000-0005-0000-0000-0000931F0000}"/>
    <cellStyle name="Normal 25 3 2 3 3" xfId="8088" xr:uid="{00000000-0005-0000-0000-0000941F0000}"/>
    <cellStyle name="Normal 25 3 2 4" xfId="8089" xr:uid="{00000000-0005-0000-0000-0000951F0000}"/>
    <cellStyle name="Normal 25 3 2 5" xfId="8090" xr:uid="{00000000-0005-0000-0000-0000961F0000}"/>
    <cellStyle name="Normal 25 3 3" xfId="8091" xr:uid="{00000000-0005-0000-0000-0000971F0000}"/>
    <cellStyle name="Normal 25 3 3 2" xfId="8092" xr:uid="{00000000-0005-0000-0000-0000981F0000}"/>
    <cellStyle name="Normal 25 3 3 2 2" xfId="8093" xr:uid="{00000000-0005-0000-0000-0000991F0000}"/>
    <cellStyle name="Normal 25 3 3 2 3" xfId="8094" xr:uid="{00000000-0005-0000-0000-00009A1F0000}"/>
    <cellStyle name="Normal 25 3 3 3" xfId="8095" xr:uid="{00000000-0005-0000-0000-00009B1F0000}"/>
    <cellStyle name="Normal 25 3 3 3 2" xfId="8096" xr:uid="{00000000-0005-0000-0000-00009C1F0000}"/>
    <cellStyle name="Normal 25 3 3 3 3" xfId="8097" xr:uid="{00000000-0005-0000-0000-00009D1F0000}"/>
    <cellStyle name="Normal 25 3 3 4" xfId="8098" xr:uid="{00000000-0005-0000-0000-00009E1F0000}"/>
    <cellStyle name="Normal 25 3 3 5" xfId="8099" xr:uid="{00000000-0005-0000-0000-00009F1F0000}"/>
    <cellStyle name="Normal 25 3 4" xfId="8100" xr:uid="{00000000-0005-0000-0000-0000A01F0000}"/>
    <cellStyle name="Normal 25 3 4 2" xfId="8101" xr:uid="{00000000-0005-0000-0000-0000A11F0000}"/>
    <cellStyle name="Normal 25 3 4 3" xfId="8102" xr:uid="{00000000-0005-0000-0000-0000A21F0000}"/>
    <cellStyle name="Normal 25 3 5" xfId="8103" xr:uid="{00000000-0005-0000-0000-0000A31F0000}"/>
    <cellStyle name="Normal 25 3 5 2" xfId="8104" xr:uid="{00000000-0005-0000-0000-0000A41F0000}"/>
    <cellStyle name="Normal 25 3 5 3" xfId="8105" xr:uid="{00000000-0005-0000-0000-0000A51F0000}"/>
    <cellStyle name="Normal 25 3 6" xfId="8106" xr:uid="{00000000-0005-0000-0000-0000A61F0000}"/>
    <cellStyle name="Normal 25 3 7" xfId="8107" xr:uid="{00000000-0005-0000-0000-0000A71F0000}"/>
    <cellStyle name="Normal 25 4" xfId="8108" xr:uid="{00000000-0005-0000-0000-0000A81F0000}"/>
    <cellStyle name="Normal 25 4 2" xfId="8109" xr:uid="{00000000-0005-0000-0000-0000A91F0000}"/>
    <cellStyle name="Normal 25 4 2 2" xfId="8110" xr:uid="{00000000-0005-0000-0000-0000AA1F0000}"/>
    <cellStyle name="Normal 25 4 2 2 2" xfId="8111" xr:uid="{00000000-0005-0000-0000-0000AB1F0000}"/>
    <cellStyle name="Normal 25 4 2 2 3" xfId="8112" xr:uid="{00000000-0005-0000-0000-0000AC1F0000}"/>
    <cellStyle name="Normal 25 4 2 3" xfId="8113" xr:uid="{00000000-0005-0000-0000-0000AD1F0000}"/>
    <cellStyle name="Normal 25 4 2 3 2" xfId="8114" xr:uid="{00000000-0005-0000-0000-0000AE1F0000}"/>
    <cellStyle name="Normal 25 4 2 3 3" xfId="8115" xr:uid="{00000000-0005-0000-0000-0000AF1F0000}"/>
    <cellStyle name="Normal 25 4 2 4" xfId="8116" xr:uid="{00000000-0005-0000-0000-0000B01F0000}"/>
    <cellStyle name="Normal 25 4 2 5" xfId="8117" xr:uid="{00000000-0005-0000-0000-0000B11F0000}"/>
    <cellStyle name="Normal 25 4 3" xfId="8118" xr:uid="{00000000-0005-0000-0000-0000B21F0000}"/>
    <cellStyle name="Normal 25 4 3 2" xfId="8119" xr:uid="{00000000-0005-0000-0000-0000B31F0000}"/>
    <cellStyle name="Normal 25 4 3 2 2" xfId="8120" xr:uid="{00000000-0005-0000-0000-0000B41F0000}"/>
    <cellStyle name="Normal 25 4 3 2 3" xfId="8121" xr:uid="{00000000-0005-0000-0000-0000B51F0000}"/>
    <cellStyle name="Normal 25 4 3 3" xfId="8122" xr:uid="{00000000-0005-0000-0000-0000B61F0000}"/>
    <cellStyle name="Normal 25 4 3 4" xfId="8123" xr:uid="{00000000-0005-0000-0000-0000B71F0000}"/>
    <cellStyle name="Normal 25 4 4" xfId="8124" xr:uid="{00000000-0005-0000-0000-0000B81F0000}"/>
    <cellStyle name="Normal 25 4 4 2" xfId="8125" xr:uid="{00000000-0005-0000-0000-0000B91F0000}"/>
    <cellStyle name="Normal 25 4 4 3" xfId="8126" xr:uid="{00000000-0005-0000-0000-0000BA1F0000}"/>
    <cellStyle name="Normal 25 4 5" xfId="8127" xr:uid="{00000000-0005-0000-0000-0000BB1F0000}"/>
    <cellStyle name="Normal 25 4 5 2" xfId="8128" xr:uid="{00000000-0005-0000-0000-0000BC1F0000}"/>
    <cellStyle name="Normal 25 4 5 3" xfId="8129" xr:uid="{00000000-0005-0000-0000-0000BD1F0000}"/>
    <cellStyle name="Normal 25 4 6" xfId="8130" xr:uid="{00000000-0005-0000-0000-0000BE1F0000}"/>
    <cellStyle name="Normal 25 4 7" xfId="8131" xr:uid="{00000000-0005-0000-0000-0000BF1F0000}"/>
    <cellStyle name="Normal 25 5" xfId="8132" xr:uid="{00000000-0005-0000-0000-0000C01F0000}"/>
    <cellStyle name="Normal 25 5 2" xfId="8133" xr:uid="{00000000-0005-0000-0000-0000C11F0000}"/>
    <cellStyle name="Normal 25 5 2 2" xfId="8134" xr:uid="{00000000-0005-0000-0000-0000C21F0000}"/>
    <cellStyle name="Normal 25 5 2 3" xfId="8135" xr:uid="{00000000-0005-0000-0000-0000C31F0000}"/>
    <cellStyle name="Normal 25 5 3" xfId="8136" xr:uid="{00000000-0005-0000-0000-0000C41F0000}"/>
    <cellStyle name="Normal 25 5 3 2" xfId="8137" xr:uid="{00000000-0005-0000-0000-0000C51F0000}"/>
    <cellStyle name="Normal 25 5 3 3" xfId="8138" xr:uid="{00000000-0005-0000-0000-0000C61F0000}"/>
    <cellStyle name="Normal 25 5 4" xfId="8139" xr:uid="{00000000-0005-0000-0000-0000C71F0000}"/>
    <cellStyle name="Normal 25 5 5" xfId="8140" xr:uid="{00000000-0005-0000-0000-0000C81F0000}"/>
    <cellStyle name="Normal 25 6" xfId="8141" xr:uid="{00000000-0005-0000-0000-0000C91F0000}"/>
    <cellStyle name="Normal 25 6 2" xfId="8142" xr:uid="{00000000-0005-0000-0000-0000CA1F0000}"/>
    <cellStyle name="Normal 25 6 2 2" xfId="8143" xr:uid="{00000000-0005-0000-0000-0000CB1F0000}"/>
    <cellStyle name="Normal 25 6 2 3" xfId="8144" xr:uid="{00000000-0005-0000-0000-0000CC1F0000}"/>
    <cellStyle name="Normal 25 6 3" xfId="8145" xr:uid="{00000000-0005-0000-0000-0000CD1F0000}"/>
    <cellStyle name="Normal 25 6 3 2" xfId="8146" xr:uid="{00000000-0005-0000-0000-0000CE1F0000}"/>
    <cellStyle name="Normal 25 6 3 3" xfId="8147" xr:uid="{00000000-0005-0000-0000-0000CF1F0000}"/>
    <cellStyle name="Normal 25 6 4" xfId="8148" xr:uid="{00000000-0005-0000-0000-0000D01F0000}"/>
    <cellStyle name="Normal 25 6 5" xfId="8149" xr:uid="{00000000-0005-0000-0000-0000D11F0000}"/>
    <cellStyle name="Normal 25 7" xfId="8150" xr:uid="{00000000-0005-0000-0000-0000D21F0000}"/>
    <cellStyle name="Normal 25 7 2" xfId="8151" xr:uid="{00000000-0005-0000-0000-0000D31F0000}"/>
    <cellStyle name="Normal 25 7 2 2" xfId="8152" xr:uid="{00000000-0005-0000-0000-0000D41F0000}"/>
    <cellStyle name="Normal 25 7 2 3" xfId="8153" xr:uid="{00000000-0005-0000-0000-0000D51F0000}"/>
    <cellStyle name="Normal 25 7 3" xfId="8154" xr:uid="{00000000-0005-0000-0000-0000D61F0000}"/>
    <cellStyle name="Normal 25 7 4" xfId="8155" xr:uid="{00000000-0005-0000-0000-0000D71F0000}"/>
    <cellStyle name="Normal 25 8" xfId="8156" xr:uid="{00000000-0005-0000-0000-0000D81F0000}"/>
    <cellStyle name="Normal 25 8 2" xfId="8157" xr:uid="{00000000-0005-0000-0000-0000D91F0000}"/>
    <cellStyle name="Normal 25 8 3" xfId="8158" xr:uid="{00000000-0005-0000-0000-0000DA1F0000}"/>
    <cellStyle name="Normal 25 9" xfId="8159" xr:uid="{00000000-0005-0000-0000-0000DB1F0000}"/>
    <cellStyle name="Normal 25 9 2" xfId="8160" xr:uid="{00000000-0005-0000-0000-0000DC1F0000}"/>
    <cellStyle name="Normal 25 9 3" xfId="8161" xr:uid="{00000000-0005-0000-0000-0000DD1F0000}"/>
    <cellStyle name="Normal 26" xfId="8162" xr:uid="{00000000-0005-0000-0000-0000DE1F0000}"/>
    <cellStyle name="Normal 26 10" xfId="8163" xr:uid="{00000000-0005-0000-0000-0000DF1F0000}"/>
    <cellStyle name="Normal 26 10 2" xfId="8164" xr:uid="{00000000-0005-0000-0000-0000E01F0000}"/>
    <cellStyle name="Normal 26 10 3" xfId="8165" xr:uid="{00000000-0005-0000-0000-0000E11F0000}"/>
    <cellStyle name="Normal 26 11" xfId="8166" xr:uid="{00000000-0005-0000-0000-0000E21F0000}"/>
    <cellStyle name="Normal 26 11 2" xfId="8167" xr:uid="{00000000-0005-0000-0000-0000E31F0000}"/>
    <cellStyle name="Normal 26 11 3" xfId="8168" xr:uid="{00000000-0005-0000-0000-0000E41F0000}"/>
    <cellStyle name="Normal 26 12" xfId="8169" xr:uid="{00000000-0005-0000-0000-0000E51F0000}"/>
    <cellStyle name="Normal 26 13" xfId="8170" xr:uid="{00000000-0005-0000-0000-0000E61F0000}"/>
    <cellStyle name="Normal 26 2" xfId="8171" xr:uid="{00000000-0005-0000-0000-0000E71F0000}"/>
    <cellStyle name="Normal 26 2 2" xfId="8172" xr:uid="{00000000-0005-0000-0000-0000E81F0000}"/>
    <cellStyle name="Normal 26 2 2 2" xfId="8173" xr:uid="{00000000-0005-0000-0000-0000E91F0000}"/>
    <cellStyle name="Normal 26 2 2 2 2" xfId="8174" xr:uid="{00000000-0005-0000-0000-0000EA1F0000}"/>
    <cellStyle name="Normal 26 2 2 2 2 2" xfId="8175" xr:uid="{00000000-0005-0000-0000-0000EB1F0000}"/>
    <cellStyle name="Normal 26 2 2 2 2 3" xfId="8176" xr:uid="{00000000-0005-0000-0000-0000EC1F0000}"/>
    <cellStyle name="Normal 26 2 2 2 3" xfId="8177" xr:uid="{00000000-0005-0000-0000-0000ED1F0000}"/>
    <cellStyle name="Normal 26 2 2 2 3 2" xfId="8178" xr:uid="{00000000-0005-0000-0000-0000EE1F0000}"/>
    <cellStyle name="Normal 26 2 2 2 3 3" xfId="8179" xr:uid="{00000000-0005-0000-0000-0000EF1F0000}"/>
    <cellStyle name="Normal 26 2 2 2 4" xfId="8180" xr:uid="{00000000-0005-0000-0000-0000F01F0000}"/>
    <cellStyle name="Normal 26 2 2 2 5" xfId="8181" xr:uid="{00000000-0005-0000-0000-0000F11F0000}"/>
    <cellStyle name="Normal 26 2 2 3" xfId="8182" xr:uid="{00000000-0005-0000-0000-0000F21F0000}"/>
    <cellStyle name="Normal 26 2 2 3 2" xfId="8183" xr:uid="{00000000-0005-0000-0000-0000F31F0000}"/>
    <cellStyle name="Normal 26 2 2 3 2 2" xfId="8184" xr:uid="{00000000-0005-0000-0000-0000F41F0000}"/>
    <cellStyle name="Normal 26 2 2 3 2 3" xfId="8185" xr:uid="{00000000-0005-0000-0000-0000F51F0000}"/>
    <cellStyle name="Normal 26 2 2 3 3" xfId="8186" xr:uid="{00000000-0005-0000-0000-0000F61F0000}"/>
    <cellStyle name="Normal 26 2 2 3 3 2" xfId="8187" xr:uid="{00000000-0005-0000-0000-0000F71F0000}"/>
    <cellStyle name="Normal 26 2 2 3 3 3" xfId="8188" xr:uid="{00000000-0005-0000-0000-0000F81F0000}"/>
    <cellStyle name="Normal 26 2 2 3 4" xfId="8189" xr:uid="{00000000-0005-0000-0000-0000F91F0000}"/>
    <cellStyle name="Normal 26 2 2 3 5" xfId="8190" xr:uid="{00000000-0005-0000-0000-0000FA1F0000}"/>
    <cellStyle name="Normal 26 2 2 4" xfId="8191" xr:uid="{00000000-0005-0000-0000-0000FB1F0000}"/>
    <cellStyle name="Normal 26 2 2 4 2" xfId="8192" xr:uid="{00000000-0005-0000-0000-0000FC1F0000}"/>
    <cellStyle name="Normal 26 2 2 4 3" xfId="8193" xr:uid="{00000000-0005-0000-0000-0000FD1F0000}"/>
    <cellStyle name="Normal 26 2 2 5" xfId="8194" xr:uid="{00000000-0005-0000-0000-0000FE1F0000}"/>
    <cellStyle name="Normal 26 2 2 5 2" xfId="8195" xr:uid="{00000000-0005-0000-0000-0000FF1F0000}"/>
    <cellStyle name="Normal 26 2 2 5 3" xfId="8196" xr:uid="{00000000-0005-0000-0000-000000200000}"/>
    <cellStyle name="Normal 26 2 2 6" xfId="8197" xr:uid="{00000000-0005-0000-0000-000001200000}"/>
    <cellStyle name="Normal 26 2 2 7" xfId="8198" xr:uid="{00000000-0005-0000-0000-000002200000}"/>
    <cellStyle name="Normal 26 2 3" xfId="8199" xr:uid="{00000000-0005-0000-0000-000003200000}"/>
    <cellStyle name="Normal 26 2 3 2" xfId="8200" xr:uid="{00000000-0005-0000-0000-000004200000}"/>
    <cellStyle name="Normal 26 2 3 2 2" xfId="8201" xr:uid="{00000000-0005-0000-0000-000005200000}"/>
    <cellStyle name="Normal 26 2 3 2 3" xfId="8202" xr:uid="{00000000-0005-0000-0000-000006200000}"/>
    <cellStyle name="Normal 26 2 3 3" xfId="8203" xr:uid="{00000000-0005-0000-0000-000007200000}"/>
    <cellStyle name="Normal 26 2 3 3 2" xfId="8204" xr:uid="{00000000-0005-0000-0000-000008200000}"/>
    <cellStyle name="Normal 26 2 3 3 3" xfId="8205" xr:uid="{00000000-0005-0000-0000-000009200000}"/>
    <cellStyle name="Normal 26 2 3 4" xfId="8206" xr:uid="{00000000-0005-0000-0000-00000A200000}"/>
    <cellStyle name="Normal 26 2 3 5" xfId="8207" xr:uid="{00000000-0005-0000-0000-00000B200000}"/>
    <cellStyle name="Normal 26 2 4" xfId="8208" xr:uid="{00000000-0005-0000-0000-00000C200000}"/>
    <cellStyle name="Normal 26 2 4 2" xfId="8209" xr:uid="{00000000-0005-0000-0000-00000D200000}"/>
    <cellStyle name="Normal 26 2 4 2 2" xfId="8210" xr:uid="{00000000-0005-0000-0000-00000E200000}"/>
    <cellStyle name="Normal 26 2 4 2 3" xfId="8211" xr:uid="{00000000-0005-0000-0000-00000F200000}"/>
    <cellStyle name="Normal 26 2 4 3" xfId="8212" xr:uid="{00000000-0005-0000-0000-000010200000}"/>
    <cellStyle name="Normal 26 2 4 3 2" xfId="8213" xr:uid="{00000000-0005-0000-0000-000011200000}"/>
    <cellStyle name="Normal 26 2 4 3 3" xfId="8214" xr:uid="{00000000-0005-0000-0000-000012200000}"/>
    <cellStyle name="Normal 26 2 4 4" xfId="8215" xr:uid="{00000000-0005-0000-0000-000013200000}"/>
    <cellStyle name="Normal 26 2 4 5" xfId="8216" xr:uid="{00000000-0005-0000-0000-000014200000}"/>
    <cellStyle name="Normal 26 2 5" xfId="8217" xr:uid="{00000000-0005-0000-0000-000015200000}"/>
    <cellStyle name="Normal 26 2 5 2" xfId="8218" xr:uid="{00000000-0005-0000-0000-000016200000}"/>
    <cellStyle name="Normal 26 2 5 3" xfId="8219" xr:uid="{00000000-0005-0000-0000-000017200000}"/>
    <cellStyle name="Normal 26 2 6" xfId="8220" xr:uid="{00000000-0005-0000-0000-000018200000}"/>
    <cellStyle name="Normal 26 2 6 2" xfId="8221" xr:uid="{00000000-0005-0000-0000-000019200000}"/>
    <cellStyle name="Normal 26 2 6 3" xfId="8222" xr:uid="{00000000-0005-0000-0000-00001A200000}"/>
    <cellStyle name="Normal 26 2 7" xfId="8223" xr:uid="{00000000-0005-0000-0000-00001B200000}"/>
    <cellStyle name="Normal 26 2 7 2" xfId="8224" xr:uid="{00000000-0005-0000-0000-00001C200000}"/>
    <cellStyle name="Normal 26 2 7 3" xfId="8225" xr:uid="{00000000-0005-0000-0000-00001D200000}"/>
    <cellStyle name="Normal 26 2 8" xfId="8226" xr:uid="{00000000-0005-0000-0000-00001E200000}"/>
    <cellStyle name="Normal 26 2 9" xfId="8227" xr:uid="{00000000-0005-0000-0000-00001F200000}"/>
    <cellStyle name="Normal 26 3" xfId="8228" xr:uid="{00000000-0005-0000-0000-000020200000}"/>
    <cellStyle name="Normal 26 3 2" xfId="8229" xr:uid="{00000000-0005-0000-0000-000021200000}"/>
    <cellStyle name="Normal 26 3 2 2" xfId="8230" xr:uid="{00000000-0005-0000-0000-000022200000}"/>
    <cellStyle name="Normal 26 3 2 2 2" xfId="8231" xr:uid="{00000000-0005-0000-0000-000023200000}"/>
    <cellStyle name="Normal 26 3 2 2 3" xfId="8232" xr:uid="{00000000-0005-0000-0000-000024200000}"/>
    <cellStyle name="Normal 26 3 2 3" xfId="8233" xr:uid="{00000000-0005-0000-0000-000025200000}"/>
    <cellStyle name="Normal 26 3 2 3 2" xfId="8234" xr:uid="{00000000-0005-0000-0000-000026200000}"/>
    <cellStyle name="Normal 26 3 2 3 3" xfId="8235" xr:uid="{00000000-0005-0000-0000-000027200000}"/>
    <cellStyle name="Normal 26 3 2 4" xfId="8236" xr:uid="{00000000-0005-0000-0000-000028200000}"/>
    <cellStyle name="Normal 26 3 2 5" xfId="8237" xr:uid="{00000000-0005-0000-0000-000029200000}"/>
    <cellStyle name="Normal 26 3 3" xfId="8238" xr:uid="{00000000-0005-0000-0000-00002A200000}"/>
    <cellStyle name="Normal 26 3 3 2" xfId="8239" xr:uid="{00000000-0005-0000-0000-00002B200000}"/>
    <cellStyle name="Normal 26 3 3 2 2" xfId="8240" xr:uid="{00000000-0005-0000-0000-00002C200000}"/>
    <cellStyle name="Normal 26 3 3 2 3" xfId="8241" xr:uid="{00000000-0005-0000-0000-00002D200000}"/>
    <cellStyle name="Normal 26 3 3 3" xfId="8242" xr:uid="{00000000-0005-0000-0000-00002E200000}"/>
    <cellStyle name="Normal 26 3 3 3 2" xfId="8243" xr:uid="{00000000-0005-0000-0000-00002F200000}"/>
    <cellStyle name="Normal 26 3 3 3 3" xfId="8244" xr:uid="{00000000-0005-0000-0000-000030200000}"/>
    <cellStyle name="Normal 26 3 3 4" xfId="8245" xr:uid="{00000000-0005-0000-0000-000031200000}"/>
    <cellStyle name="Normal 26 3 3 5" xfId="8246" xr:uid="{00000000-0005-0000-0000-000032200000}"/>
    <cellStyle name="Normal 26 3 4" xfId="8247" xr:uid="{00000000-0005-0000-0000-000033200000}"/>
    <cellStyle name="Normal 26 3 4 2" xfId="8248" xr:uid="{00000000-0005-0000-0000-000034200000}"/>
    <cellStyle name="Normal 26 3 4 3" xfId="8249" xr:uid="{00000000-0005-0000-0000-000035200000}"/>
    <cellStyle name="Normal 26 3 5" xfId="8250" xr:uid="{00000000-0005-0000-0000-000036200000}"/>
    <cellStyle name="Normal 26 3 5 2" xfId="8251" xr:uid="{00000000-0005-0000-0000-000037200000}"/>
    <cellStyle name="Normal 26 3 5 3" xfId="8252" xr:uid="{00000000-0005-0000-0000-000038200000}"/>
    <cellStyle name="Normal 26 3 6" xfId="8253" xr:uid="{00000000-0005-0000-0000-000039200000}"/>
    <cellStyle name="Normal 26 3 7" xfId="8254" xr:uid="{00000000-0005-0000-0000-00003A200000}"/>
    <cellStyle name="Normal 26 4" xfId="8255" xr:uid="{00000000-0005-0000-0000-00003B200000}"/>
    <cellStyle name="Normal 26 4 2" xfId="8256" xr:uid="{00000000-0005-0000-0000-00003C200000}"/>
    <cellStyle name="Normal 26 4 2 2" xfId="8257" xr:uid="{00000000-0005-0000-0000-00003D200000}"/>
    <cellStyle name="Normal 26 4 2 2 2" xfId="8258" xr:uid="{00000000-0005-0000-0000-00003E200000}"/>
    <cellStyle name="Normal 26 4 2 2 3" xfId="8259" xr:uid="{00000000-0005-0000-0000-00003F200000}"/>
    <cellStyle name="Normal 26 4 2 3" xfId="8260" xr:uid="{00000000-0005-0000-0000-000040200000}"/>
    <cellStyle name="Normal 26 4 2 3 2" xfId="8261" xr:uid="{00000000-0005-0000-0000-000041200000}"/>
    <cellStyle name="Normal 26 4 2 3 3" xfId="8262" xr:uid="{00000000-0005-0000-0000-000042200000}"/>
    <cellStyle name="Normal 26 4 2 4" xfId="8263" xr:uid="{00000000-0005-0000-0000-000043200000}"/>
    <cellStyle name="Normal 26 4 2 5" xfId="8264" xr:uid="{00000000-0005-0000-0000-000044200000}"/>
    <cellStyle name="Normal 26 4 3" xfId="8265" xr:uid="{00000000-0005-0000-0000-000045200000}"/>
    <cellStyle name="Normal 26 4 3 2" xfId="8266" xr:uid="{00000000-0005-0000-0000-000046200000}"/>
    <cellStyle name="Normal 26 4 3 2 2" xfId="8267" xr:uid="{00000000-0005-0000-0000-000047200000}"/>
    <cellStyle name="Normal 26 4 3 2 3" xfId="8268" xr:uid="{00000000-0005-0000-0000-000048200000}"/>
    <cellStyle name="Normal 26 4 3 3" xfId="8269" xr:uid="{00000000-0005-0000-0000-000049200000}"/>
    <cellStyle name="Normal 26 4 3 4" xfId="8270" xr:uid="{00000000-0005-0000-0000-00004A200000}"/>
    <cellStyle name="Normal 26 4 4" xfId="8271" xr:uid="{00000000-0005-0000-0000-00004B200000}"/>
    <cellStyle name="Normal 26 4 4 2" xfId="8272" xr:uid="{00000000-0005-0000-0000-00004C200000}"/>
    <cellStyle name="Normal 26 4 4 3" xfId="8273" xr:uid="{00000000-0005-0000-0000-00004D200000}"/>
    <cellStyle name="Normal 26 4 5" xfId="8274" xr:uid="{00000000-0005-0000-0000-00004E200000}"/>
    <cellStyle name="Normal 26 4 5 2" xfId="8275" xr:uid="{00000000-0005-0000-0000-00004F200000}"/>
    <cellStyle name="Normal 26 4 5 3" xfId="8276" xr:uid="{00000000-0005-0000-0000-000050200000}"/>
    <cellStyle name="Normal 26 4 6" xfId="8277" xr:uid="{00000000-0005-0000-0000-000051200000}"/>
    <cellStyle name="Normal 26 4 7" xfId="8278" xr:uid="{00000000-0005-0000-0000-000052200000}"/>
    <cellStyle name="Normal 26 5" xfId="8279" xr:uid="{00000000-0005-0000-0000-000053200000}"/>
    <cellStyle name="Normal 26 5 2" xfId="8280" xr:uid="{00000000-0005-0000-0000-000054200000}"/>
    <cellStyle name="Normal 26 5 2 2" xfId="8281" xr:uid="{00000000-0005-0000-0000-000055200000}"/>
    <cellStyle name="Normal 26 5 2 3" xfId="8282" xr:uid="{00000000-0005-0000-0000-000056200000}"/>
    <cellStyle name="Normal 26 5 3" xfId="8283" xr:uid="{00000000-0005-0000-0000-000057200000}"/>
    <cellStyle name="Normal 26 5 3 2" xfId="8284" xr:uid="{00000000-0005-0000-0000-000058200000}"/>
    <cellStyle name="Normal 26 5 3 3" xfId="8285" xr:uid="{00000000-0005-0000-0000-000059200000}"/>
    <cellStyle name="Normal 26 5 4" xfId="8286" xr:uid="{00000000-0005-0000-0000-00005A200000}"/>
    <cellStyle name="Normal 26 5 5" xfId="8287" xr:uid="{00000000-0005-0000-0000-00005B200000}"/>
    <cellStyle name="Normal 26 6" xfId="8288" xr:uid="{00000000-0005-0000-0000-00005C200000}"/>
    <cellStyle name="Normal 26 6 2" xfId="8289" xr:uid="{00000000-0005-0000-0000-00005D200000}"/>
    <cellStyle name="Normal 26 6 2 2" xfId="8290" xr:uid="{00000000-0005-0000-0000-00005E200000}"/>
    <cellStyle name="Normal 26 6 2 3" xfId="8291" xr:uid="{00000000-0005-0000-0000-00005F200000}"/>
    <cellStyle name="Normal 26 6 3" xfId="8292" xr:uid="{00000000-0005-0000-0000-000060200000}"/>
    <cellStyle name="Normal 26 6 3 2" xfId="8293" xr:uid="{00000000-0005-0000-0000-000061200000}"/>
    <cellStyle name="Normal 26 6 3 3" xfId="8294" xr:uid="{00000000-0005-0000-0000-000062200000}"/>
    <cellStyle name="Normal 26 6 4" xfId="8295" xr:uid="{00000000-0005-0000-0000-000063200000}"/>
    <cellStyle name="Normal 26 6 5" xfId="8296" xr:uid="{00000000-0005-0000-0000-000064200000}"/>
    <cellStyle name="Normal 26 7" xfId="8297" xr:uid="{00000000-0005-0000-0000-000065200000}"/>
    <cellStyle name="Normal 26 7 2" xfId="8298" xr:uid="{00000000-0005-0000-0000-000066200000}"/>
    <cellStyle name="Normal 26 7 2 2" xfId="8299" xr:uid="{00000000-0005-0000-0000-000067200000}"/>
    <cellStyle name="Normal 26 7 2 3" xfId="8300" xr:uid="{00000000-0005-0000-0000-000068200000}"/>
    <cellStyle name="Normal 26 7 3" xfId="8301" xr:uid="{00000000-0005-0000-0000-000069200000}"/>
    <cellStyle name="Normal 26 7 4" xfId="8302" xr:uid="{00000000-0005-0000-0000-00006A200000}"/>
    <cellStyle name="Normal 26 8" xfId="8303" xr:uid="{00000000-0005-0000-0000-00006B200000}"/>
    <cellStyle name="Normal 26 8 2" xfId="8304" xr:uid="{00000000-0005-0000-0000-00006C200000}"/>
    <cellStyle name="Normal 26 8 3" xfId="8305" xr:uid="{00000000-0005-0000-0000-00006D200000}"/>
    <cellStyle name="Normal 26 9" xfId="8306" xr:uid="{00000000-0005-0000-0000-00006E200000}"/>
    <cellStyle name="Normal 26 9 2" xfId="8307" xr:uid="{00000000-0005-0000-0000-00006F200000}"/>
    <cellStyle name="Normal 26 9 3" xfId="8308" xr:uid="{00000000-0005-0000-0000-000070200000}"/>
    <cellStyle name="Normal 27" xfId="8309" xr:uid="{00000000-0005-0000-0000-000071200000}"/>
    <cellStyle name="Normal 27 10" xfId="8310" xr:uid="{00000000-0005-0000-0000-000072200000}"/>
    <cellStyle name="Normal 27 10 2" xfId="8311" xr:uid="{00000000-0005-0000-0000-000073200000}"/>
    <cellStyle name="Normal 27 10 3" xfId="8312" xr:uid="{00000000-0005-0000-0000-000074200000}"/>
    <cellStyle name="Normal 27 11" xfId="8313" xr:uid="{00000000-0005-0000-0000-000075200000}"/>
    <cellStyle name="Normal 27 11 2" xfId="8314" xr:uid="{00000000-0005-0000-0000-000076200000}"/>
    <cellStyle name="Normal 27 11 3" xfId="8315" xr:uid="{00000000-0005-0000-0000-000077200000}"/>
    <cellStyle name="Normal 27 12" xfId="8316" xr:uid="{00000000-0005-0000-0000-000078200000}"/>
    <cellStyle name="Normal 27 13" xfId="8317" xr:uid="{00000000-0005-0000-0000-000079200000}"/>
    <cellStyle name="Normal 27 2" xfId="8318" xr:uid="{00000000-0005-0000-0000-00007A200000}"/>
    <cellStyle name="Normal 27 2 2" xfId="8319" xr:uid="{00000000-0005-0000-0000-00007B200000}"/>
    <cellStyle name="Normal 27 2 2 2" xfId="8320" xr:uid="{00000000-0005-0000-0000-00007C200000}"/>
    <cellStyle name="Normal 27 2 2 2 2" xfId="8321" xr:uid="{00000000-0005-0000-0000-00007D200000}"/>
    <cellStyle name="Normal 27 2 2 2 2 2" xfId="8322" xr:uid="{00000000-0005-0000-0000-00007E200000}"/>
    <cellStyle name="Normal 27 2 2 2 2 3" xfId="8323" xr:uid="{00000000-0005-0000-0000-00007F200000}"/>
    <cellStyle name="Normal 27 2 2 2 3" xfId="8324" xr:uid="{00000000-0005-0000-0000-000080200000}"/>
    <cellStyle name="Normal 27 2 2 2 3 2" xfId="8325" xr:uid="{00000000-0005-0000-0000-000081200000}"/>
    <cellStyle name="Normal 27 2 2 2 3 3" xfId="8326" xr:uid="{00000000-0005-0000-0000-000082200000}"/>
    <cellStyle name="Normal 27 2 2 2 4" xfId="8327" xr:uid="{00000000-0005-0000-0000-000083200000}"/>
    <cellStyle name="Normal 27 2 2 2 5" xfId="8328" xr:uid="{00000000-0005-0000-0000-000084200000}"/>
    <cellStyle name="Normal 27 2 2 3" xfId="8329" xr:uid="{00000000-0005-0000-0000-000085200000}"/>
    <cellStyle name="Normal 27 2 2 3 2" xfId="8330" xr:uid="{00000000-0005-0000-0000-000086200000}"/>
    <cellStyle name="Normal 27 2 2 3 2 2" xfId="8331" xr:uid="{00000000-0005-0000-0000-000087200000}"/>
    <cellStyle name="Normal 27 2 2 3 2 3" xfId="8332" xr:uid="{00000000-0005-0000-0000-000088200000}"/>
    <cellStyle name="Normal 27 2 2 3 3" xfId="8333" xr:uid="{00000000-0005-0000-0000-000089200000}"/>
    <cellStyle name="Normal 27 2 2 3 3 2" xfId="8334" xr:uid="{00000000-0005-0000-0000-00008A200000}"/>
    <cellStyle name="Normal 27 2 2 3 3 3" xfId="8335" xr:uid="{00000000-0005-0000-0000-00008B200000}"/>
    <cellStyle name="Normal 27 2 2 3 4" xfId="8336" xr:uid="{00000000-0005-0000-0000-00008C200000}"/>
    <cellStyle name="Normal 27 2 2 3 5" xfId="8337" xr:uid="{00000000-0005-0000-0000-00008D200000}"/>
    <cellStyle name="Normal 27 2 2 4" xfId="8338" xr:uid="{00000000-0005-0000-0000-00008E200000}"/>
    <cellStyle name="Normal 27 2 2 4 2" xfId="8339" xr:uid="{00000000-0005-0000-0000-00008F200000}"/>
    <cellStyle name="Normal 27 2 2 4 3" xfId="8340" xr:uid="{00000000-0005-0000-0000-000090200000}"/>
    <cellStyle name="Normal 27 2 2 5" xfId="8341" xr:uid="{00000000-0005-0000-0000-000091200000}"/>
    <cellStyle name="Normal 27 2 2 5 2" xfId="8342" xr:uid="{00000000-0005-0000-0000-000092200000}"/>
    <cellStyle name="Normal 27 2 2 5 3" xfId="8343" xr:uid="{00000000-0005-0000-0000-000093200000}"/>
    <cellStyle name="Normal 27 2 2 6" xfId="8344" xr:uid="{00000000-0005-0000-0000-000094200000}"/>
    <cellStyle name="Normal 27 2 2 7" xfId="8345" xr:uid="{00000000-0005-0000-0000-000095200000}"/>
    <cellStyle name="Normal 27 2 3" xfId="8346" xr:uid="{00000000-0005-0000-0000-000096200000}"/>
    <cellStyle name="Normal 27 2 3 2" xfId="8347" xr:uid="{00000000-0005-0000-0000-000097200000}"/>
    <cellStyle name="Normal 27 2 3 2 2" xfId="8348" xr:uid="{00000000-0005-0000-0000-000098200000}"/>
    <cellStyle name="Normal 27 2 3 2 3" xfId="8349" xr:uid="{00000000-0005-0000-0000-000099200000}"/>
    <cellStyle name="Normal 27 2 3 3" xfId="8350" xr:uid="{00000000-0005-0000-0000-00009A200000}"/>
    <cellStyle name="Normal 27 2 3 3 2" xfId="8351" xr:uid="{00000000-0005-0000-0000-00009B200000}"/>
    <cellStyle name="Normal 27 2 3 3 3" xfId="8352" xr:uid="{00000000-0005-0000-0000-00009C200000}"/>
    <cellStyle name="Normal 27 2 3 4" xfId="8353" xr:uid="{00000000-0005-0000-0000-00009D200000}"/>
    <cellStyle name="Normal 27 2 3 5" xfId="8354" xr:uid="{00000000-0005-0000-0000-00009E200000}"/>
    <cellStyle name="Normal 27 2 4" xfId="8355" xr:uid="{00000000-0005-0000-0000-00009F200000}"/>
    <cellStyle name="Normal 27 2 4 2" xfId="8356" xr:uid="{00000000-0005-0000-0000-0000A0200000}"/>
    <cellStyle name="Normal 27 2 4 2 2" xfId="8357" xr:uid="{00000000-0005-0000-0000-0000A1200000}"/>
    <cellStyle name="Normal 27 2 4 2 3" xfId="8358" xr:uid="{00000000-0005-0000-0000-0000A2200000}"/>
    <cellStyle name="Normal 27 2 4 3" xfId="8359" xr:uid="{00000000-0005-0000-0000-0000A3200000}"/>
    <cellStyle name="Normal 27 2 4 3 2" xfId="8360" xr:uid="{00000000-0005-0000-0000-0000A4200000}"/>
    <cellStyle name="Normal 27 2 4 3 3" xfId="8361" xr:uid="{00000000-0005-0000-0000-0000A5200000}"/>
    <cellStyle name="Normal 27 2 4 4" xfId="8362" xr:uid="{00000000-0005-0000-0000-0000A6200000}"/>
    <cellStyle name="Normal 27 2 4 5" xfId="8363" xr:uid="{00000000-0005-0000-0000-0000A7200000}"/>
    <cellStyle name="Normal 27 2 5" xfId="8364" xr:uid="{00000000-0005-0000-0000-0000A8200000}"/>
    <cellStyle name="Normal 27 2 5 2" xfId="8365" xr:uid="{00000000-0005-0000-0000-0000A9200000}"/>
    <cellStyle name="Normal 27 2 5 3" xfId="8366" xr:uid="{00000000-0005-0000-0000-0000AA200000}"/>
    <cellStyle name="Normal 27 2 6" xfId="8367" xr:uid="{00000000-0005-0000-0000-0000AB200000}"/>
    <cellStyle name="Normal 27 2 6 2" xfId="8368" xr:uid="{00000000-0005-0000-0000-0000AC200000}"/>
    <cellStyle name="Normal 27 2 6 3" xfId="8369" xr:uid="{00000000-0005-0000-0000-0000AD200000}"/>
    <cellStyle name="Normal 27 2 7" xfId="8370" xr:uid="{00000000-0005-0000-0000-0000AE200000}"/>
    <cellStyle name="Normal 27 2 7 2" xfId="8371" xr:uid="{00000000-0005-0000-0000-0000AF200000}"/>
    <cellStyle name="Normal 27 2 7 3" xfId="8372" xr:uid="{00000000-0005-0000-0000-0000B0200000}"/>
    <cellStyle name="Normal 27 2 8" xfId="8373" xr:uid="{00000000-0005-0000-0000-0000B1200000}"/>
    <cellStyle name="Normal 27 2 9" xfId="8374" xr:uid="{00000000-0005-0000-0000-0000B2200000}"/>
    <cellStyle name="Normal 27 3" xfId="8375" xr:uid="{00000000-0005-0000-0000-0000B3200000}"/>
    <cellStyle name="Normal 27 3 2" xfId="8376" xr:uid="{00000000-0005-0000-0000-0000B4200000}"/>
    <cellStyle name="Normal 27 3 2 2" xfId="8377" xr:uid="{00000000-0005-0000-0000-0000B5200000}"/>
    <cellStyle name="Normal 27 3 2 2 2" xfId="8378" xr:uid="{00000000-0005-0000-0000-0000B6200000}"/>
    <cellStyle name="Normal 27 3 2 2 3" xfId="8379" xr:uid="{00000000-0005-0000-0000-0000B7200000}"/>
    <cellStyle name="Normal 27 3 2 3" xfId="8380" xr:uid="{00000000-0005-0000-0000-0000B8200000}"/>
    <cellStyle name="Normal 27 3 2 3 2" xfId="8381" xr:uid="{00000000-0005-0000-0000-0000B9200000}"/>
    <cellStyle name="Normal 27 3 2 3 3" xfId="8382" xr:uid="{00000000-0005-0000-0000-0000BA200000}"/>
    <cellStyle name="Normal 27 3 2 4" xfId="8383" xr:uid="{00000000-0005-0000-0000-0000BB200000}"/>
    <cellStyle name="Normal 27 3 2 5" xfId="8384" xr:uid="{00000000-0005-0000-0000-0000BC200000}"/>
    <cellStyle name="Normal 27 3 3" xfId="8385" xr:uid="{00000000-0005-0000-0000-0000BD200000}"/>
    <cellStyle name="Normal 27 3 3 2" xfId="8386" xr:uid="{00000000-0005-0000-0000-0000BE200000}"/>
    <cellStyle name="Normal 27 3 3 2 2" xfId="8387" xr:uid="{00000000-0005-0000-0000-0000BF200000}"/>
    <cellStyle name="Normal 27 3 3 2 3" xfId="8388" xr:uid="{00000000-0005-0000-0000-0000C0200000}"/>
    <cellStyle name="Normal 27 3 3 3" xfId="8389" xr:uid="{00000000-0005-0000-0000-0000C1200000}"/>
    <cellStyle name="Normal 27 3 3 3 2" xfId="8390" xr:uid="{00000000-0005-0000-0000-0000C2200000}"/>
    <cellStyle name="Normal 27 3 3 3 3" xfId="8391" xr:uid="{00000000-0005-0000-0000-0000C3200000}"/>
    <cellStyle name="Normal 27 3 3 4" xfId="8392" xr:uid="{00000000-0005-0000-0000-0000C4200000}"/>
    <cellStyle name="Normal 27 3 3 5" xfId="8393" xr:uid="{00000000-0005-0000-0000-0000C5200000}"/>
    <cellStyle name="Normal 27 3 4" xfId="8394" xr:uid="{00000000-0005-0000-0000-0000C6200000}"/>
    <cellStyle name="Normal 27 3 4 2" xfId="8395" xr:uid="{00000000-0005-0000-0000-0000C7200000}"/>
    <cellStyle name="Normal 27 3 4 3" xfId="8396" xr:uid="{00000000-0005-0000-0000-0000C8200000}"/>
    <cellStyle name="Normal 27 3 5" xfId="8397" xr:uid="{00000000-0005-0000-0000-0000C9200000}"/>
    <cellStyle name="Normal 27 3 5 2" xfId="8398" xr:uid="{00000000-0005-0000-0000-0000CA200000}"/>
    <cellStyle name="Normal 27 3 5 3" xfId="8399" xr:uid="{00000000-0005-0000-0000-0000CB200000}"/>
    <cellStyle name="Normal 27 3 6" xfId="8400" xr:uid="{00000000-0005-0000-0000-0000CC200000}"/>
    <cellStyle name="Normal 27 3 7" xfId="8401" xr:uid="{00000000-0005-0000-0000-0000CD200000}"/>
    <cellStyle name="Normal 27 4" xfId="8402" xr:uid="{00000000-0005-0000-0000-0000CE200000}"/>
    <cellStyle name="Normal 27 4 2" xfId="8403" xr:uid="{00000000-0005-0000-0000-0000CF200000}"/>
    <cellStyle name="Normal 27 4 2 2" xfId="8404" xr:uid="{00000000-0005-0000-0000-0000D0200000}"/>
    <cellStyle name="Normal 27 4 2 2 2" xfId="8405" xr:uid="{00000000-0005-0000-0000-0000D1200000}"/>
    <cellStyle name="Normal 27 4 2 2 3" xfId="8406" xr:uid="{00000000-0005-0000-0000-0000D2200000}"/>
    <cellStyle name="Normal 27 4 2 3" xfId="8407" xr:uid="{00000000-0005-0000-0000-0000D3200000}"/>
    <cellStyle name="Normal 27 4 2 3 2" xfId="8408" xr:uid="{00000000-0005-0000-0000-0000D4200000}"/>
    <cellStyle name="Normal 27 4 2 3 3" xfId="8409" xr:uid="{00000000-0005-0000-0000-0000D5200000}"/>
    <cellStyle name="Normal 27 4 2 4" xfId="8410" xr:uid="{00000000-0005-0000-0000-0000D6200000}"/>
    <cellStyle name="Normal 27 4 2 5" xfId="8411" xr:uid="{00000000-0005-0000-0000-0000D7200000}"/>
    <cellStyle name="Normal 27 4 3" xfId="8412" xr:uid="{00000000-0005-0000-0000-0000D8200000}"/>
    <cellStyle name="Normal 27 4 3 2" xfId="8413" xr:uid="{00000000-0005-0000-0000-0000D9200000}"/>
    <cellStyle name="Normal 27 4 3 2 2" xfId="8414" xr:uid="{00000000-0005-0000-0000-0000DA200000}"/>
    <cellStyle name="Normal 27 4 3 2 3" xfId="8415" xr:uid="{00000000-0005-0000-0000-0000DB200000}"/>
    <cellStyle name="Normal 27 4 3 3" xfId="8416" xr:uid="{00000000-0005-0000-0000-0000DC200000}"/>
    <cellStyle name="Normal 27 4 3 4" xfId="8417" xr:uid="{00000000-0005-0000-0000-0000DD200000}"/>
    <cellStyle name="Normal 27 4 4" xfId="8418" xr:uid="{00000000-0005-0000-0000-0000DE200000}"/>
    <cellStyle name="Normal 27 4 4 2" xfId="8419" xr:uid="{00000000-0005-0000-0000-0000DF200000}"/>
    <cellStyle name="Normal 27 4 4 3" xfId="8420" xr:uid="{00000000-0005-0000-0000-0000E0200000}"/>
    <cellStyle name="Normal 27 4 5" xfId="8421" xr:uid="{00000000-0005-0000-0000-0000E1200000}"/>
    <cellStyle name="Normal 27 4 5 2" xfId="8422" xr:uid="{00000000-0005-0000-0000-0000E2200000}"/>
    <cellStyle name="Normal 27 4 5 3" xfId="8423" xr:uid="{00000000-0005-0000-0000-0000E3200000}"/>
    <cellStyle name="Normal 27 4 6" xfId="8424" xr:uid="{00000000-0005-0000-0000-0000E4200000}"/>
    <cellStyle name="Normal 27 4 7" xfId="8425" xr:uid="{00000000-0005-0000-0000-0000E5200000}"/>
    <cellStyle name="Normal 27 5" xfId="8426" xr:uid="{00000000-0005-0000-0000-0000E6200000}"/>
    <cellStyle name="Normal 27 5 2" xfId="8427" xr:uid="{00000000-0005-0000-0000-0000E7200000}"/>
    <cellStyle name="Normal 27 5 2 2" xfId="8428" xr:uid="{00000000-0005-0000-0000-0000E8200000}"/>
    <cellStyle name="Normal 27 5 2 3" xfId="8429" xr:uid="{00000000-0005-0000-0000-0000E9200000}"/>
    <cellStyle name="Normal 27 5 3" xfId="8430" xr:uid="{00000000-0005-0000-0000-0000EA200000}"/>
    <cellStyle name="Normal 27 5 3 2" xfId="8431" xr:uid="{00000000-0005-0000-0000-0000EB200000}"/>
    <cellStyle name="Normal 27 5 3 3" xfId="8432" xr:uid="{00000000-0005-0000-0000-0000EC200000}"/>
    <cellStyle name="Normal 27 5 4" xfId="8433" xr:uid="{00000000-0005-0000-0000-0000ED200000}"/>
    <cellStyle name="Normal 27 5 5" xfId="8434" xr:uid="{00000000-0005-0000-0000-0000EE200000}"/>
    <cellStyle name="Normal 27 6" xfId="8435" xr:uid="{00000000-0005-0000-0000-0000EF200000}"/>
    <cellStyle name="Normal 27 6 2" xfId="8436" xr:uid="{00000000-0005-0000-0000-0000F0200000}"/>
    <cellStyle name="Normal 27 6 2 2" xfId="8437" xr:uid="{00000000-0005-0000-0000-0000F1200000}"/>
    <cellStyle name="Normal 27 6 2 3" xfId="8438" xr:uid="{00000000-0005-0000-0000-0000F2200000}"/>
    <cellStyle name="Normal 27 6 3" xfId="8439" xr:uid="{00000000-0005-0000-0000-0000F3200000}"/>
    <cellStyle name="Normal 27 6 3 2" xfId="8440" xr:uid="{00000000-0005-0000-0000-0000F4200000}"/>
    <cellStyle name="Normal 27 6 3 3" xfId="8441" xr:uid="{00000000-0005-0000-0000-0000F5200000}"/>
    <cellStyle name="Normal 27 6 4" xfId="8442" xr:uid="{00000000-0005-0000-0000-0000F6200000}"/>
    <cellStyle name="Normal 27 6 5" xfId="8443" xr:uid="{00000000-0005-0000-0000-0000F7200000}"/>
    <cellStyle name="Normal 27 7" xfId="8444" xr:uid="{00000000-0005-0000-0000-0000F8200000}"/>
    <cellStyle name="Normal 27 7 2" xfId="8445" xr:uid="{00000000-0005-0000-0000-0000F9200000}"/>
    <cellStyle name="Normal 27 7 2 2" xfId="8446" xr:uid="{00000000-0005-0000-0000-0000FA200000}"/>
    <cellStyle name="Normal 27 7 2 3" xfId="8447" xr:uid="{00000000-0005-0000-0000-0000FB200000}"/>
    <cellStyle name="Normal 27 7 3" xfId="8448" xr:uid="{00000000-0005-0000-0000-0000FC200000}"/>
    <cellStyle name="Normal 27 7 4" xfId="8449" xr:uid="{00000000-0005-0000-0000-0000FD200000}"/>
    <cellStyle name="Normal 27 8" xfId="8450" xr:uid="{00000000-0005-0000-0000-0000FE200000}"/>
    <cellStyle name="Normal 27 8 2" xfId="8451" xr:uid="{00000000-0005-0000-0000-0000FF200000}"/>
    <cellStyle name="Normal 27 8 3" xfId="8452" xr:uid="{00000000-0005-0000-0000-000000210000}"/>
    <cellStyle name="Normal 27 9" xfId="8453" xr:uid="{00000000-0005-0000-0000-000001210000}"/>
    <cellStyle name="Normal 27 9 2" xfId="8454" xr:uid="{00000000-0005-0000-0000-000002210000}"/>
    <cellStyle name="Normal 27 9 3" xfId="8455" xr:uid="{00000000-0005-0000-0000-000003210000}"/>
    <cellStyle name="Normal 28" xfId="8456" xr:uid="{00000000-0005-0000-0000-000004210000}"/>
    <cellStyle name="Normal 28 10" xfId="8457" xr:uid="{00000000-0005-0000-0000-000005210000}"/>
    <cellStyle name="Normal 28 10 2" xfId="8458" xr:uid="{00000000-0005-0000-0000-000006210000}"/>
    <cellStyle name="Normal 28 10 3" xfId="8459" xr:uid="{00000000-0005-0000-0000-000007210000}"/>
    <cellStyle name="Normal 28 11" xfId="8460" xr:uid="{00000000-0005-0000-0000-000008210000}"/>
    <cellStyle name="Normal 28 11 2" xfId="8461" xr:uid="{00000000-0005-0000-0000-000009210000}"/>
    <cellStyle name="Normal 28 11 3" xfId="8462" xr:uid="{00000000-0005-0000-0000-00000A210000}"/>
    <cellStyle name="Normal 28 12" xfId="8463" xr:uid="{00000000-0005-0000-0000-00000B210000}"/>
    <cellStyle name="Normal 28 13" xfId="8464" xr:uid="{00000000-0005-0000-0000-00000C210000}"/>
    <cellStyle name="Normal 28 2" xfId="8465" xr:uid="{00000000-0005-0000-0000-00000D210000}"/>
    <cellStyle name="Normal 28 2 2" xfId="8466" xr:uid="{00000000-0005-0000-0000-00000E210000}"/>
    <cellStyle name="Normal 28 2 2 2" xfId="8467" xr:uid="{00000000-0005-0000-0000-00000F210000}"/>
    <cellStyle name="Normal 28 2 2 2 2" xfId="8468" xr:uid="{00000000-0005-0000-0000-000010210000}"/>
    <cellStyle name="Normal 28 2 2 2 2 2" xfId="8469" xr:uid="{00000000-0005-0000-0000-000011210000}"/>
    <cellStyle name="Normal 28 2 2 2 2 3" xfId="8470" xr:uid="{00000000-0005-0000-0000-000012210000}"/>
    <cellStyle name="Normal 28 2 2 2 3" xfId="8471" xr:uid="{00000000-0005-0000-0000-000013210000}"/>
    <cellStyle name="Normal 28 2 2 2 3 2" xfId="8472" xr:uid="{00000000-0005-0000-0000-000014210000}"/>
    <cellStyle name="Normal 28 2 2 2 3 3" xfId="8473" xr:uid="{00000000-0005-0000-0000-000015210000}"/>
    <cellStyle name="Normal 28 2 2 2 4" xfId="8474" xr:uid="{00000000-0005-0000-0000-000016210000}"/>
    <cellStyle name="Normal 28 2 2 2 5" xfId="8475" xr:uid="{00000000-0005-0000-0000-000017210000}"/>
    <cellStyle name="Normal 28 2 2 3" xfId="8476" xr:uid="{00000000-0005-0000-0000-000018210000}"/>
    <cellStyle name="Normal 28 2 2 3 2" xfId="8477" xr:uid="{00000000-0005-0000-0000-000019210000}"/>
    <cellStyle name="Normal 28 2 2 3 2 2" xfId="8478" xr:uid="{00000000-0005-0000-0000-00001A210000}"/>
    <cellStyle name="Normal 28 2 2 3 2 3" xfId="8479" xr:uid="{00000000-0005-0000-0000-00001B210000}"/>
    <cellStyle name="Normal 28 2 2 3 3" xfId="8480" xr:uid="{00000000-0005-0000-0000-00001C210000}"/>
    <cellStyle name="Normal 28 2 2 3 3 2" xfId="8481" xr:uid="{00000000-0005-0000-0000-00001D210000}"/>
    <cellStyle name="Normal 28 2 2 3 3 3" xfId="8482" xr:uid="{00000000-0005-0000-0000-00001E210000}"/>
    <cellStyle name="Normal 28 2 2 3 4" xfId="8483" xr:uid="{00000000-0005-0000-0000-00001F210000}"/>
    <cellStyle name="Normal 28 2 2 3 5" xfId="8484" xr:uid="{00000000-0005-0000-0000-000020210000}"/>
    <cellStyle name="Normal 28 2 2 4" xfId="8485" xr:uid="{00000000-0005-0000-0000-000021210000}"/>
    <cellStyle name="Normal 28 2 2 4 2" xfId="8486" xr:uid="{00000000-0005-0000-0000-000022210000}"/>
    <cellStyle name="Normal 28 2 2 4 3" xfId="8487" xr:uid="{00000000-0005-0000-0000-000023210000}"/>
    <cellStyle name="Normal 28 2 2 5" xfId="8488" xr:uid="{00000000-0005-0000-0000-000024210000}"/>
    <cellStyle name="Normal 28 2 2 5 2" xfId="8489" xr:uid="{00000000-0005-0000-0000-000025210000}"/>
    <cellStyle name="Normal 28 2 2 5 3" xfId="8490" xr:uid="{00000000-0005-0000-0000-000026210000}"/>
    <cellStyle name="Normal 28 2 2 6" xfId="8491" xr:uid="{00000000-0005-0000-0000-000027210000}"/>
    <cellStyle name="Normal 28 2 2 7" xfId="8492" xr:uid="{00000000-0005-0000-0000-000028210000}"/>
    <cellStyle name="Normal 28 2 3" xfId="8493" xr:uid="{00000000-0005-0000-0000-000029210000}"/>
    <cellStyle name="Normal 28 2 3 2" xfId="8494" xr:uid="{00000000-0005-0000-0000-00002A210000}"/>
    <cellStyle name="Normal 28 2 3 2 2" xfId="8495" xr:uid="{00000000-0005-0000-0000-00002B210000}"/>
    <cellStyle name="Normal 28 2 3 2 3" xfId="8496" xr:uid="{00000000-0005-0000-0000-00002C210000}"/>
    <cellStyle name="Normal 28 2 3 3" xfId="8497" xr:uid="{00000000-0005-0000-0000-00002D210000}"/>
    <cellStyle name="Normal 28 2 3 3 2" xfId="8498" xr:uid="{00000000-0005-0000-0000-00002E210000}"/>
    <cellStyle name="Normal 28 2 3 3 3" xfId="8499" xr:uid="{00000000-0005-0000-0000-00002F210000}"/>
    <cellStyle name="Normal 28 2 3 4" xfId="8500" xr:uid="{00000000-0005-0000-0000-000030210000}"/>
    <cellStyle name="Normal 28 2 3 5" xfId="8501" xr:uid="{00000000-0005-0000-0000-000031210000}"/>
    <cellStyle name="Normal 28 2 4" xfId="8502" xr:uid="{00000000-0005-0000-0000-000032210000}"/>
    <cellStyle name="Normal 28 2 4 2" xfId="8503" xr:uid="{00000000-0005-0000-0000-000033210000}"/>
    <cellStyle name="Normal 28 2 4 2 2" xfId="8504" xr:uid="{00000000-0005-0000-0000-000034210000}"/>
    <cellStyle name="Normal 28 2 4 2 3" xfId="8505" xr:uid="{00000000-0005-0000-0000-000035210000}"/>
    <cellStyle name="Normal 28 2 4 3" xfId="8506" xr:uid="{00000000-0005-0000-0000-000036210000}"/>
    <cellStyle name="Normal 28 2 4 3 2" xfId="8507" xr:uid="{00000000-0005-0000-0000-000037210000}"/>
    <cellStyle name="Normal 28 2 4 3 3" xfId="8508" xr:uid="{00000000-0005-0000-0000-000038210000}"/>
    <cellStyle name="Normal 28 2 4 4" xfId="8509" xr:uid="{00000000-0005-0000-0000-000039210000}"/>
    <cellStyle name="Normal 28 2 4 5" xfId="8510" xr:uid="{00000000-0005-0000-0000-00003A210000}"/>
    <cellStyle name="Normal 28 2 5" xfId="8511" xr:uid="{00000000-0005-0000-0000-00003B210000}"/>
    <cellStyle name="Normal 28 2 5 2" xfId="8512" xr:uid="{00000000-0005-0000-0000-00003C210000}"/>
    <cellStyle name="Normal 28 2 5 3" xfId="8513" xr:uid="{00000000-0005-0000-0000-00003D210000}"/>
    <cellStyle name="Normal 28 2 6" xfId="8514" xr:uid="{00000000-0005-0000-0000-00003E210000}"/>
    <cellStyle name="Normal 28 2 6 2" xfId="8515" xr:uid="{00000000-0005-0000-0000-00003F210000}"/>
    <cellStyle name="Normal 28 2 6 3" xfId="8516" xr:uid="{00000000-0005-0000-0000-000040210000}"/>
    <cellStyle name="Normal 28 2 7" xfId="8517" xr:uid="{00000000-0005-0000-0000-000041210000}"/>
    <cellStyle name="Normal 28 2 7 2" xfId="8518" xr:uid="{00000000-0005-0000-0000-000042210000}"/>
    <cellStyle name="Normal 28 2 7 3" xfId="8519" xr:uid="{00000000-0005-0000-0000-000043210000}"/>
    <cellStyle name="Normal 28 2 8" xfId="8520" xr:uid="{00000000-0005-0000-0000-000044210000}"/>
    <cellStyle name="Normal 28 2 9" xfId="8521" xr:uid="{00000000-0005-0000-0000-000045210000}"/>
    <cellStyle name="Normal 28 3" xfId="8522" xr:uid="{00000000-0005-0000-0000-000046210000}"/>
    <cellStyle name="Normal 28 3 2" xfId="8523" xr:uid="{00000000-0005-0000-0000-000047210000}"/>
    <cellStyle name="Normal 28 3 2 2" xfId="8524" xr:uid="{00000000-0005-0000-0000-000048210000}"/>
    <cellStyle name="Normal 28 3 2 2 2" xfId="8525" xr:uid="{00000000-0005-0000-0000-000049210000}"/>
    <cellStyle name="Normal 28 3 2 2 3" xfId="8526" xr:uid="{00000000-0005-0000-0000-00004A210000}"/>
    <cellStyle name="Normal 28 3 2 3" xfId="8527" xr:uid="{00000000-0005-0000-0000-00004B210000}"/>
    <cellStyle name="Normal 28 3 2 3 2" xfId="8528" xr:uid="{00000000-0005-0000-0000-00004C210000}"/>
    <cellStyle name="Normal 28 3 2 3 3" xfId="8529" xr:uid="{00000000-0005-0000-0000-00004D210000}"/>
    <cellStyle name="Normal 28 3 2 4" xfId="8530" xr:uid="{00000000-0005-0000-0000-00004E210000}"/>
    <cellStyle name="Normal 28 3 2 5" xfId="8531" xr:uid="{00000000-0005-0000-0000-00004F210000}"/>
    <cellStyle name="Normal 28 3 3" xfId="8532" xr:uid="{00000000-0005-0000-0000-000050210000}"/>
    <cellStyle name="Normal 28 3 3 2" xfId="8533" xr:uid="{00000000-0005-0000-0000-000051210000}"/>
    <cellStyle name="Normal 28 3 3 2 2" xfId="8534" xr:uid="{00000000-0005-0000-0000-000052210000}"/>
    <cellStyle name="Normal 28 3 3 2 3" xfId="8535" xr:uid="{00000000-0005-0000-0000-000053210000}"/>
    <cellStyle name="Normal 28 3 3 3" xfId="8536" xr:uid="{00000000-0005-0000-0000-000054210000}"/>
    <cellStyle name="Normal 28 3 3 3 2" xfId="8537" xr:uid="{00000000-0005-0000-0000-000055210000}"/>
    <cellStyle name="Normal 28 3 3 3 3" xfId="8538" xr:uid="{00000000-0005-0000-0000-000056210000}"/>
    <cellStyle name="Normal 28 3 3 4" xfId="8539" xr:uid="{00000000-0005-0000-0000-000057210000}"/>
    <cellStyle name="Normal 28 3 3 5" xfId="8540" xr:uid="{00000000-0005-0000-0000-000058210000}"/>
    <cellStyle name="Normal 28 3 4" xfId="8541" xr:uid="{00000000-0005-0000-0000-000059210000}"/>
    <cellStyle name="Normal 28 3 4 2" xfId="8542" xr:uid="{00000000-0005-0000-0000-00005A210000}"/>
    <cellStyle name="Normal 28 3 4 3" xfId="8543" xr:uid="{00000000-0005-0000-0000-00005B210000}"/>
    <cellStyle name="Normal 28 3 5" xfId="8544" xr:uid="{00000000-0005-0000-0000-00005C210000}"/>
    <cellStyle name="Normal 28 3 5 2" xfId="8545" xr:uid="{00000000-0005-0000-0000-00005D210000}"/>
    <cellStyle name="Normal 28 3 5 3" xfId="8546" xr:uid="{00000000-0005-0000-0000-00005E210000}"/>
    <cellStyle name="Normal 28 3 6" xfId="8547" xr:uid="{00000000-0005-0000-0000-00005F210000}"/>
    <cellStyle name="Normal 28 3 7" xfId="8548" xr:uid="{00000000-0005-0000-0000-000060210000}"/>
    <cellStyle name="Normal 28 4" xfId="8549" xr:uid="{00000000-0005-0000-0000-000061210000}"/>
    <cellStyle name="Normal 28 4 2" xfId="8550" xr:uid="{00000000-0005-0000-0000-000062210000}"/>
    <cellStyle name="Normal 28 4 2 2" xfId="8551" xr:uid="{00000000-0005-0000-0000-000063210000}"/>
    <cellStyle name="Normal 28 4 2 2 2" xfId="8552" xr:uid="{00000000-0005-0000-0000-000064210000}"/>
    <cellStyle name="Normal 28 4 2 2 3" xfId="8553" xr:uid="{00000000-0005-0000-0000-000065210000}"/>
    <cellStyle name="Normal 28 4 2 3" xfId="8554" xr:uid="{00000000-0005-0000-0000-000066210000}"/>
    <cellStyle name="Normal 28 4 2 3 2" xfId="8555" xr:uid="{00000000-0005-0000-0000-000067210000}"/>
    <cellStyle name="Normal 28 4 2 3 3" xfId="8556" xr:uid="{00000000-0005-0000-0000-000068210000}"/>
    <cellStyle name="Normal 28 4 2 4" xfId="8557" xr:uid="{00000000-0005-0000-0000-000069210000}"/>
    <cellStyle name="Normal 28 4 2 5" xfId="8558" xr:uid="{00000000-0005-0000-0000-00006A210000}"/>
    <cellStyle name="Normal 28 4 3" xfId="8559" xr:uid="{00000000-0005-0000-0000-00006B210000}"/>
    <cellStyle name="Normal 28 4 3 2" xfId="8560" xr:uid="{00000000-0005-0000-0000-00006C210000}"/>
    <cellStyle name="Normal 28 4 3 2 2" xfId="8561" xr:uid="{00000000-0005-0000-0000-00006D210000}"/>
    <cellStyle name="Normal 28 4 3 2 3" xfId="8562" xr:uid="{00000000-0005-0000-0000-00006E210000}"/>
    <cellStyle name="Normal 28 4 3 3" xfId="8563" xr:uid="{00000000-0005-0000-0000-00006F210000}"/>
    <cellStyle name="Normal 28 4 3 4" xfId="8564" xr:uid="{00000000-0005-0000-0000-000070210000}"/>
    <cellStyle name="Normal 28 4 4" xfId="8565" xr:uid="{00000000-0005-0000-0000-000071210000}"/>
    <cellStyle name="Normal 28 4 4 2" xfId="8566" xr:uid="{00000000-0005-0000-0000-000072210000}"/>
    <cellStyle name="Normal 28 4 4 3" xfId="8567" xr:uid="{00000000-0005-0000-0000-000073210000}"/>
    <cellStyle name="Normal 28 4 5" xfId="8568" xr:uid="{00000000-0005-0000-0000-000074210000}"/>
    <cellStyle name="Normal 28 4 5 2" xfId="8569" xr:uid="{00000000-0005-0000-0000-000075210000}"/>
    <cellStyle name="Normal 28 4 5 3" xfId="8570" xr:uid="{00000000-0005-0000-0000-000076210000}"/>
    <cellStyle name="Normal 28 4 6" xfId="8571" xr:uid="{00000000-0005-0000-0000-000077210000}"/>
    <cellStyle name="Normal 28 4 7" xfId="8572" xr:uid="{00000000-0005-0000-0000-000078210000}"/>
    <cellStyle name="Normal 28 5" xfId="8573" xr:uid="{00000000-0005-0000-0000-000079210000}"/>
    <cellStyle name="Normal 28 5 2" xfId="8574" xr:uid="{00000000-0005-0000-0000-00007A210000}"/>
    <cellStyle name="Normal 28 5 2 2" xfId="8575" xr:uid="{00000000-0005-0000-0000-00007B210000}"/>
    <cellStyle name="Normal 28 5 2 3" xfId="8576" xr:uid="{00000000-0005-0000-0000-00007C210000}"/>
    <cellStyle name="Normal 28 5 3" xfId="8577" xr:uid="{00000000-0005-0000-0000-00007D210000}"/>
    <cellStyle name="Normal 28 5 3 2" xfId="8578" xr:uid="{00000000-0005-0000-0000-00007E210000}"/>
    <cellStyle name="Normal 28 5 3 3" xfId="8579" xr:uid="{00000000-0005-0000-0000-00007F210000}"/>
    <cellStyle name="Normal 28 5 4" xfId="8580" xr:uid="{00000000-0005-0000-0000-000080210000}"/>
    <cellStyle name="Normal 28 5 5" xfId="8581" xr:uid="{00000000-0005-0000-0000-000081210000}"/>
    <cellStyle name="Normal 28 6" xfId="8582" xr:uid="{00000000-0005-0000-0000-000082210000}"/>
    <cellStyle name="Normal 28 6 2" xfId="8583" xr:uid="{00000000-0005-0000-0000-000083210000}"/>
    <cellStyle name="Normal 28 6 2 2" xfId="8584" xr:uid="{00000000-0005-0000-0000-000084210000}"/>
    <cellStyle name="Normal 28 6 2 3" xfId="8585" xr:uid="{00000000-0005-0000-0000-000085210000}"/>
    <cellStyle name="Normal 28 6 3" xfId="8586" xr:uid="{00000000-0005-0000-0000-000086210000}"/>
    <cellStyle name="Normal 28 6 3 2" xfId="8587" xr:uid="{00000000-0005-0000-0000-000087210000}"/>
    <cellStyle name="Normal 28 6 3 3" xfId="8588" xr:uid="{00000000-0005-0000-0000-000088210000}"/>
    <cellStyle name="Normal 28 6 4" xfId="8589" xr:uid="{00000000-0005-0000-0000-000089210000}"/>
    <cellStyle name="Normal 28 6 5" xfId="8590" xr:uid="{00000000-0005-0000-0000-00008A210000}"/>
    <cellStyle name="Normal 28 7" xfId="8591" xr:uid="{00000000-0005-0000-0000-00008B210000}"/>
    <cellStyle name="Normal 28 7 2" xfId="8592" xr:uid="{00000000-0005-0000-0000-00008C210000}"/>
    <cellStyle name="Normal 28 7 2 2" xfId="8593" xr:uid="{00000000-0005-0000-0000-00008D210000}"/>
    <cellStyle name="Normal 28 7 2 3" xfId="8594" xr:uid="{00000000-0005-0000-0000-00008E210000}"/>
    <cellStyle name="Normal 28 7 3" xfId="8595" xr:uid="{00000000-0005-0000-0000-00008F210000}"/>
    <cellStyle name="Normal 28 7 4" xfId="8596" xr:uid="{00000000-0005-0000-0000-000090210000}"/>
    <cellStyle name="Normal 28 8" xfId="8597" xr:uid="{00000000-0005-0000-0000-000091210000}"/>
    <cellStyle name="Normal 28 8 2" xfId="8598" xr:uid="{00000000-0005-0000-0000-000092210000}"/>
    <cellStyle name="Normal 28 8 3" xfId="8599" xr:uid="{00000000-0005-0000-0000-000093210000}"/>
    <cellStyle name="Normal 28 9" xfId="8600" xr:uid="{00000000-0005-0000-0000-000094210000}"/>
    <cellStyle name="Normal 28 9 2" xfId="8601" xr:uid="{00000000-0005-0000-0000-000095210000}"/>
    <cellStyle name="Normal 28 9 3" xfId="8602" xr:uid="{00000000-0005-0000-0000-000096210000}"/>
    <cellStyle name="Normal 284" xfId="8" xr:uid="{00000000-0005-0000-0000-000097210000}"/>
    <cellStyle name="Normal 284 2" xfId="22050" xr:uid="{9FA1CAFD-FD36-4768-8433-3D78256B8A30}"/>
    <cellStyle name="Normal 29" xfId="8603" xr:uid="{00000000-0005-0000-0000-000098210000}"/>
    <cellStyle name="Normal 29 10" xfId="8604" xr:uid="{00000000-0005-0000-0000-000099210000}"/>
    <cellStyle name="Normal 29 10 2" xfId="8605" xr:uid="{00000000-0005-0000-0000-00009A210000}"/>
    <cellStyle name="Normal 29 10 3" xfId="8606" xr:uid="{00000000-0005-0000-0000-00009B210000}"/>
    <cellStyle name="Normal 29 11" xfId="8607" xr:uid="{00000000-0005-0000-0000-00009C210000}"/>
    <cellStyle name="Normal 29 11 2" xfId="8608" xr:uid="{00000000-0005-0000-0000-00009D210000}"/>
    <cellStyle name="Normal 29 11 3" xfId="8609" xr:uid="{00000000-0005-0000-0000-00009E210000}"/>
    <cellStyle name="Normal 29 12" xfId="8610" xr:uid="{00000000-0005-0000-0000-00009F210000}"/>
    <cellStyle name="Normal 29 13" xfId="8611" xr:uid="{00000000-0005-0000-0000-0000A0210000}"/>
    <cellStyle name="Normal 29 2" xfId="8612" xr:uid="{00000000-0005-0000-0000-0000A1210000}"/>
    <cellStyle name="Normal 29 2 2" xfId="8613" xr:uid="{00000000-0005-0000-0000-0000A2210000}"/>
    <cellStyle name="Normal 29 2 2 2" xfId="8614" xr:uid="{00000000-0005-0000-0000-0000A3210000}"/>
    <cellStyle name="Normal 29 2 2 2 2" xfId="8615" xr:uid="{00000000-0005-0000-0000-0000A4210000}"/>
    <cellStyle name="Normal 29 2 2 2 2 2" xfId="8616" xr:uid="{00000000-0005-0000-0000-0000A5210000}"/>
    <cellStyle name="Normal 29 2 2 2 2 3" xfId="8617" xr:uid="{00000000-0005-0000-0000-0000A6210000}"/>
    <cellStyle name="Normal 29 2 2 2 3" xfId="8618" xr:uid="{00000000-0005-0000-0000-0000A7210000}"/>
    <cellStyle name="Normal 29 2 2 2 3 2" xfId="8619" xr:uid="{00000000-0005-0000-0000-0000A8210000}"/>
    <cellStyle name="Normal 29 2 2 2 3 3" xfId="8620" xr:uid="{00000000-0005-0000-0000-0000A9210000}"/>
    <cellStyle name="Normal 29 2 2 2 4" xfId="8621" xr:uid="{00000000-0005-0000-0000-0000AA210000}"/>
    <cellStyle name="Normal 29 2 2 2 5" xfId="8622" xr:uid="{00000000-0005-0000-0000-0000AB210000}"/>
    <cellStyle name="Normal 29 2 2 3" xfId="8623" xr:uid="{00000000-0005-0000-0000-0000AC210000}"/>
    <cellStyle name="Normal 29 2 2 3 2" xfId="8624" xr:uid="{00000000-0005-0000-0000-0000AD210000}"/>
    <cellStyle name="Normal 29 2 2 3 2 2" xfId="8625" xr:uid="{00000000-0005-0000-0000-0000AE210000}"/>
    <cellStyle name="Normal 29 2 2 3 2 3" xfId="8626" xr:uid="{00000000-0005-0000-0000-0000AF210000}"/>
    <cellStyle name="Normal 29 2 2 3 3" xfId="8627" xr:uid="{00000000-0005-0000-0000-0000B0210000}"/>
    <cellStyle name="Normal 29 2 2 3 3 2" xfId="8628" xr:uid="{00000000-0005-0000-0000-0000B1210000}"/>
    <cellStyle name="Normal 29 2 2 3 3 3" xfId="8629" xr:uid="{00000000-0005-0000-0000-0000B2210000}"/>
    <cellStyle name="Normal 29 2 2 3 4" xfId="8630" xr:uid="{00000000-0005-0000-0000-0000B3210000}"/>
    <cellStyle name="Normal 29 2 2 3 5" xfId="8631" xr:uid="{00000000-0005-0000-0000-0000B4210000}"/>
    <cellStyle name="Normal 29 2 2 4" xfId="8632" xr:uid="{00000000-0005-0000-0000-0000B5210000}"/>
    <cellStyle name="Normal 29 2 2 4 2" xfId="8633" xr:uid="{00000000-0005-0000-0000-0000B6210000}"/>
    <cellStyle name="Normal 29 2 2 4 3" xfId="8634" xr:uid="{00000000-0005-0000-0000-0000B7210000}"/>
    <cellStyle name="Normal 29 2 2 5" xfId="8635" xr:uid="{00000000-0005-0000-0000-0000B8210000}"/>
    <cellStyle name="Normal 29 2 2 5 2" xfId="8636" xr:uid="{00000000-0005-0000-0000-0000B9210000}"/>
    <cellStyle name="Normal 29 2 2 5 3" xfId="8637" xr:uid="{00000000-0005-0000-0000-0000BA210000}"/>
    <cellStyle name="Normal 29 2 2 6" xfId="8638" xr:uid="{00000000-0005-0000-0000-0000BB210000}"/>
    <cellStyle name="Normal 29 2 2 7" xfId="8639" xr:uid="{00000000-0005-0000-0000-0000BC210000}"/>
    <cellStyle name="Normal 29 2 3" xfId="8640" xr:uid="{00000000-0005-0000-0000-0000BD210000}"/>
    <cellStyle name="Normal 29 2 3 2" xfId="8641" xr:uid="{00000000-0005-0000-0000-0000BE210000}"/>
    <cellStyle name="Normal 29 2 3 2 2" xfId="8642" xr:uid="{00000000-0005-0000-0000-0000BF210000}"/>
    <cellStyle name="Normal 29 2 3 2 3" xfId="8643" xr:uid="{00000000-0005-0000-0000-0000C0210000}"/>
    <cellStyle name="Normal 29 2 3 3" xfId="8644" xr:uid="{00000000-0005-0000-0000-0000C1210000}"/>
    <cellStyle name="Normal 29 2 3 3 2" xfId="8645" xr:uid="{00000000-0005-0000-0000-0000C2210000}"/>
    <cellStyle name="Normal 29 2 3 3 3" xfId="8646" xr:uid="{00000000-0005-0000-0000-0000C3210000}"/>
    <cellStyle name="Normal 29 2 3 4" xfId="8647" xr:uid="{00000000-0005-0000-0000-0000C4210000}"/>
    <cellStyle name="Normal 29 2 3 5" xfId="8648" xr:uid="{00000000-0005-0000-0000-0000C5210000}"/>
    <cellStyle name="Normal 29 2 4" xfId="8649" xr:uid="{00000000-0005-0000-0000-0000C6210000}"/>
    <cellStyle name="Normal 29 2 4 2" xfId="8650" xr:uid="{00000000-0005-0000-0000-0000C7210000}"/>
    <cellStyle name="Normal 29 2 4 2 2" xfId="8651" xr:uid="{00000000-0005-0000-0000-0000C8210000}"/>
    <cellStyle name="Normal 29 2 4 2 3" xfId="8652" xr:uid="{00000000-0005-0000-0000-0000C9210000}"/>
    <cellStyle name="Normal 29 2 4 3" xfId="8653" xr:uid="{00000000-0005-0000-0000-0000CA210000}"/>
    <cellStyle name="Normal 29 2 4 3 2" xfId="8654" xr:uid="{00000000-0005-0000-0000-0000CB210000}"/>
    <cellStyle name="Normal 29 2 4 3 3" xfId="8655" xr:uid="{00000000-0005-0000-0000-0000CC210000}"/>
    <cellStyle name="Normal 29 2 4 4" xfId="8656" xr:uid="{00000000-0005-0000-0000-0000CD210000}"/>
    <cellStyle name="Normal 29 2 4 5" xfId="8657" xr:uid="{00000000-0005-0000-0000-0000CE210000}"/>
    <cellStyle name="Normal 29 2 5" xfId="8658" xr:uid="{00000000-0005-0000-0000-0000CF210000}"/>
    <cellStyle name="Normal 29 2 5 2" xfId="8659" xr:uid="{00000000-0005-0000-0000-0000D0210000}"/>
    <cellStyle name="Normal 29 2 5 3" xfId="8660" xr:uid="{00000000-0005-0000-0000-0000D1210000}"/>
    <cellStyle name="Normal 29 2 6" xfId="8661" xr:uid="{00000000-0005-0000-0000-0000D2210000}"/>
    <cellStyle name="Normal 29 2 6 2" xfId="8662" xr:uid="{00000000-0005-0000-0000-0000D3210000}"/>
    <cellStyle name="Normal 29 2 6 3" xfId="8663" xr:uid="{00000000-0005-0000-0000-0000D4210000}"/>
    <cellStyle name="Normal 29 2 7" xfId="8664" xr:uid="{00000000-0005-0000-0000-0000D5210000}"/>
    <cellStyle name="Normal 29 2 7 2" xfId="8665" xr:uid="{00000000-0005-0000-0000-0000D6210000}"/>
    <cellStyle name="Normal 29 2 7 3" xfId="8666" xr:uid="{00000000-0005-0000-0000-0000D7210000}"/>
    <cellStyle name="Normal 29 2 8" xfId="8667" xr:uid="{00000000-0005-0000-0000-0000D8210000}"/>
    <cellStyle name="Normal 29 2 9" xfId="8668" xr:uid="{00000000-0005-0000-0000-0000D9210000}"/>
    <cellStyle name="Normal 29 3" xfId="8669" xr:uid="{00000000-0005-0000-0000-0000DA210000}"/>
    <cellStyle name="Normal 29 3 2" xfId="8670" xr:uid="{00000000-0005-0000-0000-0000DB210000}"/>
    <cellStyle name="Normal 29 3 2 2" xfId="8671" xr:uid="{00000000-0005-0000-0000-0000DC210000}"/>
    <cellStyle name="Normal 29 3 2 2 2" xfId="8672" xr:uid="{00000000-0005-0000-0000-0000DD210000}"/>
    <cellStyle name="Normal 29 3 2 2 3" xfId="8673" xr:uid="{00000000-0005-0000-0000-0000DE210000}"/>
    <cellStyle name="Normal 29 3 2 3" xfId="8674" xr:uid="{00000000-0005-0000-0000-0000DF210000}"/>
    <cellStyle name="Normal 29 3 2 3 2" xfId="8675" xr:uid="{00000000-0005-0000-0000-0000E0210000}"/>
    <cellStyle name="Normal 29 3 2 3 3" xfId="8676" xr:uid="{00000000-0005-0000-0000-0000E1210000}"/>
    <cellStyle name="Normal 29 3 2 4" xfId="8677" xr:uid="{00000000-0005-0000-0000-0000E2210000}"/>
    <cellStyle name="Normal 29 3 2 5" xfId="8678" xr:uid="{00000000-0005-0000-0000-0000E3210000}"/>
    <cellStyle name="Normal 29 3 3" xfId="8679" xr:uid="{00000000-0005-0000-0000-0000E4210000}"/>
    <cellStyle name="Normal 29 3 3 2" xfId="8680" xr:uid="{00000000-0005-0000-0000-0000E5210000}"/>
    <cellStyle name="Normal 29 3 3 2 2" xfId="8681" xr:uid="{00000000-0005-0000-0000-0000E6210000}"/>
    <cellStyle name="Normal 29 3 3 2 3" xfId="8682" xr:uid="{00000000-0005-0000-0000-0000E7210000}"/>
    <cellStyle name="Normal 29 3 3 3" xfId="8683" xr:uid="{00000000-0005-0000-0000-0000E8210000}"/>
    <cellStyle name="Normal 29 3 3 3 2" xfId="8684" xr:uid="{00000000-0005-0000-0000-0000E9210000}"/>
    <cellStyle name="Normal 29 3 3 3 3" xfId="8685" xr:uid="{00000000-0005-0000-0000-0000EA210000}"/>
    <cellStyle name="Normal 29 3 3 4" xfId="8686" xr:uid="{00000000-0005-0000-0000-0000EB210000}"/>
    <cellStyle name="Normal 29 3 3 5" xfId="8687" xr:uid="{00000000-0005-0000-0000-0000EC210000}"/>
    <cellStyle name="Normal 29 3 4" xfId="8688" xr:uid="{00000000-0005-0000-0000-0000ED210000}"/>
    <cellStyle name="Normal 29 3 4 2" xfId="8689" xr:uid="{00000000-0005-0000-0000-0000EE210000}"/>
    <cellStyle name="Normal 29 3 4 3" xfId="8690" xr:uid="{00000000-0005-0000-0000-0000EF210000}"/>
    <cellStyle name="Normal 29 3 5" xfId="8691" xr:uid="{00000000-0005-0000-0000-0000F0210000}"/>
    <cellStyle name="Normal 29 3 5 2" xfId="8692" xr:uid="{00000000-0005-0000-0000-0000F1210000}"/>
    <cellStyle name="Normal 29 3 5 3" xfId="8693" xr:uid="{00000000-0005-0000-0000-0000F2210000}"/>
    <cellStyle name="Normal 29 3 6" xfId="8694" xr:uid="{00000000-0005-0000-0000-0000F3210000}"/>
    <cellStyle name="Normal 29 3 7" xfId="8695" xr:uid="{00000000-0005-0000-0000-0000F4210000}"/>
    <cellStyle name="Normal 29 4" xfId="8696" xr:uid="{00000000-0005-0000-0000-0000F5210000}"/>
    <cellStyle name="Normal 29 4 2" xfId="8697" xr:uid="{00000000-0005-0000-0000-0000F6210000}"/>
    <cellStyle name="Normal 29 4 2 2" xfId="8698" xr:uid="{00000000-0005-0000-0000-0000F7210000}"/>
    <cellStyle name="Normal 29 4 2 2 2" xfId="8699" xr:uid="{00000000-0005-0000-0000-0000F8210000}"/>
    <cellStyle name="Normal 29 4 2 2 3" xfId="8700" xr:uid="{00000000-0005-0000-0000-0000F9210000}"/>
    <cellStyle name="Normal 29 4 2 3" xfId="8701" xr:uid="{00000000-0005-0000-0000-0000FA210000}"/>
    <cellStyle name="Normal 29 4 2 3 2" xfId="8702" xr:uid="{00000000-0005-0000-0000-0000FB210000}"/>
    <cellStyle name="Normal 29 4 2 3 3" xfId="8703" xr:uid="{00000000-0005-0000-0000-0000FC210000}"/>
    <cellStyle name="Normal 29 4 2 4" xfId="8704" xr:uid="{00000000-0005-0000-0000-0000FD210000}"/>
    <cellStyle name="Normal 29 4 2 5" xfId="8705" xr:uid="{00000000-0005-0000-0000-0000FE210000}"/>
    <cellStyle name="Normal 29 4 3" xfId="8706" xr:uid="{00000000-0005-0000-0000-0000FF210000}"/>
    <cellStyle name="Normal 29 4 3 2" xfId="8707" xr:uid="{00000000-0005-0000-0000-000000220000}"/>
    <cellStyle name="Normal 29 4 3 2 2" xfId="8708" xr:uid="{00000000-0005-0000-0000-000001220000}"/>
    <cellStyle name="Normal 29 4 3 2 3" xfId="8709" xr:uid="{00000000-0005-0000-0000-000002220000}"/>
    <cellStyle name="Normal 29 4 3 3" xfId="8710" xr:uid="{00000000-0005-0000-0000-000003220000}"/>
    <cellStyle name="Normal 29 4 3 4" xfId="8711" xr:uid="{00000000-0005-0000-0000-000004220000}"/>
    <cellStyle name="Normal 29 4 4" xfId="8712" xr:uid="{00000000-0005-0000-0000-000005220000}"/>
    <cellStyle name="Normal 29 4 4 2" xfId="8713" xr:uid="{00000000-0005-0000-0000-000006220000}"/>
    <cellStyle name="Normal 29 4 4 3" xfId="8714" xr:uid="{00000000-0005-0000-0000-000007220000}"/>
    <cellStyle name="Normal 29 4 5" xfId="8715" xr:uid="{00000000-0005-0000-0000-000008220000}"/>
    <cellStyle name="Normal 29 4 5 2" xfId="8716" xr:uid="{00000000-0005-0000-0000-000009220000}"/>
    <cellStyle name="Normal 29 4 5 3" xfId="8717" xr:uid="{00000000-0005-0000-0000-00000A220000}"/>
    <cellStyle name="Normal 29 4 6" xfId="8718" xr:uid="{00000000-0005-0000-0000-00000B220000}"/>
    <cellStyle name="Normal 29 4 7" xfId="8719" xr:uid="{00000000-0005-0000-0000-00000C220000}"/>
    <cellStyle name="Normal 29 5" xfId="8720" xr:uid="{00000000-0005-0000-0000-00000D220000}"/>
    <cellStyle name="Normal 29 5 2" xfId="8721" xr:uid="{00000000-0005-0000-0000-00000E220000}"/>
    <cellStyle name="Normal 29 5 2 2" xfId="8722" xr:uid="{00000000-0005-0000-0000-00000F220000}"/>
    <cellStyle name="Normal 29 5 2 3" xfId="8723" xr:uid="{00000000-0005-0000-0000-000010220000}"/>
    <cellStyle name="Normal 29 5 3" xfId="8724" xr:uid="{00000000-0005-0000-0000-000011220000}"/>
    <cellStyle name="Normal 29 5 3 2" xfId="8725" xr:uid="{00000000-0005-0000-0000-000012220000}"/>
    <cellStyle name="Normal 29 5 3 3" xfId="8726" xr:uid="{00000000-0005-0000-0000-000013220000}"/>
    <cellStyle name="Normal 29 5 4" xfId="8727" xr:uid="{00000000-0005-0000-0000-000014220000}"/>
    <cellStyle name="Normal 29 5 5" xfId="8728" xr:uid="{00000000-0005-0000-0000-000015220000}"/>
    <cellStyle name="Normal 29 6" xfId="8729" xr:uid="{00000000-0005-0000-0000-000016220000}"/>
    <cellStyle name="Normal 29 6 2" xfId="8730" xr:uid="{00000000-0005-0000-0000-000017220000}"/>
    <cellStyle name="Normal 29 6 2 2" xfId="8731" xr:uid="{00000000-0005-0000-0000-000018220000}"/>
    <cellStyle name="Normal 29 6 2 3" xfId="8732" xr:uid="{00000000-0005-0000-0000-000019220000}"/>
    <cellStyle name="Normal 29 6 3" xfId="8733" xr:uid="{00000000-0005-0000-0000-00001A220000}"/>
    <cellStyle name="Normal 29 6 3 2" xfId="8734" xr:uid="{00000000-0005-0000-0000-00001B220000}"/>
    <cellStyle name="Normal 29 6 3 3" xfId="8735" xr:uid="{00000000-0005-0000-0000-00001C220000}"/>
    <cellStyle name="Normal 29 6 4" xfId="8736" xr:uid="{00000000-0005-0000-0000-00001D220000}"/>
    <cellStyle name="Normal 29 6 5" xfId="8737" xr:uid="{00000000-0005-0000-0000-00001E220000}"/>
    <cellStyle name="Normal 29 7" xfId="8738" xr:uid="{00000000-0005-0000-0000-00001F220000}"/>
    <cellStyle name="Normal 29 7 2" xfId="8739" xr:uid="{00000000-0005-0000-0000-000020220000}"/>
    <cellStyle name="Normal 29 7 2 2" xfId="8740" xr:uid="{00000000-0005-0000-0000-000021220000}"/>
    <cellStyle name="Normal 29 7 2 3" xfId="8741" xr:uid="{00000000-0005-0000-0000-000022220000}"/>
    <cellStyle name="Normal 29 7 3" xfId="8742" xr:uid="{00000000-0005-0000-0000-000023220000}"/>
    <cellStyle name="Normal 29 7 4" xfId="8743" xr:uid="{00000000-0005-0000-0000-000024220000}"/>
    <cellStyle name="Normal 29 8" xfId="8744" xr:uid="{00000000-0005-0000-0000-000025220000}"/>
    <cellStyle name="Normal 29 8 2" xfId="8745" xr:uid="{00000000-0005-0000-0000-000026220000}"/>
    <cellStyle name="Normal 29 8 3" xfId="8746" xr:uid="{00000000-0005-0000-0000-000027220000}"/>
    <cellStyle name="Normal 29 9" xfId="8747" xr:uid="{00000000-0005-0000-0000-000028220000}"/>
    <cellStyle name="Normal 29 9 2" xfId="8748" xr:uid="{00000000-0005-0000-0000-000029220000}"/>
    <cellStyle name="Normal 29 9 3" xfId="8749" xr:uid="{00000000-0005-0000-0000-00002A220000}"/>
    <cellStyle name="Normal 3" xfId="11" xr:uid="{00000000-0005-0000-0000-00002B220000}"/>
    <cellStyle name="Normal 3 10" xfId="8751" xr:uid="{00000000-0005-0000-0000-00002C220000}"/>
    <cellStyle name="Normal 3 10 2" xfId="8752" xr:uid="{00000000-0005-0000-0000-00002D220000}"/>
    <cellStyle name="Normal 3 11" xfId="8753" xr:uid="{00000000-0005-0000-0000-00002E220000}"/>
    <cellStyle name="Normal 3 11 2" xfId="8754" xr:uid="{00000000-0005-0000-0000-00002F220000}"/>
    <cellStyle name="Normal 3 12" xfId="8755" xr:uid="{00000000-0005-0000-0000-000030220000}"/>
    <cellStyle name="Normal 3 13" xfId="8756" xr:uid="{00000000-0005-0000-0000-000031220000}"/>
    <cellStyle name="Normal 3 13 2" xfId="8757" xr:uid="{00000000-0005-0000-0000-000032220000}"/>
    <cellStyle name="Normal 3 14" xfId="8758" xr:uid="{00000000-0005-0000-0000-000033220000}"/>
    <cellStyle name="Normal 3 14 2" xfId="8759" xr:uid="{00000000-0005-0000-0000-000034220000}"/>
    <cellStyle name="Normal 3 15" xfId="8750" xr:uid="{00000000-0005-0000-0000-000035220000}"/>
    <cellStyle name="Normal 3 2" xfId="8760" xr:uid="{00000000-0005-0000-0000-000036220000}"/>
    <cellStyle name="Normal 3 2 10" xfId="8761" xr:uid="{00000000-0005-0000-0000-000037220000}"/>
    <cellStyle name="Normal 3 2 2" xfId="8762" xr:uid="{00000000-0005-0000-0000-000038220000}"/>
    <cellStyle name="Normal 3 2 2 2" xfId="8763" xr:uid="{00000000-0005-0000-0000-000039220000}"/>
    <cellStyle name="Normal 3 2 2 2 2" xfId="8764" xr:uid="{00000000-0005-0000-0000-00003A220000}"/>
    <cellStyle name="Normal 3 2 2 3" xfId="8765" xr:uid="{00000000-0005-0000-0000-00003B220000}"/>
    <cellStyle name="Normal 3 2 2 3 2" xfId="8766" xr:uid="{00000000-0005-0000-0000-00003C220000}"/>
    <cellStyle name="Normal 3 2 2 4" xfId="8767" xr:uid="{00000000-0005-0000-0000-00003D220000}"/>
    <cellStyle name="Normal 3 2 3" xfId="8768" xr:uid="{00000000-0005-0000-0000-00003E220000}"/>
    <cellStyle name="Normal 3 2 3 2" xfId="8769" xr:uid="{00000000-0005-0000-0000-00003F220000}"/>
    <cellStyle name="Normal 3 2 3 2 2" xfId="8770" xr:uid="{00000000-0005-0000-0000-000040220000}"/>
    <cellStyle name="Normal 3 2 3 3" xfId="8771" xr:uid="{00000000-0005-0000-0000-000041220000}"/>
    <cellStyle name="Normal 3 2 3 3 2" xfId="8772" xr:uid="{00000000-0005-0000-0000-000042220000}"/>
    <cellStyle name="Normal 3 2 3 4" xfId="8773" xr:uid="{00000000-0005-0000-0000-000043220000}"/>
    <cellStyle name="Normal 3 2 4" xfId="8774" xr:uid="{00000000-0005-0000-0000-000044220000}"/>
    <cellStyle name="Normal 3 2 4 2" xfId="8775" xr:uid="{00000000-0005-0000-0000-000045220000}"/>
    <cellStyle name="Normal 3 2 4 2 2" xfId="8776" xr:uid="{00000000-0005-0000-0000-000046220000}"/>
    <cellStyle name="Normal 3 2 4 3" xfId="8777" xr:uid="{00000000-0005-0000-0000-000047220000}"/>
    <cellStyle name="Normal 3 2 4 3 2" xfId="8778" xr:uid="{00000000-0005-0000-0000-000048220000}"/>
    <cellStyle name="Normal 3 2 4 4" xfId="8779" xr:uid="{00000000-0005-0000-0000-000049220000}"/>
    <cellStyle name="Normal 3 2 5" xfId="8780" xr:uid="{00000000-0005-0000-0000-00004A220000}"/>
    <cellStyle name="Normal 3 2 5 2" xfId="8781" xr:uid="{00000000-0005-0000-0000-00004B220000}"/>
    <cellStyle name="Normal 3 2 5 2 2" xfId="8782" xr:uid="{00000000-0005-0000-0000-00004C220000}"/>
    <cellStyle name="Normal 3 2 5 3" xfId="8783" xr:uid="{00000000-0005-0000-0000-00004D220000}"/>
    <cellStyle name="Normal 3 2 5 3 2" xfId="8784" xr:uid="{00000000-0005-0000-0000-00004E220000}"/>
    <cellStyle name="Normal 3 2 5 4" xfId="8785" xr:uid="{00000000-0005-0000-0000-00004F220000}"/>
    <cellStyle name="Normal 3 2 6" xfId="8786" xr:uid="{00000000-0005-0000-0000-000050220000}"/>
    <cellStyle name="Normal 3 2 6 2" xfId="8787" xr:uid="{00000000-0005-0000-0000-000051220000}"/>
    <cellStyle name="Normal 3 2 6 2 2" xfId="8788" xr:uid="{00000000-0005-0000-0000-000052220000}"/>
    <cellStyle name="Normal 3 2 6 3" xfId="8789" xr:uid="{00000000-0005-0000-0000-000053220000}"/>
    <cellStyle name="Normal 3 2 6 3 2" xfId="8790" xr:uid="{00000000-0005-0000-0000-000054220000}"/>
    <cellStyle name="Normal 3 2 6 4" xfId="8791" xr:uid="{00000000-0005-0000-0000-000055220000}"/>
    <cellStyle name="Normal 3 2 7" xfId="8792" xr:uid="{00000000-0005-0000-0000-000056220000}"/>
    <cellStyle name="Normal 3 2 7 2" xfId="8793" xr:uid="{00000000-0005-0000-0000-000057220000}"/>
    <cellStyle name="Normal 3 2 7 2 2" xfId="8794" xr:uid="{00000000-0005-0000-0000-000058220000}"/>
    <cellStyle name="Normal 3 2 7 3" xfId="8795" xr:uid="{00000000-0005-0000-0000-000059220000}"/>
    <cellStyle name="Normal 3 2 7 3 2" xfId="8796" xr:uid="{00000000-0005-0000-0000-00005A220000}"/>
    <cellStyle name="Normal 3 2 7 4" xfId="8797" xr:uid="{00000000-0005-0000-0000-00005B220000}"/>
    <cellStyle name="Normal 3 2 8" xfId="8798" xr:uid="{00000000-0005-0000-0000-00005C220000}"/>
    <cellStyle name="Normal 3 2 8 2" xfId="8799" xr:uid="{00000000-0005-0000-0000-00005D220000}"/>
    <cellStyle name="Normal 3 2 9" xfId="8800" xr:uid="{00000000-0005-0000-0000-00005E220000}"/>
    <cellStyle name="Normal 3 2 9 2" xfId="8801" xr:uid="{00000000-0005-0000-0000-00005F220000}"/>
    <cellStyle name="Normal 3 3" xfId="8802" xr:uid="{00000000-0005-0000-0000-000060220000}"/>
    <cellStyle name="Normal 3 3 2" xfId="8803" xr:uid="{00000000-0005-0000-0000-000061220000}"/>
    <cellStyle name="Normal 3 3 2 2" xfId="8804" xr:uid="{00000000-0005-0000-0000-000062220000}"/>
    <cellStyle name="Normal 3 3 3" xfId="8805" xr:uid="{00000000-0005-0000-0000-000063220000}"/>
    <cellStyle name="Normal 3 3 3 2" xfId="8806" xr:uid="{00000000-0005-0000-0000-000064220000}"/>
    <cellStyle name="Normal 3 3 4" xfId="8807" xr:uid="{00000000-0005-0000-0000-000065220000}"/>
    <cellStyle name="Normal 3 4" xfId="21" xr:uid="{00000000-0005-0000-0000-000066220000}"/>
    <cellStyle name="Normal 3 4 2" xfId="8809" xr:uid="{00000000-0005-0000-0000-000067220000}"/>
    <cellStyle name="Normal 3 4 2 2" xfId="8810" xr:uid="{00000000-0005-0000-0000-000068220000}"/>
    <cellStyle name="Normal 3 4 3" xfId="8811" xr:uid="{00000000-0005-0000-0000-000069220000}"/>
    <cellStyle name="Normal 3 4 3 2" xfId="8812" xr:uid="{00000000-0005-0000-0000-00006A220000}"/>
    <cellStyle name="Normal 3 4 4" xfId="8813" xr:uid="{00000000-0005-0000-0000-00006B220000}"/>
    <cellStyle name="Normal 3 4 5" xfId="8808" xr:uid="{00000000-0005-0000-0000-00006C220000}"/>
    <cellStyle name="Normal 3 5" xfId="8814" xr:uid="{00000000-0005-0000-0000-00006D220000}"/>
    <cellStyle name="Normal 3 5 2" xfId="8815" xr:uid="{00000000-0005-0000-0000-00006E220000}"/>
    <cellStyle name="Normal 3 5 2 2" xfId="8816" xr:uid="{00000000-0005-0000-0000-00006F220000}"/>
    <cellStyle name="Normal 3 5 3" xfId="8817" xr:uid="{00000000-0005-0000-0000-000070220000}"/>
    <cellStyle name="Normal 3 5 3 2" xfId="8818" xr:uid="{00000000-0005-0000-0000-000071220000}"/>
    <cellStyle name="Normal 3 5 4" xfId="8819" xr:uid="{00000000-0005-0000-0000-000072220000}"/>
    <cellStyle name="Normal 3 6" xfId="8820" xr:uid="{00000000-0005-0000-0000-000073220000}"/>
    <cellStyle name="Normal 3 6 2" xfId="8821" xr:uid="{00000000-0005-0000-0000-000074220000}"/>
    <cellStyle name="Normal 3 6 2 2" xfId="8822" xr:uid="{00000000-0005-0000-0000-000075220000}"/>
    <cellStyle name="Normal 3 6 3" xfId="8823" xr:uid="{00000000-0005-0000-0000-000076220000}"/>
    <cellStyle name="Normal 3 6 3 2" xfId="8824" xr:uid="{00000000-0005-0000-0000-000077220000}"/>
    <cellStyle name="Normal 3 6 4" xfId="8825" xr:uid="{00000000-0005-0000-0000-000078220000}"/>
    <cellStyle name="Normal 3 7" xfId="8826" xr:uid="{00000000-0005-0000-0000-000079220000}"/>
    <cellStyle name="Normal 3 7 2" xfId="8827" xr:uid="{00000000-0005-0000-0000-00007A220000}"/>
    <cellStyle name="Normal 3 7 2 2" xfId="8828" xr:uid="{00000000-0005-0000-0000-00007B220000}"/>
    <cellStyle name="Normal 3 7 3" xfId="8829" xr:uid="{00000000-0005-0000-0000-00007C220000}"/>
    <cellStyle name="Normal 3 7 3 2" xfId="8830" xr:uid="{00000000-0005-0000-0000-00007D220000}"/>
    <cellStyle name="Normal 3 7 4" xfId="8831" xr:uid="{00000000-0005-0000-0000-00007E220000}"/>
    <cellStyle name="Normal 3 8" xfId="8832" xr:uid="{00000000-0005-0000-0000-00007F220000}"/>
    <cellStyle name="Normal 3 8 2" xfId="8833" xr:uid="{00000000-0005-0000-0000-000080220000}"/>
    <cellStyle name="Normal 3 8 2 2" xfId="8834" xr:uid="{00000000-0005-0000-0000-000081220000}"/>
    <cellStyle name="Normal 3 8 3" xfId="8835" xr:uid="{00000000-0005-0000-0000-000082220000}"/>
    <cellStyle name="Normal 3 8 3 2" xfId="8836" xr:uid="{00000000-0005-0000-0000-000083220000}"/>
    <cellStyle name="Normal 3 8 4" xfId="8837" xr:uid="{00000000-0005-0000-0000-000084220000}"/>
    <cellStyle name="Normal 3 9" xfId="8838" xr:uid="{00000000-0005-0000-0000-000085220000}"/>
    <cellStyle name="Normal 3 9 2" xfId="8839" xr:uid="{00000000-0005-0000-0000-000086220000}"/>
    <cellStyle name="Normal 3 9 2 2" xfId="8840" xr:uid="{00000000-0005-0000-0000-000087220000}"/>
    <cellStyle name="Normal 3 9 3" xfId="8841" xr:uid="{00000000-0005-0000-0000-000088220000}"/>
    <cellStyle name="Normal 30" xfId="8842" xr:uid="{00000000-0005-0000-0000-000089220000}"/>
    <cellStyle name="Normal 30 2" xfId="8843" xr:uid="{00000000-0005-0000-0000-00008A220000}"/>
    <cellStyle name="Normal 30 2 2" xfId="8844" xr:uid="{00000000-0005-0000-0000-00008B220000}"/>
    <cellStyle name="Normal 30 3" xfId="8845" xr:uid="{00000000-0005-0000-0000-00008C220000}"/>
    <cellStyle name="Normal 31" xfId="8846" xr:uid="{00000000-0005-0000-0000-00008D220000}"/>
    <cellStyle name="Normal 31 2" xfId="8847" xr:uid="{00000000-0005-0000-0000-00008E220000}"/>
    <cellStyle name="Normal 31 2 2" xfId="8848" xr:uid="{00000000-0005-0000-0000-00008F220000}"/>
    <cellStyle name="Normal 31 3" xfId="8849" xr:uid="{00000000-0005-0000-0000-000090220000}"/>
    <cellStyle name="Normal 32" xfId="8850" xr:uid="{00000000-0005-0000-0000-000091220000}"/>
    <cellStyle name="Normal 32 10" xfId="8851" xr:uid="{00000000-0005-0000-0000-000092220000}"/>
    <cellStyle name="Normal 32 10 2" xfId="8852" xr:uid="{00000000-0005-0000-0000-000093220000}"/>
    <cellStyle name="Normal 32 10 3" xfId="8853" xr:uid="{00000000-0005-0000-0000-000094220000}"/>
    <cellStyle name="Normal 32 11" xfId="8854" xr:uid="{00000000-0005-0000-0000-000095220000}"/>
    <cellStyle name="Normal 32 11 2" xfId="8855" xr:uid="{00000000-0005-0000-0000-000096220000}"/>
    <cellStyle name="Normal 32 11 3" xfId="8856" xr:uid="{00000000-0005-0000-0000-000097220000}"/>
    <cellStyle name="Normal 32 12" xfId="8857" xr:uid="{00000000-0005-0000-0000-000098220000}"/>
    <cellStyle name="Normal 32 13" xfId="8858" xr:uid="{00000000-0005-0000-0000-000099220000}"/>
    <cellStyle name="Normal 32 2" xfId="8859" xr:uid="{00000000-0005-0000-0000-00009A220000}"/>
    <cellStyle name="Normal 32 2 2" xfId="8860" xr:uid="{00000000-0005-0000-0000-00009B220000}"/>
    <cellStyle name="Normal 32 2 2 2" xfId="8861" xr:uid="{00000000-0005-0000-0000-00009C220000}"/>
    <cellStyle name="Normal 32 2 2 2 2" xfId="8862" xr:uid="{00000000-0005-0000-0000-00009D220000}"/>
    <cellStyle name="Normal 32 2 2 2 2 2" xfId="8863" xr:uid="{00000000-0005-0000-0000-00009E220000}"/>
    <cellStyle name="Normal 32 2 2 2 2 3" xfId="8864" xr:uid="{00000000-0005-0000-0000-00009F220000}"/>
    <cellStyle name="Normal 32 2 2 2 3" xfId="8865" xr:uid="{00000000-0005-0000-0000-0000A0220000}"/>
    <cellStyle name="Normal 32 2 2 2 3 2" xfId="8866" xr:uid="{00000000-0005-0000-0000-0000A1220000}"/>
    <cellStyle name="Normal 32 2 2 2 3 3" xfId="8867" xr:uid="{00000000-0005-0000-0000-0000A2220000}"/>
    <cellStyle name="Normal 32 2 2 2 4" xfId="8868" xr:uid="{00000000-0005-0000-0000-0000A3220000}"/>
    <cellStyle name="Normal 32 2 2 2 5" xfId="8869" xr:uid="{00000000-0005-0000-0000-0000A4220000}"/>
    <cellStyle name="Normal 32 2 2 3" xfId="8870" xr:uid="{00000000-0005-0000-0000-0000A5220000}"/>
    <cellStyle name="Normal 32 2 2 3 2" xfId="8871" xr:uid="{00000000-0005-0000-0000-0000A6220000}"/>
    <cellStyle name="Normal 32 2 2 3 2 2" xfId="8872" xr:uid="{00000000-0005-0000-0000-0000A7220000}"/>
    <cellStyle name="Normal 32 2 2 3 2 3" xfId="8873" xr:uid="{00000000-0005-0000-0000-0000A8220000}"/>
    <cellStyle name="Normal 32 2 2 3 3" xfId="8874" xr:uid="{00000000-0005-0000-0000-0000A9220000}"/>
    <cellStyle name="Normal 32 2 2 3 3 2" xfId="8875" xr:uid="{00000000-0005-0000-0000-0000AA220000}"/>
    <cellStyle name="Normal 32 2 2 3 3 3" xfId="8876" xr:uid="{00000000-0005-0000-0000-0000AB220000}"/>
    <cellStyle name="Normal 32 2 2 3 4" xfId="8877" xr:uid="{00000000-0005-0000-0000-0000AC220000}"/>
    <cellStyle name="Normal 32 2 2 3 5" xfId="8878" xr:uid="{00000000-0005-0000-0000-0000AD220000}"/>
    <cellStyle name="Normal 32 2 2 4" xfId="8879" xr:uid="{00000000-0005-0000-0000-0000AE220000}"/>
    <cellStyle name="Normal 32 2 2 4 2" xfId="8880" xr:uid="{00000000-0005-0000-0000-0000AF220000}"/>
    <cellStyle name="Normal 32 2 2 4 3" xfId="8881" xr:uid="{00000000-0005-0000-0000-0000B0220000}"/>
    <cellStyle name="Normal 32 2 2 5" xfId="8882" xr:uid="{00000000-0005-0000-0000-0000B1220000}"/>
    <cellStyle name="Normal 32 2 2 5 2" xfId="8883" xr:uid="{00000000-0005-0000-0000-0000B2220000}"/>
    <cellStyle name="Normal 32 2 2 5 3" xfId="8884" xr:uid="{00000000-0005-0000-0000-0000B3220000}"/>
    <cellStyle name="Normal 32 2 2 6" xfId="8885" xr:uid="{00000000-0005-0000-0000-0000B4220000}"/>
    <cellStyle name="Normal 32 2 2 7" xfId="8886" xr:uid="{00000000-0005-0000-0000-0000B5220000}"/>
    <cellStyle name="Normal 32 2 3" xfId="8887" xr:uid="{00000000-0005-0000-0000-0000B6220000}"/>
    <cellStyle name="Normal 32 2 3 2" xfId="8888" xr:uid="{00000000-0005-0000-0000-0000B7220000}"/>
    <cellStyle name="Normal 32 2 3 2 2" xfId="8889" xr:uid="{00000000-0005-0000-0000-0000B8220000}"/>
    <cellStyle name="Normal 32 2 3 2 3" xfId="8890" xr:uid="{00000000-0005-0000-0000-0000B9220000}"/>
    <cellStyle name="Normal 32 2 3 3" xfId="8891" xr:uid="{00000000-0005-0000-0000-0000BA220000}"/>
    <cellStyle name="Normal 32 2 3 3 2" xfId="8892" xr:uid="{00000000-0005-0000-0000-0000BB220000}"/>
    <cellStyle name="Normal 32 2 3 3 3" xfId="8893" xr:uid="{00000000-0005-0000-0000-0000BC220000}"/>
    <cellStyle name="Normal 32 2 3 4" xfId="8894" xr:uid="{00000000-0005-0000-0000-0000BD220000}"/>
    <cellStyle name="Normal 32 2 3 5" xfId="8895" xr:uid="{00000000-0005-0000-0000-0000BE220000}"/>
    <cellStyle name="Normal 32 2 4" xfId="8896" xr:uid="{00000000-0005-0000-0000-0000BF220000}"/>
    <cellStyle name="Normal 32 2 4 2" xfId="8897" xr:uid="{00000000-0005-0000-0000-0000C0220000}"/>
    <cellStyle name="Normal 32 2 4 2 2" xfId="8898" xr:uid="{00000000-0005-0000-0000-0000C1220000}"/>
    <cellStyle name="Normal 32 2 4 2 3" xfId="8899" xr:uid="{00000000-0005-0000-0000-0000C2220000}"/>
    <cellStyle name="Normal 32 2 4 3" xfId="8900" xr:uid="{00000000-0005-0000-0000-0000C3220000}"/>
    <cellStyle name="Normal 32 2 4 3 2" xfId="8901" xr:uid="{00000000-0005-0000-0000-0000C4220000}"/>
    <cellStyle name="Normal 32 2 4 3 3" xfId="8902" xr:uid="{00000000-0005-0000-0000-0000C5220000}"/>
    <cellStyle name="Normal 32 2 4 4" xfId="8903" xr:uid="{00000000-0005-0000-0000-0000C6220000}"/>
    <cellStyle name="Normal 32 2 4 5" xfId="8904" xr:uid="{00000000-0005-0000-0000-0000C7220000}"/>
    <cellStyle name="Normal 32 2 5" xfId="8905" xr:uid="{00000000-0005-0000-0000-0000C8220000}"/>
    <cellStyle name="Normal 32 2 5 2" xfId="8906" xr:uid="{00000000-0005-0000-0000-0000C9220000}"/>
    <cellStyle name="Normal 32 2 5 3" xfId="8907" xr:uid="{00000000-0005-0000-0000-0000CA220000}"/>
    <cellStyle name="Normal 32 2 6" xfId="8908" xr:uid="{00000000-0005-0000-0000-0000CB220000}"/>
    <cellStyle name="Normal 32 2 6 2" xfId="8909" xr:uid="{00000000-0005-0000-0000-0000CC220000}"/>
    <cellStyle name="Normal 32 2 6 3" xfId="8910" xr:uid="{00000000-0005-0000-0000-0000CD220000}"/>
    <cellStyle name="Normal 32 2 7" xfId="8911" xr:uid="{00000000-0005-0000-0000-0000CE220000}"/>
    <cellStyle name="Normal 32 2 7 2" xfId="8912" xr:uid="{00000000-0005-0000-0000-0000CF220000}"/>
    <cellStyle name="Normal 32 2 7 3" xfId="8913" xr:uid="{00000000-0005-0000-0000-0000D0220000}"/>
    <cellStyle name="Normal 32 2 8" xfId="8914" xr:uid="{00000000-0005-0000-0000-0000D1220000}"/>
    <cellStyle name="Normal 32 2 9" xfId="8915" xr:uid="{00000000-0005-0000-0000-0000D2220000}"/>
    <cellStyle name="Normal 32 3" xfId="8916" xr:uid="{00000000-0005-0000-0000-0000D3220000}"/>
    <cellStyle name="Normal 32 3 2" xfId="8917" xr:uid="{00000000-0005-0000-0000-0000D4220000}"/>
    <cellStyle name="Normal 32 3 2 2" xfId="8918" xr:uid="{00000000-0005-0000-0000-0000D5220000}"/>
    <cellStyle name="Normal 32 3 2 2 2" xfId="8919" xr:uid="{00000000-0005-0000-0000-0000D6220000}"/>
    <cellStyle name="Normal 32 3 2 2 3" xfId="8920" xr:uid="{00000000-0005-0000-0000-0000D7220000}"/>
    <cellStyle name="Normal 32 3 2 3" xfId="8921" xr:uid="{00000000-0005-0000-0000-0000D8220000}"/>
    <cellStyle name="Normal 32 3 2 3 2" xfId="8922" xr:uid="{00000000-0005-0000-0000-0000D9220000}"/>
    <cellStyle name="Normal 32 3 2 3 3" xfId="8923" xr:uid="{00000000-0005-0000-0000-0000DA220000}"/>
    <cellStyle name="Normal 32 3 2 4" xfId="8924" xr:uid="{00000000-0005-0000-0000-0000DB220000}"/>
    <cellStyle name="Normal 32 3 2 5" xfId="8925" xr:uid="{00000000-0005-0000-0000-0000DC220000}"/>
    <cellStyle name="Normal 32 3 3" xfId="8926" xr:uid="{00000000-0005-0000-0000-0000DD220000}"/>
    <cellStyle name="Normal 32 3 3 2" xfId="8927" xr:uid="{00000000-0005-0000-0000-0000DE220000}"/>
    <cellStyle name="Normal 32 3 3 2 2" xfId="8928" xr:uid="{00000000-0005-0000-0000-0000DF220000}"/>
    <cellStyle name="Normal 32 3 3 2 3" xfId="8929" xr:uid="{00000000-0005-0000-0000-0000E0220000}"/>
    <cellStyle name="Normal 32 3 3 3" xfId="8930" xr:uid="{00000000-0005-0000-0000-0000E1220000}"/>
    <cellStyle name="Normal 32 3 3 3 2" xfId="8931" xr:uid="{00000000-0005-0000-0000-0000E2220000}"/>
    <cellStyle name="Normal 32 3 3 3 3" xfId="8932" xr:uid="{00000000-0005-0000-0000-0000E3220000}"/>
    <cellStyle name="Normal 32 3 3 4" xfId="8933" xr:uid="{00000000-0005-0000-0000-0000E4220000}"/>
    <cellStyle name="Normal 32 3 3 5" xfId="8934" xr:uid="{00000000-0005-0000-0000-0000E5220000}"/>
    <cellStyle name="Normal 32 3 4" xfId="8935" xr:uid="{00000000-0005-0000-0000-0000E6220000}"/>
    <cellStyle name="Normal 32 3 4 2" xfId="8936" xr:uid="{00000000-0005-0000-0000-0000E7220000}"/>
    <cellStyle name="Normal 32 3 4 3" xfId="8937" xr:uid="{00000000-0005-0000-0000-0000E8220000}"/>
    <cellStyle name="Normal 32 3 5" xfId="8938" xr:uid="{00000000-0005-0000-0000-0000E9220000}"/>
    <cellStyle name="Normal 32 3 5 2" xfId="8939" xr:uid="{00000000-0005-0000-0000-0000EA220000}"/>
    <cellStyle name="Normal 32 3 5 3" xfId="8940" xr:uid="{00000000-0005-0000-0000-0000EB220000}"/>
    <cellStyle name="Normal 32 3 6" xfId="8941" xr:uid="{00000000-0005-0000-0000-0000EC220000}"/>
    <cellStyle name="Normal 32 3 7" xfId="8942" xr:uid="{00000000-0005-0000-0000-0000ED220000}"/>
    <cellStyle name="Normal 32 4" xfId="8943" xr:uid="{00000000-0005-0000-0000-0000EE220000}"/>
    <cellStyle name="Normal 32 4 2" xfId="8944" xr:uid="{00000000-0005-0000-0000-0000EF220000}"/>
    <cellStyle name="Normal 32 4 2 2" xfId="8945" xr:uid="{00000000-0005-0000-0000-0000F0220000}"/>
    <cellStyle name="Normal 32 4 2 2 2" xfId="8946" xr:uid="{00000000-0005-0000-0000-0000F1220000}"/>
    <cellStyle name="Normal 32 4 2 2 3" xfId="8947" xr:uid="{00000000-0005-0000-0000-0000F2220000}"/>
    <cellStyle name="Normal 32 4 2 3" xfId="8948" xr:uid="{00000000-0005-0000-0000-0000F3220000}"/>
    <cellStyle name="Normal 32 4 2 3 2" xfId="8949" xr:uid="{00000000-0005-0000-0000-0000F4220000}"/>
    <cellStyle name="Normal 32 4 2 3 3" xfId="8950" xr:uid="{00000000-0005-0000-0000-0000F5220000}"/>
    <cellStyle name="Normal 32 4 2 4" xfId="8951" xr:uid="{00000000-0005-0000-0000-0000F6220000}"/>
    <cellStyle name="Normal 32 4 2 5" xfId="8952" xr:uid="{00000000-0005-0000-0000-0000F7220000}"/>
    <cellStyle name="Normal 32 4 3" xfId="8953" xr:uid="{00000000-0005-0000-0000-0000F8220000}"/>
    <cellStyle name="Normal 32 4 3 2" xfId="8954" xr:uid="{00000000-0005-0000-0000-0000F9220000}"/>
    <cellStyle name="Normal 32 4 3 2 2" xfId="8955" xr:uid="{00000000-0005-0000-0000-0000FA220000}"/>
    <cellStyle name="Normal 32 4 3 2 3" xfId="8956" xr:uid="{00000000-0005-0000-0000-0000FB220000}"/>
    <cellStyle name="Normal 32 4 3 3" xfId="8957" xr:uid="{00000000-0005-0000-0000-0000FC220000}"/>
    <cellStyle name="Normal 32 4 3 4" xfId="8958" xr:uid="{00000000-0005-0000-0000-0000FD220000}"/>
    <cellStyle name="Normal 32 4 4" xfId="8959" xr:uid="{00000000-0005-0000-0000-0000FE220000}"/>
    <cellStyle name="Normal 32 4 4 2" xfId="8960" xr:uid="{00000000-0005-0000-0000-0000FF220000}"/>
    <cellStyle name="Normal 32 4 4 3" xfId="8961" xr:uid="{00000000-0005-0000-0000-000000230000}"/>
    <cellStyle name="Normal 32 4 5" xfId="8962" xr:uid="{00000000-0005-0000-0000-000001230000}"/>
    <cellStyle name="Normal 32 4 5 2" xfId="8963" xr:uid="{00000000-0005-0000-0000-000002230000}"/>
    <cellStyle name="Normal 32 4 5 3" xfId="8964" xr:uid="{00000000-0005-0000-0000-000003230000}"/>
    <cellStyle name="Normal 32 4 6" xfId="8965" xr:uid="{00000000-0005-0000-0000-000004230000}"/>
    <cellStyle name="Normal 32 4 7" xfId="8966" xr:uid="{00000000-0005-0000-0000-000005230000}"/>
    <cellStyle name="Normal 32 5" xfId="8967" xr:uid="{00000000-0005-0000-0000-000006230000}"/>
    <cellStyle name="Normal 32 5 2" xfId="8968" xr:uid="{00000000-0005-0000-0000-000007230000}"/>
    <cellStyle name="Normal 32 5 2 2" xfId="8969" xr:uid="{00000000-0005-0000-0000-000008230000}"/>
    <cellStyle name="Normal 32 5 2 3" xfId="8970" xr:uid="{00000000-0005-0000-0000-000009230000}"/>
    <cellStyle name="Normal 32 5 3" xfId="8971" xr:uid="{00000000-0005-0000-0000-00000A230000}"/>
    <cellStyle name="Normal 32 5 3 2" xfId="8972" xr:uid="{00000000-0005-0000-0000-00000B230000}"/>
    <cellStyle name="Normal 32 5 3 3" xfId="8973" xr:uid="{00000000-0005-0000-0000-00000C230000}"/>
    <cellStyle name="Normal 32 5 4" xfId="8974" xr:uid="{00000000-0005-0000-0000-00000D230000}"/>
    <cellStyle name="Normal 32 5 5" xfId="8975" xr:uid="{00000000-0005-0000-0000-00000E230000}"/>
    <cellStyle name="Normal 32 6" xfId="8976" xr:uid="{00000000-0005-0000-0000-00000F230000}"/>
    <cellStyle name="Normal 32 6 2" xfId="8977" xr:uid="{00000000-0005-0000-0000-000010230000}"/>
    <cellStyle name="Normal 32 6 2 2" xfId="8978" xr:uid="{00000000-0005-0000-0000-000011230000}"/>
    <cellStyle name="Normal 32 6 2 3" xfId="8979" xr:uid="{00000000-0005-0000-0000-000012230000}"/>
    <cellStyle name="Normal 32 6 3" xfId="8980" xr:uid="{00000000-0005-0000-0000-000013230000}"/>
    <cellStyle name="Normal 32 6 3 2" xfId="8981" xr:uid="{00000000-0005-0000-0000-000014230000}"/>
    <cellStyle name="Normal 32 6 3 3" xfId="8982" xr:uid="{00000000-0005-0000-0000-000015230000}"/>
    <cellStyle name="Normal 32 6 4" xfId="8983" xr:uid="{00000000-0005-0000-0000-000016230000}"/>
    <cellStyle name="Normal 32 6 5" xfId="8984" xr:uid="{00000000-0005-0000-0000-000017230000}"/>
    <cellStyle name="Normal 32 7" xfId="8985" xr:uid="{00000000-0005-0000-0000-000018230000}"/>
    <cellStyle name="Normal 32 7 2" xfId="8986" xr:uid="{00000000-0005-0000-0000-000019230000}"/>
    <cellStyle name="Normal 32 7 2 2" xfId="8987" xr:uid="{00000000-0005-0000-0000-00001A230000}"/>
    <cellStyle name="Normal 32 7 2 3" xfId="8988" xr:uid="{00000000-0005-0000-0000-00001B230000}"/>
    <cellStyle name="Normal 32 7 3" xfId="8989" xr:uid="{00000000-0005-0000-0000-00001C230000}"/>
    <cellStyle name="Normal 32 7 4" xfId="8990" xr:uid="{00000000-0005-0000-0000-00001D230000}"/>
    <cellStyle name="Normal 32 8" xfId="8991" xr:uid="{00000000-0005-0000-0000-00001E230000}"/>
    <cellStyle name="Normal 32 8 2" xfId="8992" xr:uid="{00000000-0005-0000-0000-00001F230000}"/>
    <cellStyle name="Normal 32 8 3" xfId="8993" xr:uid="{00000000-0005-0000-0000-000020230000}"/>
    <cellStyle name="Normal 32 9" xfId="8994" xr:uid="{00000000-0005-0000-0000-000021230000}"/>
    <cellStyle name="Normal 32 9 2" xfId="8995" xr:uid="{00000000-0005-0000-0000-000022230000}"/>
    <cellStyle name="Normal 32 9 3" xfId="8996" xr:uid="{00000000-0005-0000-0000-000023230000}"/>
    <cellStyle name="Normal 33" xfId="8997" xr:uid="{00000000-0005-0000-0000-000024230000}"/>
    <cellStyle name="Normal 33 10" xfId="8998" xr:uid="{00000000-0005-0000-0000-000025230000}"/>
    <cellStyle name="Normal 33 10 2" xfId="8999" xr:uid="{00000000-0005-0000-0000-000026230000}"/>
    <cellStyle name="Normal 33 10 3" xfId="9000" xr:uid="{00000000-0005-0000-0000-000027230000}"/>
    <cellStyle name="Normal 33 11" xfId="9001" xr:uid="{00000000-0005-0000-0000-000028230000}"/>
    <cellStyle name="Normal 33 11 2" xfId="9002" xr:uid="{00000000-0005-0000-0000-000029230000}"/>
    <cellStyle name="Normal 33 11 3" xfId="9003" xr:uid="{00000000-0005-0000-0000-00002A230000}"/>
    <cellStyle name="Normal 33 12" xfId="9004" xr:uid="{00000000-0005-0000-0000-00002B230000}"/>
    <cellStyle name="Normal 33 13" xfId="9005" xr:uid="{00000000-0005-0000-0000-00002C230000}"/>
    <cellStyle name="Normal 33 2" xfId="9006" xr:uid="{00000000-0005-0000-0000-00002D230000}"/>
    <cellStyle name="Normal 33 2 2" xfId="9007" xr:uid="{00000000-0005-0000-0000-00002E230000}"/>
    <cellStyle name="Normal 33 2 2 2" xfId="9008" xr:uid="{00000000-0005-0000-0000-00002F230000}"/>
    <cellStyle name="Normal 33 2 2 2 2" xfId="9009" xr:uid="{00000000-0005-0000-0000-000030230000}"/>
    <cellStyle name="Normal 33 2 2 2 2 2" xfId="9010" xr:uid="{00000000-0005-0000-0000-000031230000}"/>
    <cellStyle name="Normal 33 2 2 2 2 3" xfId="9011" xr:uid="{00000000-0005-0000-0000-000032230000}"/>
    <cellStyle name="Normal 33 2 2 2 3" xfId="9012" xr:uid="{00000000-0005-0000-0000-000033230000}"/>
    <cellStyle name="Normal 33 2 2 2 3 2" xfId="9013" xr:uid="{00000000-0005-0000-0000-000034230000}"/>
    <cellStyle name="Normal 33 2 2 2 3 3" xfId="9014" xr:uid="{00000000-0005-0000-0000-000035230000}"/>
    <cellStyle name="Normal 33 2 2 2 4" xfId="9015" xr:uid="{00000000-0005-0000-0000-000036230000}"/>
    <cellStyle name="Normal 33 2 2 2 5" xfId="9016" xr:uid="{00000000-0005-0000-0000-000037230000}"/>
    <cellStyle name="Normal 33 2 2 3" xfId="9017" xr:uid="{00000000-0005-0000-0000-000038230000}"/>
    <cellStyle name="Normal 33 2 2 3 2" xfId="9018" xr:uid="{00000000-0005-0000-0000-000039230000}"/>
    <cellStyle name="Normal 33 2 2 3 2 2" xfId="9019" xr:uid="{00000000-0005-0000-0000-00003A230000}"/>
    <cellStyle name="Normal 33 2 2 3 2 3" xfId="9020" xr:uid="{00000000-0005-0000-0000-00003B230000}"/>
    <cellStyle name="Normal 33 2 2 3 3" xfId="9021" xr:uid="{00000000-0005-0000-0000-00003C230000}"/>
    <cellStyle name="Normal 33 2 2 3 3 2" xfId="9022" xr:uid="{00000000-0005-0000-0000-00003D230000}"/>
    <cellStyle name="Normal 33 2 2 3 3 3" xfId="9023" xr:uid="{00000000-0005-0000-0000-00003E230000}"/>
    <cellStyle name="Normal 33 2 2 3 4" xfId="9024" xr:uid="{00000000-0005-0000-0000-00003F230000}"/>
    <cellStyle name="Normal 33 2 2 3 5" xfId="9025" xr:uid="{00000000-0005-0000-0000-000040230000}"/>
    <cellStyle name="Normal 33 2 2 4" xfId="9026" xr:uid="{00000000-0005-0000-0000-000041230000}"/>
    <cellStyle name="Normal 33 2 2 4 2" xfId="9027" xr:uid="{00000000-0005-0000-0000-000042230000}"/>
    <cellStyle name="Normal 33 2 2 4 3" xfId="9028" xr:uid="{00000000-0005-0000-0000-000043230000}"/>
    <cellStyle name="Normal 33 2 2 5" xfId="9029" xr:uid="{00000000-0005-0000-0000-000044230000}"/>
    <cellStyle name="Normal 33 2 2 5 2" xfId="9030" xr:uid="{00000000-0005-0000-0000-000045230000}"/>
    <cellStyle name="Normal 33 2 2 5 3" xfId="9031" xr:uid="{00000000-0005-0000-0000-000046230000}"/>
    <cellStyle name="Normal 33 2 2 6" xfId="9032" xr:uid="{00000000-0005-0000-0000-000047230000}"/>
    <cellStyle name="Normal 33 2 2 7" xfId="9033" xr:uid="{00000000-0005-0000-0000-000048230000}"/>
    <cellStyle name="Normal 33 2 3" xfId="9034" xr:uid="{00000000-0005-0000-0000-000049230000}"/>
    <cellStyle name="Normal 33 2 3 2" xfId="9035" xr:uid="{00000000-0005-0000-0000-00004A230000}"/>
    <cellStyle name="Normal 33 2 3 2 2" xfId="9036" xr:uid="{00000000-0005-0000-0000-00004B230000}"/>
    <cellStyle name="Normal 33 2 3 2 3" xfId="9037" xr:uid="{00000000-0005-0000-0000-00004C230000}"/>
    <cellStyle name="Normal 33 2 3 3" xfId="9038" xr:uid="{00000000-0005-0000-0000-00004D230000}"/>
    <cellStyle name="Normal 33 2 3 3 2" xfId="9039" xr:uid="{00000000-0005-0000-0000-00004E230000}"/>
    <cellStyle name="Normal 33 2 3 3 3" xfId="9040" xr:uid="{00000000-0005-0000-0000-00004F230000}"/>
    <cellStyle name="Normal 33 2 3 4" xfId="9041" xr:uid="{00000000-0005-0000-0000-000050230000}"/>
    <cellStyle name="Normal 33 2 3 5" xfId="9042" xr:uid="{00000000-0005-0000-0000-000051230000}"/>
    <cellStyle name="Normal 33 2 4" xfId="9043" xr:uid="{00000000-0005-0000-0000-000052230000}"/>
    <cellStyle name="Normal 33 2 4 2" xfId="9044" xr:uid="{00000000-0005-0000-0000-000053230000}"/>
    <cellStyle name="Normal 33 2 4 2 2" xfId="9045" xr:uid="{00000000-0005-0000-0000-000054230000}"/>
    <cellStyle name="Normal 33 2 4 2 3" xfId="9046" xr:uid="{00000000-0005-0000-0000-000055230000}"/>
    <cellStyle name="Normal 33 2 4 2 6" xfId="22056" xr:uid="{E7884619-A285-41AB-8EDC-260A07159551}"/>
    <cellStyle name="Normal 33 2 4 3" xfId="9047" xr:uid="{00000000-0005-0000-0000-000056230000}"/>
    <cellStyle name="Normal 33 2 4 3 2" xfId="9048" xr:uid="{00000000-0005-0000-0000-000057230000}"/>
    <cellStyle name="Normal 33 2 4 3 3" xfId="9049" xr:uid="{00000000-0005-0000-0000-000058230000}"/>
    <cellStyle name="Normal 33 2 4 4" xfId="9050" xr:uid="{00000000-0005-0000-0000-000059230000}"/>
    <cellStyle name="Normal 33 2 4 5" xfId="9051" xr:uid="{00000000-0005-0000-0000-00005A230000}"/>
    <cellStyle name="Normal 33 2 5" xfId="9052" xr:uid="{00000000-0005-0000-0000-00005B230000}"/>
    <cellStyle name="Normal 33 2 5 2" xfId="9053" xr:uid="{00000000-0005-0000-0000-00005C230000}"/>
    <cellStyle name="Normal 33 2 5 3" xfId="9054" xr:uid="{00000000-0005-0000-0000-00005D230000}"/>
    <cellStyle name="Normal 33 2 6" xfId="9055" xr:uid="{00000000-0005-0000-0000-00005E230000}"/>
    <cellStyle name="Normal 33 2 6 2" xfId="9056" xr:uid="{00000000-0005-0000-0000-00005F230000}"/>
    <cellStyle name="Normal 33 2 6 3" xfId="9057" xr:uid="{00000000-0005-0000-0000-000060230000}"/>
    <cellStyle name="Normal 33 2 7" xfId="9058" xr:uid="{00000000-0005-0000-0000-000061230000}"/>
    <cellStyle name="Normal 33 2 7 2" xfId="9059" xr:uid="{00000000-0005-0000-0000-000062230000}"/>
    <cellStyle name="Normal 33 2 7 3" xfId="9060" xr:uid="{00000000-0005-0000-0000-000063230000}"/>
    <cellStyle name="Normal 33 2 8" xfId="9061" xr:uid="{00000000-0005-0000-0000-000064230000}"/>
    <cellStyle name="Normal 33 2 9" xfId="9062" xr:uid="{00000000-0005-0000-0000-000065230000}"/>
    <cellStyle name="Normal 33 3" xfId="9063" xr:uid="{00000000-0005-0000-0000-000066230000}"/>
    <cellStyle name="Normal 33 3 2" xfId="9064" xr:uid="{00000000-0005-0000-0000-000067230000}"/>
    <cellStyle name="Normal 33 3 2 2" xfId="9065" xr:uid="{00000000-0005-0000-0000-000068230000}"/>
    <cellStyle name="Normal 33 3 2 2 2" xfId="9066" xr:uid="{00000000-0005-0000-0000-000069230000}"/>
    <cellStyle name="Normal 33 3 2 2 3" xfId="9067" xr:uid="{00000000-0005-0000-0000-00006A230000}"/>
    <cellStyle name="Normal 33 3 2 3" xfId="9068" xr:uid="{00000000-0005-0000-0000-00006B230000}"/>
    <cellStyle name="Normal 33 3 2 3 2" xfId="9069" xr:uid="{00000000-0005-0000-0000-00006C230000}"/>
    <cellStyle name="Normal 33 3 2 3 3" xfId="9070" xr:uid="{00000000-0005-0000-0000-00006D230000}"/>
    <cellStyle name="Normal 33 3 2 4" xfId="9071" xr:uid="{00000000-0005-0000-0000-00006E230000}"/>
    <cellStyle name="Normal 33 3 2 5" xfId="9072" xr:uid="{00000000-0005-0000-0000-00006F230000}"/>
    <cellStyle name="Normal 33 3 3" xfId="9073" xr:uid="{00000000-0005-0000-0000-000070230000}"/>
    <cellStyle name="Normal 33 3 3 2" xfId="9074" xr:uid="{00000000-0005-0000-0000-000071230000}"/>
    <cellStyle name="Normal 33 3 3 2 2" xfId="9075" xr:uid="{00000000-0005-0000-0000-000072230000}"/>
    <cellStyle name="Normal 33 3 3 2 3" xfId="9076" xr:uid="{00000000-0005-0000-0000-000073230000}"/>
    <cellStyle name="Normal 33 3 3 3" xfId="9077" xr:uid="{00000000-0005-0000-0000-000074230000}"/>
    <cellStyle name="Normal 33 3 3 3 2" xfId="9078" xr:uid="{00000000-0005-0000-0000-000075230000}"/>
    <cellStyle name="Normal 33 3 3 3 3" xfId="9079" xr:uid="{00000000-0005-0000-0000-000076230000}"/>
    <cellStyle name="Normal 33 3 3 4" xfId="9080" xr:uid="{00000000-0005-0000-0000-000077230000}"/>
    <cellStyle name="Normal 33 3 3 5" xfId="9081" xr:uid="{00000000-0005-0000-0000-000078230000}"/>
    <cellStyle name="Normal 33 3 4" xfId="9082" xr:uid="{00000000-0005-0000-0000-000079230000}"/>
    <cellStyle name="Normal 33 3 4 2" xfId="9083" xr:uid="{00000000-0005-0000-0000-00007A230000}"/>
    <cellStyle name="Normal 33 3 4 3" xfId="9084" xr:uid="{00000000-0005-0000-0000-00007B230000}"/>
    <cellStyle name="Normal 33 3 5" xfId="9085" xr:uid="{00000000-0005-0000-0000-00007C230000}"/>
    <cellStyle name="Normal 33 3 5 2" xfId="9086" xr:uid="{00000000-0005-0000-0000-00007D230000}"/>
    <cellStyle name="Normal 33 3 5 3" xfId="9087" xr:uid="{00000000-0005-0000-0000-00007E230000}"/>
    <cellStyle name="Normal 33 3 6" xfId="9088" xr:uid="{00000000-0005-0000-0000-00007F230000}"/>
    <cellStyle name="Normal 33 3 7" xfId="9089" xr:uid="{00000000-0005-0000-0000-000080230000}"/>
    <cellStyle name="Normal 33 4" xfId="9090" xr:uid="{00000000-0005-0000-0000-000081230000}"/>
    <cellStyle name="Normal 33 4 2" xfId="9091" xr:uid="{00000000-0005-0000-0000-000082230000}"/>
    <cellStyle name="Normal 33 4 2 2" xfId="9092" xr:uid="{00000000-0005-0000-0000-000083230000}"/>
    <cellStyle name="Normal 33 4 2 2 2" xfId="9093" xr:uid="{00000000-0005-0000-0000-000084230000}"/>
    <cellStyle name="Normal 33 4 2 2 3" xfId="9094" xr:uid="{00000000-0005-0000-0000-000085230000}"/>
    <cellStyle name="Normal 33 4 2 3" xfId="9095" xr:uid="{00000000-0005-0000-0000-000086230000}"/>
    <cellStyle name="Normal 33 4 2 3 2" xfId="9096" xr:uid="{00000000-0005-0000-0000-000087230000}"/>
    <cellStyle name="Normal 33 4 2 3 3" xfId="9097" xr:uid="{00000000-0005-0000-0000-000088230000}"/>
    <cellStyle name="Normal 33 4 2 4" xfId="9098" xr:uid="{00000000-0005-0000-0000-000089230000}"/>
    <cellStyle name="Normal 33 4 2 5" xfId="9099" xr:uid="{00000000-0005-0000-0000-00008A230000}"/>
    <cellStyle name="Normal 33 4 3" xfId="9100" xr:uid="{00000000-0005-0000-0000-00008B230000}"/>
    <cellStyle name="Normal 33 4 3 2" xfId="9101" xr:uid="{00000000-0005-0000-0000-00008C230000}"/>
    <cellStyle name="Normal 33 4 3 2 2" xfId="9102" xr:uid="{00000000-0005-0000-0000-00008D230000}"/>
    <cellStyle name="Normal 33 4 3 2 3" xfId="9103" xr:uid="{00000000-0005-0000-0000-00008E230000}"/>
    <cellStyle name="Normal 33 4 3 3" xfId="9104" xr:uid="{00000000-0005-0000-0000-00008F230000}"/>
    <cellStyle name="Normal 33 4 3 4" xfId="9105" xr:uid="{00000000-0005-0000-0000-000090230000}"/>
    <cellStyle name="Normal 33 4 4" xfId="9106" xr:uid="{00000000-0005-0000-0000-000091230000}"/>
    <cellStyle name="Normal 33 4 4 2" xfId="9107" xr:uid="{00000000-0005-0000-0000-000092230000}"/>
    <cellStyle name="Normal 33 4 4 3" xfId="9108" xr:uid="{00000000-0005-0000-0000-000093230000}"/>
    <cellStyle name="Normal 33 4 5" xfId="9109" xr:uid="{00000000-0005-0000-0000-000094230000}"/>
    <cellStyle name="Normal 33 4 5 2" xfId="9110" xr:uid="{00000000-0005-0000-0000-000095230000}"/>
    <cellStyle name="Normal 33 4 5 3" xfId="9111" xr:uid="{00000000-0005-0000-0000-000096230000}"/>
    <cellStyle name="Normal 33 4 6" xfId="9112" xr:uid="{00000000-0005-0000-0000-000097230000}"/>
    <cellStyle name="Normal 33 4 7" xfId="9113" xr:uid="{00000000-0005-0000-0000-000098230000}"/>
    <cellStyle name="Normal 33 5" xfId="9114" xr:uid="{00000000-0005-0000-0000-000099230000}"/>
    <cellStyle name="Normal 33 5 2" xfId="9115" xr:uid="{00000000-0005-0000-0000-00009A230000}"/>
    <cellStyle name="Normal 33 5 2 2" xfId="9116" xr:uid="{00000000-0005-0000-0000-00009B230000}"/>
    <cellStyle name="Normal 33 5 2 3" xfId="9117" xr:uid="{00000000-0005-0000-0000-00009C230000}"/>
    <cellStyle name="Normal 33 5 3" xfId="9118" xr:uid="{00000000-0005-0000-0000-00009D230000}"/>
    <cellStyle name="Normal 33 5 3 2" xfId="9119" xr:uid="{00000000-0005-0000-0000-00009E230000}"/>
    <cellStyle name="Normal 33 5 3 3" xfId="9120" xr:uid="{00000000-0005-0000-0000-00009F230000}"/>
    <cellStyle name="Normal 33 5 4" xfId="9121" xr:uid="{00000000-0005-0000-0000-0000A0230000}"/>
    <cellStyle name="Normal 33 5 5" xfId="9122" xr:uid="{00000000-0005-0000-0000-0000A1230000}"/>
    <cellStyle name="Normal 33 6" xfId="9123" xr:uid="{00000000-0005-0000-0000-0000A2230000}"/>
    <cellStyle name="Normal 33 6 2" xfId="9124" xr:uid="{00000000-0005-0000-0000-0000A3230000}"/>
    <cellStyle name="Normal 33 6 2 2" xfId="9125" xr:uid="{00000000-0005-0000-0000-0000A4230000}"/>
    <cellStyle name="Normal 33 6 2 3" xfId="9126" xr:uid="{00000000-0005-0000-0000-0000A5230000}"/>
    <cellStyle name="Normal 33 6 3" xfId="9127" xr:uid="{00000000-0005-0000-0000-0000A6230000}"/>
    <cellStyle name="Normal 33 6 3 2" xfId="9128" xr:uid="{00000000-0005-0000-0000-0000A7230000}"/>
    <cellStyle name="Normal 33 6 3 3" xfId="9129" xr:uid="{00000000-0005-0000-0000-0000A8230000}"/>
    <cellStyle name="Normal 33 6 4" xfId="9130" xr:uid="{00000000-0005-0000-0000-0000A9230000}"/>
    <cellStyle name="Normal 33 6 5" xfId="9131" xr:uid="{00000000-0005-0000-0000-0000AA230000}"/>
    <cellStyle name="Normal 33 7" xfId="9132" xr:uid="{00000000-0005-0000-0000-0000AB230000}"/>
    <cellStyle name="Normal 33 7 2" xfId="9133" xr:uid="{00000000-0005-0000-0000-0000AC230000}"/>
    <cellStyle name="Normal 33 7 2 2" xfId="9134" xr:uid="{00000000-0005-0000-0000-0000AD230000}"/>
    <cellStyle name="Normal 33 7 2 3" xfId="9135" xr:uid="{00000000-0005-0000-0000-0000AE230000}"/>
    <cellStyle name="Normal 33 7 3" xfId="9136" xr:uid="{00000000-0005-0000-0000-0000AF230000}"/>
    <cellStyle name="Normal 33 7 4" xfId="9137" xr:uid="{00000000-0005-0000-0000-0000B0230000}"/>
    <cellStyle name="Normal 33 8" xfId="9138" xr:uid="{00000000-0005-0000-0000-0000B1230000}"/>
    <cellStyle name="Normal 33 8 2" xfId="9139" xr:uid="{00000000-0005-0000-0000-0000B2230000}"/>
    <cellStyle name="Normal 33 8 3" xfId="9140" xr:uid="{00000000-0005-0000-0000-0000B3230000}"/>
    <cellStyle name="Normal 33 9" xfId="9141" xr:uid="{00000000-0005-0000-0000-0000B4230000}"/>
    <cellStyle name="Normal 33 9 2" xfId="9142" xr:uid="{00000000-0005-0000-0000-0000B5230000}"/>
    <cellStyle name="Normal 33 9 3" xfId="9143" xr:uid="{00000000-0005-0000-0000-0000B6230000}"/>
    <cellStyle name="Normal 34" xfId="9144" xr:uid="{00000000-0005-0000-0000-0000B7230000}"/>
    <cellStyle name="Normal 34 10" xfId="9145" xr:uid="{00000000-0005-0000-0000-0000B8230000}"/>
    <cellStyle name="Normal 34 10 2" xfId="9146" xr:uid="{00000000-0005-0000-0000-0000B9230000}"/>
    <cellStyle name="Normal 34 10 3" xfId="9147" xr:uid="{00000000-0005-0000-0000-0000BA230000}"/>
    <cellStyle name="Normal 34 11" xfId="9148" xr:uid="{00000000-0005-0000-0000-0000BB230000}"/>
    <cellStyle name="Normal 34 11 2" xfId="9149" xr:uid="{00000000-0005-0000-0000-0000BC230000}"/>
    <cellStyle name="Normal 34 11 3" xfId="9150" xr:uid="{00000000-0005-0000-0000-0000BD230000}"/>
    <cellStyle name="Normal 34 12" xfId="9151" xr:uid="{00000000-0005-0000-0000-0000BE230000}"/>
    <cellStyle name="Normal 34 13" xfId="9152" xr:uid="{00000000-0005-0000-0000-0000BF230000}"/>
    <cellStyle name="Normal 34 2" xfId="9153" xr:uid="{00000000-0005-0000-0000-0000C0230000}"/>
    <cellStyle name="Normal 34 2 2" xfId="9154" xr:uid="{00000000-0005-0000-0000-0000C1230000}"/>
    <cellStyle name="Normal 34 2 2 2" xfId="9155" xr:uid="{00000000-0005-0000-0000-0000C2230000}"/>
    <cellStyle name="Normal 34 2 2 2 2" xfId="9156" xr:uid="{00000000-0005-0000-0000-0000C3230000}"/>
    <cellStyle name="Normal 34 2 2 2 2 2" xfId="9157" xr:uid="{00000000-0005-0000-0000-0000C4230000}"/>
    <cellStyle name="Normal 34 2 2 2 2 3" xfId="9158" xr:uid="{00000000-0005-0000-0000-0000C5230000}"/>
    <cellStyle name="Normal 34 2 2 2 3" xfId="9159" xr:uid="{00000000-0005-0000-0000-0000C6230000}"/>
    <cellStyle name="Normal 34 2 2 2 3 2" xfId="9160" xr:uid="{00000000-0005-0000-0000-0000C7230000}"/>
    <cellStyle name="Normal 34 2 2 2 3 3" xfId="9161" xr:uid="{00000000-0005-0000-0000-0000C8230000}"/>
    <cellStyle name="Normal 34 2 2 2 4" xfId="9162" xr:uid="{00000000-0005-0000-0000-0000C9230000}"/>
    <cellStyle name="Normal 34 2 2 2 5" xfId="9163" xr:uid="{00000000-0005-0000-0000-0000CA230000}"/>
    <cellStyle name="Normal 34 2 2 3" xfId="9164" xr:uid="{00000000-0005-0000-0000-0000CB230000}"/>
    <cellStyle name="Normal 34 2 2 3 2" xfId="9165" xr:uid="{00000000-0005-0000-0000-0000CC230000}"/>
    <cellStyle name="Normal 34 2 2 3 2 2" xfId="9166" xr:uid="{00000000-0005-0000-0000-0000CD230000}"/>
    <cellStyle name="Normal 34 2 2 3 2 3" xfId="9167" xr:uid="{00000000-0005-0000-0000-0000CE230000}"/>
    <cellStyle name="Normal 34 2 2 3 3" xfId="9168" xr:uid="{00000000-0005-0000-0000-0000CF230000}"/>
    <cellStyle name="Normal 34 2 2 3 3 2" xfId="9169" xr:uid="{00000000-0005-0000-0000-0000D0230000}"/>
    <cellStyle name="Normal 34 2 2 3 3 3" xfId="9170" xr:uid="{00000000-0005-0000-0000-0000D1230000}"/>
    <cellStyle name="Normal 34 2 2 3 4" xfId="9171" xr:uid="{00000000-0005-0000-0000-0000D2230000}"/>
    <cellStyle name="Normal 34 2 2 3 5" xfId="9172" xr:uid="{00000000-0005-0000-0000-0000D3230000}"/>
    <cellStyle name="Normal 34 2 2 4" xfId="9173" xr:uid="{00000000-0005-0000-0000-0000D4230000}"/>
    <cellStyle name="Normal 34 2 2 4 2" xfId="9174" xr:uid="{00000000-0005-0000-0000-0000D5230000}"/>
    <cellStyle name="Normal 34 2 2 4 3" xfId="9175" xr:uid="{00000000-0005-0000-0000-0000D6230000}"/>
    <cellStyle name="Normal 34 2 2 5" xfId="9176" xr:uid="{00000000-0005-0000-0000-0000D7230000}"/>
    <cellStyle name="Normal 34 2 2 5 2" xfId="9177" xr:uid="{00000000-0005-0000-0000-0000D8230000}"/>
    <cellStyle name="Normal 34 2 2 5 3" xfId="9178" xr:uid="{00000000-0005-0000-0000-0000D9230000}"/>
    <cellStyle name="Normal 34 2 2 6" xfId="9179" xr:uid="{00000000-0005-0000-0000-0000DA230000}"/>
    <cellStyle name="Normal 34 2 2 7" xfId="9180" xr:uid="{00000000-0005-0000-0000-0000DB230000}"/>
    <cellStyle name="Normal 34 2 3" xfId="9181" xr:uid="{00000000-0005-0000-0000-0000DC230000}"/>
    <cellStyle name="Normal 34 2 3 2" xfId="9182" xr:uid="{00000000-0005-0000-0000-0000DD230000}"/>
    <cellStyle name="Normal 34 2 3 2 2" xfId="9183" xr:uid="{00000000-0005-0000-0000-0000DE230000}"/>
    <cellStyle name="Normal 34 2 3 2 3" xfId="9184" xr:uid="{00000000-0005-0000-0000-0000DF230000}"/>
    <cellStyle name="Normal 34 2 3 3" xfId="9185" xr:uid="{00000000-0005-0000-0000-0000E0230000}"/>
    <cellStyle name="Normal 34 2 3 3 2" xfId="9186" xr:uid="{00000000-0005-0000-0000-0000E1230000}"/>
    <cellStyle name="Normal 34 2 3 3 3" xfId="9187" xr:uid="{00000000-0005-0000-0000-0000E2230000}"/>
    <cellStyle name="Normal 34 2 3 4" xfId="9188" xr:uid="{00000000-0005-0000-0000-0000E3230000}"/>
    <cellStyle name="Normal 34 2 3 5" xfId="9189" xr:uid="{00000000-0005-0000-0000-0000E4230000}"/>
    <cellStyle name="Normal 34 2 4" xfId="9190" xr:uid="{00000000-0005-0000-0000-0000E5230000}"/>
    <cellStyle name="Normal 34 2 4 2" xfId="9191" xr:uid="{00000000-0005-0000-0000-0000E6230000}"/>
    <cellStyle name="Normal 34 2 4 2 2" xfId="9192" xr:uid="{00000000-0005-0000-0000-0000E7230000}"/>
    <cellStyle name="Normal 34 2 4 2 3" xfId="9193" xr:uid="{00000000-0005-0000-0000-0000E8230000}"/>
    <cellStyle name="Normal 34 2 4 3" xfId="9194" xr:uid="{00000000-0005-0000-0000-0000E9230000}"/>
    <cellStyle name="Normal 34 2 4 3 2" xfId="9195" xr:uid="{00000000-0005-0000-0000-0000EA230000}"/>
    <cellStyle name="Normal 34 2 4 3 3" xfId="9196" xr:uid="{00000000-0005-0000-0000-0000EB230000}"/>
    <cellStyle name="Normal 34 2 4 4" xfId="9197" xr:uid="{00000000-0005-0000-0000-0000EC230000}"/>
    <cellStyle name="Normal 34 2 4 5" xfId="9198" xr:uid="{00000000-0005-0000-0000-0000ED230000}"/>
    <cellStyle name="Normal 34 2 5" xfId="9199" xr:uid="{00000000-0005-0000-0000-0000EE230000}"/>
    <cellStyle name="Normal 34 2 5 2" xfId="9200" xr:uid="{00000000-0005-0000-0000-0000EF230000}"/>
    <cellStyle name="Normal 34 2 5 3" xfId="9201" xr:uid="{00000000-0005-0000-0000-0000F0230000}"/>
    <cellStyle name="Normal 34 2 6" xfId="9202" xr:uid="{00000000-0005-0000-0000-0000F1230000}"/>
    <cellStyle name="Normal 34 2 6 2" xfId="9203" xr:uid="{00000000-0005-0000-0000-0000F2230000}"/>
    <cellStyle name="Normal 34 2 6 3" xfId="9204" xr:uid="{00000000-0005-0000-0000-0000F3230000}"/>
    <cellStyle name="Normal 34 2 7" xfId="9205" xr:uid="{00000000-0005-0000-0000-0000F4230000}"/>
    <cellStyle name="Normal 34 2 7 2" xfId="9206" xr:uid="{00000000-0005-0000-0000-0000F5230000}"/>
    <cellStyle name="Normal 34 2 7 3" xfId="9207" xr:uid="{00000000-0005-0000-0000-0000F6230000}"/>
    <cellStyle name="Normal 34 2 8" xfId="9208" xr:uid="{00000000-0005-0000-0000-0000F7230000}"/>
    <cellStyle name="Normal 34 2 9" xfId="9209" xr:uid="{00000000-0005-0000-0000-0000F8230000}"/>
    <cellStyle name="Normal 34 3" xfId="9210" xr:uid="{00000000-0005-0000-0000-0000F9230000}"/>
    <cellStyle name="Normal 34 3 2" xfId="9211" xr:uid="{00000000-0005-0000-0000-0000FA230000}"/>
    <cellStyle name="Normal 34 3 2 2" xfId="9212" xr:uid="{00000000-0005-0000-0000-0000FB230000}"/>
    <cellStyle name="Normal 34 3 2 2 2" xfId="9213" xr:uid="{00000000-0005-0000-0000-0000FC230000}"/>
    <cellStyle name="Normal 34 3 2 2 3" xfId="9214" xr:uid="{00000000-0005-0000-0000-0000FD230000}"/>
    <cellStyle name="Normal 34 3 2 3" xfId="9215" xr:uid="{00000000-0005-0000-0000-0000FE230000}"/>
    <cellStyle name="Normal 34 3 2 3 2" xfId="9216" xr:uid="{00000000-0005-0000-0000-0000FF230000}"/>
    <cellStyle name="Normal 34 3 2 3 3" xfId="9217" xr:uid="{00000000-0005-0000-0000-000000240000}"/>
    <cellStyle name="Normal 34 3 2 4" xfId="9218" xr:uid="{00000000-0005-0000-0000-000001240000}"/>
    <cellStyle name="Normal 34 3 2 5" xfId="9219" xr:uid="{00000000-0005-0000-0000-000002240000}"/>
    <cellStyle name="Normal 34 3 3" xfId="9220" xr:uid="{00000000-0005-0000-0000-000003240000}"/>
    <cellStyle name="Normal 34 3 3 2" xfId="9221" xr:uid="{00000000-0005-0000-0000-000004240000}"/>
    <cellStyle name="Normal 34 3 3 2 2" xfId="9222" xr:uid="{00000000-0005-0000-0000-000005240000}"/>
    <cellStyle name="Normal 34 3 3 2 3" xfId="9223" xr:uid="{00000000-0005-0000-0000-000006240000}"/>
    <cellStyle name="Normal 34 3 3 3" xfId="9224" xr:uid="{00000000-0005-0000-0000-000007240000}"/>
    <cellStyle name="Normal 34 3 3 3 2" xfId="9225" xr:uid="{00000000-0005-0000-0000-000008240000}"/>
    <cellStyle name="Normal 34 3 3 3 3" xfId="9226" xr:uid="{00000000-0005-0000-0000-000009240000}"/>
    <cellStyle name="Normal 34 3 3 4" xfId="9227" xr:uid="{00000000-0005-0000-0000-00000A240000}"/>
    <cellStyle name="Normal 34 3 3 5" xfId="9228" xr:uid="{00000000-0005-0000-0000-00000B240000}"/>
    <cellStyle name="Normal 34 3 4" xfId="9229" xr:uid="{00000000-0005-0000-0000-00000C240000}"/>
    <cellStyle name="Normal 34 3 4 2" xfId="9230" xr:uid="{00000000-0005-0000-0000-00000D240000}"/>
    <cellStyle name="Normal 34 3 4 3" xfId="9231" xr:uid="{00000000-0005-0000-0000-00000E240000}"/>
    <cellStyle name="Normal 34 3 5" xfId="9232" xr:uid="{00000000-0005-0000-0000-00000F240000}"/>
    <cellStyle name="Normal 34 3 5 2" xfId="9233" xr:uid="{00000000-0005-0000-0000-000010240000}"/>
    <cellStyle name="Normal 34 3 5 3" xfId="9234" xr:uid="{00000000-0005-0000-0000-000011240000}"/>
    <cellStyle name="Normal 34 3 6" xfId="9235" xr:uid="{00000000-0005-0000-0000-000012240000}"/>
    <cellStyle name="Normal 34 3 7" xfId="9236" xr:uid="{00000000-0005-0000-0000-000013240000}"/>
    <cellStyle name="Normal 34 4" xfId="9237" xr:uid="{00000000-0005-0000-0000-000014240000}"/>
    <cellStyle name="Normal 34 4 2" xfId="9238" xr:uid="{00000000-0005-0000-0000-000015240000}"/>
    <cellStyle name="Normal 34 4 2 2" xfId="9239" xr:uid="{00000000-0005-0000-0000-000016240000}"/>
    <cellStyle name="Normal 34 4 2 2 2" xfId="9240" xr:uid="{00000000-0005-0000-0000-000017240000}"/>
    <cellStyle name="Normal 34 4 2 2 3" xfId="9241" xr:uid="{00000000-0005-0000-0000-000018240000}"/>
    <cellStyle name="Normal 34 4 2 3" xfId="9242" xr:uid="{00000000-0005-0000-0000-000019240000}"/>
    <cellStyle name="Normal 34 4 2 3 2" xfId="9243" xr:uid="{00000000-0005-0000-0000-00001A240000}"/>
    <cellStyle name="Normal 34 4 2 3 3" xfId="9244" xr:uid="{00000000-0005-0000-0000-00001B240000}"/>
    <cellStyle name="Normal 34 4 2 4" xfId="9245" xr:uid="{00000000-0005-0000-0000-00001C240000}"/>
    <cellStyle name="Normal 34 4 2 5" xfId="9246" xr:uid="{00000000-0005-0000-0000-00001D240000}"/>
    <cellStyle name="Normal 34 4 3" xfId="9247" xr:uid="{00000000-0005-0000-0000-00001E240000}"/>
    <cellStyle name="Normal 34 4 3 2" xfId="9248" xr:uid="{00000000-0005-0000-0000-00001F240000}"/>
    <cellStyle name="Normal 34 4 3 2 2" xfId="9249" xr:uid="{00000000-0005-0000-0000-000020240000}"/>
    <cellStyle name="Normal 34 4 3 2 3" xfId="9250" xr:uid="{00000000-0005-0000-0000-000021240000}"/>
    <cellStyle name="Normal 34 4 3 3" xfId="9251" xr:uid="{00000000-0005-0000-0000-000022240000}"/>
    <cellStyle name="Normal 34 4 3 4" xfId="9252" xr:uid="{00000000-0005-0000-0000-000023240000}"/>
    <cellStyle name="Normal 34 4 4" xfId="9253" xr:uid="{00000000-0005-0000-0000-000024240000}"/>
    <cellStyle name="Normal 34 4 4 2" xfId="9254" xr:uid="{00000000-0005-0000-0000-000025240000}"/>
    <cellStyle name="Normal 34 4 4 3" xfId="9255" xr:uid="{00000000-0005-0000-0000-000026240000}"/>
    <cellStyle name="Normal 34 4 5" xfId="9256" xr:uid="{00000000-0005-0000-0000-000027240000}"/>
    <cellStyle name="Normal 34 4 5 2" xfId="9257" xr:uid="{00000000-0005-0000-0000-000028240000}"/>
    <cellStyle name="Normal 34 4 5 3" xfId="9258" xr:uid="{00000000-0005-0000-0000-000029240000}"/>
    <cellStyle name="Normal 34 4 6" xfId="9259" xr:uid="{00000000-0005-0000-0000-00002A240000}"/>
    <cellStyle name="Normal 34 4 7" xfId="9260" xr:uid="{00000000-0005-0000-0000-00002B240000}"/>
    <cellStyle name="Normal 34 5" xfId="9261" xr:uid="{00000000-0005-0000-0000-00002C240000}"/>
    <cellStyle name="Normal 34 5 2" xfId="9262" xr:uid="{00000000-0005-0000-0000-00002D240000}"/>
    <cellStyle name="Normal 34 5 2 2" xfId="9263" xr:uid="{00000000-0005-0000-0000-00002E240000}"/>
    <cellStyle name="Normal 34 5 2 3" xfId="9264" xr:uid="{00000000-0005-0000-0000-00002F240000}"/>
    <cellStyle name="Normal 34 5 3" xfId="9265" xr:uid="{00000000-0005-0000-0000-000030240000}"/>
    <cellStyle name="Normal 34 5 3 2" xfId="9266" xr:uid="{00000000-0005-0000-0000-000031240000}"/>
    <cellStyle name="Normal 34 5 3 3" xfId="9267" xr:uid="{00000000-0005-0000-0000-000032240000}"/>
    <cellStyle name="Normal 34 5 4" xfId="9268" xr:uid="{00000000-0005-0000-0000-000033240000}"/>
    <cellStyle name="Normal 34 5 5" xfId="9269" xr:uid="{00000000-0005-0000-0000-000034240000}"/>
    <cellStyle name="Normal 34 6" xfId="9270" xr:uid="{00000000-0005-0000-0000-000035240000}"/>
    <cellStyle name="Normal 34 6 2" xfId="9271" xr:uid="{00000000-0005-0000-0000-000036240000}"/>
    <cellStyle name="Normal 34 6 2 2" xfId="9272" xr:uid="{00000000-0005-0000-0000-000037240000}"/>
    <cellStyle name="Normal 34 6 2 3" xfId="9273" xr:uid="{00000000-0005-0000-0000-000038240000}"/>
    <cellStyle name="Normal 34 6 3" xfId="9274" xr:uid="{00000000-0005-0000-0000-000039240000}"/>
    <cellStyle name="Normal 34 6 3 2" xfId="9275" xr:uid="{00000000-0005-0000-0000-00003A240000}"/>
    <cellStyle name="Normal 34 6 3 3" xfId="9276" xr:uid="{00000000-0005-0000-0000-00003B240000}"/>
    <cellStyle name="Normal 34 6 4" xfId="9277" xr:uid="{00000000-0005-0000-0000-00003C240000}"/>
    <cellStyle name="Normal 34 6 5" xfId="9278" xr:uid="{00000000-0005-0000-0000-00003D240000}"/>
    <cellStyle name="Normal 34 7" xfId="9279" xr:uid="{00000000-0005-0000-0000-00003E240000}"/>
    <cellStyle name="Normal 34 7 2" xfId="9280" xr:uid="{00000000-0005-0000-0000-00003F240000}"/>
    <cellStyle name="Normal 34 7 2 2" xfId="9281" xr:uid="{00000000-0005-0000-0000-000040240000}"/>
    <cellStyle name="Normal 34 7 2 3" xfId="9282" xr:uid="{00000000-0005-0000-0000-000041240000}"/>
    <cellStyle name="Normal 34 7 3" xfId="9283" xr:uid="{00000000-0005-0000-0000-000042240000}"/>
    <cellStyle name="Normal 34 7 4" xfId="9284" xr:uid="{00000000-0005-0000-0000-000043240000}"/>
    <cellStyle name="Normal 34 8" xfId="9285" xr:uid="{00000000-0005-0000-0000-000044240000}"/>
    <cellStyle name="Normal 34 8 2" xfId="9286" xr:uid="{00000000-0005-0000-0000-000045240000}"/>
    <cellStyle name="Normal 34 8 3" xfId="9287" xr:uid="{00000000-0005-0000-0000-000046240000}"/>
    <cellStyle name="Normal 34 9" xfId="9288" xr:uid="{00000000-0005-0000-0000-000047240000}"/>
    <cellStyle name="Normal 34 9 2" xfId="9289" xr:uid="{00000000-0005-0000-0000-000048240000}"/>
    <cellStyle name="Normal 34 9 3" xfId="9290" xr:uid="{00000000-0005-0000-0000-000049240000}"/>
    <cellStyle name="Normal 35" xfId="9291" xr:uid="{00000000-0005-0000-0000-00004A240000}"/>
    <cellStyle name="Normal 35 2" xfId="9292" xr:uid="{00000000-0005-0000-0000-00004B240000}"/>
    <cellStyle name="Normal 36" xfId="9293" xr:uid="{00000000-0005-0000-0000-00004C240000}"/>
    <cellStyle name="Normal 36 10" xfId="9294" xr:uid="{00000000-0005-0000-0000-00004D240000}"/>
    <cellStyle name="Normal 36 10 2" xfId="9295" xr:uid="{00000000-0005-0000-0000-00004E240000}"/>
    <cellStyle name="Normal 36 10 3" xfId="9296" xr:uid="{00000000-0005-0000-0000-00004F240000}"/>
    <cellStyle name="Normal 36 11" xfId="9297" xr:uid="{00000000-0005-0000-0000-000050240000}"/>
    <cellStyle name="Normal 36 11 2" xfId="9298" xr:uid="{00000000-0005-0000-0000-000051240000}"/>
    <cellStyle name="Normal 36 11 3" xfId="9299" xr:uid="{00000000-0005-0000-0000-000052240000}"/>
    <cellStyle name="Normal 36 12" xfId="9300" xr:uid="{00000000-0005-0000-0000-000053240000}"/>
    <cellStyle name="Normal 36 13" xfId="9301" xr:uid="{00000000-0005-0000-0000-000054240000}"/>
    <cellStyle name="Normal 36 2" xfId="9302" xr:uid="{00000000-0005-0000-0000-000055240000}"/>
    <cellStyle name="Normal 36 2 2" xfId="9303" xr:uid="{00000000-0005-0000-0000-000056240000}"/>
    <cellStyle name="Normal 36 2 2 2" xfId="9304" xr:uid="{00000000-0005-0000-0000-000057240000}"/>
    <cellStyle name="Normal 36 2 2 2 2" xfId="9305" xr:uid="{00000000-0005-0000-0000-000058240000}"/>
    <cellStyle name="Normal 36 2 2 2 2 2" xfId="9306" xr:uid="{00000000-0005-0000-0000-000059240000}"/>
    <cellStyle name="Normal 36 2 2 2 2 3" xfId="9307" xr:uid="{00000000-0005-0000-0000-00005A240000}"/>
    <cellStyle name="Normal 36 2 2 2 3" xfId="9308" xr:uid="{00000000-0005-0000-0000-00005B240000}"/>
    <cellStyle name="Normal 36 2 2 2 3 2" xfId="9309" xr:uid="{00000000-0005-0000-0000-00005C240000}"/>
    <cellStyle name="Normal 36 2 2 2 3 3" xfId="9310" xr:uid="{00000000-0005-0000-0000-00005D240000}"/>
    <cellStyle name="Normal 36 2 2 2 4" xfId="9311" xr:uid="{00000000-0005-0000-0000-00005E240000}"/>
    <cellStyle name="Normal 36 2 2 2 5" xfId="9312" xr:uid="{00000000-0005-0000-0000-00005F240000}"/>
    <cellStyle name="Normal 36 2 2 3" xfId="9313" xr:uid="{00000000-0005-0000-0000-000060240000}"/>
    <cellStyle name="Normal 36 2 2 3 2" xfId="9314" xr:uid="{00000000-0005-0000-0000-000061240000}"/>
    <cellStyle name="Normal 36 2 2 3 2 2" xfId="9315" xr:uid="{00000000-0005-0000-0000-000062240000}"/>
    <cellStyle name="Normal 36 2 2 3 2 3" xfId="9316" xr:uid="{00000000-0005-0000-0000-000063240000}"/>
    <cellStyle name="Normal 36 2 2 3 3" xfId="9317" xr:uid="{00000000-0005-0000-0000-000064240000}"/>
    <cellStyle name="Normal 36 2 2 3 3 2" xfId="9318" xr:uid="{00000000-0005-0000-0000-000065240000}"/>
    <cellStyle name="Normal 36 2 2 3 3 3" xfId="9319" xr:uid="{00000000-0005-0000-0000-000066240000}"/>
    <cellStyle name="Normal 36 2 2 3 4" xfId="9320" xr:uid="{00000000-0005-0000-0000-000067240000}"/>
    <cellStyle name="Normal 36 2 2 3 5" xfId="9321" xr:uid="{00000000-0005-0000-0000-000068240000}"/>
    <cellStyle name="Normal 36 2 2 4" xfId="9322" xr:uid="{00000000-0005-0000-0000-000069240000}"/>
    <cellStyle name="Normal 36 2 2 4 2" xfId="9323" xr:uid="{00000000-0005-0000-0000-00006A240000}"/>
    <cellStyle name="Normal 36 2 2 4 3" xfId="9324" xr:uid="{00000000-0005-0000-0000-00006B240000}"/>
    <cellStyle name="Normal 36 2 2 5" xfId="9325" xr:uid="{00000000-0005-0000-0000-00006C240000}"/>
    <cellStyle name="Normal 36 2 2 5 2" xfId="9326" xr:uid="{00000000-0005-0000-0000-00006D240000}"/>
    <cellStyle name="Normal 36 2 2 5 3" xfId="9327" xr:uid="{00000000-0005-0000-0000-00006E240000}"/>
    <cellStyle name="Normal 36 2 2 6" xfId="9328" xr:uid="{00000000-0005-0000-0000-00006F240000}"/>
    <cellStyle name="Normal 36 2 2 7" xfId="9329" xr:uid="{00000000-0005-0000-0000-000070240000}"/>
    <cellStyle name="Normal 36 2 3" xfId="9330" xr:uid="{00000000-0005-0000-0000-000071240000}"/>
    <cellStyle name="Normal 36 2 3 2" xfId="9331" xr:uid="{00000000-0005-0000-0000-000072240000}"/>
    <cellStyle name="Normal 36 2 3 2 2" xfId="9332" xr:uid="{00000000-0005-0000-0000-000073240000}"/>
    <cellStyle name="Normal 36 2 3 2 3" xfId="9333" xr:uid="{00000000-0005-0000-0000-000074240000}"/>
    <cellStyle name="Normal 36 2 3 3" xfId="9334" xr:uid="{00000000-0005-0000-0000-000075240000}"/>
    <cellStyle name="Normal 36 2 3 3 2" xfId="9335" xr:uid="{00000000-0005-0000-0000-000076240000}"/>
    <cellStyle name="Normal 36 2 3 3 3" xfId="9336" xr:uid="{00000000-0005-0000-0000-000077240000}"/>
    <cellStyle name="Normal 36 2 3 4" xfId="9337" xr:uid="{00000000-0005-0000-0000-000078240000}"/>
    <cellStyle name="Normal 36 2 3 5" xfId="9338" xr:uid="{00000000-0005-0000-0000-000079240000}"/>
    <cellStyle name="Normal 36 2 4" xfId="9339" xr:uid="{00000000-0005-0000-0000-00007A240000}"/>
    <cellStyle name="Normal 36 2 4 2" xfId="9340" xr:uid="{00000000-0005-0000-0000-00007B240000}"/>
    <cellStyle name="Normal 36 2 4 2 2" xfId="9341" xr:uid="{00000000-0005-0000-0000-00007C240000}"/>
    <cellStyle name="Normal 36 2 4 2 3" xfId="9342" xr:uid="{00000000-0005-0000-0000-00007D240000}"/>
    <cellStyle name="Normal 36 2 4 3" xfId="9343" xr:uid="{00000000-0005-0000-0000-00007E240000}"/>
    <cellStyle name="Normal 36 2 4 3 2" xfId="9344" xr:uid="{00000000-0005-0000-0000-00007F240000}"/>
    <cellStyle name="Normal 36 2 4 3 3" xfId="9345" xr:uid="{00000000-0005-0000-0000-000080240000}"/>
    <cellStyle name="Normal 36 2 4 4" xfId="9346" xr:uid="{00000000-0005-0000-0000-000081240000}"/>
    <cellStyle name="Normal 36 2 4 5" xfId="9347" xr:uid="{00000000-0005-0000-0000-000082240000}"/>
    <cellStyle name="Normal 36 2 5" xfId="9348" xr:uid="{00000000-0005-0000-0000-000083240000}"/>
    <cellStyle name="Normal 36 2 5 2" xfId="9349" xr:uid="{00000000-0005-0000-0000-000084240000}"/>
    <cellStyle name="Normal 36 2 5 3" xfId="9350" xr:uid="{00000000-0005-0000-0000-000085240000}"/>
    <cellStyle name="Normal 36 2 6" xfId="9351" xr:uid="{00000000-0005-0000-0000-000086240000}"/>
    <cellStyle name="Normal 36 2 6 2" xfId="9352" xr:uid="{00000000-0005-0000-0000-000087240000}"/>
    <cellStyle name="Normal 36 2 6 3" xfId="9353" xr:uid="{00000000-0005-0000-0000-000088240000}"/>
    <cellStyle name="Normal 36 2 7" xfId="9354" xr:uid="{00000000-0005-0000-0000-000089240000}"/>
    <cellStyle name="Normal 36 2 7 2" xfId="9355" xr:uid="{00000000-0005-0000-0000-00008A240000}"/>
    <cellStyle name="Normal 36 2 7 3" xfId="9356" xr:uid="{00000000-0005-0000-0000-00008B240000}"/>
    <cellStyle name="Normal 36 2 8" xfId="9357" xr:uid="{00000000-0005-0000-0000-00008C240000}"/>
    <cellStyle name="Normal 36 2 9" xfId="9358" xr:uid="{00000000-0005-0000-0000-00008D240000}"/>
    <cellStyle name="Normal 36 3" xfId="9359" xr:uid="{00000000-0005-0000-0000-00008E240000}"/>
    <cellStyle name="Normal 36 3 2" xfId="9360" xr:uid="{00000000-0005-0000-0000-00008F240000}"/>
    <cellStyle name="Normal 36 3 2 2" xfId="9361" xr:uid="{00000000-0005-0000-0000-000090240000}"/>
    <cellStyle name="Normal 36 3 2 2 2" xfId="9362" xr:uid="{00000000-0005-0000-0000-000091240000}"/>
    <cellStyle name="Normal 36 3 2 2 3" xfId="9363" xr:uid="{00000000-0005-0000-0000-000092240000}"/>
    <cellStyle name="Normal 36 3 2 3" xfId="9364" xr:uid="{00000000-0005-0000-0000-000093240000}"/>
    <cellStyle name="Normal 36 3 2 3 2" xfId="9365" xr:uid="{00000000-0005-0000-0000-000094240000}"/>
    <cellStyle name="Normal 36 3 2 3 3" xfId="9366" xr:uid="{00000000-0005-0000-0000-000095240000}"/>
    <cellStyle name="Normal 36 3 2 4" xfId="9367" xr:uid="{00000000-0005-0000-0000-000096240000}"/>
    <cellStyle name="Normal 36 3 2 5" xfId="9368" xr:uid="{00000000-0005-0000-0000-000097240000}"/>
    <cellStyle name="Normal 36 3 3" xfId="9369" xr:uid="{00000000-0005-0000-0000-000098240000}"/>
    <cellStyle name="Normal 36 3 3 2" xfId="9370" xr:uid="{00000000-0005-0000-0000-000099240000}"/>
    <cellStyle name="Normal 36 3 3 2 2" xfId="9371" xr:uid="{00000000-0005-0000-0000-00009A240000}"/>
    <cellStyle name="Normal 36 3 3 2 3" xfId="9372" xr:uid="{00000000-0005-0000-0000-00009B240000}"/>
    <cellStyle name="Normal 36 3 3 3" xfId="9373" xr:uid="{00000000-0005-0000-0000-00009C240000}"/>
    <cellStyle name="Normal 36 3 3 3 2" xfId="9374" xr:uid="{00000000-0005-0000-0000-00009D240000}"/>
    <cellStyle name="Normal 36 3 3 3 3" xfId="9375" xr:uid="{00000000-0005-0000-0000-00009E240000}"/>
    <cellStyle name="Normal 36 3 3 4" xfId="9376" xr:uid="{00000000-0005-0000-0000-00009F240000}"/>
    <cellStyle name="Normal 36 3 3 5" xfId="9377" xr:uid="{00000000-0005-0000-0000-0000A0240000}"/>
    <cellStyle name="Normal 36 3 4" xfId="9378" xr:uid="{00000000-0005-0000-0000-0000A1240000}"/>
    <cellStyle name="Normal 36 3 4 2" xfId="9379" xr:uid="{00000000-0005-0000-0000-0000A2240000}"/>
    <cellStyle name="Normal 36 3 4 3" xfId="9380" xr:uid="{00000000-0005-0000-0000-0000A3240000}"/>
    <cellStyle name="Normal 36 3 5" xfId="9381" xr:uid="{00000000-0005-0000-0000-0000A4240000}"/>
    <cellStyle name="Normal 36 3 5 2" xfId="9382" xr:uid="{00000000-0005-0000-0000-0000A5240000}"/>
    <cellStyle name="Normal 36 3 5 3" xfId="9383" xr:uid="{00000000-0005-0000-0000-0000A6240000}"/>
    <cellStyle name="Normal 36 3 6" xfId="9384" xr:uid="{00000000-0005-0000-0000-0000A7240000}"/>
    <cellStyle name="Normal 36 3 7" xfId="9385" xr:uid="{00000000-0005-0000-0000-0000A8240000}"/>
    <cellStyle name="Normal 36 4" xfId="9386" xr:uid="{00000000-0005-0000-0000-0000A9240000}"/>
    <cellStyle name="Normal 36 4 2" xfId="9387" xr:uid="{00000000-0005-0000-0000-0000AA240000}"/>
    <cellStyle name="Normal 36 4 2 2" xfId="9388" xr:uid="{00000000-0005-0000-0000-0000AB240000}"/>
    <cellStyle name="Normal 36 4 2 2 2" xfId="9389" xr:uid="{00000000-0005-0000-0000-0000AC240000}"/>
    <cellStyle name="Normal 36 4 2 2 3" xfId="9390" xr:uid="{00000000-0005-0000-0000-0000AD240000}"/>
    <cellStyle name="Normal 36 4 2 3" xfId="9391" xr:uid="{00000000-0005-0000-0000-0000AE240000}"/>
    <cellStyle name="Normal 36 4 2 3 2" xfId="9392" xr:uid="{00000000-0005-0000-0000-0000AF240000}"/>
    <cellStyle name="Normal 36 4 2 3 3" xfId="9393" xr:uid="{00000000-0005-0000-0000-0000B0240000}"/>
    <cellStyle name="Normal 36 4 2 4" xfId="9394" xr:uid="{00000000-0005-0000-0000-0000B1240000}"/>
    <cellStyle name="Normal 36 4 2 5" xfId="9395" xr:uid="{00000000-0005-0000-0000-0000B2240000}"/>
    <cellStyle name="Normal 36 4 3" xfId="9396" xr:uid="{00000000-0005-0000-0000-0000B3240000}"/>
    <cellStyle name="Normal 36 4 3 2" xfId="9397" xr:uid="{00000000-0005-0000-0000-0000B4240000}"/>
    <cellStyle name="Normal 36 4 3 2 2" xfId="9398" xr:uid="{00000000-0005-0000-0000-0000B5240000}"/>
    <cellStyle name="Normal 36 4 3 2 3" xfId="9399" xr:uid="{00000000-0005-0000-0000-0000B6240000}"/>
    <cellStyle name="Normal 36 4 3 3" xfId="9400" xr:uid="{00000000-0005-0000-0000-0000B7240000}"/>
    <cellStyle name="Normal 36 4 3 4" xfId="9401" xr:uid="{00000000-0005-0000-0000-0000B8240000}"/>
    <cellStyle name="Normal 36 4 4" xfId="9402" xr:uid="{00000000-0005-0000-0000-0000B9240000}"/>
    <cellStyle name="Normal 36 4 4 2" xfId="9403" xr:uid="{00000000-0005-0000-0000-0000BA240000}"/>
    <cellStyle name="Normal 36 4 4 3" xfId="9404" xr:uid="{00000000-0005-0000-0000-0000BB240000}"/>
    <cellStyle name="Normal 36 4 5" xfId="9405" xr:uid="{00000000-0005-0000-0000-0000BC240000}"/>
    <cellStyle name="Normal 36 4 5 2" xfId="9406" xr:uid="{00000000-0005-0000-0000-0000BD240000}"/>
    <cellStyle name="Normal 36 4 5 3" xfId="9407" xr:uid="{00000000-0005-0000-0000-0000BE240000}"/>
    <cellStyle name="Normal 36 4 6" xfId="9408" xr:uid="{00000000-0005-0000-0000-0000BF240000}"/>
    <cellStyle name="Normal 36 4 7" xfId="9409" xr:uid="{00000000-0005-0000-0000-0000C0240000}"/>
    <cellStyle name="Normal 36 5" xfId="9410" xr:uid="{00000000-0005-0000-0000-0000C1240000}"/>
    <cellStyle name="Normal 36 5 2" xfId="9411" xr:uid="{00000000-0005-0000-0000-0000C2240000}"/>
    <cellStyle name="Normal 36 5 2 2" xfId="9412" xr:uid="{00000000-0005-0000-0000-0000C3240000}"/>
    <cellStyle name="Normal 36 5 2 3" xfId="9413" xr:uid="{00000000-0005-0000-0000-0000C4240000}"/>
    <cellStyle name="Normal 36 5 3" xfId="9414" xr:uid="{00000000-0005-0000-0000-0000C5240000}"/>
    <cellStyle name="Normal 36 5 3 2" xfId="9415" xr:uid="{00000000-0005-0000-0000-0000C6240000}"/>
    <cellStyle name="Normal 36 5 3 3" xfId="9416" xr:uid="{00000000-0005-0000-0000-0000C7240000}"/>
    <cellStyle name="Normal 36 5 4" xfId="9417" xr:uid="{00000000-0005-0000-0000-0000C8240000}"/>
    <cellStyle name="Normal 36 5 5" xfId="9418" xr:uid="{00000000-0005-0000-0000-0000C9240000}"/>
    <cellStyle name="Normal 36 6" xfId="9419" xr:uid="{00000000-0005-0000-0000-0000CA240000}"/>
    <cellStyle name="Normal 36 6 2" xfId="9420" xr:uid="{00000000-0005-0000-0000-0000CB240000}"/>
    <cellStyle name="Normal 36 6 2 2" xfId="9421" xr:uid="{00000000-0005-0000-0000-0000CC240000}"/>
    <cellStyle name="Normal 36 6 2 3" xfId="9422" xr:uid="{00000000-0005-0000-0000-0000CD240000}"/>
    <cellStyle name="Normal 36 6 3" xfId="9423" xr:uid="{00000000-0005-0000-0000-0000CE240000}"/>
    <cellStyle name="Normal 36 6 3 2" xfId="9424" xr:uid="{00000000-0005-0000-0000-0000CF240000}"/>
    <cellStyle name="Normal 36 6 3 3" xfId="9425" xr:uid="{00000000-0005-0000-0000-0000D0240000}"/>
    <cellStyle name="Normal 36 6 4" xfId="9426" xr:uid="{00000000-0005-0000-0000-0000D1240000}"/>
    <cellStyle name="Normal 36 6 5" xfId="9427" xr:uid="{00000000-0005-0000-0000-0000D2240000}"/>
    <cellStyle name="Normal 36 7" xfId="9428" xr:uid="{00000000-0005-0000-0000-0000D3240000}"/>
    <cellStyle name="Normal 36 7 2" xfId="9429" xr:uid="{00000000-0005-0000-0000-0000D4240000}"/>
    <cellStyle name="Normal 36 7 2 2" xfId="9430" xr:uid="{00000000-0005-0000-0000-0000D5240000}"/>
    <cellStyle name="Normal 36 7 2 3" xfId="9431" xr:uid="{00000000-0005-0000-0000-0000D6240000}"/>
    <cellStyle name="Normal 36 7 3" xfId="9432" xr:uid="{00000000-0005-0000-0000-0000D7240000}"/>
    <cellStyle name="Normal 36 7 4" xfId="9433" xr:uid="{00000000-0005-0000-0000-0000D8240000}"/>
    <cellStyle name="Normal 36 8" xfId="9434" xr:uid="{00000000-0005-0000-0000-0000D9240000}"/>
    <cellStyle name="Normal 36 8 2" xfId="9435" xr:uid="{00000000-0005-0000-0000-0000DA240000}"/>
    <cellStyle name="Normal 36 8 3" xfId="9436" xr:uid="{00000000-0005-0000-0000-0000DB240000}"/>
    <cellStyle name="Normal 36 9" xfId="9437" xr:uid="{00000000-0005-0000-0000-0000DC240000}"/>
    <cellStyle name="Normal 36 9 2" xfId="9438" xr:uid="{00000000-0005-0000-0000-0000DD240000}"/>
    <cellStyle name="Normal 36 9 3" xfId="9439" xr:uid="{00000000-0005-0000-0000-0000DE240000}"/>
    <cellStyle name="Normal 37" xfId="9440" xr:uid="{00000000-0005-0000-0000-0000DF240000}"/>
    <cellStyle name="Normal 37 10" xfId="9441" xr:uid="{00000000-0005-0000-0000-0000E0240000}"/>
    <cellStyle name="Normal 37 10 2" xfId="9442" xr:uid="{00000000-0005-0000-0000-0000E1240000}"/>
    <cellStyle name="Normal 37 10 3" xfId="9443" xr:uid="{00000000-0005-0000-0000-0000E2240000}"/>
    <cellStyle name="Normal 37 11" xfId="9444" xr:uid="{00000000-0005-0000-0000-0000E3240000}"/>
    <cellStyle name="Normal 37 11 2" xfId="9445" xr:uid="{00000000-0005-0000-0000-0000E4240000}"/>
    <cellStyle name="Normal 37 11 3" xfId="9446" xr:uid="{00000000-0005-0000-0000-0000E5240000}"/>
    <cellStyle name="Normal 37 12" xfId="9447" xr:uid="{00000000-0005-0000-0000-0000E6240000}"/>
    <cellStyle name="Normal 37 13" xfId="9448" xr:uid="{00000000-0005-0000-0000-0000E7240000}"/>
    <cellStyle name="Normal 37 2" xfId="9449" xr:uid="{00000000-0005-0000-0000-0000E8240000}"/>
    <cellStyle name="Normal 37 2 2" xfId="9450" xr:uid="{00000000-0005-0000-0000-0000E9240000}"/>
    <cellStyle name="Normal 37 2 2 2" xfId="9451" xr:uid="{00000000-0005-0000-0000-0000EA240000}"/>
    <cellStyle name="Normal 37 2 2 2 2" xfId="9452" xr:uid="{00000000-0005-0000-0000-0000EB240000}"/>
    <cellStyle name="Normal 37 2 2 2 2 2" xfId="9453" xr:uid="{00000000-0005-0000-0000-0000EC240000}"/>
    <cellStyle name="Normal 37 2 2 2 2 3" xfId="9454" xr:uid="{00000000-0005-0000-0000-0000ED240000}"/>
    <cellStyle name="Normal 37 2 2 2 3" xfId="9455" xr:uid="{00000000-0005-0000-0000-0000EE240000}"/>
    <cellStyle name="Normal 37 2 2 2 3 2" xfId="9456" xr:uid="{00000000-0005-0000-0000-0000EF240000}"/>
    <cellStyle name="Normal 37 2 2 2 3 3" xfId="9457" xr:uid="{00000000-0005-0000-0000-0000F0240000}"/>
    <cellStyle name="Normal 37 2 2 2 4" xfId="9458" xr:uid="{00000000-0005-0000-0000-0000F1240000}"/>
    <cellStyle name="Normal 37 2 2 2 5" xfId="9459" xr:uid="{00000000-0005-0000-0000-0000F2240000}"/>
    <cellStyle name="Normal 37 2 2 3" xfId="9460" xr:uid="{00000000-0005-0000-0000-0000F3240000}"/>
    <cellStyle name="Normal 37 2 2 3 2" xfId="9461" xr:uid="{00000000-0005-0000-0000-0000F4240000}"/>
    <cellStyle name="Normal 37 2 2 3 2 2" xfId="9462" xr:uid="{00000000-0005-0000-0000-0000F5240000}"/>
    <cellStyle name="Normal 37 2 2 3 2 3" xfId="9463" xr:uid="{00000000-0005-0000-0000-0000F6240000}"/>
    <cellStyle name="Normal 37 2 2 3 3" xfId="9464" xr:uid="{00000000-0005-0000-0000-0000F7240000}"/>
    <cellStyle name="Normal 37 2 2 3 3 2" xfId="9465" xr:uid="{00000000-0005-0000-0000-0000F8240000}"/>
    <cellStyle name="Normal 37 2 2 3 3 3" xfId="9466" xr:uid="{00000000-0005-0000-0000-0000F9240000}"/>
    <cellStyle name="Normal 37 2 2 3 4" xfId="9467" xr:uid="{00000000-0005-0000-0000-0000FA240000}"/>
    <cellStyle name="Normal 37 2 2 3 5" xfId="9468" xr:uid="{00000000-0005-0000-0000-0000FB240000}"/>
    <cellStyle name="Normal 37 2 2 4" xfId="9469" xr:uid="{00000000-0005-0000-0000-0000FC240000}"/>
    <cellStyle name="Normal 37 2 2 4 2" xfId="9470" xr:uid="{00000000-0005-0000-0000-0000FD240000}"/>
    <cellStyle name="Normal 37 2 2 4 3" xfId="9471" xr:uid="{00000000-0005-0000-0000-0000FE240000}"/>
    <cellStyle name="Normal 37 2 2 5" xfId="9472" xr:uid="{00000000-0005-0000-0000-0000FF240000}"/>
    <cellStyle name="Normal 37 2 2 5 2" xfId="9473" xr:uid="{00000000-0005-0000-0000-000000250000}"/>
    <cellStyle name="Normal 37 2 2 5 3" xfId="9474" xr:uid="{00000000-0005-0000-0000-000001250000}"/>
    <cellStyle name="Normal 37 2 2 6" xfId="9475" xr:uid="{00000000-0005-0000-0000-000002250000}"/>
    <cellStyle name="Normal 37 2 2 7" xfId="9476" xr:uid="{00000000-0005-0000-0000-000003250000}"/>
    <cellStyle name="Normal 37 2 3" xfId="9477" xr:uid="{00000000-0005-0000-0000-000004250000}"/>
    <cellStyle name="Normal 37 2 3 2" xfId="9478" xr:uid="{00000000-0005-0000-0000-000005250000}"/>
    <cellStyle name="Normal 37 2 3 2 2" xfId="9479" xr:uid="{00000000-0005-0000-0000-000006250000}"/>
    <cellStyle name="Normal 37 2 3 2 3" xfId="9480" xr:uid="{00000000-0005-0000-0000-000007250000}"/>
    <cellStyle name="Normal 37 2 3 3" xfId="9481" xr:uid="{00000000-0005-0000-0000-000008250000}"/>
    <cellStyle name="Normal 37 2 3 3 2" xfId="9482" xr:uid="{00000000-0005-0000-0000-000009250000}"/>
    <cellStyle name="Normal 37 2 3 3 3" xfId="9483" xr:uid="{00000000-0005-0000-0000-00000A250000}"/>
    <cellStyle name="Normal 37 2 3 4" xfId="9484" xr:uid="{00000000-0005-0000-0000-00000B250000}"/>
    <cellStyle name="Normal 37 2 3 5" xfId="9485" xr:uid="{00000000-0005-0000-0000-00000C250000}"/>
    <cellStyle name="Normal 37 2 4" xfId="9486" xr:uid="{00000000-0005-0000-0000-00000D250000}"/>
    <cellStyle name="Normal 37 2 4 2" xfId="9487" xr:uid="{00000000-0005-0000-0000-00000E250000}"/>
    <cellStyle name="Normal 37 2 4 2 2" xfId="9488" xr:uid="{00000000-0005-0000-0000-00000F250000}"/>
    <cellStyle name="Normal 37 2 4 2 3" xfId="9489" xr:uid="{00000000-0005-0000-0000-000010250000}"/>
    <cellStyle name="Normal 37 2 4 3" xfId="9490" xr:uid="{00000000-0005-0000-0000-000011250000}"/>
    <cellStyle name="Normal 37 2 4 3 2" xfId="9491" xr:uid="{00000000-0005-0000-0000-000012250000}"/>
    <cellStyle name="Normal 37 2 4 3 3" xfId="9492" xr:uid="{00000000-0005-0000-0000-000013250000}"/>
    <cellStyle name="Normal 37 2 4 4" xfId="9493" xr:uid="{00000000-0005-0000-0000-000014250000}"/>
    <cellStyle name="Normal 37 2 4 5" xfId="9494" xr:uid="{00000000-0005-0000-0000-000015250000}"/>
    <cellStyle name="Normal 37 2 5" xfId="9495" xr:uid="{00000000-0005-0000-0000-000016250000}"/>
    <cellStyle name="Normal 37 2 5 2" xfId="9496" xr:uid="{00000000-0005-0000-0000-000017250000}"/>
    <cellStyle name="Normal 37 2 5 3" xfId="9497" xr:uid="{00000000-0005-0000-0000-000018250000}"/>
    <cellStyle name="Normal 37 2 6" xfId="9498" xr:uid="{00000000-0005-0000-0000-000019250000}"/>
    <cellStyle name="Normal 37 2 6 2" xfId="9499" xr:uid="{00000000-0005-0000-0000-00001A250000}"/>
    <cellStyle name="Normal 37 2 6 3" xfId="9500" xr:uid="{00000000-0005-0000-0000-00001B250000}"/>
    <cellStyle name="Normal 37 2 7" xfId="9501" xr:uid="{00000000-0005-0000-0000-00001C250000}"/>
    <cellStyle name="Normal 37 2 7 2" xfId="9502" xr:uid="{00000000-0005-0000-0000-00001D250000}"/>
    <cellStyle name="Normal 37 2 7 3" xfId="9503" xr:uid="{00000000-0005-0000-0000-00001E250000}"/>
    <cellStyle name="Normal 37 2 8" xfId="9504" xr:uid="{00000000-0005-0000-0000-00001F250000}"/>
    <cellStyle name="Normal 37 2 9" xfId="9505" xr:uid="{00000000-0005-0000-0000-000020250000}"/>
    <cellStyle name="Normal 37 3" xfId="9506" xr:uid="{00000000-0005-0000-0000-000021250000}"/>
    <cellStyle name="Normal 37 3 2" xfId="9507" xr:uid="{00000000-0005-0000-0000-000022250000}"/>
    <cellStyle name="Normal 37 3 2 2" xfId="9508" xr:uid="{00000000-0005-0000-0000-000023250000}"/>
    <cellStyle name="Normal 37 3 2 2 2" xfId="9509" xr:uid="{00000000-0005-0000-0000-000024250000}"/>
    <cellStyle name="Normal 37 3 2 2 3" xfId="9510" xr:uid="{00000000-0005-0000-0000-000025250000}"/>
    <cellStyle name="Normal 37 3 2 3" xfId="9511" xr:uid="{00000000-0005-0000-0000-000026250000}"/>
    <cellStyle name="Normal 37 3 2 3 2" xfId="9512" xr:uid="{00000000-0005-0000-0000-000027250000}"/>
    <cellStyle name="Normal 37 3 2 3 3" xfId="9513" xr:uid="{00000000-0005-0000-0000-000028250000}"/>
    <cellStyle name="Normal 37 3 2 4" xfId="9514" xr:uid="{00000000-0005-0000-0000-000029250000}"/>
    <cellStyle name="Normal 37 3 2 5" xfId="9515" xr:uid="{00000000-0005-0000-0000-00002A250000}"/>
    <cellStyle name="Normal 37 3 3" xfId="9516" xr:uid="{00000000-0005-0000-0000-00002B250000}"/>
    <cellStyle name="Normal 37 3 3 2" xfId="9517" xr:uid="{00000000-0005-0000-0000-00002C250000}"/>
    <cellStyle name="Normal 37 3 3 2 2" xfId="9518" xr:uid="{00000000-0005-0000-0000-00002D250000}"/>
    <cellStyle name="Normal 37 3 3 2 3" xfId="9519" xr:uid="{00000000-0005-0000-0000-00002E250000}"/>
    <cellStyle name="Normal 37 3 3 3" xfId="9520" xr:uid="{00000000-0005-0000-0000-00002F250000}"/>
    <cellStyle name="Normal 37 3 3 3 2" xfId="9521" xr:uid="{00000000-0005-0000-0000-000030250000}"/>
    <cellStyle name="Normal 37 3 3 3 3" xfId="9522" xr:uid="{00000000-0005-0000-0000-000031250000}"/>
    <cellStyle name="Normal 37 3 3 4" xfId="9523" xr:uid="{00000000-0005-0000-0000-000032250000}"/>
    <cellStyle name="Normal 37 3 3 5" xfId="9524" xr:uid="{00000000-0005-0000-0000-000033250000}"/>
    <cellStyle name="Normal 37 3 4" xfId="9525" xr:uid="{00000000-0005-0000-0000-000034250000}"/>
    <cellStyle name="Normal 37 3 4 2" xfId="9526" xr:uid="{00000000-0005-0000-0000-000035250000}"/>
    <cellStyle name="Normal 37 3 4 3" xfId="9527" xr:uid="{00000000-0005-0000-0000-000036250000}"/>
    <cellStyle name="Normal 37 3 5" xfId="9528" xr:uid="{00000000-0005-0000-0000-000037250000}"/>
    <cellStyle name="Normal 37 3 5 2" xfId="9529" xr:uid="{00000000-0005-0000-0000-000038250000}"/>
    <cellStyle name="Normal 37 3 5 3" xfId="9530" xr:uid="{00000000-0005-0000-0000-000039250000}"/>
    <cellStyle name="Normal 37 3 6" xfId="9531" xr:uid="{00000000-0005-0000-0000-00003A250000}"/>
    <cellStyle name="Normal 37 3 7" xfId="9532" xr:uid="{00000000-0005-0000-0000-00003B250000}"/>
    <cellStyle name="Normal 37 4" xfId="9533" xr:uid="{00000000-0005-0000-0000-00003C250000}"/>
    <cellStyle name="Normal 37 4 2" xfId="9534" xr:uid="{00000000-0005-0000-0000-00003D250000}"/>
    <cellStyle name="Normal 37 4 2 2" xfId="9535" xr:uid="{00000000-0005-0000-0000-00003E250000}"/>
    <cellStyle name="Normal 37 4 2 2 2" xfId="9536" xr:uid="{00000000-0005-0000-0000-00003F250000}"/>
    <cellStyle name="Normal 37 4 2 2 3" xfId="9537" xr:uid="{00000000-0005-0000-0000-000040250000}"/>
    <cellStyle name="Normal 37 4 2 3" xfId="9538" xr:uid="{00000000-0005-0000-0000-000041250000}"/>
    <cellStyle name="Normal 37 4 2 3 2" xfId="9539" xr:uid="{00000000-0005-0000-0000-000042250000}"/>
    <cellStyle name="Normal 37 4 2 3 3" xfId="9540" xr:uid="{00000000-0005-0000-0000-000043250000}"/>
    <cellStyle name="Normal 37 4 2 4" xfId="9541" xr:uid="{00000000-0005-0000-0000-000044250000}"/>
    <cellStyle name="Normal 37 4 2 5" xfId="9542" xr:uid="{00000000-0005-0000-0000-000045250000}"/>
    <cellStyle name="Normal 37 4 3" xfId="9543" xr:uid="{00000000-0005-0000-0000-000046250000}"/>
    <cellStyle name="Normal 37 4 3 2" xfId="9544" xr:uid="{00000000-0005-0000-0000-000047250000}"/>
    <cellStyle name="Normal 37 4 3 2 2" xfId="9545" xr:uid="{00000000-0005-0000-0000-000048250000}"/>
    <cellStyle name="Normal 37 4 3 2 3" xfId="9546" xr:uid="{00000000-0005-0000-0000-000049250000}"/>
    <cellStyle name="Normal 37 4 3 3" xfId="9547" xr:uid="{00000000-0005-0000-0000-00004A250000}"/>
    <cellStyle name="Normal 37 4 3 4" xfId="9548" xr:uid="{00000000-0005-0000-0000-00004B250000}"/>
    <cellStyle name="Normal 37 4 4" xfId="9549" xr:uid="{00000000-0005-0000-0000-00004C250000}"/>
    <cellStyle name="Normal 37 4 4 2" xfId="9550" xr:uid="{00000000-0005-0000-0000-00004D250000}"/>
    <cellStyle name="Normal 37 4 4 3" xfId="9551" xr:uid="{00000000-0005-0000-0000-00004E250000}"/>
    <cellStyle name="Normal 37 4 5" xfId="9552" xr:uid="{00000000-0005-0000-0000-00004F250000}"/>
    <cellStyle name="Normal 37 4 5 2" xfId="9553" xr:uid="{00000000-0005-0000-0000-000050250000}"/>
    <cellStyle name="Normal 37 4 5 3" xfId="9554" xr:uid="{00000000-0005-0000-0000-000051250000}"/>
    <cellStyle name="Normal 37 4 6" xfId="9555" xr:uid="{00000000-0005-0000-0000-000052250000}"/>
    <cellStyle name="Normal 37 4 7" xfId="9556" xr:uid="{00000000-0005-0000-0000-000053250000}"/>
    <cellStyle name="Normal 37 5" xfId="9557" xr:uid="{00000000-0005-0000-0000-000054250000}"/>
    <cellStyle name="Normal 37 5 2" xfId="9558" xr:uid="{00000000-0005-0000-0000-000055250000}"/>
    <cellStyle name="Normal 37 5 2 2" xfId="9559" xr:uid="{00000000-0005-0000-0000-000056250000}"/>
    <cellStyle name="Normal 37 5 2 3" xfId="9560" xr:uid="{00000000-0005-0000-0000-000057250000}"/>
    <cellStyle name="Normal 37 5 3" xfId="9561" xr:uid="{00000000-0005-0000-0000-000058250000}"/>
    <cellStyle name="Normal 37 5 3 2" xfId="9562" xr:uid="{00000000-0005-0000-0000-000059250000}"/>
    <cellStyle name="Normal 37 5 3 3" xfId="9563" xr:uid="{00000000-0005-0000-0000-00005A250000}"/>
    <cellStyle name="Normal 37 5 4" xfId="9564" xr:uid="{00000000-0005-0000-0000-00005B250000}"/>
    <cellStyle name="Normal 37 5 5" xfId="9565" xr:uid="{00000000-0005-0000-0000-00005C250000}"/>
    <cellStyle name="Normal 37 6" xfId="9566" xr:uid="{00000000-0005-0000-0000-00005D250000}"/>
    <cellStyle name="Normal 37 6 2" xfId="9567" xr:uid="{00000000-0005-0000-0000-00005E250000}"/>
    <cellStyle name="Normal 37 6 2 2" xfId="9568" xr:uid="{00000000-0005-0000-0000-00005F250000}"/>
    <cellStyle name="Normal 37 6 2 3" xfId="9569" xr:uid="{00000000-0005-0000-0000-000060250000}"/>
    <cellStyle name="Normal 37 6 3" xfId="9570" xr:uid="{00000000-0005-0000-0000-000061250000}"/>
    <cellStyle name="Normal 37 6 3 2" xfId="9571" xr:uid="{00000000-0005-0000-0000-000062250000}"/>
    <cellStyle name="Normal 37 6 3 3" xfId="9572" xr:uid="{00000000-0005-0000-0000-000063250000}"/>
    <cellStyle name="Normal 37 6 4" xfId="9573" xr:uid="{00000000-0005-0000-0000-000064250000}"/>
    <cellStyle name="Normal 37 6 5" xfId="9574" xr:uid="{00000000-0005-0000-0000-000065250000}"/>
    <cellStyle name="Normal 37 7" xfId="9575" xr:uid="{00000000-0005-0000-0000-000066250000}"/>
    <cellStyle name="Normal 37 7 2" xfId="9576" xr:uid="{00000000-0005-0000-0000-000067250000}"/>
    <cellStyle name="Normal 37 7 2 2" xfId="9577" xr:uid="{00000000-0005-0000-0000-000068250000}"/>
    <cellStyle name="Normal 37 7 2 3" xfId="9578" xr:uid="{00000000-0005-0000-0000-000069250000}"/>
    <cellStyle name="Normal 37 7 3" xfId="9579" xr:uid="{00000000-0005-0000-0000-00006A250000}"/>
    <cellStyle name="Normal 37 7 4" xfId="9580" xr:uid="{00000000-0005-0000-0000-00006B250000}"/>
    <cellStyle name="Normal 37 8" xfId="9581" xr:uid="{00000000-0005-0000-0000-00006C250000}"/>
    <cellStyle name="Normal 37 8 2" xfId="9582" xr:uid="{00000000-0005-0000-0000-00006D250000}"/>
    <cellStyle name="Normal 37 8 3" xfId="9583" xr:uid="{00000000-0005-0000-0000-00006E250000}"/>
    <cellStyle name="Normal 37 9" xfId="9584" xr:uid="{00000000-0005-0000-0000-00006F250000}"/>
    <cellStyle name="Normal 37 9 2" xfId="9585" xr:uid="{00000000-0005-0000-0000-000070250000}"/>
    <cellStyle name="Normal 37 9 3" xfId="9586" xr:uid="{00000000-0005-0000-0000-000071250000}"/>
    <cellStyle name="Normal 38" xfId="9587" xr:uid="{00000000-0005-0000-0000-000072250000}"/>
    <cellStyle name="Normal 38 10" xfId="9588" xr:uid="{00000000-0005-0000-0000-000073250000}"/>
    <cellStyle name="Normal 38 10 2" xfId="9589" xr:uid="{00000000-0005-0000-0000-000074250000}"/>
    <cellStyle name="Normal 38 10 3" xfId="9590" xr:uid="{00000000-0005-0000-0000-000075250000}"/>
    <cellStyle name="Normal 38 11" xfId="9591" xr:uid="{00000000-0005-0000-0000-000076250000}"/>
    <cellStyle name="Normal 38 11 2" xfId="9592" xr:uid="{00000000-0005-0000-0000-000077250000}"/>
    <cellStyle name="Normal 38 2" xfId="9593" xr:uid="{00000000-0005-0000-0000-000078250000}"/>
    <cellStyle name="Normal 38 2 2" xfId="9594" xr:uid="{00000000-0005-0000-0000-000079250000}"/>
    <cellStyle name="Normal 38 2 2 2" xfId="9595" xr:uid="{00000000-0005-0000-0000-00007A250000}"/>
    <cellStyle name="Normal 38 2 2 2 2" xfId="9596" xr:uid="{00000000-0005-0000-0000-00007B250000}"/>
    <cellStyle name="Normal 38 2 2 2 3" xfId="9597" xr:uid="{00000000-0005-0000-0000-00007C250000}"/>
    <cellStyle name="Normal 38 2 2 3" xfId="9598" xr:uid="{00000000-0005-0000-0000-00007D250000}"/>
    <cellStyle name="Normal 38 2 2 3 2" xfId="9599" xr:uid="{00000000-0005-0000-0000-00007E250000}"/>
    <cellStyle name="Normal 38 2 2 3 3" xfId="9600" xr:uid="{00000000-0005-0000-0000-00007F250000}"/>
    <cellStyle name="Normal 38 2 2 4" xfId="9601" xr:uid="{00000000-0005-0000-0000-000080250000}"/>
    <cellStyle name="Normal 38 2 2 5" xfId="9602" xr:uid="{00000000-0005-0000-0000-000081250000}"/>
    <cellStyle name="Normal 38 2 3" xfId="9603" xr:uid="{00000000-0005-0000-0000-000082250000}"/>
    <cellStyle name="Normal 38 2 3 2" xfId="9604" xr:uid="{00000000-0005-0000-0000-000083250000}"/>
    <cellStyle name="Normal 38 2 3 2 2" xfId="9605" xr:uid="{00000000-0005-0000-0000-000084250000}"/>
    <cellStyle name="Normal 38 2 3 2 3" xfId="9606" xr:uid="{00000000-0005-0000-0000-000085250000}"/>
    <cellStyle name="Normal 38 2 3 3" xfId="9607" xr:uid="{00000000-0005-0000-0000-000086250000}"/>
    <cellStyle name="Normal 38 2 3 3 2" xfId="9608" xr:uid="{00000000-0005-0000-0000-000087250000}"/>
    <cellStyle name="Normal 38 2 3 3 3" xfId="9609" xr:uid="{00000000-0005-0000-0000-000088250000}"/>
    <cellStyle name="Normal 38 2 3 4" xfId="9610" xr:uid="{00000000-0005-0000-0000-000089250000}"/>
    <cellStyle name="Normal 38 2 3 5" xfId="9611" xr:uid="{00000000-0005-0000-0000-00008A250000}"/>
    <cellStyle name="Normal 38 2 4" xfId="9612" xr:uid="{00000000-0005-0000-0000-00008B250000}"/>
    <cellStyle name="Normal 38 2 4 2" xfId="9613" xr:uid="{00000000-0005-0000-0000-00008C250000}"/>
    <cellStyle name="Normal 38 2 4 3" xfId="9614" xr:uid="{00000000-0005-0000-0000-00008D250000}"/>
    <cellStyle name="Normal 38 2 5" xfId="9615" xr:uid="{00000000-0005-0000-0000-00008E250000}"/>
    <cellStyle name="Normal 38 2 5 2" xfId="9616" xr:uid="{00000000-0005-0000-0000-00008F250000}"/>
    <cellStyle name="Normal 38 2 5 3" xfId="9617" xr:uid="{00000000-0005-0000-0000-000090250000}"/>
    <cellStyle name="Normal 38 2 6" xfId="9618" xr:uid="{00000000-0005-0000-0000-000091250000}"/>
    <cellStyle name="Normal 38 2 7" xfId="9619" xr:uid="{00000000-0005-0000-0000-000092250000}"/>
    <cellStyle name="Normal 38 3" xfId="9620" xr:uid="{00000000-0005-0000-0000-000093250000}"/>
    <cellStyle name="Normal 38 3 2" xfId="9621" xr:uid="{00000000-0005-0000-0000-000094250000}"/>
    <cellStyle name="Normal 38 3 2 2" xfId="9622" xr:uid="{00000000-0005-0000-0000-000095250000}"/>
    <cellStyle name="Normal 38 3 2 3" xfId="9623" xr:uid="{00000000-0005-0000-0000-000096250000}"/>
    <cellStyle name="Normal 38 3 3" xfId="9624" xr:uid="{00000000-0005-0000-0000-000097250000}"/>
    <cellStyle name="Normal 38 3 3 2" xfId="9625" xr:uid="{00000000-0005-0000-0000-000098250000}"/>
    <cellStyle name="Normal 38 3 3 3" xfId="9626" xr:uid="{00000000-0005-0000-0000-000099250000}"/>
    <cellStyle name="Normal 38 3 4" xfId="9627" xr:uid="{00000000-0005-0000-0000-00009A250000}"/>
    <cellStyle name="Normal 38 3 5" xfId="9628" xr:uid="{00000000-0005-0000-0000-00009B250000}"/>
    <cellStyle name="Normal 38 4" xfId="9629" xr:uid="{00000000-0005-0000-0000-00009C250000}"/>
    <cellStyle name="Normal 38 4 2" xfId="9630" xr:uid="{00000000-0005-0000-0000-00009D250000}"/>
    <cellStyle name="Normal 38 4 2 2" xfId="9631" xr:uid="{00000000-0005-0000-0000-00009E250000}"/>
    <cellStyle name="Normal 38 4 2 3" xfId="9632" xr:uid="{00000000-0005-0000-0000-00009F250000}"/>
    <cellStyle name="Normal 38 4 3" xfId="9633" xr:uid="{00000000-0005-0000-0000-0000A0250000}"/>
    <cellStyle name="Normal 38 4 3 2" xfId="9634" xr:uid="{00000000-0005-0000-0000-0000A1250000}"/>
    <cellStyle name="Normal 38 4 3 3" xfId="9635" xr:uid="{00000000-0005-0000-0000-0000A2250000}"/>
    <cellStyle name="Normal 38 4 4" xfId="9636" xr:uid="{00000000-0005-0000-0000-0000A3250000}"/>
    <cellStyle name="Normal 38 5" xfId="9637" xr:uid="{00000000-0005-0000-0000-0000A4250000}"/>
    <cellStyle name="Normal 38 5 2" xfId="9638" xr:uid="{00000000-0005-0000-0000-0000A5250000}"/>
    <cellStyle name="Normal 38 5 2 2" xfId="9639" xr:uid="{00000000-0005-0000-0000-0000A6250000}"/>
    <cellStyle name="Normal 38 5 3" xfId="9640" xr:uid="{00000000-0005-0000-0000-0000A7250000}"/>
    <cellStyle name="Normal 38 5 4" xfId="9641" xr:uid="{00000000-0005-0000-0000-0000A8250000}"/>
    <cellStyle name="Normal 38 6" xfId="9642" xr:uid="{00000000-0005-0000-0000-0000A9250000}"/>
    <cellStyle name="Normal 38 6 2" xfId="9643" xr:uid="{00000000-0005-0000-0000-0000AA250000}"/>
    <cellStyle name="Normal 38 7" xfId="9644" xr:uid="{00000000-0005-0000-0000-0000AB250000}"/>
    <cellStyle name="Normal 38 7 2" xfId="9645" xr:uid="{00000000-0005-0000-0000-0000AC250000}"/>
    <cellStyle name="Normal 38 7 3" xfId="9646" xr:uid="{00000000-0005-0000-0000-0000AD250000}"/>
    <cellStyle name="Normal 38 8" xfId="9647" xr:uid="{00000000-0005-0000-0000-0000AE250000}"/>
    <cellStyle name="Normal 38 8 2" xfId="9648" xr:uid="{00000000-0005-0000-0000-0000AF250000}"/>
    <cellStyle name="Normal 38 8 3" xfId="9649" xr:uid="{00000000-0005-0000-0000-0000B0250000}"/>
    <cellStyle name="Normal 38 9" xfId="9650" xr:uid="{00000000-0005-0000-0000-0000B1250000}"/>
    <cellStyle name="Normal 39" xfId="9651" xr:uid="{00000000-0005-0000-0000-0000B2250000}"/>
    <cellStyle name="Normal 39 10" xfId="9652" xr:uid="{00000000-0005-0000-0000-0000B3250000}"/>
    <cellStyle name="Normal 39 10 2" xfId="9653" xr:uid="{00000000-0005-0000-0000-0000B4250000}"/>
    <cellStyle name="Normal 39 10 3" xfId="9654" xr:uid="{00000000-0005-0000-0000-0000B5250000}"/>
    <cellStyle name="Normal 39 2" xfId="9655" xr:uid="{00000000-0005-0000-0000-0000B6250000}"/>
    <cellStyle name="Normal 39 2 2" xfId="9656" xr:uid="{00000000-0005-0000-0000-0000B7250000}"/>
    <cellStyle name="Normal 39 2 2 2" xfId="9657" xr:uid="{00000000-0005-0000-0000-0000B8250000}"/>
    <cellStyle name="Normal 39 2 2 2 2" xfId="9658" xr:uid="{00000000-0005-0000-0000-0000B9250000}"/>
    <cellStyle name="Normal 39 2 2 2 3" xfId="9659" xr:uid="{00000000-0005-0000-0000-0000BA250000}"/>
    <cellStyle name="Normal 39 2 2 3" xfId="9660" xr:uid="{00000000-0005-0000-0000-0000BB250000}"/>
    <cellStyle name="Normal 39 2 2 3 2" xfId="9661" xr:uid="{00000000-0005-0000-0000-0000BC250000}"/>
    <cellStyle name="Normal 39 2 2 3 3" xfId="9662" xr:uid="{00000000-0005-0000-0000-0000BD250000}"/>
    <cellStyle name="Normal 39 2 2 4" xfId="9663" xr:uid="{00000000-0005-0000-0000-0000BE250000}"/>
    <cellStyle name="Normal 39 2 2 5" xfId="9664" xr:uid="{00000000-0005-0000-0000-0000BF250000}"/>
    <cellStyle name="Normal 39 2 3" xfId="9665" xr:uid="{00000000-0005-0000-0000-0000C0250000}"/>
    <cellStyle name="Normal 39 2 3 2" xfId="9666" xr:uid="{00000000-0005-0000-0000-0000C1250000}"/>
    <cellStyle name="Normal 39 2 3 2 2" xfId="9667" xr:uid="{00000000-0005-0000-0000-0000C2250000}"/>
    <cellStyle name="Normal 39 2 3 2 3" xfId="9668" xr:uid="{00000000-0005-0000-0000-0000C3250000}"/>
    <cellStyle name="Normal 39 2 3 3" xfId="9669" xr:uid="{00000000-0005-0000-0000-0000C4250000}"/>
    <cellStyle name="Normal 39 2 3 3 2" xfId="9670" xr:uid="{00000000-0005-0000-0000-0000C5250000}"/>
    <cellStyle name="Normal 39 2 3 3 3" xfId="9671" xr:uid="{00000000-0005-0000-0000-0000C6250000}"/>
    <cellStyle name="Normal 39 2 3 4" xfId="9672" xr:uid="{00000000-0005-0000-0000-0000C7250000}"/>
    <cellStyle name="Normal 39 2 3 5" xfId="9673" xr:uid="{00000000-0005-0000-0000-0000C8250000}"/>
    <cellStyle name="Normal 39 2 4" xfId="9674" xr:uid="{00000000-0005-0000-0000-0000C9250000}"/>
    <cellStyle name="Normal 39 2 4 2" xfId="9675" xr:uid="{00000000-0005-0000-0000-0000CA250000}"/>
    <cellStyle name="Normal 39 2 4 3" xfId="9676" xr:uid="{00000000-0005-0000-0000-0000CB250000}"/>
    <cellStyle name="Normal 39 2 5" xfId="9677" xr:uid="{00000000-0005-0000-0000-0000CC250000}"/>
    <cellStyle name="Normal 39 2 5 2" xfId="9678" xr:uid="{00000000-0005-0000-0000-0000CD250000}"/>
    <cellStyle name="Normal 39 2 5 3" xfId="9679" xr:uid="{00000000-0005-0000-0000-0000CE250000}"/>
    <cellStyle name="Normal 39 2 6" xfId="9680" xr:uid="{00000000-0005-0000-0000-0000CF250000}"/>
    <cellStyle name="Normal 39 2 7" xfId="9681" xr:uid="{00000000-0005-0000-0000-0000D0250000}"/>
    <cellStyle name="Normal 39 3" xfId="9682" xr:uid="{00000000-0005-0000-0000-0000D1250000}"/>
    <cellStyle name="Normal 39 3 2" xfId="9683" xr:uid="{00000000-0005-0000-0000-0000D2250000}"/>
    <cellStyle name="Normal 39 3 2 2" xfId="9684" xr:uid="{00000000-0005-0000-0000-0000D3250000}"/>
    <cellStyle name="Normal 39 3 2 3" xfId="9685" xr:uid="{00000000-0005-0000-0000-0000D4250000}"/>
    <cellStyle name="Normal 39 3 3" xfId="9686" xr:uid="{00000000-0005-0000-0000-0000D5250000}"/>
    <cellStyle name="Normal 39 3 3 2" xfId="9687" xr:uid="{00000000-0005-0000-0000-0000D6250000}"/>
    <cellStyle name="Normal 39 3 3 3" xfId="9688" xr:uid="{00000000-0005-0000-0000-0000D7250000}"/>
    <cellStyle name="Normal 39 3 4" xfId="9689" xr:uid="{00000000-0005-0000-0000-0000D8250000}"/>
    <cellStyle name="Normal 39 3 5" xfId="9690" xr:uid="{00000000-0005-0000-0000-0000D9250000}"/>
    <cellStyle name="Normal 39 4" xfId="9691" xr:uid="{00000000-0005-0000-0000-0000DA250000}"/>
    <cellStyle name="Normal 39 4 2" xfId="9692" xr:uid="{00000000-0005-0000-0000-0000DB250000}"/>
    <cellStyle name="Normal 39 4 2 2" xfId="9693" xr:uid="{00000000-0005-0000-0000-0000DC250000}"/>
    <cellStyle name="Normal 39 4 2 3" xfId="9694" xr:uid="{00000000-0005-0000-0000-0000DD250000}"/>
    <cellStyle name="Normal 39 4 3" xfId="9695" xr:uid="{00000000-0005-0000-0000-0000DE250000}"/>
    <cellStyle name="Normal 39 4 3 2" xfId="9696" xr:uid="{00000000-0005-0000-0000-0000DF250000}"/>
    <cellStyle name="Normal 39 4 3 3" xfId="9697" xr:uid="{00000000-0005-0000-0000-0000E0250000}"/>
    <cellStyle name="Normal 39 4 4" xfId="9698" xr:uid="{00000000-0005-0000-0000-0000E1250000}"/>
    <cellStyle name="Normal 39 5" xfId="9699" xr:uid="{00000000-0005-0000-0000-0000E2250000}"/>
    <cellStyle name="Normal 39 5 2" xfId="9700" xr:uid="{00000000-0005-0000-0000-0000E3250000}"/>
    <cellStyle name="Normal 39 5 2 2" xfId="9701" xr:uid="{00000000-0005-0000-0000-0000E4250000}"/>
    <cellStyle name="Normal 39 5 3" xfId="9702" xr:uid="{00000000-0005-0000-0000-0000E5250000}"/>
    <cellStyle name="Normal 39 5 4" xfId="9703" xr:uid="{00000000-0005-0000-0000-0000E6250000}"/>
    <cellStyle name="Normal 39 6" xfId="9704" xr:uid="{00000000-0005-0000-0000-0000E7250000}"/>
    <cellStyle name="Normal 39 6 2" xfId="9705" xr:uid="{00000000-0005-0000-0000-0000E8250000}"/>
    <cellStyle name="Normal 39 7" xfId="9706" xr:uid="{00000000-0005-0000-0000-0000E9250000}"/>
    <cellStyle name="Normal 39 7 2" xfId="9707" xr:uid="{00000000-0005-0000-0000-0000EA250000}"/>
    <cellStyle name="Normal 39 7 3" xfId="9708" xr:uid="{00000000-0005-0000-0000-0000EB250000}"/>
    <cellStyle name="Normal 39 8" xfId="9709" xr:uid="{00000000-0005-0000-0000-0000EC250000}"/>
    <cellStyle name="Normal 39 8 2" xfId="9710" xr:uid="{00000000-0005-0000-0000-0000ED250000}"/>
    <cellStyle name="Normal 39 8 3" xfId="9711" xr:uid="{00000000-0005-0000-0000-0000EE250000}"/>
    <cellStyle name="Normal 39 9" xfId="9712" xr:uid="{00000000-0005-0000-0000-0000EF250000}"/>
    <cellStyle name="Normal 4" xfId="9713" xr:uid="{00000000-0005-0000-0000-0000F0250000}"/>
    <cellStyle name="Normal 4 10" xfId="9714" xr:uid="{00000000-0005-0000-0000-0000F1250000}"/>
    <cellStyle name="Normal 4 10 2" xfId="9715" xr:uid="{00000000-0005-0000-0000-0000F2250000}"/>
    <cellStyle name="Normal 4 10 2 2" xfId="9716" xr:uid="{00000000-0005-0000-0000-0000F3250000}"/>
    <cellStyle name="Normal 4 10 2 2 2" xfId="9717" xr:uid="{00000000-0005-0000-0000-0000F4250000}"/>
    <cellStyle name="Normal 4 10 2 2 3" xfId="9718" xr:uid="{00000000-0005-0000-0000-0000F5250000}"/>
    <cellStyle name="Normal 4 10 2 3" xfId="9719" xr:uid="{00000000-0005-0000-0000-0000F6250000}"/>
    <cellStyle name="Normal 4 10 2 3 2" xfId="9720" xr:uid="{00000000-0005-0000-0000-0000F7250000}"/>
    <cellStyle name="Normal 4 10 2 3 3" xfId="9721" xr:uid="{00000000-0005-0000-0000-0000F8250000}"/>
    <cellStyle name="Normal 4 10 2 4" xfId="9722" xr:uid="{00000000-0005-0000-0000-0000F9250000}"/>
    <cellStyle name="Normal 4 10 2 5" xfId="9723" xr:uid="{00000000-0005-0000-0000-0000FA250000}"/>
    <cellStyle name="Normal 4 10 3" xfId="9724" xr:uid="{00000000-0005-0000-0000-0000FB250000}"/>
    <cellStyle name="Normal 4 10 3 2" xfId="9725" xr:uid="{00000000-0005-0000-0000-0000FC250000}"/>
    <cellStyle name="Normal 4 10 3 2 2" xfId="9726" xr:uid="{00000000-0005-0000-0000-0000FD250000}"/>
    <cellStyle name="Normal 4 10 3 2 3" xfId="9727" xr:uid="{00000000-0005-0000-0000-0000FE250000}"/>
    <cellStyle name="Normal 4 10 3 3" xfId="9728" xr:uid="{00000000-0005-0000-0000-0000FF250000}"/>
    <cellStyle name="Normal 4 10 3 4" xfId="9729" xr:uid="{00000000-0005-0000-0000-000000260000}"/>
    <cellStyle name="Normal 4 10 4" xfId="9730" xr:uid="{00000000-0005-0000-0000-000001260000}"/>
    <cellStyle name="Normal 4 10 4 2" xfId="9731" xr:uid="{00000000-0005-0000-0000-000002260000}"/>
    <cellStyle name="Normal 4 10 4 3" xfId="9732" xr:uid="{00000000-0005-0000-0000-000003260000}"/>
    <cellStyle name="Normal 4 10 5" xfId="9733" xr:uid="{00000000-0005-0000-0000-000004260000}"/>
    <cellStyle name="Normal 4 10 5 2" xfId="9734" xr:uid="{00000000-0005-0000-0000-000005260000}"/>
    <cellStyle name="Normal 4 10 5 3" xfId="9735" xr:uid="{00000000-0005-0000-0000-000006260000}"/>
    <cellStyle name="Normal 4 10 6" xfId="9736" xr:uid="{00000000-0005-0000-0000-000007260000}"/>
    <cellStyle name="Normal 4 10 7" xfId="9737" xr:uid="{00000000-0005-0000-0000-000008260000}"/>
    <cellStyle name="Normal 4 11" xfId="9738" xr:uid="{00000000-0005-0000-0000-000009260000}"/>
    <cellStyle name="Normal 4 11 2" xfId="9739" xr:uid="{00000000-0005-0000-0000-00000A260000}"/>
    <cellStyle name="Normal 4 11 2 2" xfId="9740" xr:uid="{00000000-0005-0000-0000-00000B260000}"/>
    <cellStyle name="Normal 4 11 2 3" xfId="9741" xr:uid="{00000000-0005-0000-0000-00000C260000}"/>
    <cellStyle name="Normal 4 11 3" xfId="9742" xr:uid="{00000000-0005-0000-0000-00000D260000}"/>
    <cellStyle name="Normal 4 11 3 2" xfId="9743" xr:uid="{00000000-0005-0000-0000-00000E260000}"/>
    <cellStyle name="Normal 4 11 3 3" xfId="9744" xr:uid="{00000000-0005-0000-0000-00000F260000}"/>
    <cellStyle name="Normal 4 11 4" xfId="9745" xr:uid="{00000000-0005-0000-0000-000010260000}"/>
    <cellStyle name="Normal 4 11 5" xfId="9746" xr:uid="{00000000-0005-0000-0000-000011260000}"/>
    <cellStyle name="Normal 4 12" xfId="9747" xr:uid="{00000000-0005-0000-0000-000012260000}"/>
    <cellStyle name="Normal 4 12 2" xfId="9748" xr:uid="{00000000-0005-0000-0000-000013260000}"/>
    <cellStyle name="Normal 4 12 2 2" xfId="9749" xr:uid="{00000000-0005-0000-0000-000014260000}"/>
    <cellStyle name="Normal 4 12 2 3" xfId="9750" xr:uid="{00000000-0005-0000-0000-000015260000}"/>
    <cellStyle name="Normal 4 12 3" xfId="9751" xr:uid="{00000000-0005-0000-0000-000016260000}"/>
    <cellStyle name="Normal 4 12 3 2" xfId="9752" xr:uid="{00000000-0005-0000-0000-000017260000}"/>
    <cellStyle name="Normal 4 12 3 3" xfId="9753" xr:uid="{00000000-0005-0000-0000-000018260000}"/>
    <cellStyle name="Normal 4 12 4" xfId="9754" xr:uid="{00000000-0005-0000-0000-000019260000}"/>
    <cellStyle name="Normal 4 12 5" xfId="9755" xr:uid="{00000000-0005-0000-0000-00001A260000}"/>
    <cellStyle name="Normal 4 13" xfId="9756" xr:uid="{00000000-0005-0000-0000-00001B260000}"/>
    <cellStyle name="Normal 4 13 2" xfId="9757" xr:uid="{00000000-0005-0000-0000-00001C260000}"/>
    <cellStyle name="Normal 4 13 2 2" xfId="9758" xr:uid="{00000000-0005-0000-0000-00001D260000}"/>
    <cellStyle name="Normal 4 13 2 3" xfId="9759" xr:uid="{00000000-0005-0000-0000-00001E260000}"/>
    <cellStyle name="Normal 4 13 3" xfId="9760" xr:uid="{00000000-0005-0000-0000-00001F260000}"/>
    <cellStyle name="Normal 4 13 4" xfId="9761" xr:uid="{00000000-0005-0000-0000-000020260000}"/>
    <cellStyle name="Normal 4 14" xfId="9762" xr:uid="{00000000-0005-0000-0000-000021260000}"/>
    <cellStyle name="Normal 4 14 2" xfId="9763" xr:uid="{00000000-0005-0000-0000-000022260000}"/>
    <cellStyle name="Normal 4 14 3" xfId="9764" xr:uid="{00000000-0005-0000-0000-000023260000}"/>
    <cellStyle name="Normal 4 15" xfId="9765" xr:uid="{00000000-0005-0000-0000-000024260000}"/>
    <cellStyle name="Normal 4 15 2" xfId="9766" xr:uid="{00000000-0005-0000-0000-000025260000}"/>
    <cellStyle name="Normal 4 15 3" xfId="9767" xr:uid="{00000000-0005-0000-0000-000026260000}"/>
    <cellStyle name="Normal 4 16" xfId="9768" xr:uid="{00000000-0005-0000-0000-000027260000}"/>
    <cellStyle name="Normal 4 16 2" xfId="9769" xr:uid="{00000000-0005-0000-0000-000028260000}"/>
    <cellStyle name="Normal 4 16 3" xfId="9770" xr:uid="{00000000-0005-0000-0000-000029260000}"/>
    <cellStyle name="Normal 4 17" xfId="9771" xr:uid="{00000000-0005-0000-0000-00002A260000}"/>
    <cellStyle name="Normal 4 17 2" xfId="9772" xr:uid="{00000000-0005-0000-0000-00002B260000}"/>
    <cellStyle name="Normal 4 17 3" xfId="9773" xr:uid="{00000000-0005-0000-0000-00002C260000}"/>
    <cellStyle name="Normal 4 18" xfId="9774" xr:uid="{00000000-0005-0000-0000-00002D260000}"/>
    <cellStyle name="Normal 4 19" xfId="9775" xr:uid="{00000000-0005-0000-0000-00002E260000}"/>
    <cellStyle name="Normal 4 2" xfId="9776" xr:uid="{00000000-0005-0000-0000-00002F260000}"/>
    <cellStyle name="Normal 4 2 10" xfId="9777" xr:uid="{00000000-0005-0000-0000-000030260000}"/>
    <cellStyle name="Normal 4 2 10 2" xfId="9778" xr:uid="{00000000-0005-0000-0000-000031260000}"/>
    <cellStyle name="Normal 4 2 10 2 2" xfId="9779" xr:uid="{00000000-0005-0000-0000-000032260000}"/>
    <cellStyle name="Normal 4 2 10 2 3" xfId="9780" xr:uid="{00000000-0005-0000-0000-000033260000}"/>
    <cellStyle name="Normal 4 2 10 3" xfId="9781" xr:uid="{00000000-0005-0000-0000-000034260000}"/>
    <cellStyle name="Normal 4 2 10 3 2" xfId="9782" xr:uid="{00000000-0005-0000-0000-000035260000}"/>
    <cellStyle name="Normal 4 2 10 3 3" xfId="9783" xr:uid="{00000000-0005-0000-0000-000036260000}"/>
    <cellStyle name="Normal 4 2 10 4" xfId="9784" xr:uid="{00000000-0005-0000-0000-000037260000}"/>
    <cellStyle name="Normal 4 2 10 5" xfId="9785" xr:uid="{00000000-0005-0000-0000-000038260000}"/>
    <cellStyle name="Normal 4 2 11" xfId="9786" xr:uid="{00000000-0005-0000-0000-000039260000}"/>
    <cellStyle name="Normal 4 2 11 2" xfId="9787" xr:uid="{00000000-0005-0000-0000-00003A260000}"/>
    <cellStyle name="Normal 4 2 11 2 2" xfId="9788" xr:uid="{00000000-0005-0000-0000-00003B260000}"/>
    <cellStyle name="Normal 4 2 11 2 3" xfId="9789" xr:uid="{00000000-0005-0000-0000-00003C260000}"/>
    <cellStyle name="Normal 4 2 11 3" xfId="9790" xr:uid="{00000000-0005-0000-0000-00003D260000}"/>
    <cellStyle name="Normal 4 2 11 3 2" xfId="9791" xr:uid="{00000000-0005-0000-0000-00003E260000}"/>
    <cellStyle name="Normal 4 2 11 3 3" xfId="9792" xr:uid="{00000000-0005-0000-0000-00003F260000}"/>
    <cellStyle name="Normal 4 2 11 4" xfId="9793" xr:uid="{00000000-0005-0000-0000-000040260000}"/>
    <cellStyle name="Normal 4 2 11 5" xfId="9794" xr:uid="{00000000-0005-0000-0000-000041260000}"/>
    <cellStyle name="Normal 4 2 12" xfId="9795" xr:uid="{00000000-0005-0000-0000-000042260000}"/>
    <cellStyle name="Normal 4 2 12 2" xfId="9796" xr:uid="{00000000-0005-0000-0000-000043260000}"/>
    <cellStyle name="Normal 4 2 12 2 2" xfId="9797" xr:uid="{00000000-0005-0000-0000-000044260000}"/>
    <cellStyle name="Normal 4 2 12 2 3" xfId="9798" xr:uid="{00000000-0005-0000-0000-000045260000}"/>
    <cellStyle name="Normal 4 2 12 3" xfId="9799" xr:uid="{00000000-0005-0000-0000-000046260000}"/>
    <cellStyle name="Normal 4 2 12 4" xfId="9800" xr:uid="{00000000-0005-0000-0000-000047260000}"/>
    <cellStyle name="Normal 4 2 13" xfId="9801" xr:uid="{00000000-0005-0000-0000-000048260000}"/>
    <cellStyle name="Normal 4 2 13 2" xfId="9802" xr:uid="{00000000-0005-0000-0000-000049260000}"/>
    <cellStyle name="Normal 4 2 13 3" xfId="9803" xr:uid="{00000000-0005-0000-0000-00004A260000}"/>
    <cellStyle name="Normal 4 2 14" xfId="9804" xr:uid="{00000000-0005-0000-0000-00004B260000}"/>
    <cellStyle name="Normal 4 2 14 2" xfId="9805" xr:uid="{00000000-0005-0000-0000-00004C260000}"/>
    <cellStyle name="Normal 4 2 14 3" xfId="9806" xr:uid="{00000000-0005-0000-0000-00004D260000}"/>
    <cellStyle name="Normal 4 2 15" xfId="9807" xr:uid="{00000000-0005-0000-0000-00004E260000}"/>
    <cellStyle name="Normal 4 2 15 2" xfId="9808" xr:uid="{00000000-0005-0000-0000-00004F260000}"/>
    <cellStyle name="Normal 4 2 15 3" xfId="9809" xr:uid="{00000000-0005-0000-0000-000050260000}"/>
    <cellStyle name="Normal 4 2 16" xfId="9810" xr:uid="{00000000-0005-0000-0000-000051260000}"/>
    <cellStyle name="Normal 4 2 16 2" xfId="9811" xr:uid="{00000000-0005-0000-0000-000052260000}"/>
    <cellStyle name="Normal 4 2 16 3" xfId="9812" xr:uid="{00000000-0005-0000-0000-000053260000}"/>
    <cellStyle name="Normal 4 2 17" xfId="9813" xr:uid="{00000000-0005-0000-0000-000054260000}"/>
    <cellStyle name="Normal 4 2 18" xfId="9814" xr:uid="{00000000-0005-0000-0000-000055260000}"/>
    <cellStyle name="Normal 4 2 2" xfId="9815" xr:uid="{00000000-0005-0000-0000-000056260000}"/>
    <cellStyle name="Normal 4 2 2 2" xfId="9816" xr:uid="{00000000-0005-0000-0000-000057260000}"/>
    <cellStyle name="Normal 4 2 2 2 2" xfId="9817" xr:uid="{00000000-0005-0000-0000-000058260000}"/>
    <cellStyle name="Normal 4 2 2 2 2 2" xfId="9818" xr:uid="{00000000-0005-0000-0000-000059260000}"/>
    <cellStyle name="Normal 4 2 2 2 3" xfId="9819" xr:uid="{00000000-0005-0000-0000-00005A260000}"/>
    <cellStyle name="Normal 4 2 2 3" xfId="9820" xr:uid="{00000000-0005-0000-0000-00005B260000}"/>
    <cellStyle name="Normal 4 2 2 3 2" xfId="9821" xr:uid="{00000000-0005-0000-0000-00005C260000}"/>
    <cellStyle name="Normal 4 2 2 3 2 2" xfId="9822" xr:uid="{00000000-0005-0000-0000-00005D260000}"/>
    <cellStyle name="Normal 4 2 2 3 2 2 2" xfId="9823" xr:uid="{00000000-0005-0000-0000-00005E260000}"/>
    <cellStyle name="Normal 4 2 2 3 2 2 3" xfId="9824" xr:uid="{00000000-0005-0000-0000-00005F260000}"/>
    <cellStyle name="Normal 4 2 2 3 2 3" xfId="9825" xr:uid="{00000000-0005-0000-0000-000060260000}"/>
    <cellStyle name="Normal 4 2 2 3 2 3 2" xfId="9826" xr:uid="{00000000-0005-0000-0000-000061260000}"/>
    <cellStyle name="Normal 4 2 2 3 2 3 3" xfId="9827" xr:uid="{00000000-0005-0000-0000-000062260000}"/>
    <cellStyle name="Normal 4 2 2 3 2 4" xfId="9828" xr:uid="{00000000-0005-0000-0000-000063260000}"/>
    <cellStyle name="Normal 4 2 2 3 2 5" xfId="9829" xr:uid="{00000000-0005-0000-0000-000064260000}"/>
    <cellStyle name="Normal 4 2 2 3 3" xfId="9830" xr:uid="{00000000-0005-0000-0000-000065260000}"/>
    <cellStyle name="Normal 4 2 2 3 3 2" xfId="9831" xr:uid="{00000000-0005-0000-0000-000066260000}"/>
    <cellStyle name="Normal 4 2 2 3 3 2 2" xfId="9832" xr:uid="{00000000-0005-0000-0000-000067260000}"/>
    <cellStyle name="Normal 4 2 2 3 3 2 3" xfId="9833" xr:uid="{00000000-0005-0000-0000-000068260000}"/>
    <cellStyle name="Normal 4 2 2 3 3 3" xfId="9834" xr:uid="{00000000-0005-0000-0000-000069260000}"/>
    <cellStyle name="Normal 4 2 2 3 3 3 2" xfId="9835" xr:uid="{00000000-0005-0000-0000-00006A260000}"/>
    <cellStyle name="Normal 4 2 2 3 3 3 3" xfId="9836" xr:uid="{00000000-0005-0000-0000-00006B260000}"/>
    <cellStyle name="Normal 4 2 2 3 3 4" xfId="9837" xr:uid="{00000000-0005-0000-0000-00006C260000}"/>
    <cellStyle name="Normal 4 2 2 3 3 5" xfId="9838" xr:uid="{00000000-0005-0000-0000-00006D260000}"/>
    <cellStyle name="Normal 4 2 2 3 4" xfId="9839" xr:uid="{00000000-0005-0000-0000-00006E260000}"/>
    <cellStyle name="Normal 4 2 2 3 4 2" xfId="9840" xr:uid="{00000000-0005-0000-0000-00006F260000}"/>
    <cellStyle name="Normal 4 2 2 3 4 3" xfId="9841" xr:uid="{00000000-0005-0000-0000-000070260000}"/>
    <cellStyle name="Normal 4 2 2 3 5" xfId="9842" xr:uid="{00000000-0005-0000-0000-000071260000}"/>
    <cellStyle name="Normal 4 2 2 3 5 2" xfId="9843" xr:uid="{00000000-0005-0000-0000-000072260000}"/>
    <cellStyle name="Normal 4 2 2 3 5 3" xfId="9844" xr:uid="{00000000-0005-0000-0000-000073260000}"/>
    <cellStyle name="Normal 4 2 2 3 6" xfId="9845" xr:uid="{00000000-0005-0000-0000-000074260000}"/>
    <cellStyle name="Normal 4 2 2 3 7" xfId="9846" xr:uid="{00000000-0005-0000-0000-000075260000}"/>
    <cellStyle name="Normal 4 2 2 4" xfId="9847" xr:uid="{00000000-0005-0000-0000-000076260000}"/>
    <cellStyle name="Normal 4 2 2 4 2" xfId="9848" xr:uid="{00000000-0005-0000-0000-000077260000}"/>
    <cellStyle name="Normal 4 2 2 4 2 2" xfId="9849" xr:uid="{00000000-0005-0000-0000-000078260000}"/>
    <cellStyle name="Normal 4 2 2 4 2 2 2" xfId="9850" xr:uid="{00000000-0005-0000-0000-000079260000}"/>
    <cellStyle name="Normal 4 2 2 4 2 2 3" xfId="9851" xr:uid="{00000000-0005-0000-0000-00007A260000}"/>
    <cellStyle name="Normal 4 2 2 4 2 3" xfId="9852" xr:uid="{00000000-0005-0000-0000-00007B260000}"/>
    <cellStyle name="Normal 4 2 2 4 2 3 2" xfId="9853" xr:uid="{00000000-0005-0000-0000-00007C260000}"/>
    <cellStyle name="Normal 4 2 2 4 2 3 3" xfId="9854" xr:uid="{00000000-0005-0000-0000-00007D260000}"/>
    <cellStyle name="Normal 4 2 2 4 2 4" xfId="9855" xr:uid="{00000000-0005-0000-0000-00007E260000}"/>
    <cellStyle name="Normal 4 2 2 4 2 5" xfId="9856" xr:uid="{00000000-0005-0000-0000-00007F260000}"/>
    <cellStyle name="Normal 4 2 2 4 3" xfId="9857" xr:uid="{00000000-0005-0000-0000-000080260000}"/>
    <cellStyle name="Normal 4 2 2 4 3 2" xfId="9858" xr:uid="{00000000-0005-0000-0000-000081260000}"/>
    <cellStyle name="Normal 4 2 2 4 3 2 2" xfId="9859" xr:uid="{00000000-0005-0000-0000-000082260000}"/>
    <cellStyle name="Normal 4 2 2 4 3 2 3" xfId="9860" xr:uid="{00000000-0005-0000-0000-000083260000}"/>
    <cellStyle name="Normal 4 2 2 4 3 3" xfId="9861" xr:uid="{00000000-0005-0000-0000-000084260000}"/>
    <cellStyle name="Normal 4 2 2 4 3 3 2" xfId="9862" xr:uid="{00000000-0005-0000-0000-000085260000}"/>
    <cellStyle name="Normal 4 2 2 4 3 3 3" xfId="9863" xr:uid="{00000000-0005-0000-0000-000086260000}"/>
    <cellStyle name="Normal 4 2 2 4 3 4" xfId="9864" xr:uid="{00000000-0005-0000-0000-000087260000}"/>
    <cellStyle name="Normal 4 2 2 4 3 5" xfId="9865" xr:uid="{00000000-0005-0000-0000-000088260000}"/>
    <cellStyle name="Normal 4 2 2 4 4" xfId="9866" xr:uid="{00000000-0005-0000-0000-000089260000}"/>
    <cellStyle name="Normal 4 2 2 4 4 2" xfId="9867" xr:uid="{00000000-0005-0000-0000-00008A260000}"/>
    <cellStyle name="Normal 4 2 2 4 4 3" xfId="9868" xr:uid="{00000000-0005-0000-0000-00008B260000}"/>
    <cellStyle name="Normal 4 2 2 4 5" xfId="9869" xr:uid="{00000000-0005-0000-0000-00008C260000}"/>
    <cellStyle name="Normal 4 2 2 4 5 2" xfId="9870" xr:uid="{00000000-0005-0000-0000-00008D260000}"/>
    <cellStyle name="Normal 4 2 2 4 5 3" xfId="9871" xr:uid="{00000000-0005-0000-0000-00008E260000}"/>
    <cellStyle name="Normal 4 2 2 4 6" xfId="9872" xr:uid="{00000000-0005-0000-0000-00008F260000}"/>
    <cellStyle name="Normal 4 2 2 4 7" xfId="9873" xr:uid="{00000000-0005-0000-0000-000090260000}"/>
    <cellStyle name="Normal 4 2 2 5" xfId="9874" xr:uid="{00000000-0005-0000-0000-000091260000}"/>
    <cellStyle name="Normal 4 2 2 5 2" xfId="9875" xr:uid="{00000000-0005-0000-0000-000092260000}"/>
    <cellStyle name="Normal 4 2 2 6" xfId="9876" xr:uid="{00000000-0005-0000-0000-000093260000}"/>
    <cellStyle name="Normal 4 2 3" xfId="9877" xr:uid="{00000000-0005-0000-0000-000094260000}"/>
    <cellStyle name="Normal 4 2 3 10" xfId="9878" xr:uid="{00000000-0005-0000-0000-000095260000}"/>
    <cellStyle name="Normal 4 2 3 10 2" xfId="9879" xr:uid="{00000000-0005-0000-0000-000096260000}"/>
    <cellStyle name="Normal 4 2 3 10 3" xfId="9880" xr:uid="{00000000-0005-0000-0000-000097260000}"/>
    <cellStyle name="Normal 4 2 3 11" xfId="9881" xr:uid="{00000000-0005-0000-0000-000098260000}"/>
    <cellStyle name="Normal 4 2 3 11 2" xfId="9882" xr:uid="{00000000-0005-0000-0000-000099260000}"/>
    <cellStyle name="Normal 4 2 3 11 3" xfId="9883" xr:uid="{00000000-0005-0000-0000-00009A260000}"/>
    <cellStyle name="Normal 4 2 3 12" xfId="9884" xr:uid="{00000000-0005-0000-0000-00009B260000}"/>
    <cellStyle name="Normal 4 2 3 12 2" xfId="9885" xr:uid="{00000000-0005-0000-0000-00009C260000}"/>
    <cellStyle name="Normal 4 2 3 12 3" xfId="9886" xr:uid="{00000000-0005-0000-0000-00009D260000}"/>
    <cellStyle name="Normal 4 2 3 13" xfId="9887" xr:uid="{00000000-0005-0000-0000-00009E260000}"/>
    <cellStyle name="Normal 4 2 3 14" xfId="9888" xr:uid="{00000000-0005-0000-0000-00009F260000}"/>
    <cellStyle name="Normal 4 2 3 2" xfId="9889" xr:uid="{00000000-0005-0000-0000-0000A0260000}"/>
    <cellStyle name="Normal 4 2 3 2 10" xfId="9890" xr:uid="{00000000-0005-0000-0000-0000A1260000}"/>
    <cellStyle name="Normal 4 2 3 2 10 2" xfId="9891" xr:uid="{00000000-0005-0000-0000-0000A2260000}"/>
    <cellStyle name="Normal 4 2 3 2 10 3" xfId="9892" xr:uid="{00000000-0005-0000-0000-0000A3260000}"/>
    <cellStyle name="Normal 4 2 3 2 11" xfId="9893" xr:uid="{00000000-0005-0000-0000-0000A4260000}"/>
    <cellStyle name="Normal 4 2 3 2 11 2" xfId="9894" xr:uid="{00000000-0005-0000-0000-0000A5260000}"/>
    <cellStyle name="Normal 4 2 3 2 11 3" xfId="9895" xr:uid="{00000000-0005-0000-0000-0000A6260000}"/>
    <cellStyle name="Normal 4 2 3 2 12" xfId="9896" xr:uid="{00000000-0005-0000-0000-0000A7260000}"/>
    <cellStyle name="Normal 4 2 3 2 13" xfId="9897" xr:uid="{00000000-0005-0000-0000-0000A8260000}"/>
    <cellStyle name="Normal 4 2 3 2 2" xfId="9898" xr:uid="{00000000-0005-0000-0000-0000A9260000}"/>
    <cellStyle name="Normal 4 2 3 2 2 2" xfId="9899" xr:uid="{00000000-0005-0000-0000-0000AA260000}"/>
    <cellStyle name="Normal 4 2 3 2 2 2 2" xfId="9900" xr:uid="{00000000-0005-0000-0000-0000AB260000}"/>
    <cellStyle name="Normal 4 2 3 2 2 2 2 2" xfId="9901" xr:uid="{00000000-0005-0000-0000-0000AC260000}"/>
    <cellStyle name="Normal 4 2 3 2 2 2 2 2 2" xfId="9902" xr:uid="{00000000-0005-0000-0000-0000AD260000}"/>
    <cellStyle name="Normal 4 2 3 2 2 2 2 2 3" xfId="9903" xr:uid="{00000000-0005-0000-0000-0000AE260000}"/>
    <cellStyle name="Normal 4 2 3 2 2 2 2 3" xfId="9904" xr:uid="{00000000-0005-0000-0000-0000AF260000}"/>
    <cellStyle name="Normal 4 2 3 2 2 2 2 3 2" xfId="9905" xr:uid="{00000000-0005-0000-0000-0000B0260000}"/>
    <cellStyle name="Normal 4 2 3 2 2 2 2 3 3" xfId="9906" xr:uid="{00000000-0005-0000-0000-0000B1260000}"/>
    <cellStyle name="Normal 4 2 3 2 2 2 2 4" xfId="9907" xr:uid="{00000000-0005-0000-0000-0000B2260000}"/>
    <cellStyle name="Normal 4 2 3 2 2 2 2 5" xfId="9908" xr:uid="{00000000-0005-0000-0000-0000B3260000}"/>
    <cellStyle name="Normal 4 2 3 2 2 2 3" xfId="9909" xr:uid="{00000000-0005-0000-0000-0000B4260000}"/>
    <cellStyle name="Normal 4 2 3 2 2 2 3 2" xfId="9910" xr:uid="{00000000-0005-0000-0000-0000B5260000}"/>
    <cellStyle name="Normal 4 2 3 2 2 2 3 2 2" xfId="9911" xr:uid="{00000000-0005-0000-0000-0000B6260000}"/>
    <cellStyle name="Normal 4 2 3 2 2 2 3 2 3" xfId="9912" xr:uid="{00000000-0005-0000-0000-0000B7260000}"/>
    <cellStyle name="Normal 4 2 3 2 2 2 3 3" xfId="9913" xr:uid="{00000000-0005-0000-0000-0000B8260000}"/>
    <cellStyle name="Normal 4 2 3 2 2 2 3 3 2" xfId="9914" xr:uid="{00000000-0005-0000-0000-0000B9260000}"/>
    <cellStyle name="Normal 4 2 3 2 2 2 3 3 3" xfId="9915" xr:uid="{00000000-0005-0000-0000-0000BA260000}"/>
    <cellStyle name="Normal 4 2 3 2 2 2 3 4" xfId="9916" xr:uid="{00000000-0005-0000-0000-0000BB260000}"/>
    <cellStyle name="Normal 4 2 3 2 2 2 3 5" xfId="9917" xr:uid="{00000000-0005-0000-0000-0000BC260000}"/>
    <cellStyle name="Normal 4 2 3 2 2 2 4" xfId="9918" xr:uid="{00000000-0005-0000-0000-0000BD260000}"/>
    <cellStyle name="Normal 4 2 3 2 2 2 4 2" xfId="9919" xr:uid="{00000000-0005-0000-0000-0000BE260000}"/>
    <cellStyle name="Normal 4 2 3 2 2 2 4 3" xfId="9920" xr:uid="{00000000-0005-0000-0000-0000BF260000}"/>
    <cellStyle name="Normal 4 2 3 2 2 2 5" xfId="9921" xr:uid="{00000000-0005-0000-0000-0000C0260000}"/>
    <cellStyle name="Normal 4 2 3 2 2 2 5 2" xfId="9922" xr:uid="{00000000-0005-0000-0000-0000C1260000}"/>
    <cellStyle name="Normal 4 2 3 2 2 2 5 3" xfId="9923" xr:uid="{00000000-0005-0000-0000-0000C2260000}"/>
    <cellStyle name="Normal 4 2 3 2 2 2 6" xfId="9924" xr:uid="{00000000-0005-0000-0000-0000C3260000}"/>
    <cellStyle name="Normal 4 2 3 2 2 2 7" xfId="9925" xr:uid="{00000000-0005-0000-0000-0000C4260000}"/>
    <cellStyle name="Normal 4 2 3 2 2 3" xfId="9926" xr:uid="{00000000-0005-0000-0000-0000C5260000}"/>
    <cellStyle name="Normal 4 2 3 2 2 3 2" xfId="9927" xr:uid="{00000000-0005-0000-0000-0000C6260000}"/>
    <cellStyle name="Normal 4 2 3 2 2 3 2 2" xfId="9928" xr:uid="{00000000-0005-0000-0000-0000C7260000}"/>
    <cellStyle name="Normal 4 2 3 2 2 3 2 3" xfId="9929" xr:uid="{00000000-0005-0000-0000-0000C8260000}"/>
    <cellStyle name="Normal 4 2 3 2 2 3 3" xfId="9930" xr:uid="{00000000-0005-0000-0000-0000C9260000}"/>
    <cellStyle name="Normal 4 2 3 2 2 3 3 2" xfId="9931" xr:uid="{00000000-0005-0000-0000-0000CA260000}"/>
    <cellStyle name="Normal 4 2 3 2 2 3 3 3" xfId="9932" xr:uid="{00000000-0005-0000-0000-0000CB260000}"/>
    <cellStyle name="Normal 4 2 3 2 2 3 4" xfId="9933" xr:uid="{00000000-0005-0000-0000-0000CC260000}"/>
    <cellStyle name="Normal 4 2 3 2 2 3 5" xfId="9934" xr:uid="{00000000-0005-0000-0000-0000CD260000}"/>
    <cellStyle name="Normal 4 2 3 2 2 4" xfId="9935" xr:uid="{00000000-0005-0000-0000-0000CE260000}"/>
    <cellStyle name="Normal 4 2 3 2 2 4 2" xfId="9936" xr:uid="{00000000-0005-0000-0000-0000CF260000}"/>
    <cellStyle name="Normal 4 2 3 2 2 4 2 2" xfId="9937" xr:uid="{00000000-0005-0000-0000-0000D0260000}"/>
    <cellStyle name="Normal 4 2 3 2 2 4 2 3" xfId="9938" xr:uid="{00000000-0005-0000-0000-0000D1260000}"/>
    <cellStyle name="Normal 4 2 3 2 2 4 3" xfId="9939" xr:uid="{00000000-0005-0000-0000-0000D2260000}"/>
    <cellStyle name="Normal 4 2 3 2 2 4 3 2" xfId="9940" xr:uid="{00000000-0005-0000-0000-0000D3260000}"/>
    <cellStyle name="Normal 4 2 3 2 2 4 3 3" xfId="9941" xr:uid="{00000000-0005-0000-0000-0000D4260000}"/>
    <cellStyle name="Normal 4 2 3 2 2 4 4" xfId="9942" xr:uid="{00000000-0005-0000-0000-0000D5260000}"/>
    <cellStyle name="Normal 4 2 3 2 2 4 5" xfId="9943" xr:uid="{00000000-0005-0000-0000-0000D6260000}"/>
    <cellStyle name="Normal 4 2 3 2 2 5" xfId="9944" xr:uid="{00000000-0005-0000-0000-0000D7260000}"/>
    <cellStyle name="Normal 4 2 3 2 2 5 2" xfId="9945" xr:uid="{00000000-0005-0000-0000-0000D8260000}"/>
    <cellStyle name="Normal 4 2 3 2 2 5 3" xfId="9946" xr:uid="{00000000-0005-0000-0000-0000D9260000}"/>
    <cellStyle name="Normal 4 2 3 2 2 6" xfId="9947" xr:uid="{00000000-0005-0000-0000-0000DA260000}"/>
    <cellStyle name="Normal 4 2 3 2 2 6 2" xfId="9948" xr:uid="{00000000-0005-0000-0000-0000DB260000}"/>
    <cellStyle name="Normal 4 2 3 2 2 6 3" xfId="9949" xr:uid="{00000000-0005-0000-0000-0000DC260000}"/>
    <cellStyle name="Normal 4 2 3 2 2 7" xfId="9950" xr:uid="{00000000-0005-0000-0000-0000DD260000}"/>
    <cellStyle name="Normal 4 2 3 2 2 7 2" xfId="9951" xr:uid="{00000000-0005-0000-0000-0000DE260000}"/>
    <cellStyle name="Normal 4 2 3 2 2 7 3" xfId="9952" xr:uid="{00000000-0005-0000-0000-0000DF260000}"/>
    <cellStyle name="Normal 4 2 3 2 2 8" xfId="9953" xr:uid="{00000000-0005-0000-0000-0000E0260000}"/>
    <cellStyle name="Normal 4 2 3 2 2 9" xfId="9954" xr:uid="{00000000-0005-0000-0000-0000E1260000}"/>
    <cellStyle name="Normal 4 2 3 2 3" xfId="9955" xr:uid="{00000000-0005-0000-0000-0000E2260000}"/>
    <cellStyle name="Normal 4 2 3 2 3 2" xfId="9956" xr:uid="{00000000-0005-0000-0000-0000E3260000}"/>
    <cellStyle name="Normal 4 2 3 2 3 2 2" xfId="9957" xr:uid="{00000000-0005-0000-0000-0000E4260000}"/>
    <cellStyle name="Normal 4 2 3 2 3 2 2 2" xfId="9958" xr:uid="{00000000-0005-0000-0000-0000E5260000}"/>
    <cellStyle name="Normal 4 2 3 2 3 2 2 3" xfId="9959" xr:uid="{00000000-0005-0000-0000-0000E6260000}"/>
    <cellStyle name="Normal 4 2 3 2 3 2 3" xfId="9960" xr:uid="{00000000-0005-0000-0000-0000E7260000}"/>
    <cellStyle name="Normal 4 2 3 2 3 2 3 2" xfId="9961" xr:uid="{00000000-0005-0000-0000-0000E8260000}"/>
    <cellStyle name="Normal 4 2 3 2 3 2 3 3" xfId="9962" xr:uid="{00000000-0005-0000-0000-0000E9260000}"/>
    <cellStyle name="Normal 4 2 3 2 3 2 4" xfId="9963" xr:uid="{00000000-0005-0000-0000-0000EA260000}"/>
    <cellStyle name="Normal 4 2 3 2 3 2 5" xfId="9964" xr:uid="{00000000-0005-0000-0000-0000EB260000}"/>
    <cellStyle name="Normal 4 2 3 2 3 3" xfId="9965" xr:uid="{00000000-0005-0000-0000-0000EC260000}"/>
    <cellStyle name="Normal 4 2 3 2 3 3 2" xfId="9966" xr:uid="{00000000-0005-0000-0000-0000ED260000}"/>
    <cellStyle name="Normal 4 2 3 2 3 3 2 2" xfId="9967" xr:uid="{00000000-0005-0000-0000-0000EE260000}"/>
    <cellStyle name="Normal 4 2 3 2 3 3 2 3" xfId="9968" xr:uid="{00000000-0005-0000-0000-0000EF260000}"/>
    <cellStyle name="Normal 4 2 3 2 3 3 3" xfId="9969" xr:uid="{00000000-0005-0000-0000-0000F0260000}"/>
    <cellStyle name="Normal 4 2 3 2 3 3 3 2" xfId="9970" xr:uid="{00000000-0005-0000-0000-0000F1260000}"/>
    <cellStyle name="Normal 4 2 3 2 3 3 3 3" xfId="9971" xr:uid="{00000000-0005-0000-0000-0000F2260000}"/>
    <cellStyle name="Normal 4 2 3 2 3 3 4" xfId="9972" xr:uid="{00000000-0005-0000-0000-0000F3260000}"/>
    <cellStyle name="Normal 4 2 3 2 3 3 5" xfId="9973" xr:uid="{00000000-0005-0000-0000-0000F4260000}"/>
    <cellStyle name="Normal 4 2 3 2 3 4" xfId="9974" xr:uid="{00000000-0005-0000-0000-0000F5260000}"/>
    <cellStyle name="Normal 4 2 3 2 3 4 2" xfId="9975" xr:uid="{00000000-0005-0000-0000-0000F6260000}"/>
    <cellStyle name="Normal 4 2 3 2 3 4 3" xfId="9976" xr:uid="{00000000-0005-0000-0000-0000F7260000}"/>
    <cellStyle name="Normal 4 2 3 2 3 5" xfId="9977" xr:uid="{00000000-0005-0000-0000-0000F8260000}"/>
    <cellStyle name="Normal 4 2 3 2 3 5 2" xfId="9978" xr:uid="{00000000-0005-0000-0000-0000F9260000}"/>
    <cellStyle name="Normal 4 2 3 2 3 5 3" xfId="9979" xr:uid="{00000000-0005-0000-0000-0000FA260000}"/>
    <cellStyle name="Normal 4 2 3 2 3 6" xfId="9980" xr:uid="{00000000-0005-0000-0000-0000FB260000}"/>
    <cellStyle name="Normal 4 2 3 2 3 7" xfId="9981" xr:uid="{00000000-0005-0000-0000-0000FC260000}"/>
    <cellStyle name="Normal 4 2 3 2 4" xfId="9982" xr:uid="{00000000-0005-0000-0000-0000FD260000}"/>
    <cellStyle name="Normal 4 2 3 2 4 2" xfId="9983" xr:uid="{00000000-0005-0000-0000-0000FE260000}"/>
    <cellStyle name="Normal 4 2 3 2 4 2 2" xfId="9984" xr:uid="{00000000-0005-0000-0000-0000FF260000}"/>
    <cellStyle name="Normal 4 2 3 2 4 2 2 2" xfId="9985" xr:uid="{00000000-0005-0000-0000-000000270000}"/>
    <cellStyle name="Normal 4 2 3 2 4 2 2 3" xfId="9986" xr:uid="{00000000-0005-0000-0000-000001270000}"/>
    <cellStyle name="Normal 4 2 3 2 4 2 3" xfId="9987" xr:uid="{00000000-0005-0000-0000-000002270000}"/>
    <cellStyle name="Normal 4 2 3 2 4 2 3 2" xfId="9988" xr:uid="{00000000-0005-0000-0000-000003270000}"/>
    <cellStyle name="Normal 4 2 3 2 4 2 3 3" xfId="9989" xr:uid="{00000000-0005-0000-0000-000004270000}"/>
    <cellStyle name="Normal 4 2 3 2 4 2 4" xfId="9990" xr:uid="{00000000-0005-0000-0000-000005270000}"/>
    <cellStyle name="Normal 4 2 3 2 4 2 5" xfId="9991" xr:uid="{00000000-0005-0000-0000-000006270000}"/>
    <cellStyle name="Normal 4 2 3 2 4 3" xfId="9992" xr:uid="{00000000-0005-0000-0000-000007270000}"/>
    <cellStyle name="Normal 4 2 3 2 4 3 2" xfId="9993" xr:uid="{00000000-0005-0000-0000-000008270000}"/>
    <cellStyle name="Normal 4 2 3 2 4 3 2 2" xfId="9994" xr:uid="{00000000-0005-0000-0000-000009270000}"/>
    <cellStyle name="Normal 4 2 3 2 4 3 2 3" xfId="9995" xr:uid="{00000000-0005-0000-0000-00000A270000}"/>
    <cellStyle name="Normal 4 2 3 2 4 3 3" xfId="9996" xr:uid="{00000000-0005-0000-0000-00000B270000}"/>
    <cellStyle name="Normal 4 2 3 2 4 3 4" xfId="9997" xr:uid="{00000000-0005-0000-0000-00000C270000}"/>
    <cellStyle name="Normal 4 2 3 2 4 4" xfId="9998" xr:uid="{00000000-0005-0000-0000-00000D270000}"/>
    <cellStyle name="Normal 4 2 3 2 4 4 2" xfId="9999" xr:uid="{00000000-0005-0000-0000-00000E270000}"/>
    <cellStyle name="Normal 4 2 3 2 4 4 3" xfId="10000" xr:uid="{00000000-0005-0000-0000-00000F270000}"/>
    <cellStyle name="Normal 4 2 3 2 4 5" xfId="10001" xr:uid="{00000000-0005-0000-0000-000010270000}"/>
    <cellStyle name="Normal 4 2 3 2 4 5 2" xfId="10002" xr:uid="{00000000-0005-0000-0000-000011270000}"/>
    <cellStyle name="Normal 4 2 3 2 4 5 3" xfId="10003" xr:uid="{00000000-0005-0000-0000-000012270000}"/>
    <cellStyle name="Normal 4 2 3 2 4 6" xfId="10004" xr:uid="{00000000-0005-0000-0000-000013270000}"/>
    <cellStyle name="Normal 4 2 3 2 4 7" xfId="10005" xr:uid="{00000000-0005-0000-0000-000014270000}"/>
    <cellStyle name="Normal 4 2 3 2 5" xfId="10006" xr:uid="{00000000-0005-0000-0000-000015270000}"/>
    <cellStyle name="Normal 4 2 3 2 5 2" xfId="10007" xr:uid="{00000000-0005-0000-0000-000016270000}"/>
    <cellStyle name="Normal 4 2 3 2 5 2 2" xfId="10008" xr:uid="{00000000-0005-0000-0000-000017270000}"/>
    <cellStyle name="Normal 4 2 3 2 5 2 3" xfId="10009" xr:uid="{00000000-0005-0000-0000-000018270000}"/>
    <cellStyle name="Normal 4 2 3 2 5 3" xfId="10010" xr:uid="{00000000-0005-0000-0000-000019270000}"/>
    <cellStyle name="Normal 4 2 3 2 5 3 2" xfId="10011" xr:uid="{00000000-0005-0000-0000-00001A270000}"/>
    <cellStyle name="Normal 4 2 3 2 5 3 3" xfId="10012" xr:uid="{00000000-0005-0000-0000-00001B270000}"/>
    <cellStyle name="Normal 4 2 3 2 5 4" xfId="10013" xr:uid="{00000000-0005-0000-0000-00001C270000}"/>
    <cellStyle name="Normal 4 2 3 2 5 5" xfId="10014" xr:uid="{00000000-0005-0000-0000-00001D270000}"/>
    <cellStyle name="Normal 4 2 3 2 6" xfId="10015" xr:uid="{00000000-0005-0000-0000-00001E270000}"/>
    <cellStyle name="Normal 4 2 3 2 6 2" xfId="10016" xr:uid="{00000000-0005-0000-0000-00001F270000}"/>
    <cellStyle name="Normal 4 2 3 2 6 2 2" xfId="10017" xr:uid="{00000000-0005-0000-0000-000020270000}"/>
    <cellStyle name="Normal 4 2 3 2 6 2 3" xfId="10018" xr:uid="{00000000-0005-0000-0000-000021270000}"/>
    <cellStyle name="Normal 4 2 3 2 6 3" xfId="10019" xr:uid="{00000000-0005-0000-0000-000022270000}"/>
    <cellStyle name="Normal 4 2 3 2 6 3 2" xfId="10020" xr:uid="{00000000-0005-0000-0000-000023270000}"/>
    <cellStyle name="Normal 4 2 3 2 6 3 3" xfId="10021" xr:uid="{00000000-0005-0000-0000-000024270000}"/>
    <cellStyle name="Normal 4 2 3 2 6 4" xfId="10022" xr:uid="{00000000-0005-0000-0000-000025270000}"/>
    <cellStyle name="Normal 4 2 3 2 6 5" xfId="10023" xr:uid="{00000000-0005-0000-0000-000026270000}"/>
    <cellStyle name="Normal 4 2 3 2 7" xfId="10024" xr:uid="{00000000-0005-0000-0000-000027270000}"/>
    <cellStyle name="Normal 4 2 3 2 7 2" xfId="10025" xr:uid="{00000000-0005-0000-0000-000028270000}"/>
    <cellStyle name="Normal 4 2 3 2 7 2 2" xfId="10026" xr:uid="{00000000-0005-0000-0000-000029270000}"/>
    <cellStyle name="Normal 4 2 3 2 7 2 3" xfId="10027" xr:uid="{00000000-0005-0000-0000-00002A270000}"/>
    <cellStyle name="Normal 4 2 3 2 7 3" xfId="10028" xr:uid="{00000000-0005-0000-0000-00002B270000}"/>
    <cellStyle name="Normal 4 2 3 2 7 4" xfId="10029" xr:uid="{00000000-0005-0000-0000-00002C270000}"/>
    <cellStyle name="Normal 4 2 3 2 8" xfId="10030" xr:uid="{00000000-0005-0000-0000-00002D270000}"/>
    <cellStyle name="Normal 4 2 3 2 8 2" xfId="10031" xr:uid="{00000000-0005-0000-0000-00002E270000}"/>
    <cellStyle name="Normal 4 2 3 2 8 3" xfId="10032" xr:uid="{00000000-0005-0000-0000-00002F270000}"/>
    <cellStyle name="Normal 4 2 3 2 9" xfId="10033" xr:uid="{00000000-0005-0000-0000-000030270000}"/>
    <cellStyle name="Normal 4 2 3 2 9 2" xfId="10034" xr:uid="{00000000-0005-0000-0000-000031270000}"/>
    <cellStyle name="Normal 4 2 3 2 9 3" xfId="10035" xr:uid="{00000000-0005-0000-0000-000032270000}"/>
    <cellStyle name="Normal 4 2 3 3" xfId="10036" xr:uid="{00000000-0005-0000-0000-000033270000}"/>
    <cellStyle name="Normal 4 2 3 3 2" xfId="10037" xr:uid="{00000000-0005-0000-0000-000034270000}"/>
    <cellStyle name="Normal 4 2 3 3 2 2" xfId="10038" xr:uid="{00000000-0005-0000-0000-000035270000}"/>
    <cellStyle name="Normal 4 2 3 3 2 2 2" xfId="10039" xr:uid="{00000000-0005-0000-0000-000036270000}"/>
    <cellStyle name="Normal 4 2 3 3 2 2 2 2" xfId="10040" xr:uid="{00000000-0005-0000-0000-000037270000}"/>
    <cellStyle name="Normal 4 2 3 3 2 2 2 3" xfId="10041" xr:uid="{00000000-0005-0000-0000-000038270000}"/>
    <cellStyle name="Normal 4 2 3 3 2 2 3" xfId="10042" xr:uid="{00000000-0005-0000-0000-000039270000}"/>
    <cellStyle name="Normal 4 2 3 3 2 2 3 2" xfId="10043" xr:uid="{00000000-0005-0000-0000-00003A270000}"/>
    <cellStyle name="Normal 4 2 3 3 2 2 3 3" xfId="10044" xr:uid="{00000000-0005-0000-0000-00003B270000}"/>
    <cellStyle name="Normal 4 2 3 3 2 2 4" xfId="10045" xr:uid="{00000000-0005-0000-0000-00003C270000}"/>
    <cellStyle name="Normal 4 2 3 3 2 2 5" xfId="10046" xr:uid="{00000000-0005-0000-0000-00003D270000}"/>
    <cellStyle name="Normal 4 2 3 3 2 3" xfId="10047" xr:uid="{00000000-0005-0000-0000-00003E270000}"/>
    <cellStyle name="Normal 4 2 3 3 2 3 2" xfId="10048" xr:uid="{00000000-0005-0000-0000-00003F270000}"/>
    <cellStyle name="Normal 4 2 3 3 2 3 2 2" xfId="10049" xr:uid="{00000000-0005-0000-0000-000040270000}"/>
    <cellStyle name="Normal 4 2 3 3 2 3 2 3" xfId="10050" xr:uid="{00000000-0005-0000-0000-000041270000}"/>
    <cellStyle name="Normal 4 2 3 3 2 3 3" xfId="10051" xr:uid="{00000000-0005-0000-0000-000042270000}"/>
    <cellStyle name="Normal 4 2 3 3 2 3 3 2" xfId="10052" xr:uid="{00000000-0005-0000-0000-000043270000}"/>
    <cellStyle name="Normal 4 2 3 3 2 3 3 3" xfId="10053" xr:uid="{00000000-0005-0000-0000-000044270000}"/>
    <cellStyle name="Normal 4 2 3 3 2 3 4" xfId="10054" xr:uid="{00000000-0005-0000-0000-000045270000}"/>
    <cellStyle name="Normal 4 2 3 3 2 3 5" xfId="10055" xr:uid="{00000000-0005-0000-0000-000046270000}"/>
    <cellStyle name="Normal 4 2 3 3 2 4" xfId="10056" xr:uid="{00000000-0005-0000-0000-000047270000}"/>
    <cellStyle name="Normal 4 2 3 3 2 4 2" xfId="10057" xr:uid="{00000000-0005-0000-0000-000048270000}"/>
    <cellStyle name="Normal 4 2 3 3 2 4 3" xfId="10058" xr:uid="{00000000-0005-0000-0000-000049270000}"/>
    <cellStyle name="Normal 4 2 3 3 2 5" xfId="10059" xr:uid="{00000000-0005-0000-0000-00004A270000}"/>
    <cellStyle name="Normal 4 2 3 3 2 5 2" xfId="10060" xr:uid="{00000000-0005-0000-0000-00004B270000}"/>
    <cellStyle name="Normal 4 2 3 3 2 5 3" xfId="10061" xr:uid="{00000000-0005-0000-0000-00004C270000}"/>
    <cellStyle name="Normal 4 2 3 3 2 6" xfId="10062" xr:uid="{00000000-0005-0000-0000-00004D270000}"/>
    <cellStyle name="Normal 4 2 3 3 2 7" xfId="10063" xr:uid="{00000000-0005-0000-0000-00004E270000}"/>
    <cellStyle name="Normal 4 2 3 3 3" xfId="10064" xr:uid="{00000000-0005-0000-0000-00004F270000}"/>
    <cellStyle name="Normal 4 2 3 3 3 2" xfId="10065" xr:uid="{00000000-0005-0000-0000-000050270000}"/>
    <cellStyle name="Normal 4 2 3 3 3 2 2" xfId="10066" xr:uid="{00000000-0005-0000-0000-000051270000}"/>
    <cellStyle name="Normal 4 2 3 3 3 2 3" xfId="10067" xr:uid="{00000000-0005-0000-0000-000052270000}"/>
    <cellStyle name="Normal 4 2 3 3 3 3" xfId="10068" xr:uid="{00000000-0005-0000-0000-000053270000}"/>
    <cellStyle name="Normal 4 2 3 3 3 3 2" xfId="10069" xr:uid="{00000000-0005-0000-0000-000054270000}"/>
    <cellStyle name="Normal 4 2 3 3 3 3 3" xfId="10070" xr:uid="{00000000-0005-0000-0000-000055270000}"/>
    <cellStyle name="Normal 4 2 3 3 3 4" xfId="10071" xr:uid="{00000000-0005-0000-0000-000056270000}"/>
    <cellStyle name="Normal 4 2 3 3 3 5" xfId="10072" xr:uid="{00000000-0005-0000-0000-000057270000}"/>
    <cellStyle name="Normal 4 2 3 3 4" xfId="10073" xr:uid="{00000000-0005-0000-0000-000058270000}"/>
    <cellStyle name="Normal 4 2 3 3 4 2" xfId="10074" xr:uid="{00000000-0005-0000-0000-000059270000}"/>
    <cellStyle name="Normal 4 2 3 3 4 2 2" xfId="10075" xr:uid="{00000000-0005-0000-0000-00005A270000}"/>
    <cellStyle name="Normal 4 2 3 3 4 2 3" xfId="10076" xr:uid="{00000000-0005-0000-0000-00005B270000}"/>
    <cellStyle name="Normal 4 2 3 3 4 3" xfId="10077" xr:uid="{00000000-0005-0000-0000-00005C270000}"/>
    <cellStyle name="Normal 4 2 3 3 4 3 2" xfId="10078" xr:uid="{00000000-0005-0000-0000-00005D270000}"/>
    <cellStyle name="Normal 4 2 3 3 4 3 3" xfId="10079" xr:uid="{00000000-0005-0000-0000-00005E270000}"/>
    <cellStyle name="Normal 4 2 3 3 4 4" xfId="10080" xr:uid="{00000000-0005-0000-0000-00005F270000}"/>
    <cellStyle name="Normal 4 2 3 3 4 5" xfId="10081" xr:uid="{00000000-0005-0000-0000-000060270000}"/>
    <cellStyle name="Normal 4 2 3 3 5" xfId="10082" xr:uid="{00000000-0005-0000-0000-000061270000}"/>
    <cellStyle name="Normal 4 2 3 3 5 2" xfId="10083" xr:uid="{00000000-0005-0000-0000-000062270000}"/>
    <cellStyle name="Normal 4 2 3 3 5 3" xfId="10084" xr:uid="{00000000-0005-0000-0000-000063270000}"/>
    <cellStyle name="Normal 4 2 3 3 6" xfId="10085" xr:uid="{00000000-0005-0000-0000-000064270000}"/>
    <cellStyle name="Normal 4 2 3 3 6 2" xfId="10086" xr:uid="{00000000-0005-0000-0000-000065270000}"/>
    <cellStyle name="Normal 4 2 3 3 6 3" xfId="10087" xr:uid="{00000000-0005-0000-0000-000066270000}"/>
    <cellStyle name="Normal 4 2 3 3 7" xfId="10088" xr:uid="{00000000-0005-0000-0000-000067270000}"/>
    <cellStyle name="Normal 4 2 3 3 7 2" xfId="10089" xr:uid="{00000000-0005-0000-0000-000068270000}"/>
    <cellStyle name="Normal 4 2 3 3 7 3" xfId="10090" xr:uid="{00000000-0005-0000-0000-000069270000}"/>
    <cellStyle name="Normal 4 2 3 3 8" xfId="10091" xr:uid="{00000000-0005-0000-0000-00006A270000}"/>
    <cellStyle name="Normal 4 2 3 3 9" xfId="10092" xr:uid="{00000000-0005-0000-0000-00006B270000}"/>
    <cellStyle name="Normal 4 2 3 4" xfId="10093" xr:uid="{00000000-0005-0000-0000-00006C270000}"/>
    <cellStyle name="Normal 4 2 3 4 2" xfId="10094" xr:uid="{00000000-0005-0000-0000-00006D270000}"/>
    <cellStyle name="Normal 4 2 3 4 2 2" xfId="10095" xr:uid="{00000000-0005-0000-0000-00006E270000}"/>
    <cellStyle name="Normal 4 2 3 4 2 2 2" xfId="10096" xr:uid="{00000000-0005-0000-0000-00006F270000}"/>
    <cellStyle name="Normal 4 2 3 4 2 2 3" xfId="10097" xr:uid="{00000000-0005-0000-0000-000070270000}"/>
    <cellStyle name="Normal 4 2 3 4 2 3" xfId="10098" xr:uid="{00000000-0005-0000-0000-000071270000}"/>
    <cellStyle name="Normal 4 2 3 4 2 3 2" xfId="10099" xr:uid="{00000000-0005-0000-0000-000072270000}"/>
    <cellStyle name="Normal 4 2 3 4 2 3 3" xfId="10100" xr:uid="{00000000-0005-0000-0000-000073270000}"/>
    <cellStyle name="Normal 4 2 3 4 2 4" xfId="10101" xr:uid="{00000000-0005-0000-0000-000074270000}"/>
    <cellStyle name="Normal 4 2 3 4 2 5" xfId="10102" xr:uid="{00000000-0005-0000-0000-000075270000}"/>
    <cellStyle name="Normal 4 2 3 4 3" xfId="10103" xr:uid="{00000000-0005-0000-0000-000076270000}"/>
    <cellStyle name="Normal 4 2 3 4 3 2" xfId="10104" xr:uid="{00000000-0005-0000-0000-000077270000}"/>
    <cellStyle name="Normal 4 2 3 4 3 2 2" xfId="10105" xr:uid="{00000000-0005-0000-0000-000078270000}"/>
    <cellStyle name="Normal 4 2 3 4 3 2 3" xfId="10106" xr:uid="{00000000-0005-0000-0000-000079270000}"/>
    <cellStyle name="Normal 4 2 3 4 3 3" xfId="10107" xr:uid="{00000000-0005-0000-0000-00007A270000}"/>
    <cellStyle name="Normal 4 2 3 4 3 3 2" xfId="10108" xr:uid="{00000000-0005-0000-0000-00007B270000}"/>
    <cellStyle name="Normal 4 2 3 4 3 3 3" xfId="10109" xr:uid="{00000000-0005-0000-0000-00007C270000}"/>
    <cellStyle name="Normal 4 2 3 4 3 4" xfId="10110" xr:uid="{00000000-0005-0000-0000-00007D270000}"/>
    <cellStyle name="Normal 4 2 3 4 3 5" xfId="10111" xr:uid="{00000000-0005-0000-0000-00007E270000}"/>
    <cellStyle name="Normal 4 2 3 4 4" xfId="10112" xr:uid="{00000000-0005-0000-0000-00007F270000}"/>
    <cellStyle name="Normal 4 2 3 4 4 2" xfId="10113" xr:uid="{00000000-0005-0000-0000-000080270000}"/>
    <cellStyle name="Normal 4 2 3 4 4 3" xfId="10114" xr:uid="{00000000-0005-0000-0000-000081270000}"/>
    <cellStyle name="Normal 4 2 3 4 5" xfId="10115" xr:uid="{00000000-0005-0000-0000-000082270000}"/>
    <cellStyle name="Normal 4 2 3 4 5 2" xfId="10116" xr:uid="{00000000-0005-0000-0000-000083270000}"/>
    <cellStyle name="Normal 4 2 3 4 5 3" xfId="10117" xr:uid="{00000000-0005-0000-0000-000084270000}"/>
    <cellStyle name="Normal 4 2 3 4 6" xfId="10118" xr:uid="{00000000-0005-0000-0000-000085270000}"/>
    <cellStyle name="Normal 4 2 3 4 7" xfId="10119" xr:uid="{00000000-0005-0000-0000-000086270000}"/>
    <cellStyle name="Normal 4 2 3 5" xfId="10120" xr:uid="{00000000-0005-0000-0000-000087270000}"/>
    <cellStyle name="Normal 4 2 3 5 2" xfId="10121" xr:uid="{00000000-0005-0000-0000-000088270000}"/>
    <cellStyle name="Normal 4 2 3 5 2 2" xfId="10122" xr:uid="{00000000-0005-0000-0000-000089270000}"/>
    <cellStyle name="Normal 4 2 3 5 2 2 2" xfId="10123" xr:uid="{00000000-0005-0000-0000-00008A270000}"/>
    <cellStyle name="Normal 4 2 3 5 2 2 3" xfId="10124" xr:uid="{00000000-0005-0000-0000-00008B270000}"/>
    <cellStyle name="Normal 4 2 3 5 2 3" xfId="10125" xr:uid="{00000000-0005-0000-0000-00008C270000}"/>
    <cellStyle name="Normal 4 2 3 5 2 3 2" xfId="10126" xr:uid="{00000000-0005-0000-0000-00008D270000}"/>
    <cellStyle name="Normal 4 2 3 5 2 3 3" xfId="10127" xr:uid="{00000000-0005-0000-0000-00008E270000}"/>
    <cellStyle name="Normal 4 2 3 5 2 4" xfId="10128" xr:uid="{00000000-0005-0000-0000-00008F270000}"/>
    <cellStyle name="Normal 4 2 3 5 2 5" xfId="10129" xr:uid="{00000000-0005-0000-0000-000090270000}"/>
    <cellStyle name="Normal 4 2 3 5 3" xfId="10130" xr:uid="{00000000-0005-0000-0000-000091270000}"/>
    <cellStyle name="Normal 4 2 3 5 3 2" xfId="10131" xr:uid="{00000000-0005-0000-0000-000092270000}"/>
    <cellStyle name="Normal 4 2 3 5 3 2 2" xfId="10132" xr:uid="{00000000-0005-0000-0000-000093270000}"/>
    <cellStyle name="Normal 4 2 3 5 3 2 3" xfId="10133" xr:uid="{00000000-0005-0000-0000-000094270000}"/>
    <cellStyle name="Normal 4 2 3 5 3 3" xfId="10134" xr:uid="{00000000-0005-0000-0000-000095270000}"/>
    <cellStyle name="Normal 4 2 3 5 3 4" xfId="10135" xr:uid="{00000000-0005-0000-0000-000096270000}"/>
    <cellStyle name="Normal 4 2 3 5 4" xfId="10136" xr:uid="{00000000-0005-0000-0000-000097270000}"/>
    <cellStyle name="Normal 4 2 3 5 4 2" xfId="10137" xr:uid="{00000000-0005-0000-0000-000098270000}"/>
    <cellStyle name="Normal 4 2 3 5 4 3" xfId="10138" xr:uid="{00000000-0005-0000-0000-000099270000}"/>
    <cellStyle name="Normal 4 2 3 5 5" xfId="10139" xr:uid="{00000000-0005-0000-0000-00009A270000}"/>
    <cellStyle name="Normal 4 2 3 5 5 2" xfId="10140" xr:uid="{00000000-0005-0000-0000-00009B270000}"/>
    <cellStyle name="Normal 4 2 3 5 5 3" xfId="10141" xr:uid="{00000000-0005-0000-0000-00009C270000}"/>
    <cellStyle name="Normal 4 2 3 5 6" xfId="10142" xr:uid="{00000000-0005-0000-0000-00009D270000}"/>
    <cellStyle name="Normal 4 2 3 5 7" xfId="10143" xr:uid="{00000000-0005-0000-0000-00009E270000}"/>
    <cellStyle name="Normal 4 2 3 6" xfId="10144" xr:uid="{00000000-0005-0000-0000-00009F270000}"/>
    <cellStyle name="Normal 4 2 3 6 2" xfId="10145" xr:uid="{00000000-0005-0000-0000-0000A0270000}"/>
    <cellStyle name="Normal 4 2 3 6 2 2" xfId="10146" xr:uid="{00000000-0005-0000-0000-0000A1270000}"/>
    <cellStyle name="Normal 4 2 3 6 2 3" xfId="10147" xr:uid="{00000000-0005-0000-0000-0000A2270000}"/>
    <cellStyle name="Normal 4 2 3 6 3" xfId="10148" xr:uid="{00000000-0005-0000-0000-0000A3270000}"/>
    <cellStyle name="Normal 4 2 3 6 3 2" xfId="10149" xr:uid="{00000000-0005-0000-0000-0000A4270000}"/>
    <cellStyle name="Normal 4 2 3 6 3 3" xfId="10150" xr:uid="{00000000-0005-0000-0000-0000A5270000}"/>
    <cellStyle name="Normal 4 2 3 6 4" xfId="10151" xr:uid="{00000000-0005-0000-0000-0000A6270000}"/>
    <cellStyle name="Normal 4 2 3 6 5" xfId="10152" xr:uid="{00000000-0005-0000-0000-0000A7270000}"/>
    <cellStyle name="Normal 4 2 3 7" xfId="10153" xr:uid="{00000000-0005-0000-0000-0000A8270000}"/>
    <cellStyle name="Normal 4 2 3 7 2" xfId="10154" xr:uid="{00000000-0005-0000-0000-0000A9270000}"/>
    <cellStyle name="Normal 4 2 3 7 2 2" xfId="10155" xr:uid="{00000000-0005-0000-0000-0000AA270000}"/>
    <cellStyle name="Normal 4 2 3 7 2 3" xfId="10156" xr:uid="{00000000-0005-0000-0000-0000AB270000}"/>
    <cellStyle name="Normal 4 2 3 7 3" xfId="10157" xr:uid="{00000000-0005-0000-0000-0000AC270000}"/>
    <cellStyle name="Normal 4 2 3 7 3 2" xfId="10158" xr:uid="{00000000-0005-0000-0000-0000AD270000}"/>
    <cellStyle name="Normal 4 2 3 7 3 3" xfId="10159" xr:uid="{00000000-0005-0000-0000-0000AE270000}"/>
    <cellStyle name="Normal 4 2 3 7 4" xfId="10160" xr:uid="{00000000-0005-0000-0000-0000AF270000}"/>
    <cellStyle name="Normal 4 2 3 7 5" xfId="10161" xr:uid="{00000000-0005-0000-0000-0000B0270000}"/>
    <cellStyle name="Normal 4 2 3 8" xfId="10162" xr:uid="{00000000-0005-0000-0000-0000B1270000}"/>
    <cellStyle name="Normal 4 2 3 8 2" xfId="10163" xr:uid="{00000000-0005-0000-0000-0000B2270000}"/>
    <cellStyle name="Normal 4 2 3 8 2 2" xfId="10164" xr:uid="{00000000-0005-0000-0000-0000B3270000}"/>
    <cellStyle name="Normal 4 2 3 8 2 3" xfId="10165" xr:uid="{00000000-0005-0000-0000-0000B4270000}"/>
    <cellStyle name="Normal 4 2 3 8 3" xfId="10166" xr:uid="{00000000-0005-0000-0000-0000B5270000}"/>
    <cellStyle name="Normal 4 2 3 8 4" xfId="10167" xr:uid="{00000000-0005-0000-0000-0000B6270000}"/>
    <cellStyle name="Normal 4 2 3 9" xfId="10168" xr:uid="{00000000-0005-0000-0000-0000B7270000}"/>
    <cellStyle name="Normal 4 2 3 9 2" xfId="10169" xr:uid="{00000000-0005-0000-0000-0000B8270000}"/>
    <cellStyle name="Normal 4 2 3 9 3" xfId="10170" xr:uid="{00000000-0005-0000-0000-0000B9270000}"/>
    <cellStyle name="Normal 4 2 4" xfId="10171" xr:uid="{00000000-0005-0000-0000-0000BA270000}"/>
    <cellStyle name="Normal 4 2 4 10" xfId="10172" xr:uid="{00000000-0005-0000-0000-0000BB270000}"/>
    <cellStyle name="Normal 4 2 4 10 2" xfId="10173" xr:uid="{00000000-0005-0000-0000-0000BC270000}"/>
    <cellStyle name="Normal 4 2 4 10 3" xfId="10174" xr:uid="{00000000-0005-0000-0000-0000BD270000}"/>
    <cellStyle name="Normal 4 2 4 11" xfId="10175" xr:uid="{00000000-0005-0000-0000-0000BE270000}"/>
    <cellStyle name="Normal 4 2 4 11 2" xfId="10176" xr:uid="{00000000-0005-0000-0000-0000BF270000}"/>
    <cellStyle name="Normal 4 2 4 11 3" xfId="10177" xr:uid="{00000000-0005-0000-0000-0000C0270000}"/>
    <cellStyle name="Normal 4 2 4 12" xfId="10178" xr:uid="{00000000-0005-0000-0000-0000C1270000}"/>
    <cellStyle name="Normal 4 2 4 13" xfId="10179" xr:uid="{00000000-0005-0000-0000-0000C2270000}"/>
    <cellStyle name="Normal 4 2 4 2" xfId="10180" xr:uid="{00000000-0005-0000-0000-0000C3270000}"/>
    <cellStyle name="Normal 4 2 4 2 2" xfId="10181" xr:uid="{00000000-0005-0000-0000-0000C4270000}"/>
    <cellStyle name="Normal 4 2 4 2 2 2" xfId="10182" xr:uid="{00000000-0005-0000-0000-0000C5270000}"/>
    <cellStyle name="Normal 4 2 4 2 2 2 2" xfId="10183" xr:uid="{00000000-0005-0000-0000-0000C6270000}"/>
    <cellStyle name="Normal 4 2 4 2 2 2 2 2" xfId="10184" xr:uid="{00000000-0005-0000-0000-0000C7270000}"/>
    <cellStyle name="Normal 4 2 4 2 2 2 2 3" xfId="10185" xr:uid="{00000000-0005-0000-0000-0000C8270000}"/>
    <cellStyle name="Normal 4 2 4 2 2 2 3" xfId="10186" xr:uid="{00000000-0005-0000-0000-0000C9270000}"/>
    <cellStyle name="Normal 4 2 4 2 2 2 3 2" xfId="10187" xr:uid="{00000000-0005-0000-0000-0000CA270000}"/>
    <cellStyle name="Normal 4 2 4 2 2 2 3 3" xfId="10188" xr:uid="{00000000-0005-0000-0000-0000CB270000}"/>
    <cellStyle name="Normal 4 2 4 2 2 2 4" xfId="10189" xr:uid="{00000000-0005-0000-0000-0000CC270000}"/>
    <cellStyle name="Normal 4 2 4 2 2 2 5" xfId="10190" xr:uid="{00000000-0005-0000-0000-0000CD270000}"/>
    <cellStyle name="Normal 4 2 4 2 2 3" xfId="10191" xr:uid="{00000000-0005-0000-0000-0000CE270000}"/>
    <cellStyle name="Normal 4 2 4 2 2 3 2" xfId="10192" xr:uid="{00000000-0005-0000-0000-0000CF270000}"/>
    <cellStyle name="Normal 4 2 4 2 2 3 2 2" xfId="10193" xr:uid="{00000000-0005-0000-0000-0000D0270000}"/>
    <cellStyle name="Normal 4 2 4 2 2 3 2 3" xfId="10194" xr:uid="{00000000-0005-0000-0000-0000D1270000}"/>
    <cellStyle name="Normal 4 2 4 2 2 3 3" xfId="10195" xr:uid="{00000000-0005-0000-0000-0000D2270000}"/>
    <cellStyle name="Normal 4 2 4 2 2 3 3 2" xfId="10196" xr:uid="{00000000-0005-0000-0000-0000D3270000}"/>
    <cellStyle name="Normal 4 2 4 2 2 3 3 3" xfId="10197" xr:uid="{00000000-0005-0000-0000-0000D4270000}"/>
    <cellStyle name="Normal 4 2 4 2 2 3 4" xfId="10198" xr:uid="{00000000-0005-0000-0000-0000D5270000}"/>
    <cellStyle name="Normal 4 2 4 2 2 3 5" xfId="10199" xr:uid="{00000000-0005-0000-0000-0000D6270000}"/>
    <cellStyle name="Normal 4 2 4 2 2 4" xfId="10200" xr:uid="{00000000-0005-0000-0000-0000D7270000}"/>
    <cellStyle name="Normal 4 2 4 2 2 4 2" xfId="10201" xr:uid="{00000000-0005-0000-0000-0000D8270000}"/>
    <cellStyle name="Normal 4 2 4 2 2 4 3" xfId="10202" xr:uid="{00000000-0005-0000-0000-0000D9270000}"/>
    <cellStyle name="Normal 4 2 4 2 2 5" xfId="10203" xr:uid="{00000000-0005-0000-0000-0000DA270000}"/>
    <cellStyle name="Normal 4 2 4 2 2 5 2" xfId="10204" xr:uid="{00000000-0005-0000-0000-0000DB270000}"/>
    <cellStyle name="Normal 4 2 4 2 2 5 3" xfId="10205" xr:uid="{00000000-0005-0000-0000-0000DC270000}"/>
    <cellStyle name="Normal 4 2 4 2 2 6" xfId="10206" xr:uid="{00000000-0005-0000-0000-0000DD270000}"/>
    <cellStyle name="Normal 4 2 4 2 2 7" xfId="10207" xr:uid="{00000000-0005-0000-0000-0000DE270000}"/>
    <cellStyle name="Normal 4 2 4 2 3" xfId="10208" xr:uid="{00000000-0005-0000-0000-0000DF270000}"/>
    <cellStyle name="Normal 4 2 4 2 3 2" xfId="10209" xr:uid="{00000000-0005-0000-0000-0000E0270000}"/>
    <cellStyle name="Normal 4 2 4 2 3 2 2" xfId="10210" xr:uid="{00000000-0005-0000-0000-0000E1270000}"/>
    <cellStyle name="Normal 4 2 4 2 3 2 3" xfId="10211" xr:uid="{00000000-0005-0000-0000-0000E2270000}"/>
    <cellStyle name="Normal 4 2 4 2 3 3" xfId="10212" xr:uid="{00000000-0005-0000-0000-0000E3270000}"/>
    <cellStyle name="Normal 4 2 4 2 3 3 2" xfId="10213" xr:uid="{00000000-0005-0000-0000-0000E4270000}"/>
    <cellStyle name="Normal 4 2 4 2 3 3 3" xfId="10214" xr:uid="{00000000-0005-0000-0000-0000E5270000}"/>
    <cellStyle name="Normal 4 2 4 2 3 4" xfId="10215" xr:uid="{00000000-0005-0000-0000-0000E6270000}"/>
    <cellStyle name="Normal 4 2 4 2 3 5" xfId="10216" xr:uid="{00000000-0005-0000-0000-0000E7270000}"/>
    <cellStyle name="Normal 4 2 4 2 4" xfId="10217" xr:uid="{00000000-0005-0000-0000-0000E8270000}"/>
    <cellStyle name="Normal 4 2 4 2 4 2" xfId="10218" xr:uid="{00000000-0005-0000-0000-0000E9270000}"/>
    <cellStyle name="Normal 4 2 4 2 4 2 2" xfId="10219" xr:uid="{00000000-0005-0000-0000-0000EA270000}"/>
    <cellStyle name="Normal 4 2 4 2 4 2 3" xfId="10220" xr:uid="{00000000-0005-0000-0000-0000EB270000}"/>
    <cellStyle name="Normal 4 2 4 2 4 3" xfId="10221" xr:uid="{00000000-0005-0000-0000-0000EC270000}"/>
    <cellStyle name="Normal 4 2 4 2 4 3 2" xfId="10222" xr:uid="{00000000-0005-0000-0000-0000ED270000}"/>
    <cellStyle name="Normal 4 2 4 2 4 3 3" xfId="10223" xr:uid="{00000000-0005-0000-0000-0000EE270000}"/>
    <cellStyle name="Normal 4 2 4 2 4 4" xfId="10224" xr:uid="{00000000-0005-0000-0000-0000EF270000}"/>
    <cellStyle name="Normal 4 2 4 2 4 5" xfId="10225" xr:uid="{00000000-0005-0000-0000-0000F0270000}"/>
    <cellStyle name="Normal 4 2 4 2 5" xfId="10226" xr:uid="{00000000-0005-0000-0000-0000F1270000}"/>
    <cellStyle name="Normal 4 2 4 2 5 2" xfId="10227" xr:uid="{00000000-0005-0000-0000-0000F2270000}"/>
    <cellStyle name="Normal 4 2 4 2 5 3" xfId="10228" xr:uid="{00000000-0005-0000-0000-0000F3270000}"/>
    <cellStyle name="Normal 4 2 4 2 6" xfId="10229" xr:uid="{00000000-0005-0000-0000-0000F4270000}"/>
    <cellStyle name="Normal 4 2 4 2 6 2" xfId="10230" xr:uid="{00000000-0005-0000-0000-0000F5270000}"/>
    <cellStyle name="Normal 4 2 4 2 6 3" xfId="10231" xr:uid="{00000000-0005-0000-0000-0000F6270000}"/>
    <cellStyle name="Normal 4 2 4 2 7" xfId="10232" xr:uid="{00000000-0005-0000-0000-0000F7270000}"/>
    <cellStyle name="Normal 4 2 4 2 7 2" xfId="10233" xr:uid="{00000000-0005-0000-0000-0000F8270000}"/>
    <cellStyle name="Normal 4 2 4 2 7 3" xfId="10234" xr:uid="{00000000-0005-0000-0000-0000F9270000}"/>
    <cellStyle name="Normal 4 2 4 2 8" xfId="10235" xr:uid="{00000000-0005-0000-0000-0000FA270000}"/>
    <cellStyle name="Normal 4 2 4 2 9" xfId="10236" xr:uid="{00000000-0005-0000-0000-0000FB270000}"/>
    <cellStyle name="Normal 4 2 4 3" xfId="10237" xr:uid="{00000000-0005-0000-0000-0000FC270000}"/>
    <cellStyle name="Normal 4 2 4 3 2" xfId="10238" xr:uid="{00000000-0005-0000-0000-0000FD270000}"/>
    <cellStyle name="Normal 4 2 4 3 2 2" xfId="10239" xr:uid="{00000000-0005-0000-0000-0000FE270000}"/>
    <cellStyle name="Normal 4 2 4 3 2 2 2" xfId="10240" xr:uid="{00000000-0005-0000-0000-0000FF270000}"/>
    <cellStyle name="Normal 4 2 4 3 2 2 3" xfId="10241" xr:uid="{00000000-0005-0000-0000-000000280000}"/>
    <cellStyle name="Normal 4 2 4 3 2 3" xfId="10242" xr:uid="{00000000-0005-0000-0000-000001280000}"/>
    <cellStyle name="Normal 4 2 4 3 2 3 2" xfId="10243" xr:uid="{00000000-0005-0000-0000-000002280000}"/>
    <cellStyle name="Normal 4 2 4 3 2 3 3" xfId="10244" xr:uid="{00000000-0005-0000-0000-000003280000}"/>
    <cellStyle name="Normal 4 2 4 3 2 4" xfId="10245" xr:uid="{00000000-0005-0000-0000-000004280000}"/>
    <cellStyle name="Normal 4 2 4 3 2 5" xfId="10246" xr:uid="{00000000-0005-0000-0000-000005280000}"/>
    <cellStyle name="Normal 4 2 4 3 3" xfId="10247" xr:uid="{00000000-0005-0000-0000-000006280000}"/>
    <cellStyle name="Normal 4 2 4 3 3 2" xfId="10248" xr:uid="{00000000-0005-0000-0000-000007280000}"/>
    <cellStyle name="Normal 4 2 4 3 3 2 2" xfId="10249" xr:uid="{00000000-0005-0000-0000-000008280000}"/>
    <cellStyle name="Normal 4 2 4 3 3 2 3" xfId="10250" xr:uid="{00000000-0005-0000-0000-000009280000}"/>
    <cellStyle name="Normal 4 2 4 3 3 3" xfId="10251" xr:uid="{00000000-0005-0000-0000-00000A280000}"/>
    <cellStyle name="Normal 4 2 4 3 3 3 2" xfId="10252" xr:uid="{00000000-0005-0000-0000-00000B280000}"/>
    <cellStyle name="Normal 4 2 4 3 3 3 3" xfId="10253" xr:uid="{00000000-0005-0000-0000-00000C280000}"/>
    <cellStyle name="Normal 4 2 4 3 3 4" xfId="10254" xr:uid="{00000000-0005-0000-0000-00000D280000}"/>
    <cellStyle name="Normal 4 2 4 3 3 5" xfId="10255" xr:uid="{00000000-0005-0000-0000-00000E280000}"/>
    <cellStyle name="Normal 4 2 4 3 4" xfId="10256" xr:uid="{00000000-0005-0000-0000-00000F280000}"/>
    <cellStyle name="Normal 4 2 4 3 4 2" xfId="10257" xr:uid="{00000000-0005-0000-0000-000010280000}"/>
    <cellStyle name="Normal 4 2 4 3 4 3" xfId="10258" xr:uid="{00000000-0005-0000-0000-000011280000}"/>
    <cellStyle name="Normal 4 2 4 3 5" xfId="10259" xr:uid="{00000000-0005-0000-0000-000012280000}"/>
    <cellStyle name="Normal 4 2 4 3 5 2" xfId="10260" xr:uid="{00000000-0005-0000-0000-000013280000}"/>
    <cellStyle name="Normal 4 2 4 3 5 3" xfId="10261" xr:uid="{00000000-0005-0000-0000-000014280000}"/>
    <cellStyle name="Normal 4 2 4 3 6" xfId="10262" xr:uid="{00000000-0005-0000-0000-000015280000}"/>
    <cellStyle name="Normal 4 2 4 3 7" xfId="10263" xr:uid="{00000000-0005-0000-0000-000016280000}"/>
    <cellStyle name="Normal 4 2 4 4" xfId="10264" xr:uid="{00000000-0005-0000-0000-000017280000}"/>
    <cellStyle name="Normal 4 2 4 4 2" xfId="10265" xr:uid="{00000000-0005-0000-0000-000018280000}"/>
    <cellStyle name="Normal 4 2 4 4 2 2" xfId="10266" xr:uid="{00000000-0005-0000-0000-000019280000}"/>
    <cellStyle name="Normal 4 2 4 4 2 2 2" xfId="10267" xr:uid="{00000000-0005-0000-0000-00001A280000}"/>
    <cellStyle name="Normal 4 2 4 4 2 2 3" xfId="10268" xr:uid="{00000000-0005-0000-0000-00001B280000}"/>
    <cellStyle name="Normal 4 2 4 4 2 3" xfId="10269" xr:uid="{00000000-0005-0000-0000-00001C280000}"/>
    <cellStyle name="Normal 4 2 4 4 2 3 2" xfId="10270" xr:uid="{00000000-0005-0000-0000-00001D280000}"/>
    <cellStyle name="Normal 4 2 4 4 2 3 3" xfId="10271" xr:uid="{00000000-0005-0000-0000-00001E280000}"/>
    <cellStyle name="Normal 4 2 4 4 2 4" xfId="10272" xr:uid="{00000000-0005-0000-0000-00001F280000}"/>
    <cellStyle name="Normal 4 2 4 4 2 5" xfId="10273" xr:uid="{00000000-0005-0000-0000-000020280000}"/>
    <cellStyle name="Normal 4 2 4 4 3" xfId="10274" xr:uid="{00000000-0005-0000-0000-000021280000}"/>
    <cellStyle name="Normal 4 2 4 4 3 2" xfId="10275" xr:uid="{00000000-0005-0000-0000-000022280000}"/>
    <cellStyle name="Normal 4 2 4 4 3 2 2" xfId="10276" xr:uid="{00000000-0005-0000-0000-000023280000}"/>
    <cellStyle name="Normal 4 2 4 4 3 2 3" xfId="10277" xr:uid="{00000000-0005-0000-0000-000024280000}"/>
    <cellStyle name="Normal 4 2 4 4 3 3" xfId="10278" xr:uid="{00000000-0005-0000-0000-000025280000}"/>
    <cellStyle name="Normal 4 2 4 4 3 4" xfId="10279" xr:uid="{00000000-0005-0000-0000-000026280000}"/>
    <cellStyle name="Normal 4 2 4 4 4" xfId="10280" xr:uid="{00000000-0005-0000-0000-000027280000}"/>
    <cellStyle name="Normal 4 2 4 4 4 2" xfId="10281" xr:uid="{00000000-0005-0000-0000-000028280000}"/>
    <cellStyle name="Normal 4 2 4 4 4 3" xfId="10282" xr:uid="{00000000-0005-0000-0000-000029280000}"/>
    <cellStyle name="Normal 4 2 4 4 5" xfId="10283" xr:uid="{00000000-0005-0000-0000-00002A280000}"/>
    <cellStyle name="Normal 4 2 4 4 5 2" xfId="10284" xr:uid="{00000000-0005-0000-0000-00002B280000}"/>
    <cellStyle name="Normal 4 2 4 4 5 3" xfId="10285" xr:uid="{00000000-0005-0000-0000-00002C280000}"/>
    <cellStyle name="Normal 4 2 4 4 6" xfId="10286" xr:uid="{00000000-0005-0000-0000-00002D280000}"/>
    <cellStyle name="Normal 4 2 4 4 7" xfId="10287" xr:uid="{00000000-0005-0000-0000-00002E280000}"/>
    <cellStyle name="Normal 4 2 4 5" xfId="10288" xr:uid="{00000000-0005-0000-0000-00002F280000}"/>
    <cellStyle name="Normal 4 2 4 5 2" xfId="10289" xr:uid="{00000000-0005-0000-0000-000030280000}"/>
    <cellStyle name="Normal 4 2 4 5 2 2" xfId="10290" xr:uid="{00000000-0005-0000-0000-000031280000}"/>
    <cellStyle name="Normal 4 2 4 5 2 3" xfId="10291" xr:uid="{00000000-0005-0000-0000-000032280000}"/>
    <cellStyle name="Normal 4 2 4 5 3" xfId="10292" xr:uid="{00000000-0005-0000-0000-000033280000}"/>
    <cellStyle name="Normal 4 2 4 5 3 2" xfId="10293" xr:uid="{00000000-0005-0000-0000-000034280000}"/>
    <cellStyle name="Normal 4 2 4 5 3 3" xfId="10294" xr:uid="{00000000-0005-0000-0000-000035280000}"/>
    <cellStyle name="Normal 4 2 4 5 4" xfId="10295" xr:uid="{00000000-0005-0000-0000-000036280000}"/>
    <cellStyle name="Normal 4 2 4 5 5" xfId="10296" xr:uid="{00000000-0005-0000-0000-000037280000}"/>
    <cellStyle name="Normal 4 2 4 6" xfId="10297" xr:uid="{00000000-0005-0000-0000-000038280000}"/>
    <cellStyle name="Normal 4 2 4 6 2" xfId="10298" xr:uid="{00000000-0005-0000-0000-000039280000}"/>
    <cellStyle name="Normal 4 2 4 6 2 2" xfId="10299" xr:uid="{00000000-0005-0000-0000-00003A280000}"/>
    <cellStyle name="Normal 4 2 4 6 2 3" xfId="10300" xr:uid="{00000000-0005-0000-0000-00003B280000}"/>
    <cellStyle name="Normal 4 2 4 6 3" xfId="10301" xr:uid="{00000000-0005-0000-0000-00003C280000}"/>
    <cellStyle name="Normal 4 2 4 6 3 2" xfId="10302" xr:uid="{00000000-0005-0000-0000-00003D280000}"/>
    <cellStyle name="Normal 4 2 4 6 3 3" xfId="10303" xr:uid="{00000000-0005-0000-0000-00003E280000}"/>
    <cellStyle name="Normal 4 2 4 6 4" xfId="10304" xr:uid="{00000000-0005-0000-0000-00003F280000}"/>
    <cellStyle name="Normal 4 2 4 6 5" xfId="10305" xr:uid="{00000000-0005-0000-0000-000040280000}"/>
    <cellStyle name="Normal 4 2 4 7" xfId="10306" xr:uid="{00000000-0005-0000-0000-000041280000}"/>
    <cellStyle name="Normal 4 2 4 7 2" xfId="10307" xr:uid="{00000000-0005-0000-0000-000042280000}"/>
    <cellStyle name="Normal 4 2 4 7 2 2" xfId="10308" xr:uid="{00000000-0005-0000-0000-000043280000}"/>
    <cellStyle name="Normal 4 2 4 7 2 3" xfId="10309" xr:uid="{00000000-0005-0000-0000-000044280000}"/>
    <cellStyle name="Normal 4 2 4 7 3" xfId="10310" xr:uid="{00000000-0005-0000-0000-000045280000}"/>
    <cellStyle name="Normal 4 2 4 7 4" xfId="10311" xr:uid="{00000000-0005-0000-0000-000046280000}"/>
    <cellStyle name="Normal 4 2 4 8" xfId="10312" xr:uid="{00000000-0005-0000-0000-000047280000}"/>
    <cellStyle name="Normal 4 2 4 8 2" xfId="10313" xr:uid="{00000000-0005-0000-0000-000048280000}"/>
    <cellStyle name="Normal 4 2 4 8 3" xfId="10314" xr:uid="{00000000-0005-0000-0000-000049280000}"/>
    <cellStyle name="Normal 4 2 4 9" xfId="10315" xr:uid="{00000000-0005-0000-0000-00004A280000}"/>
    <cellStyle name="Normal 4 2 4 9 2" xfId="10316" xr:uid="{00000000-0005-0000-0000-00004B280000}"/>
    <cellStyle name="Normal 4 2 4 9 3" xfId="10317" xr:uid="{00000000-0005-0000-0000-00004C280000}"/>
    <cellStyle name="Normal 4 2 5" xfId="10318" xr:uid="{00000000-0005-0000-0000-00004D280000}"/>
    <cellStyle name="Normal 4 2 5 10" xfId="10319" xr:uid="{00000000-0005-0000-0000-00004E280000}"/>
    <cellStyle name="Normal 4 2 5 10 2" xfId="10320" xr:uid="{00000000-0005-0000-0000-00004F280000}"/>
    <cellStyle name="Normal 4 2 5 10 3" xfId="10321" xr:uid="{00000000-0005-0000-0000-000050280000}"/>
    <cellStyle name="Normal 4 2 5 11" xfId="10322" xr:uid="{00000000-0005-0000-0000-000051280000}"/>
    <cellStyle name="Normal 4 2 5 11 2" xfId="10323" xr:uid="{00000000-0005-0000-0000-000052280000}"/>
    <cellStyle name="Normal 4 2 5 11 3" xfId="10324" xr:uid="{00000000-0005-0000-0000-000053280000}"/>
    <cellStyle name="Normal 4 2 5 12" xfId="10325" xr:uid="{00000000-0005-0000-0000-000054280000}"/>
    <cellStyle name="Normal 4 2 5 13" xfId="10326" xr:uid="{00000000-0005-0000-0000-000055280000}"/>
    <cellStyle name="Normal 4 2 5 2" xfId="10327" xr:uid="{00000000-0005-0000-0000-000056280000}"/>
    <cellStyle name="Normal 4 2 5 2 2" xfId="10328" xr:uid="{00000000-0005-0000-0000-000057280000}"/>
    <cellStyle name="Normal 4 2 5 2 2 2" xfId="10329" xr:uid="{00000000-0005-0000-0000-000058280000}"/>
    <cellStyle name="Normal 4 2 5 2 2 2 2" xfId="10330" xr:uid="{00000000-0005-0000-0000-000059280000}"/>
    <cellStyle name="Normal 4 2 5 2 2 2 2 2" xfId="10331" xr:uid="{00000000-0005-0000-0000-00005A280000}"/>
    <cellStyle name="Normal 4 2 5 2 2 2 2 3" xfId="10332" xr:uid="{00000000-0005-0000-0000-00005B280000}"/>
    <cellStyle name="Normal 4 2 5 2 2 2 3" xfId="10333" xr:uid="{00000000-0005-0000-0000-00005C280000}"/>
    <cellStyle name="Normal 4 2 5 2 2 2 3 2" xfId="10334" xr:uid="{00000000-0005-0000-0000-00005D280000}"/>
    <cellStyle name="Normal 4 2 5 2 2 2 3 3" xfId="10335" xr:uid="{00000000-0005-0000-0000-00005E280000}"/>
    <cellStyle name="Normal 4 2 5 2 2 2 4" xfId="10336" xr:uid="{00000000-0005-0000-0000-00005F280000}"/>
    <cellStyle name="Normal 4 2 5 2 2 2 5" xfId="10337" xr:uid="{00000000-0005-0000-0000-000060280000}"/>
    <cellStyle name="Normal 4 2 5 2 2 3" xfId="10338" xr:uid="{00000000-0005-0000-0000-000061280000}"/>
    <cellStyle name="Normal 4 2 5 2 2 3 2" xfId="10339" xr:uid="{00000000-0005-0000-0000-000062280000}"/>
    <cellStyle name="Normal 4 2 5 2 2 3 2 2" xfId="10340" xr:uid="{00000000-0005-0000-0000-000063280000}"/>
    <cellStyle name="Normal 4 2 5 2 2 3 2 3" xfId="10341" xr:uid="{00000000-0005-0000-0000-000064280000}"/>
    <cellStyle name="Normal 4 2 5 2 2 3 3" xfId="10342" xr:uid="{00000000-0005-0000-0000-000065280000}"/>
    <cellStyle name="Normal 4 2 5 2 2 3 3 2" xfId="10343" xr:uid="{00000000-0005-0000-0000-000066280000}"/>
    <cellStyle name="Normal 4 2 5 2 2 3 3 3" xfId="10344" xr:uid="{00000000-0005-0000-0000-000067280000}"/>
    <cellStyle name="Normal 4 2 5 2 2 3 4" xfId="10345" xr:uid="{00000000-0005-0000-0000-000068280000}"/>
    <cellStyle name="Normal 4 2 5 2 2 3 5" xfId="10346" xr:uid="{00000000-0005-0000-0000-000069280000}"/>
    <cellStyle name="Normal 4 2 5 2 2 4" xfId="10347" xr:uid="{00000000-0005-0000-0000-00006A280000}"/>
    <cellStyle name="Normal 4 2 5 2 2 4 2" xfId="10348" xr:uid="{00000000-0005-0000-0000-00006B280000}"/>
    <cellStyle name="Normal 4 2 5 2 2 4 3" xfId="10349" xr:uid="{00000000-0005-0000-0000-00006C280000}"/>
    <cellStyle name="Normal 4 2 5 2 2 5" xfId="10350" xr:uid="{00000000-0005-0000-0000-00006D280000}"/>
    <cellStyle name="Normal 4 2 5 2 2 5 2" xfId="10351" xr:uid="{00000000-0005-0000-0000-00006E280000}"/>
    <cellStyle name="Normal 4 2 5 2 2 5 3" xfId="10352" xr:uid="{00000000-0005-0000-0000-00006F280000}"/>
    <cellStyle name="Normal 4 2 5 2 2 6" xfId="10353" xr:uid="{00000000-0005-0000-0000-000070280000}"/>
    <cellStyle name="Normal 4 2 5 2 2 7" xfId="10354" xr:uid="{00000000-0005-0000-0000-000071280000}"/>
    <cellStyle name="Normal 4 2 5 2 3" xfId="10355" xr:uid="{00000000-0005-0000-0000-000072280000}"/>
    <cellStyle name="Normal 4 2 5 2 3 2" xfId="10356" xr:uid="{00000000-0005-0000-0000-000073280000}"/>
    <cellStyle name="Normal 4 2 5 2 3 2 2" xfId="10357" xr:uid="{00000000-0005-0000-0000-000074280000}"/>
    <cellStyle name="Normal 4 2 5 2 3 2 3" xfId="10358" xr:uid="{00000000-0005-0000-0000-000075280000}"/>
    <cellStyle name="Normal 4 2 5 2 3 3" xfId="10359" xr:uid="{00000000-0005-0000-0000-000076280000}"/>
    <cellStyle name="Normal 4 2 5 2 3 3 2" xfId="10360" xr:uid="{00000000-0005-0000-0000-000077280000}"/>
    <cellStyle name="Normal 4 2 5 2 3 3 3" xfId="10361" xr:uid="{00000000-0005-0000-0000-000078280000}"/>
    <cellStyle name="Normal 4 2 5 2 3 4" xfId="10362" xr:uid="{00000000-0005-0000-0000-000079280000}"/>
    <cellStyle name="Normal 4 2 5 2 3 5" xfId="10363" xr:uid="{00000000-0005-0000-0000-00007A280000}"/>
    <cellStyle name="Normal 4 2 5 2 4" xfId="10364" xr:uid="{00000000-0005-0000-0000-00007B280000}"/>
    <cellStyle name="Normal 4 2 5 2 4 2" xfId="10365" xr:uid="{00000000-0005-0000-0000-00007C280000}"/>
    <cellStyle name="Normal 4 2 5 2 4 2 2" xfId="10366" xr:uid="{00000000-0005-0000-0000-00007D280000}"/>
    <cellStyle name="Normal 4 2 5 2 4 2 3" xfId="10367" xr:uid="{00000000-0005-0000-0000-00007E280000}"/>
    <cellStyle name="Normal 4 2 5 2 4 3" xfId="10368" xr:uid="{00000000-0005-0000-0000-00007F280000}"/>
    <cellStyle name="Normal 4 2 5 2 4 3 2" xfId="10369" xr:uid="{00000000-0005-0000-0000-000080280000}"/>
    <cellStyle name="Normal 4 2 5 2 4 3 3" xfId="10370" xr:uid="{00000000-0005-0000-0000-000081280000}"/>
    <cellStyle name="Normal 4 2 5 2 4 4" xfId="10371" xr:uid="{00000000-0005-0000-0000-000082280000}"/>
    <cellStyle name="Normal 4 2 5 2 4 5" xfId="10372" xr:uid="{00000000-0005-0000-0000-000083280000}"/>
    <cellStyle name="Normal 4 2 5 2 5" xfId="10373" xr:uid="{00000000-0005-0000-0000-000084280000}"/>
    <cellStyle name="Normal 4 2 5 2 5 2" xfId="10374" xr:uid="{00000000-0005-0000-0000-000085280000}"/>
    <cellStyle name="Normal 4 2 5 2 5 3" xfId="10375" xr:uid="{00000000-0005-0000-0000-000086280000}"/>
    <cellStyle name="Normal 4 2 5 2 6" xfId="10376" xr:uid="{00000000-0005-0000-0000-000087280000}"/>
    <cellStyle name="Normal 4 2 5 2 6 2" xfId="10377" xr:uid="{00000000-0005-0000-0000-000088280000}"/>
    <cellStyle name="Normal 4 2 5 2 6 3" xfId="10378" xr:uid="{00000000-0005-0000-0000-000089280000}"/>
    <cellStyle name="Normal 4 2 5 2 7" xfId="10379" xr:uid="{00000000-0005-0000-0000-00008A280000}"/>
    <cellStyle name="Normal 4 2 5 2 7 2" xfId="10380" xr:uid="{00000000-0005-0000-0000-00008B280000}"/>
    <cellStyle name="Normal 4 2 5 2 7 3" xfId="10381" xr:uid="{00000000-0005-0000-0000-00008C280000}"/>
    <cellStyle name="Normal 4 2 5 2 8" xfId="10382" xr:uid="{00000000-0005-0000-0000-00008D280000}"/>
    <cellStyle name="Normal 4 2 5 2 9" xfId="10383" xr:uid="{00000000-0005-0000-0000-00008E280000}"/>
    <cellStyle name="Normal 4 2 5 3" xfId="10384" xr:uid="{00000000-0005-0000-0000-00008F280000}"/>
    <cellStyle name="Normal 4 2 5 3 2" xfId="10385" xr:uid="{00000000-0005-0000-0000-000090280000}"/>
    <cellStyle name="Normal 4 2 5 3 2 2" xfId="10386" xr:uid="{00000000-0005-0000-0000-000091280000}"/>
    <cellStyle name="Normal 4 2 5 3 2 2 2" xfId="10387" xr:uid="{00000000-0005-0000-0000-000092280000}"/>
    <cellStyle name="Normal 4 2 5 3 2 2 3" xfId="10388" xr:uid="{00000000-0005-0000-0000-000093280000}"/>
    <cellStyle name="Normal 4 2 5 3 2 3" xfId="10389" xr:uid="{00000000-0005-0000-0000-000094280000}"/>
    <cellStyle name="Normal 4 2 5 3 2 3 2" xfId="10390" xr:uid="{00000000-0005-0000-0000-000095280000}"/>
    <cellStyle name="Normal 4 2 5 3 2 3 3" xfId="10391" xr:uid="{00000000-0005-0000-0000-000096280000}"/>
    <cellStyle name="Normal 4 2 5 3 2 4" xfId="10392" xr:uid="{00000000-0005-0000-0000-000097280000}"/>
    <cellStyle name="Normal 4 2 5 3 2 5" xfId="10393" xr:uid="{00000000-0005-0000-0000-000098280000}"/>
    <cellStyle name="Normal 4 2 5 3 3" xfId="10394" xr:uid="{00000000-0005-0000-0000-000099280000}"/>
    <cellStyle name="Normal 4 2 5 3 3 2" xfId="10395" xr:uid="{00000000-0005-0000-0000-00009A280000}"/>
    <cellStyle name="Normal 4 2 5 3 3 2 2" xfId="10396" xr:uid="{00000000-0005-0000-0000-00009B280000}"/>
    <cellStyle name="Normal 4 2 5 3 3 2 3" xfId="10397" xr:uid="{00000000-0005-0000-0000-00009C280000}"/>
    <cellStyle name="Normal 4 2 5 3 3 3" xfId="10398" xr:uid="{00000000-0005-0000-0000-00009D280000}"/>
    <cellStyle name="Normal 4 2 5 3 3 3 2" xfId="10399" xr:uid="{00000000-0005-0000-0000-00009E280000}"/>
    <cellStyle name="Normal 4 2 5 3 3 3 3" xfId="10400" xr:uid="{00000000-0005-0000-0000-00009F280000}"/>
    <cellStyle name="Normal 4 2 5 3 3 4" xfId="10401" xr:uid="{00000000-0005-0000-0000-0000A0280000}"/>
    <cellStyle name="Normal 4 2 5 3 3 5" xfId="10402" xr:uid="{00000000-0005-0000-0000-0000A1280000}"/>
    <cellStyle name="Normal 4 2 5 3 4" xfId="10403" xr:uid="{00000000-0005-0000-0000-0000A2280000}"/>
    <cellStyle name="Normal 4 2 5 3 4 2" xfId="10404" xr:uid="{00000000-0005-0000-0000-0000A3280000}"/>
    <cellStyle name="Normal 4 2 5 3 4 3" xfId="10405" xr:uid="{00000000-0005-0000-0000-0000A4280000}"/>
    <cellStyle name="Normal 4 2 5 3 5" xfId="10406" xr:uid="{00000000-0005-0000-0000-0000A5280000}"/>
    <cellStyle name="Normal 4 2 5 3 5 2" xfId="10407" xr:uid="{00000000-0005-0000-0000-0000A6280000}"/>
    <cellStyle name="Normal 4 2 5 3 5 3" xfId="10408" xr:uid="{00000000-0005-0000-0000-0000A7280000}"/>
    <cellStyle name="Normal 4 2 5 3 6" xfId="10409" xr:uid="{00000000-0005-0000-0000-0000A8280000}"/>
    <cellStyle name="Normal 4 2 5 3 7" xfId="10410" xr:uid="{00000000-0005-0000-0000-0000A9280000}"/>
    <cellStyle name="Normal 4 2 5 4" xfId="10411" xr:uid="{00000000-0005-0000-0000-0000AA280000}"/>
    <cellStyle name="Normal 4 2 5 4 2" xfId="10412" xr:uid="{00000000-0005-0000-0000-0000AB280000}"/>
    <cellStyle name="Normal 4 2 5 4 2 2" xfId="10413" xr:uid="{00000000-0005-0000-0000-0000AC280000}"/>
    <cellStyle name="Normal 4 2 5 4 2 2 2" xfId="10414" xr:uid="{00000000-0005-0000-0000-0000AD280000}"/>
    <cellStyle name="Normal 4 2 5 4 2 2 3" xfId="10415" xr:uid="{00000000-0005-0000-0000-0000AE280000}"/>
    <cellStyle name="Normal 4 2 5 4 2 3" xfId="10416" xr:uid="{00000000-0005-0000-0000-0000AF280000}"/>
    <cellStyle name="Normal 4 2 5 4 2 3 2" xfId="10417" xr:uid="{00000000-0005-0000-0000-0000B0280000}"/>
    <cellStyle name="Normal 4 2 5 4 2 3 3" xfId="10418" xr:uid="{00000000-0005-0000-0000-0000B1280000}"/>
    <cellStyle name="Normal 4 2 5 4 2 4" xfId="10419" xr:uid="{00000000-0005-0000-0000-0000B2280000}"/>
    <cellStyle name="Normal 4 2 5 4 2 5" xfId="10420" xr:uid="{00000000-0005-0000-0000-0000B3280000}"/>
    <cellStyle name="Normal 4 2 5 4 3" xfId="10421" xr:uid="{00000000-0005-0000-0000-0000B4280000}"/>
    <cellStyle name="Normal 4 2 5 4 3 2" xfId="10422" xr:uid="{00000000-0005-0000-0000-0000B5280000}"/>
    <cellStyle name="Normal 4 2 5 4 3 2 2" xfId="10423" xr:uid="{00000000-0005-0000-0000-0000B6280000}"/>
    <cellStyle name="Normal 4 2 5 4 3 2 3" xfId="10424" xr:uid="{00000000-0005-0000-0000-0000B7280000}"/>
    <cellStyle name="Normal 4 2 5 4 3 3" xfId="10425" xr:uid="{00000000-0005-0000-0000-0000B8280000}"/>
    <cellStyle name="Normal 4 2 5 4 3 4" xfId="10426" xr:uid="{00000000-0005-0000-0000-0000B9280000}"/>
    <cellStyle name="Normal 4 2 5 4 4" xfId="10427" xr:uid="{00000000-0005-0000-0000-0000BA280000}"/>
    <cellStyle name="Normal 4 2 5 4 4 2" xfId="10428" xr:uid="{00000000-0005-0000-0000-0000BB280000}"/>
    <cellStyle name="Normal 4 2 5 4 4 3" xfId="10429" xr:uid="{00000000-0005-0000-0000-0000BC280000}"/>
    <cellStyle name="Normal 4 2 5 4 5" xfId="10430" xr:uid="{00000000-0005-0000-0000-0000BD280000}"/>
    <cellStyle name="Normal 4 2 5 4 5 2" xfId="10431" xr:uid="{00000000-0005-0000-0000-0000BE280000}"/>
    <cellStyle name="Normal 4 2 5 4 5 3" xfId="10432" xr:uid="{00000000-0005-0000-0000-0000BF280000}"/>
    <cellStyle name="Normal 4 2 5 4 6" xfId="10433" xr:uid="{00000000-0005-0000-0000-0000C0280000}"/>
    <cellStyle name="Normal 4 2 5 4 7" xfId="10434" xr:uid="{00000000-0005-0000-0000-0000C1280000}"/>
    <cellStyle name="Normal 4 2 5 5" xfId="10435" xr:uid="{00000000-0005-0000-0000-0000C2280000}"/>
    <cellStyle name="Normal 4 2 5 5 2" xfId="10436" xr:uid="{00000000-0005-0000-0000-0000C3280000}"/>
    <cellStyle name="Normal 4 2 5 5 2 2" xfId="10437" xr:uid="{00000000-0005-0000-0000-0000C4280000}"/>
    <cellStyle name="Normal 4 2 5 5 2 3" xfId="10438" xr:uid="{00000000-0005-0000-0000-0000C5280000}"/>
    <cellStyle name="Normal 4 2 5 5 3" xfId="10439" xr:uid="{00000000-0005-0000-0000-0000C6280000}"/>
    <cellStyle name="Normal 4 2 5 5 3 2" xfId="10440" xr:uid="{00000000-0005-0000-0000-0000C7280000}"/>
    <cellStyle name="Normal 4 2 5 5 3 3" xfId="10441" xr:uid="{00000000-0005-0000-0000-0000C8280000}"/>
    <cellStyle name="Normal 4 2 5 5 4" xfId="10442" xr:uid="{00000000-0005-0000-0000-0000C9280000}"/>
    <cellStyle name="Normal 4 2 5 5 5" xfId="10443" xr:uid="{00000000-0005-0000-0000-0000CA280000}"/>
    <cellStyle name="Normal 4 2 5 6" xfId="10444" xr:uid="{00000000-0005-0000-0000-0000CB280000}"/>
    <cellStyle name="Normal 4 2 5 6 2" xfId="10445" xr:uid="{00000000-0005-0000-0000-0000CC280000}"/>
    <cellStyle name="Normal 4 2 5 6 2 2" xfId="10446" xr:uid="{00000000-0005-0000-0000-0000CD280000}"/>
    <cellStyle name="Normal 4 2 5 6 2 3" xfId="10447" xr:uid="{00000000-0005-0000-0000-0000CE280000}"/>
    <cellStyle name="Normal 4 2 5 6 3" xfId="10448" xr:uid="{00000000-0005-0000-0000-0000CF280000}"/>
    <cellStyle name="Normal 4 2 5 6 3 2" xfId="10449" xr:uid="{00000000-0005-0000-0000-0000D0280000}"/>
    <cellStyle name="Normal 4 2 5 6 3 3" xfId="10450" xr:uid="{00000000-0005-0000-0000-0000D1280000}"/>
    <cellStyle name="Normal 4 2 5 6 4" xfId="10451" xr:uid="{00000000-0005-0000-0000-0000D2280000}"/>
    <cellStyle name="Normal 4 2 5 6 5" xfId="10452" xr:uid="{00000000-0005-0000-0000-0000D3280000}"/>
    <cellStyle name="Normal 4 2 5 7" xfId="10453" xr:uid="{00000000-0005-0000-0000-0000D4280000}"/>
    <cellStyle name="Normal 4 2 5 7 2" xfId="10454" xr:uid="{00000000-0005-0000-0000-0000D5280000}"/>
    <cellStyle name="Normal 4 2 5 7 2 2" xfId="10455" xr:uid="{00000000-0005-0000-0000-0000D6280000}"/>
    <cellStyle name="Normal 4 2 5 7 2 3" xfId="10456" xr:uid="{00000000-0005-0000-0000-0000D7280000}"/>
    <cellStyle name="Normal 4 2 5 7 3" xfId="10457" xr:uid="{00000000-0005-0000-0000-0000D8280000}"/>
    <cellStyle name="Normal 4 2 5 7 4" xfId="10458" xr:uid="{00000000-0005-0000-0000-0000D9280000}"/>
    <cellStyle name="Normal 4 2 5 8" xfId="10459" xr:uid="{00000000-0005-0000-0000-0000DA280000}"/>
    <cellStyle name="Normal 4 2 5 8 2" xfId="10460" xr:uid="{00000000-0005-0000-0000-0000DB280000}"/>
    <cellStyle name="Normal 4 2 5 8 3" xfId="10461" xr:uid="{00000000-0005-0000-0000-0000DC280000}"/>
    <cellStyle name="Normal 4 2 5 9" xfId="10462" xr:uid="{00000000-0005-0000-0000-0000DD280000}"/>
    <cellStyle name="Normal 4 2 5 9 2" xfId="10463" xr:uid="{00000000-0005-0000-0000-0000DE280000}"/>
    <cellStyle name="Normal 4 2 5 9 3" xfId="10464" xr:uid="{00000000-0005-0000-0000-0000DF280000}"/>
    <cellStyle name="Normal 4 2 6" xfId="10465" xr:uid="{00000000-0005-0000-0000-0000E0280000}"/>
    <cellStyle name="Normal 4 2 6 10" xfId="10466" xr:uid="{00000000-0005-0000-0000-0000E1280000}"/>
    <cellStyle name="Normal 4 2 6 10 2" xfId="10467" xr:uid="{00000000-0005-0000-0000-0000E2280000}"/>
    <cellStyle name="Normal 4 2 6 10 3" xfId="10468" xr:uid="{00000000-0005-0000-0000-0000E3280000}"/>
    <cellStyle name="Normal 4 2 6 11" xfId="10469" xr:uid="{00000000-0005-0000-0000-0000E4280000}"/>
    <cellStyle name="Normal 4 2 6 11 2" xfId="10470" xr:uid="{00000000-0005-0000-0000-0000E5280000}"/>
    <cellStyle name="Normal 4 2 6 11 3" xfId="10471" xr:uid="{00000000-0005-0000-0000-0000E6280000}"/>
    <cellStyle name="Normal 4 2 6 12" xfId="10472" xr:uid="{00000000-0005-0000-0000-0000E7280000}"/>
    <cellStyle name="Normal 4 2 6 13" xfId="10473" xr:uid="{00000000-0005-0000-0000-0000E8280000}"/>
    <cellStyle name="Normal 4 2 6 2" xfId="10474" xr:uid="{00000000-0005-0000-0000-0000E9280000}"/>
    <cellStyle name="Normal 4 2 6 2 2" xfId="10475" xr:uid="{00000000-0005-0000-0000-0000EA280000}"/>
    <cellStyle name="Normal 4 2 6 2 2 2" xfId="10476" xr:uid="{00000000-0005-0000-0000-0000EB280000}"/>
    <cellStyle name="Normal 4 2 6 2 2 2 2" xfId="10477" xr:uid="{00000000-0005-0000-0000-0000EC280000}"/>
    <cellStyle name="Normal 4 2 6 2 2 2 2 2" xfId="10478" xr:uid="{00000000-0005-0000-0000-0000ED280000}"/>
    <cellStyle name="Normal 4 2 6 2 2 2 2 3" xfId="10479" xr:uid="{00000000-0005-0000-0000-0000EE280000}"/>
    <cellStyle name="Normal 4 2 6 2 2 2 3" xfId="10480" xr:uid="{00000000-0005-0000-0000-0000EF280000}"/>
    <cellStyle name="Normal 4 2 6 2 2 2 3 2" xfId="10481" xr:uid="{00000000-0005-0000-0000-0000F0280000}"/>
    <cellStyle name="Normal 4 2 6 2 2 2 3 3" xfId="10482" xr:uid="{00000000-0005-0000-0000-0000F1280000}"/>
    <cellStyle name="Normal 4 2 6 2 2 2 4" xfId="10483" xr:uid="{00000000-0005-0000-0000-0000F2280000}"/>
    <cellStyle name="Normal 4 2 6 2 2 2 5" xfId="10484" xr:uid="{00000000-0005-0000-0000-0000F3280000}"/>
    <cellStyle name="Normal 4 2 6 2 2 3" xfId="10485" xr:uid="{00000000-0005-0000-0000-0000F4280000}"/>
    <cellStyle name="Normal 4 2 6 2 2 3 2" xfId="10486" xr:uid="{00000000-0005-0000-0000-0000F5280000}"/>
    <cellStyle name="Normal 4 2 6 2 2 3 2 2" xfId="10487" xr:uid="{00000000-0005-0000-0000-0000F6280000}"/>
    <cellStyle name="Normal 4 2 6 2 2 3 2 3" xfId="10488" xr:uid="{00000000-0005-0000-0000-0000F7280000}"/>
    <cellStyle name="Normal 4 2 6 2 2 3 3" xfId="10489" xr:uid="{00000000-0005-0000-0000-0000F8280000}"/>
    <cellStyle name="Normal 4 2 6 2 2 3 3 2" xfId="10490" xr:uid="{00000000-0005-0000-0000-0000F9280000}"/>
    <cellStyle name="Normal 4 2 6 2 2 3 3 3" xfId="10491" xr:uid="{00000000-0005-0000-0000-0000FA280000}"/>
    <cellStyle name="Normal 4 2 6 2 2 3 4" xfId="10492" xr:uid="{00000000-0005-0000-0000-0000FB280000}"/>
    <cellStyle name="Normal 4 2 6 2 2 3 5" xfId="10493" xr:uid="{00000000-0005-0000-0000-0000FC280000}"/>
    <cellStyle name="Normal 4 2 6 2 2 4" xfId="10494" xr:uid="{00000000-0005-0000-0000-0000FD280000}"/>
    <cellStyle name="Normal 4 2 6 2 2 4 2" xfId="10495" xr:uid="{00000000-0005-0000-0000-0000FE280000}"/>
    <cellStyle name="Normal 4 2 6 2 2 4 3" xfId="10496" xr:uid="{00000000-0005-0000-0000-0000FF280000}"/>
    <cellStyle name="Normal 4 2 6 2 2 5" xfId="10497" xr:uid="{00000000-0005-0000-0000-000000290000}"/>
    <cellStyle name="Normal 4 2 6 2 2 5 2" xfId="10498" xr:uid="{00000000-0005-0000-0000-000001290000}"/>
    <cellStyle name="Normal 4 2 6 2 2 5 3" xfId="10499" xr:uid="{00000000-0005-0000-0000-000002290000}"/>
    <cellStyle name="Normal 4 2 6 2 2 6" xfId="10500" xr:uid="{00000000-0005-0000-0000-000003290000}"/>
    <cellStyle name="Normal 4 2 6 2 2 7" xfId="10501" xr:uid="{00000000-0005-0000-0000-000004290000}"/>
    <cellStyle name="Normal 4 2 6 2 3" xfId="10502" xr:uid="{00000000-0005-0000-0000-000005290000}"/>
    <cellStyle name="Normal 4 2 6 2 3 2" xfId="10503" xr:uid="{00000000-0005-0000-0000-000006290000}"/>
    <cellStyle name="Normal 4 2 6 2 3 2 2" xfId="10504" xr:uid="{00000000-0005-0000-0000-000007290000}"/>
    <cellStyle name="Normal 4 2 6 2 3 2 3" xfId="10505" xr:uid="{00000000-0005-0000-0000-000008290000}"/>
    <cellStyle name="Normal 4 2 6 2 3 3" xfId="10506" xr:uid="{00000000-0005-0000-0000-000009290000}"/>
    <cellStyle name="Normal 4 2 6 2 3 3 2" xfId="10507" xr:uid="{00000000-0005-0000-0000-00000A290000}"/>
    <cellStyle name="Normal 4 2 6 2 3 3 3" xfId="10508" xr:uid="{00000000-0005-0000-0000-00000B290000}"/>
    <cellStyle name="Normal 4 2 6 2 3 4" xfId="10509" xr:uid="{00000000-0005-0000-0000-00000C290000}"/>
    <cellStyle name="Normal 4 2 6 2 3 5" xfId="10510" xr:uid="{00000000-0005-0000-0000-00000D290000}"/>
    <cellStyle name="Normal 4 2 6 2 4" xfId="10511" xr:uid="{00000000-0005-0000-0000-00000E290000}"/>
    <cellStyle name="Normal 4 2 6 2 4 2" xfId="10512" xr:uid="{00000000-0005-0000-0000-00000F290000}"/>
    <cellStyle name="Normal 4 2 6 2 4 2 2" xfId="10513" xr:uid="{00000000-0005-0000-0000-000010290000}"/>
    <cellStyle name="Normal 4 2 6 2 4 2 3" xfId="10514" xr:uid="{00000000-0005-0000-0000-000011290000}"/>
    <cellStyle name="Normal 4 2 6 2 4 3" xfId="10515" xr:uid="{00000000-0005-0000-0000-000012290000}"/>
    <cellStyle name="Normal 4 2 6 2 4 3 2" xfId="10516" xr:uid="{00000000-0005-0000-0000-000013290000}"/>
    <cellStyle name="Normal 4 2 6 2 4 3 3" xfId="10517" xr:uid="{00000000-0005-0000-0000-000014290000}"/>
    <cellStyle name="Normal 4 2 6 2 4 4" xfId="10518" xr:uid="{00000000-0005-0000-0000-000015290000}"/>
    <cellStyle name="Normal 4 2 6 2 4 5" xfId="10519" xr:uid="{00000000-0005-0000-0000-000016290000}"/>
    <cellStyle name="Normal 4 2 6 2 5" xfId="10520" xr:uid="{00000000-0005-0000-0000-000017290000}"/>
    <cellStyle name="Normal 4 2 6 2 5 2" xfId="10521" xr:uid="{00000000-0005-0000-0000-000018290000}"/>
    <cellStyle name="Normal 4 2 6 2 5 3" xfId="10522" xr:uid="{00000000-0005-0000-0000-000019290000}"/>
    <cellStyle name="Normal 4 2 6 2 6" xfId="10523" xr:uid="{00000000-0005-0000-0000-00001A290000}"/>
    <cellStyle name="Normal 4 2 6 2 6 2" xfId="10524" xr:uid="{00000000-0005-0000-0000-00001B290000}"/>
    <cellStyle name="Normal 4 2 6 2 6 3" xfId="10525" xr:uid="{00000000-0005-0000-0000-00001C290000}"/>
    <cellStyle name="Normal 4 2 6 2 7" xfId="10526" xr:uid="{00000000-0005-0000-0000-00001D290000}"/>
    <cellStyle name="Normal 4 2 6 2 7 2" xfId="10527" xr:uid="{00000000-0005-0000-0000-00001E290000}"/>
    <cellStyle name="Normal 4 2 6 2 7 3" xfId="10528" xr:uid="{00000000-0005-0000-0000-00001F290000}"/>
    <cellStyle name="Normal 4 2 6 2 8" xfId="10529" xr:uid="{00000000-0005-0000-0000-000020290000}"/>
    <cellStyle name="Normal 4 2 6 2 9" xfId="10530" xr:uid="{00000000-0005-0000-0000-000021290000}"/>
    <cellStyle name="Normal 4 2 6 3" xfId="10531" xr:uid="{00000000-0005-0000-0000-000022290000}"/>
    <cellStyle name="Normal 4 2 6 3 2" xfId="10532" xr:uid="{00000000-0005-0000-0000-000023290000}"/>
    <cellStyle name="Normal 4 2 6 3 2 2" xfId="10533" xr:uid="{00000000-0005-0000-0000-000024290000}"/>
    <cellStyle name="Normal 4 2 6 3 2 2 2" xfId="10534" xr:uid="{00000000-0005-0000-0000-000025290000}"/>
    <cellStyle name="Normal 4 2 6 3 2 2 3" xfId="10535" xr:uid="{00000000-0005-0000-0000-000026290000}"/>
    <cellStyle name="Normal 4 2 6 3 2 3" xfId="10536" xr:uid="{00000000-0005-0000-0000-000027290000}"/>
    <cellStyle name="Normal 4 2 6 3 2 3 2" xfId="10537" xr:uid="{00000000-0005-0000-0000-000028290000}"/>
    <cellStyle name="Normal 4 2 6 3 2 3 3" xfId="10538" xr:uid="{00000000-0005-0000-0000-000029290000}"/>
    <cellStyle name="Normal 4 2 6 3 2 4" xfId="10539" xr:uid="{00000000-0005-0000-0000-00002A290000}"/>
    <cellStyle name="Normal 4 2 6 3 2 5" xfId="10540" xr:uid="{00000000-0005-0000-0000-00002B290000}"/>
    <cellStyle name="Normal 4 2 6 3 3" xfId="10541" xr:uid="{00000000-0005-0000-0000-00002C290000}"/>
    <cellStyle name="Normal 4 2 6 3 3 2" xfId="10542" xr:uid="{00000000-0005-0000-0000-00002D290000}"/>
    <cellStyle name="Normal 4 2 6 3 3 2 2" xfId="10543" xr:uid="{00000000-0005-0000-0000-00002E290000}"/>
    <cellStyle name="Normal 4 2 6 3 3 2 3" xfId="10544" xr:uid="{00000000-0005-0000-0000-00002F290000}"/>
    <cellStyle name="Normal 4 2 6 3 3 3" xfId="10545" xr:uid="{00000000-0005-0000-0000-000030290000}"/>
    <cellStyle name="Normal 4 2 6 3 3 3 2" xfId="10546" xr:uid="{00000000-0005-0000-0000-000031290000}"/>
    <cellStyle name="Normal 4 2 6 3 3 3 3" xfId="10547" xr:uid="{00000000-0005-0000-0000-000032290000}"/>
    <cellStyle name="Normal 4 2 6 3 3 4" xfId="10548" xr:uid="{00000000-0005-0000-0000-000033290000}"/>
    <cellStyle name="Normal 4 2 6 3 3 5" xfId="10549" xr:uid="{00000000-0005-0000-0000-000034290000}"/>
    <cellStyle name="Normal 4 2 6 3 4" xfId="10550" xr:uid="{00000000-0005-0000-0000-000035290000}"/>
    <cellStyle name="Normal 4 2 6 3 4 2" xfId="10551" xr:uid="{00000000-0005-0000-0000-000036290000}"/>
    <cellStyle name="Normal 4 2 6 3 4 3" xfId="10552" xr:uid="{00000000-0005-0000-0000-000037290000}"/>
    <cellStyle name="Normal 4 2 6 3 5" xfId="10553" xr:uid="{00000000-0005-0000-0000-000038290000}"/>
    <cellStyle name="Normal 4 2 6 3 5 2" xfId="10554" xr:uid="{00000000-0005-0000-0000-000039290000}"/>
    <cellStyle name="Normal 4 2 6 3 5 3" xfId="10555" xr:uid="{00000000-0005-0000-0000-00003A290000}"/>
    <cellStyle name="Normal 4 2 6 3 6" xfId="10556" xr:uid="{00000000-0005-0000-0000-00003B290000}"/>
    <cellStyle name="Normal 4 2 6 3 7" xfId="10557" xr:uid="{00000000-0005-0000-0000-00003C290000}"/>
    <cellStyle name="Normal 4 2 6 4" xfId="10558" xr:uid="{00000000-0005-0000-0000-00003D290000}"/>
    <cellStyle name="Normal 4 2 6 4 2" xfId="10559" xr:uid="{00000000-0005-0000-0000-00003E290000}"/>
    <cellStyle name="Normal 4 2 6 4 2 2" xfId="10560" xr:uid="{00000000-0005-0000-0000-00003F290000}"/>
    <cellStyle name="Normal 4 2 6 4 2 2 2" xfId="10561" xr:uid="{00000000-0005-0000-0000-000040290000}"/>
    <cellStyle name="Normal 4 2 6 4 2 2 3" xfId="10562" xr:uid="{00000000-0005-0000-0000-000041290000}"/>
    <cellStyle name="Normal 4 2 6 4 2 3" xfId="10563" xr:uid="{00000000-0005-0000-0000-000042290000}"/>
    <cellStyle name="Normal 4 2 6 4 2 3 2" xfId="10564" xr:uid="{00000000-0005-0000-0000-000043290000}"/>
    <cellStyle name="Normal 4 2 6 4 2 3 3" xfId="10565" xr:uid="{00000000-0005-0000-0000-000044290000}"/>
    <cellStyle name="Normal 4 2 6 4 2 4" xfId="10566" xr:uid="{00000000-0005-0000-0000-000045290000}"/>
    <cellStyle name="Normal 4 2 6 4 2 5" xfId="10567" xr:uid="{00000000-0005-0000-0000-000046290000}"/>
    <cellStyle name="Normal 4 2 6 4 3" xfId="10568" xr:uid="{00000000-0005-0000-0000-000047290000}"/>
    <cellStyle name="Normal 4 2 6 4 3 2" xfId="10569" xr:uid="{00000000-0005-0000-0000-000048290000}"/>
    <cellStyle name="Normal 4 2 6 4 3 2 2" xfId="10570" xr:uid="{00000000-0005-0000-0000-000049290000}"/>
    <cellStyle name="Normal 4 2 6 4 3 2 3" xfId="10571" xr:uid="{00000000-0005-0000-0000-00004A290000}"/>
    <cellStyle name="Normal 4 2 6 4 3 3" xfId="10572" xr:uid="{00000000-0005-0000-0000-00004B290000}"/>
    <cellStyle name="Normal 4 2 6 4 3 4" xfId="10573" xr:uid="{00000000-0005-0000-0000-00004C290000}"/>
    <cellStyle name="Normal 4 2 6 4 4" xfId="10574" xr:uid="{00000000-0005-0000-0000-00004D290000}"/>
    <cellStyle name="Normal 4 2 6 4 4 2" xfId="10575" xr:uid="{00000000-0005-0000-0000-00004E290000}"/>
    <cellStyle name="Normal 4 2 6 4 4 3" xfId="10576" xr:uid="{00000000-0005-0000-0000-00004F290000}"/>
    <cellStyle name="Normal 4 2 6 4 5" xfId="10577" xr:uid="{00000000-0005-0000-0000-000050290000}"/>
    <cellStyle name="Normal 4 2 6 4 5 2" xfId="10578" xr:uid="{00000000-0005-0000-0000-000051290000}"/>
    <cellStyle name="Normal 4 2 6 4 5 3" xfId="10579" xr:uid="{00000000-0005-0000-0000-000052290000}"/>
    <cellStyle name="Normal 4 2 6 4 6" xfId="10580" xr:uid="{00000000-0005-0000-0000-000053290000}"/>
    <cellStyle name="Normal 4 2 6 4 7" xfId="10581" xr:uid="{00000000-0005-0000-0000-000054290000}"/>
    <cellStyle name="Normal 4 2 6 5" xfId="10582" xr:uid="{00000000-0005-0000-0000-000055290000}"/>
    <cellStyle name="Normal 4 2 6 5 2" xfId="10583" xr:uid="{00000000-0005-0000-0000-000056290000}"/>
    <cellStyle name="Normal 4 2 6 5 2 2" xfId="10584" xr:uid="{00000000-0005-0000-0000-000057290000}"/>
    <cellStyle name="Normal 4 2 6 5 2 3" xfId="10585" xr:uid="{00000000-0005-0000-0000-000058290000}"/>
    <cellStyle name="Normal 4 2 6 5 3" xfId="10586" xr:uid="{00000000-0005-0000-0000-000059290000}"/>
    <cellStyle name="Normal 4 2 6 5 3 2" xfId="10587" xr:uid="{00000000-0005-0000-0000-00005A290000}"/>
    <cellStyle name="Normal 4 2 6 5 3 3" xfId="10588" xr:uid="{00000000-0005-0000-0000-00005B290000}"/>
    <cellStyle name="Normal 4 2 6 5 4" xfId="10589" xr:uid="{00000000-0005-0000-0000-00005C290000}"/>
    <cellStyle name="Normal 4 2 6 5 5" xfId="10590" xr:uid="{00000000-0005-0000-0000-00005D290000}"/>
    <cellStyle name="Normal 4 2 6 6" xfId="10591" xr:uid="{00000000-0005-0000-0000-00005E290000}"/>
    <cellStyle name="Normal 4 2 6 6 2" xfId="10592" xr:uid="{00000000-0005-0000-0000-00005F290000}"/>
    <cellStyle name="Normal 4 2 6 6 2 2" xfId="10593" xr:uid="{00000000-0005-0000-0000-000060290000}"/>
    <cellStyle name="Normal 4 2 6 6 2 3" xfId="10594" xr:uid="{00000000-0005-0000-0000-000061290000}"/>
    <cellStyle name="Normal 4 2 6 6 3" xfId="10595" xr:uid="{00000000-0005-0000-0000-000062290000}"/>
    <cellStyle name="Normal 4 2 6 6 3 2" xfId="10596" xr:uid="{00000000-0005-0000-0000-000063290000}"/>
    <cellStyle name="Normal 4 2 6 6 3 3" xfId="10597" xr:uid="{00000000-0005-0000-0000-000064290000}"/>
    <cellStyle name="Normal 4 2 6 6 4" xfId="10598" xr:uid="{00000000-0005-0000-0000-000065290000}"/>
    <cellStyle name="Normal 4 2 6 6 5" xfId="10599" xr:uid="{00000000-0005-0000-0000-000066290000}"/>
    <cellStyle name="Normal 4 2 6 7" xfId="10600" xr:uid="{00000000-0005-0000-0000-000067290000}"/>
    <cellStyle name="Normal 4 2 6 7 2" xfId="10601" xr:uid="{00000000-0005-0000-0000-000068290000}"/>
    <cellStyle name="Normal 4 2 6 7 2 2" xfId="10602" xr:uid="{00000000-0005-0000-0000-000069290000}"/>
    <cellStyle name="Normal 4 2 6 7 2 3" xfId="10603" xr:uid="{00000000-0005-0000-0000-00006A290000}"/>
    <cellStyle name="Normal 4 2 6 7 3" xfId="10604" xr:uid="{00000000-0005-0000-0000-00006B290000}"/>
    <cellStyle name="Normal 4 2 6 7 4" xfId="10605" xr:uid="{00000000-0005-0000-0000-00006C290000}"/>
    <cellStyle name="Normal 4 2 6 8" xfId="10606" xr:uid="{00000000-0005-0000-0000-00006D290000}"/>
    <cellStyle name="Normal 4 2 6 8 2" xfId="10607" xr:uid="{00000000-0005-0000-0000-00006E290000}"/>
    <cellStyle name="Normal 4 2 6 8 3" xfId="10608" xr:uid="{00000000-0005-0000-0000-00006F290000}"/>
    <cellStyle name="Normal 4 2 6 9" xfId="10609" xr:uid="{00000000-0005-0000-0000-000070290000}"/>
    <cellStyle name="Normal 4 2 6 9 2" xfId="10610" xr:uid="{00000000-0005-0000-0000-000071290000}"/>
    <cellStyle name="Normal 4 2 6 9 3" xfId="10611" xr:uid="{00000000-0005-0000-0000-000072290000}"/>
    <cellStyle name="Normal 4 2 7" xfId="10612" xr:uid="{00000000-0005-0000-0000-000073290000}"/>
    <cellStyle name="Normal 4 2 7 2" xfId="10613" xr:uid="{00000000-0005-0000-0000-000074290000}"/>
    <cellStyle name="Normal 4 2 7 2 2" xfId="10614" xr:uid="{00000000-0005-0000-0000-000075290000}"/>
    <cellStyle name="Normal 4 2 7 2 2 2" xfId="10615" xr:uid="{00000000-0005-0000-0000-000076290000}"/>
    <cellStyle name="Normal 4 2 7 2 2 2 2" xfId="10616" xr:uid="{00000000-0005-0000-0000-000077290000}"/>
    <cellStyle name="Normal 4 2 7 2 2 2 3" xfId="10617" xr:uid="{00000000-0005-0000-0000-000078290000}"/>
    <cellStyle name="Normal 4 2 7 2 2 3" xfId="10618" xr:uid="{00000000-0005-0000-0000-000079290000}"/>
    <cellStyle name="Normal 4 2 7 2 2 3 2" xfId="10619" xr:uid="{00000000-0005-0000-0000-00007A290000}"/>
    <cellStyle name="Normal 4 2 7 2 2 3 3" xfId="10620" xr:uid="{00000000-0005-0000-0000-00007B290000}"/>
    <cellStyle name="Normal 4 2 7 2 2 4" xfId="10621" xr:uid="{00000000-0005-0000-0000-00007C290000}"/>
    <cellStyle name="Normal 4 2 7 2 2 5" xfId="10622" xr:uid="{00000000-0005-0000-0000-00007D290000}"/>
    <cellStyle name="Normal 4 2 7 2 3" xfId="10623" xr:uid="{00000000-0005-0000-0000-00007E290000}"/>
    <cellStyle name="Normal 4 2 7 2 3 2" xfId="10624" xr:uid="{00000000-0005-0000-0000-00007F290000}"/>
    <cellStyle name="Normal 4 2 7 2 3 2 2" xfId="10625" xr:uid="{00000000-0005-0000-0000-000080290000}"/>
    <cellStyle name="Normal 4 2 7 2 3 2 3" xfId="10626" xr:uid="{00000000-0005-0000-0000-000081290000}"/>
    <cellStyle name="Normal 4 2 7 2 3 3" xfId="10627" xr:uid="{00000000-0005-0000-0000-000082290000}"/>
    <cellStyle name="Normal 4 2 7 2 3 3 2" xfId="10628" xr:uid="{00000000-0005-0000-0000-000083290000}"/>
    <cellStyle name="Normal 4 2 7 2 3 3 3" xfId="10629" xr:uid="{00000000-0005-0000-0000-000084290000}"/>
    <cellStyle name="Normal 4 2 7 2 3 4" xfId="10630" xr:uid="{00000000-0005-0000-0000-000085290000}"/>
    <cellStyle name="Normal 4 2 7 2 3 5" xfId="10631" xr:uid="{00000000-0005-0000-0000-000086290000}"/>
    <cellStyle name="Normal 4 2 7 2 4" xfId="10632" xr:uid="{00000000-0005-0000-0000-000087290000}"/>
    <cellStyle name="Normal 4 2 7 2 4 2" xfId="10633" xr:uid="{00000000-0005-0000-0000-000088290000}"/>
    <cellStyle name="Normal 4 2 7 2 4 3" xfId="10634" xr:uid="{00000000-0005-0000-0000-000089290000}"/>
    <cellStyle name="Normal 4 2 7 2 5" xfId="10635" xr:uid="{00000000-0005-0000-0000-00008A290000}"/>
    <cellStyle name="Normal 4 2 7 2 5 2" xfId="10636" xr:uid="{00000000-0005-0000-0000-00008B290000}"/>
    <cellStyle name="Normal 4 2 7 2 5 3" xfId="10637" xr:uid="{00000000-0005-0000-0000-00008C290000}"/>
    <cellStyle name="Normal 4 2 7 2 6" xfId="10638" xr:uid="{00000000-0005-0000-0000-00008D290000}"/>
    <cellStyle name="Normal 4 2 7 2 7" xfId="10639" xr:uid="{00000000-0005-0000-0000-00008E290000}"/>
    <cellStyle name="Normal 4 2 7 3" xfId="10640" xr:uid="{00000000-0005-0000-0000-00008F290000}"/>
    <cellStyle name="Normal 4 2 7 3 2" xfId="10641" xr:uid="{00000000-0005-0000-0000-000090290000}"/>
    <cellStyle name="Normal 4 2 7 3 2 2" xfId="10642" xr:uid="{00000000-0005-0000-0000-000091290000}"/>
    <cellStyle name="Normal 4 2 7 3 2 3" xfId="10643" xr:uid="{00000000-0005-0000-0000-000092290000}"/>
    <cellStyle name="Normal 4 2 7 3 3" xfId="10644" xr:uid="{00000000-0005-0000-0000-000093290000}"/>
    <cellStyle name="Normal 4 2 7 3 3 2" xfId="10645" xr:uid="{00000000-0005-0000-0000-000094290000}"/>
    <cellStyle name="Normal 4 2 7 3 3 3" xfId="10646" xr:uid="{00000000-0005-0000-0000-000095290000}"/>
    <cellStyle name="Normal 4 2 7 3 4" xfId="10647" xr:uid="{00000000-0005-0000-0000-000096290000}"/>
    <cellStyle name="Normal 4 2 7 3 5" xfId="10648" xr:uid="{00000000-0005-0000-0000-000097290000}"/>
    <cellStyle name="Normal 4 2 7 4" xfId="10649" xr:uid="{00000000-0005-0000-0000-000098290000}"/>
    <cellStyle name="Normal 4 2 7 4 2" xfId="10650" xr:uid="{00000000-0005-0000-0000-000099290000}"/>
    <cellStyle name="Normal 4 2 7 4 2 2" xfId="10651" xr:uid="{00000000-0005-0000-0000-00009A290000}"/>
    <cellStyle name="Normal 4 2 7 4 2 3" xfId="10652" xr:uid="{00000000-0005-0000-0000-00009B290000}"/>
    <cellStyle name="Normal 4 2 7 4 3" xfId="10653" xr:uid="{00000000-0005-0000-0000-00009C290000}"/>
    <cellStyle name="Normal 4 2 7 4 3 2" xfId="10654" xr:uid="{00000000-0005-0000-0000-00009D290000}"/>
    <cellStyle name="Normal 4 2 7 4 3 3" xfId="10655" xr:uid="{00000000-0005-0000-0000-00009E290000}"/>
    <cellStyle name="Normal 4 2 7 4 4" xfId="10656" xr:uid="{00000000-0005-0000-0000-00009F290000}"/>
    <cellStyle name="Normal 4 2 7 4 5" xfId="10657" xr:uid="{00000000-0005-0000-0000-0000A0290000}"/>
    <cellStyle name="Normal 4 2 7 5" xfId="10658" xr:uid="{00000000-0005-0000-0000-0000A1290000}"/>
    <cellStyle name="Normal 4 2 7 5 2" xfId="10659" xr:uid="{00000000-0005-0000-0000-0000A2290000}"/>
    <cellStyle name="Normal 4 2 7 5 3" xfId="10660" xr:uid="{00000000-0005-0000-0000-0000A3290000}"/>
    <cellStyle name="Normal 4 2 7 6" xfId="10661" xr:uid="{00000000-0005-0000-0000-0000A4290000}"/>
    <cellStyle name="Normal 4 2 7 6 2" xfId="10662" xr:uid="{00000000-0005-0000-0000-0000A5290000}"/>
    <cellStyle name="Normal 4 2 7 6 3" xfId="10663" xr:uid="{00000000-0005-0000-0000-0000A6290000}"/>
    <cellStyle name="Normal 4 2 7 7" xfId="10664" xr:uid="{00000000-0005-0000-0000-0000A7290000}"/>
    <cellStyle name="Normal 4 2 7 7 2" xfId="10665" xr:uid="{00000000-0005-0000-0000-0000A8290000}"/>
    <cellStyle name="Normal 4 2 7 7 3" xfId="10666" xr:uid="{00000000-0005-0000-0000-0000A9290000}"/>
    <cellStyle name="Normal 4 2 7 8" xfId="10667" xr:uid="{00000000-0005-0000-0000-0000AA290000}"/>
    <cellStyle name="Normal 4 2 7 9" xfId="10668" xr:uid="{00000000-0005-0000-0000-0000AB290000}"/>
    <cellStyle name="Normal 4 2 8" xfId="10669" xr:uid="{00000000-0005-0000-0000-0000AC290000}"/>
    <cellStyle name="Normal 4 2 8 2" xfId="10670" xr:uid="{00000000-0005-0000-0000-0000AD290000}"/>
    <cellStyle name="Normal 4 2 8 2 2" xfId="10671" xr:uid="{00000000-0005-0000-0000-0000AE290000}"/>
    <cellStyle name="Normal 4 2 8 2 2 2" xfId="10672" xr:uid="{00000000-0005-0000-0000-0000AF290000}"/>
    <cellStyle name="Normal 4 2 8 2 2 3" xfId="10673" xr:uid="{00000000-0005-0000-0000-0000B0290000}"/>
    <cellStyle name="Normal 4 2 8 2 3" xfId="10674" xr:uid="{00000000-0005-0000-0000-0000B1290000}"/>
    <cellStyle name="Normal 4 2 8 2 3 2" xfId="10675" xr:uid="{00000000-0005-0000-0000-0000B2290000}"/>
    <cellStyle name="Normal 4 2 8 2 3 3" xfId="10676" xr:uid="{00000000-0005-0000-0000-0000B3290000}"/>
    <cellStyle name="Normal 4 2 8 2 4" xfId="10677" xr:uid="{00000000-0005-0000-0000-0000B4290000}"/>
    <cellStyle name="Normal 4 2 8 2 5" xfId="10678" xr:uid="{00000000-0005-0000-0000-0000B5290000}"/>
    <cellStyle name="Normal 4 2 8 3" xfId="10679" xr:uid="{00000000-0005-0000-0000-0000B6290000}"/>
    <cellStyle name="Normal 4 2 8 3 2" xfId="10680" xr:uid="{00000000-0005-0000-0000-0000B7290000}"/>
    <cellStyle name="Normal 4 2 8 3 2 2" xfId="10681" xr:uid="{00000000-0005-0000-0000-0000B8290000}"/>
    <cellStyle name="Normal 4 2 8 3 2 3" xfId="10682" xr:uid="{00000000-0005-0000-0000-0000B9290000}"/>
    <cellStyle name="Normal 4 2 8 3 3" xfId="10683" xr:uid="{00000000-0005-0000-0000-0000BA290000}"/>
    <cellStyle name="Normal 4 2 8 3 3 2" xfId="10684" xr:uid="{00000000-0005-0000-0000-0000BB290000}"/>
    <cellStyle name="Normal 4 2 8 3 3 3" xfId="10685" xr:uid="{00000000-0005-0000-0000-0000BC290000}"/>
    <cellStyle name="Normal 4 2 8 3 4" xfId="10686" xr:uid="{00000000-0005-0000-0000-0000BD290000}"/>
    <cellStyle name="Normal 4 2 8 3 5" xfId="10687" xr:uid="{00000000-0005-0000-0000-0000BE290000}"/>
    <cellStyle name="Normal 4 2 8 4" xfId="10688" xr:uid="{00000000-0005-0000-0000-0000BF290000}"/>
    <cellStyle name="Normal 4 2 8 4 2" xfId="10689" xr:uid="{00000000-0005-0000-0000-0000C0290000}"/>
    <cellStyle name="Normal 4 2 8 4 3" xfId="10690" xr:uid="{00000000-0005-0000-0000-0000C1290000}"/>
    <cellStyle name="Normal 4 2 8 5" xfId="10691" xr:uid="{00000000-0005-0000-0000-0000C2290000}"/>
    <cellStyle name="Normal 4 2 8 5 2" xfId="10692" xr:uid="{00000000-0005-0000-0000-0000C3290000}"/>
    <cellStyle name="Normal 4 2 8 5 3" xfId="10693" xr:uid="{00000000-0005-0000-0000-0000C4290000}"/>
    <cellStyle name="Normal 4 2 8 6" xfId="10694" xr:uid="{00000000-0005-0000-0000-0000C5290000}"/>
    <cellStyle name="Normal 4 2 8 7" xfId="10695" xr:uid="{00000000-0005-0000-0000-0000C6290000}"/>
    <cellStyle name="Normal 4 2 9" xfId="10696" xr:uid="{00000000-0005-0000-0000-0000C7290000}"/>
    <cellStyle name="Normal 4 2 9 2" xfId="10697" xr:uid="{00000000-0005-0000-0000-0000C8290000}"/>
    <cellStyle name="Normal 4 2 9 2 2" xfId="10698" xr:uid="{00000000-0005-0000-0000-0000C9290000}"/>
    <cellStyle name="Normal 4 2 9 2 2 2" xfId="10699" xr:uid="{00000000-0005-0000-0000-0000CA290000}"/>
    <cellStyle name="Normal 4 2 9 2 2 3" xfId="10700" xr:uid="{00000000-0005-0000-0000-0000CB290000}"/>
    <cellStyle name="Normal 4 2 9 2 3" xfId="10701" xr:uid="{00000000-0005-0000-0000-0000CC290000}"/>
    <cellStyle name="Normal 4 2 9 2 3 2" xfId="10702" xr:uid="{00000000-0005-0000-0000-0000CD290000}"/>
    <cellStyle name="Normal 4 2 9 2 3 3" xfId="10703" xr:uid="{00000000-0005-0000-0000-0000CE290000}"/>
    <cellStyle name="Normal 4 2 9 2 4" xfId="10704" xr:uid="{00000000-0005-0000-0000-0000CF290000}"/>
    <cellStyle name="Normal 4 2 9 2 5" xfId="10705" xr:uid="{00000000-0005-0000-0000-0000D0290000}"/>
    <cellStyle name="Normal 4 2 9 3" xfId="10706" xr:uid="{00000000-0005-0000-0000-0000D1290000}"/>
    <cellStyle name="Normal 4 2 9 3 2" xfId="10707" xr:uid="{00000000-0005-0000-0000-0000D2290000}"/>
    <cellStyle name="Normal 4 2 9 3 2 2" xfId="10708" xr:uid="{00000000-0005-0000-0000-0000D3290000}"/>
    <cellStyle name="Normal 4 2 9 3 2 3" xfId="10709" xr:uid="{00000000-0005-0000-0000-0000D4290000}"/>
    <cellStyle name="Normal 4 2 9 3 3" xfId="10710" xr:uid="{00000000-0005-0000-0000-0000D5290000}"/>
    <cellStyle name="Normal 4 2 9 3 4" xfId="10711" xr:uid="{00000000-0005-0000-0000-0000D6290000}"/>
    <cellStyle name="Normal 4 2 9 4" xfId="10712" xr:uid="{00000000-0005-0000-0000-0000D7290000}"/>
    <cellStyle name="Normal 4 2 9 4 2" xfId="10713" xr:uid="{00000000-0005-0000-0000-0000D8290000}"/>
    <cellStyle name="Normal 4 2 9 4 3" xfId="10714" xr:uid="{00000000-0005-0000-0000-0000D9290000}"/>
    <cellStyle name="Normal 4 2 9 5" xfId="10715" xr:uid="{00000000-0005-0000-0000-0000DA290000}"/>
    <cellStyle name="Normal 4 2 9 5 2" xfId="10716" xr:uid="{00000000-0005-0000-0000-0000DB290000}"/>
    <cellStyle name="Normal 4 2 9 5 3" xfId="10717" xr:uid="{00000000-0005-0000-0000-0000DC290000}"/>
    <cellStyle name="Normal 4 2 9 6" xfId="10718" xr:uid="{00000000-0005-0000-0000-0000DD290000}"/>
    <cellStyle name="Normal 4 2 9 7" xfId="10719" xr:uid="{00000000-0005-0000-0000-0000DE290000}"/>
    <cellStyle name="Normal 4 3" xfId="10720" xr:uid="{00000000-0005-0000-0000-0000DF290000}"/>
    <cellStyle name="Normal 4 3 2" xfId="10721" xr:uid="{00000000-0005-0000-0000-0000E0290000}"/>
    <cellStyle name="Normal 4 3 2 2" xfId="10722" xr:uid="{00000000-0005-0000-0000-0000E1290000}"/>
    <cellStyle name="Normal 4 3 2 2 2" xfId="10723" xr:uid="{00000000-0005-0000-0000-0000E2290000}"/>
    <cellStyle name="Normal 4 3 2 3" xfId="10724" xr:uid="{00000000-0005-0000-0000-0000E3290000}"/>
    <cellStyle name="Normal 4 3 3" xfId="10725" xr:uid="{00000000-0005-0000-0000-0000E4290000}"/>
    <cellStyle name="Normal 4 3 3 2" xfId="10726" xr:uid="{00000000-0005-0000-0000-0000E5290000}"/>
    <cellStyle name="Normal 4 3 3 2 2" xfId="10727" xr:uid="{00000000-0005-0000-0000-0000E6290000}"/>
    <cellStyle name="Normal 4 3 3 2 2 2" xfId="10728" xr:uid="{00000000-0005-0000-0000-0000E7290000}"/>
    <cellStyle name="Normal 4 3 3 2 2 3" xfId="10729" xr:uid="{00000000-0005-0000-0000-0000E8290000}"/>
    <cellStyle name="Normal 4 3 3 2 3" xfId="10730" xr:uid="{00000000-0005-0000-0000-0000E9290000}"/>
    <cellStyle name="Normal 4 3 3 2 3 2" xfId="10731" xr:uid="{00000000-0005-0000-0000-0000EA290000}"/>
    <cellStyle name="Normal 4 3 3 2 3 3" xfId="10732" xr:uid="{00000000-0005-0000-0000-0000EB290000}"/>
    <cellStyle name="Normal 4 3 3 2 4" xfId="10733" xr:uid="{00000000-0005-0000-0000-0000EC290000}"/>
    <cellStyle name="Normal 4 3 3 2 5" xfId="10734" xr:uid="{00000000-0005-0000-0000-0000ED290000}"/>
    <cellStyle name="Normal 4 3 3 3" xfId="10735" xr:uid="{00000000-0005-0000-0000-0000EE290000}"/>
    <cellStyle name="Normal 4 3 3 3 2" xfId="10736" xr:uid="{00000000-0005-0000-0000-0000EF290000}"/>
    <cellStyle name="Normal 4 3 3 3 2 2" xfId="10737" xr:uid="{00000000-0005-0000-0000-0000F0290000}"/>
    <cellStyle name="Normal 4 3 3 3 2 3" xfId="10738" xr:uid="{00000000-0005-0000-0000-0000F1290000}"/>
    <cellStyle name="Normal 4 3 3 3 3" xfId="10739" xr:uid="{00000000-0005-0000-0000-0000F2290000}"/>
    <cellStyle name="Normal 4 3 3 3 3 2" xfId="10740" xr:uid="{00000000-0005-0000-0000-0000F3290000}"/>
    <cellStyle name="Normal 4 3 3 3 3 3" xfId="10741" xr:uid="{00000000-0005-0000-0000-0000F4290000}"/>
    <cellStyle name="Normal 4 3 3 3 4" xfId="10742" xr:uid="{00000000-0005-0000-0000-0000F5290000}"/>
    <cellStyle name="Normal 4 3 3 3 5" xfId="10743" xr:uid="{00000000-0005-0000-0000-0000F6290000}"/>
    <cellStyle name="Normal 4 3 3 4" xfId="10744" xr:uid="{00000000-0005-0000-0000-0000F7290000}"/>
    <cellStyle name="Normal 4 3 3 4 2" xfId="10745" xr:uid="{00000000-0005-0000-0000-0000F8290000}"/>
    <cellStyle name="Normal 4 3 3 4 3" xfId="10746" xr:uid="{00000000-0005-0000-0000-0000F9290000}"/>
    <cellStyle name="Normal 4 3 3 5" xfId="10747" xr:uid="{00000000-0005-0000-0000-0000FA290000}"/>
    <cellStyle name="Normal 4 3 3 5 2" xfId="10748" xr:uid="{00000000-0005-0000-0000-0000FB290000}"/>
    <cellStyle name="Normal 4 3 3 5 3" xfId="10749" xr:uid="{00000000-0005-0000-0000-0000FC290000}"/>
    <cellStyle name="Normal 4 3 3 6" xfId="10750" xr:uid="{00000000-0005-0000-0000-0000FD290000}"/>
    <cellStyle name="Normal 4 3 3 7" xfId="10751" xr:uid="{00000000-0005-0000-0000-0000FE290000}"/>
    <cellStyle name="Normal 4 3 4" xfId="10752" xr:uid="{00000000-0005-0000-0000-0000FF290000}"/>
    <cellStyle name="Normal 4 3 4 2" xfId="10753" xr:uid="{00000000-0005-0000-0000-0000002A0000}"/>
    <cellStyle name="Normal 4 3 4 2 2" xfId="10754" xr:uid="{00000000-0005-0000-0000-0000012A0000}"/>
    <cellStyle name="Normal 4 3 4 2 2 2" xfId="10755" xr:uid="{00000000-0005-0000-0000-0000022A0000}"/>
    <cellStyle name="Normal 4 3 4 2 2 3" xfId="10756" xr:uid="{00000000-0005-0000-0000-0000032A0000}"/>
    <cellStyle name="Normal 4 3 4 2 3" xfId="10757" xr:uid="{00000000-0005-0000-0000-0000042A0000}"/>
    <cellStyle name="Normal 4 3 4 2 3 2" xfId="10758" xr:uid="{00000000-0005-0000-0000-0000052A0000}"/>
    <cellStyle name="Normal 4 3 4 2 3 3" xfId="10759" xr:uid="{00000000-0005-0000-0000-0000062A0000}"/>
    <cellStyle name="Normal 4 3 4 2 4" xfId="10760" xr:uid="{00000000-0005-0000-0000-0000072A0000}"/>
    <cellStyle name="Normal 4 3 4 2 5" xfId="10761" xr:uid="{00000000-0005-0000-0000-0000082A0000}"/>
    <cellStyle name="Normal 4 3 4 3" xfId="10762" xr:uid="{00000000-0005-0000-0000-0000092A0000}"/>
    <cellStyle name="Normal 4 3 4 3 2" xfId="10763" xr:uid="{00000000-0005-0000-0000-00000A2A0000}"/>
    <cellStyle name="Normal 4 3 4 3 2 2" xfId="10764" xr:uid="{00000000-0005-0000-0000-00000B2A0000}"/>
    <cellStyle name="Normal 4 3 4 3 2 3" xfId="10765" xr:uid="{00000000-0005-0000-0000-00000C2A0000}"/>
    <cellStyle name="Normal 4 3 4 3 3" xfId="10766" xr:uid="{00000000-0005-0000-0000-00000D2A0000}"/>
    <cellStyle name="Normal 4 3 4 3 3 2" xfId="10767" xr:uid="{00000000-0005-0000-0000-00000E2A0000}"/>
    <cellStyle name="Normal 4 3 4 3 3 3" xfId="10768" xr:uid="{00000000-0005-0000-0000-00000F2A0000}"/>
    <cellStyle name="Normal 4 3 4 3 4" xfId="10769" xr:uid="{00000000-0005-0000-0000-0000102A0000}"/>
    <cellStyle name="Normal 4 3 4 3 5" xfId="10770" xr:uid="{00000000-0005-0000-0000-0000112A0000}"/>
    <cellStyle name="Normal 4 3 4 4" xfId="10771" xr:uid="{00000000-0005-0000-0000-0000122A0000}"/>
    <cellStyle name="Normal 4 3 4 4 2" xfId="10772" xr:uid="{00000000-0005-0000-0000-0000132A0000}"/>
    <cellStyle name="Normal 4 3 4 4 2 2" xfId="10773" xr:uid="{00000000-0005-0000-0000-0000142A0000}"/>
    <cellStyle name="Normal 4 3 4 4 3" xfId="10774" xr:uid="{00000000-0005-0000-0000-0000152A0000}"/>
    <cellStyle name="Normal 4 3 4 5" xfId="10775" xr:uid="{00000000-0005-0000-0000-0000162A0000}"/>
    <cellStyle name="Normal 4 3 4 5 2" xfId="10776" xr:uid="{00000000-0005-0000-0000-0000172A0000}"/>
    <cellStyle name="Normal 4 3 4 5 2 2" xfId="10777" xr:uid="{00000000-0005-0000-0000-0000182A0000}"/>
    <cellStyle name="Normal 4 3 4 5 3" xfId="10778" xr:uid="{00000000-0005-0000-0000-0000192A0000}"/>
    <cellStyle name="Normal 4 3 4 6" xfId="10779" xr:uid="{00000000-0005-0000-0000-00001A2A0000}"/>
    <cellStyle name="Normal 4 3 4 7" xfId="10780" xr:uid="{00000000-0005-0000-0000-00001B2A0000}"/>
    <cellStyle name="Normal 4 3 5" xfId="10781" xr:uid="{00000000-0005-0000-0000-00001C2A0000}"/>
    <cellStyle name="Normal 4 3 5 2" xfId="10782" xr:uid="{00000000-0005-0000-0000-00001D2A0000}"/>
    <cellStyle name="Normal 4 3 5 3" xfId="10783" xr:uid="{00000000-0005-0000-0000-00001E2A0000}"/>
    <cellStyle name="Normal 4 3 5 3 2" xfId="10784" xr:uid="{00000000-0005-0000-0000-00001F2A0000}"/>
    <cellStyle name="Normal 4 3 6" xfId="10785" xr:uid="{00000000-0005-0000-0000-0000202A0000}"/>
    <cellStyle name="Normal 4 4" xfId="10786" xr:uid="{00000000-0005-0000-0000-0000212A0000}"/>
    <cellStyle name="Normal 4 4 10" xfId="10787" xr:uid="{00000000-0005-0000-0000-0000222A0000}"/>
    <cellStyle name="Normal 4 4 10 2" xfId="10788" xr:uid="{00000000-0005-0000-0000-0000232A0000}"/>
    <cellStyle name="Normal 4 4 10 2 2" xfId="10789" xr:uid="{00000000-0005-0000-0000-0000242A0000}"/>
    <cellStyle name="Normal 4 4 10 3" xfId="10790" xr:uid="{00000000-0005-0000-0000-0000252A0000}"/>
    <cellStyle name="Normal 4 4 11" xfId="10791" xr:uid="{00000000-0005-0000-0000-0000262A0000}"/>
    <cellStyle name="Normal 4 4 11 2" xfId="10792" xr:uid="{00000000-0005-0000-0000-0000272A0000}"/>
    <cellStyle name="Normal 4 4 11 2 2" xfId="10793" xr:uid="{00000000-0005-0000-0000-0000282A0000}"/>
    <cellStyle name="Normal 4 4 11 3" xfId="10794" xr:uid="{00000000-0005-0000-0000-0000292A0000}"/>
    <cellStyle name="Normal 4 4 12" xfId="10795" xr:uid="{00000000-0005-0000-0000-00002A2A0000}"/>
    <cellStyle name="Normal 4 4 12 2" xfId="10796" xr:uid="{00000000-0005-0000-0000-00002B2A0000}"/>
    <cellStyle name="Normal 4 4 12 2 2" xfId="10797" xr:uid="{00000000-0005-0000-0000-00002C2A0000}"/>
    <cellStyle name="Normal 4 4 12 3" xfId="10798" xr:uid="{00000000-0005-0000-0000-00002D2A0000}"/>
    <cellStyle name="Normal 4 4 13" xfId="10799" xr:uid="{00000000-0005-0000-0000-00002E2A0000}"/>
    <cellStyle name="Normal 4 4 13 2" xfId="10800" xr:uid="{00000000-0005-0000-0000-00002F2A0000}"/>
    <cellStyle name="Normal 4 4 14" xfId="10801" xr:uid="{00000000-0005-0000-0000-0000302A0000}"/>
    <cellStyle name="Normal 4 4 2" xfId="10802" xr:uid="{00000000-0005-0000-0000-0000312A0000}"/>
    <cellStyle name="Normal 4 4 2 10" xfId="10803" xr:uid="{00000000-0005-0000-0000-0000322A0000}"/>
    <cellStyle name="Normal 4 4 2 10 2" xfId="10804" xr:uid="{00000000-0005-0000-0000-0000332A0000}"/>
    <cellStyle name="Normal 4 4 2 10 2 2" xfId="10805" xr:uid="{00000000-0005-0000-0000-0000342A0000}"/>
    <cellStyle name="Normal 4 4 2 10 3" xfId="10806" xr:uid="{00000000-0005-0000-0000-0000352A0000}"/>
    <cellStyle name="Normal 4 4 2 11" xfId="10807" xr:uid="{00000000-0005-0000-0000-0000362A0000}"/>
    <cellStyle name="Normal 4 4 2 11 2" xfId="10808" xr:uid="{00000000-0005-0000-0000-0000372A0000}"/>
    <cellStyle name="Normal 4 4 2 11 2 2" xfId="10809" xr:uid="{00000000-0005-0000-0000-0000382A0000}"/>
    <cellStyle name="Normal 4 4 2 11 3" xfId="10810" xr:uid="{00000000-0005-0000-0000-0000392A0000}"/>
    <cellStyle name="Normal 4 4 2 12" xfId="10811" xr:uid="{00000000-0005-0000-0000-00003A2A0000}"/>
    <cellStyle name="Normal 4 4 2 12 2" xfId="10812" xr:uid="{00000000-0005-0000-0000-00003B2A0000}"/>
    <cellStyle name="Normal 4 4 2 13" xfId="10813" xr:uid="{00000000-0005-0000-0000-00003C2A0000}"/>
    <cellStyle name="Normal 4 4 2 2" xfId="10814" xr:uid="{00000000-0005-0000-0000-00003D2A0000}"/>
    <cellStyle name="Normal 4 4 2 2 2" xfId="10815" xr:uid="{00000000-0005-0000-0000-00003E2A0000}"/>
    <cellStyle name="Normal 4 4 2 2 2 2" xfId="10816" xr:uid="{00000000-0005-0000-0000-00003F2A0000}"/>
    <cellStyle name="Normal 4 4 2 2 2 2 2" xfId="10817" xr:uid="{00000000-0005-0000-0000-0000402A0000}"/>
    <cellStyle name="Normal 4 4 2 2 2 2 2 2" xfId="10818" xr:uid="{00000000-0005-0000-0000-0000412A0000}"/>
    <cellStyle name="Normal 4 4 2 2 2 2 2 2 2" xfId="10819" xr:uid="{00000000-0005-0000-0000-0000422A0000}"/>
    <cellStyle name="Normal 4 4 2 2 2 2 2 3" xfId="10820" xr:uid="{00000000-0005-0000-0000-0000432A0000}"/>
    <cellStyle name="Normal 4 4 2 2 2 2 3" xfId="10821" xr:uid="{00000000-0005-0000-0000-0000442A0000}"/>
    <cellStyle name="Normal 4 4 2 2 2 2 3 2" xfId="10822" xr:uid="{00000000-0005-0000-0000-0000452A0000}"/>
    <cellStyle name="Normal 4 4 2 2 2 2 3 2 2" xfId="10823" xr:uid="{00000000-0005-0000-0000-0000462A0000}"/>
    <cellStyle name="Normal 4 4 2 2 2 2 3 3" xfId="10824" xr:uid="{00000000-0005-0000-0000-0000472A0000}"/>
    <cellStyle name="Normal 4 4 2 2 2 2 4" xfId="10825" xr:uid="{00000000-0005-0000-0000-0000482A0000}"/>
    <cellStyle name="Normal 4 4 2 2 2 2 4 2" xfId="10826" xr:uid="{00000000-0005-0000-0000-0000492A0000}"/>
    <cellStyle name="Normal 4 4 2 2 2 2 5" xfId="10827" xr:uid="{00000000-0005-0000-0000-00004A2A0000}"/>
    <cellStyle name="Normal 4 4 2 2 2 3" xfId="10828" xr:uid="{00000000-0005-0000-0000-00004B2A0000}"/>
    <cellStyle name="Normal 4 4 2 2 2 3 2" xfId="10829" xr:uid="{00000000-0005-0000-0000-00004C2A0000}"/>
    <cellStyle name="Normal 4 4 2 2 2 3 2 2" xfId="10830" xr:uid="{00000000-0005-0000-0000-00004D2A0000}"/>
    <cellStyle name="Normal 4 4 2 2 2 3 2 2 2" xfId="10831" xr:uid="{00000000-0005-0000-0000-00004E2A0000}"/>
    <cellStyle name="Normal 4 4 2 2 2 3 2 3" xfId="10832" xr:uid="{00000000-0005-0000-0000-00004F2A0000}"/>
    <cellStyle name="Normal 4 4 2 2 2 3 3" xfId="10833" xr:uid="{00000000-0005-0000-0000-0000502A0000}"/>
    <cellStyle name="Normal 4 4 2 2 2 3 3 2" xfId="10834" xr:uid="{00000000-0005-0000-0000-0000512A0000}"/>
    <cellStyle name="Normal 4 4 2 2 2 3 3 2 2" xfId="10835" xr:uid="{00000000-0005-0000-0000-0000522A0000}"/>
    <cellStyle name="Normal 4 4 2 2 2 3 3 3" xfId="10836" xr:uid="{00000000-0005-0000-0000-0000532A0000}"/>
    <cellStyle name="Normal 4 4 2 2 2 3 4" xfId="10837" xr:uid="{00000000-0005-0000-0000-0000542A0000}"/>
    <cellStyle name="Normal 4 4 2 2 2 3 4 2" xfId="10838" xr:uid="{00000000-0005-0000-0000-0000552A0000}"/>
    <cellStyle name="Normal 4 4 2 2 2 3 5" xfId="10839" xr:uid="{00000000-0005-0000-0000-0000562A0000}"/>
    <cellStyle name="Normal 4 4 2 2 2 4" xfId="10840" xr:uid="{00000000-0005-0000-0000-0000572A0000}"/>
    <cellStyle name="Normal 4 4 2 2 2 4 2" xfId="10841" xr:uid="{00000000-0005-0000-0000-0000582A0000}"/>
    <cellStyle name="Normal 4 4 2 2 2 4 2 2" xfId="10842" xr:uid="{00000000-0005-0000-0000-0000592A0000}"/>
    <cellStyle name="Normal 4 4 2 2 2 4 3" xfId="10843" xr:uid="{00000000-0005-0000-0000-00005A2A0000}"/>
    <cellStyle name="Normal 4 4 2 2 2 5" xfId="10844" xr:uid="{00000000-0005-0000-0000-00005B2A0000}"/>
    <cellStyle name="Normal 4 4 2 2 2 5 2" xfId="10845" xr:uid="{00000000-0005-0000-0000-00005C2A0000}"/>
    <cellStyle name="Normal 4 4 2 2 2 5 2 2" xfId="10846" xr:uid="{00000000-0005-0000-0000-00005D2A0000}"/>
    <cellStyle name="Normal 4 4 2 2 2 5 3" xfId="10847" xr:uid="{00000000-0005-0000-0000-00005E2A0000}"/>
    <cellStyle name="Normal 4 4 2 2 2 6" xfId="10848" xr:uid="{00000000-0005-0000-0000-00005F2A0000}"/>
    <cellStyle name="Normal 4 4 2 2 2 6 2" xfId="10849" xr:uid="{00000000-0005-0000-0000-0000602A0000}"/>
    <cellStyle name="Normal 4 4 2 2 2 7" xfId="10850" xr:uid="{00000000-0005-0000-0000-0000612A0000}"/>
    <cellStyle name="Normal 4 4 2 2 3" xfId="10851" xr:uid="{00000000-0005-0000-0000-0000622A0000}"/>
    <cellStyle name="Normal 4 4 2 2 3 2" xfId="10852" xr:uid="{00000000-0005-0000-0000-0000632A0000}"/>
    <cellStyle name="Normal 4 4 2 2 3 2 2" xfId="10853" xr:uid="{00000000-0005-0000-0000-0000642A0000}"/>
    <cellStyle name="Normal 4 4 2 2 3 2 2 2" xfId="10854" xr:uid="{00000000-0005-0000-0000-0000652A0000}"/>
    <cellStyle name="Normal 4 4 2 2 3 2 3" xfId="10855" xr:uid="{00000000-0005-0000-0000-0000662A0000}"/>
    <cellStyle name="Normal 4 4 2 2 3 3" xfId="10856" xr:uid="{00000000-0005-0000-0000-0000672A0000}"/>
    <cellStyle name="Normal 4 4 2 2 3 3 2" xfId="10857" xr:uid="{00000000-0005-0000-0000-0000682A0000}"/>
    <cellStyle name="Normal 4 4 2 2 3 3 2 2" xfId="10858" xr:uid="{00000000-0005-0000-0000-0000692A0000}"/>
    <cellStyle name="Normal 4 4 2 2 3 3 3" xfId="10859" xr:uid="{00000000-0005-0000-0000-00006A2A0000}"/>
    <cellStyle name="Normal 4 4 2 2 3 4" xfId="10860" xr:uid="{00000000-0005-0000-0000-00006B2A0000}"/>
    <cellStyle name="Normal 4 4 2 2 3 4 2" xfId="10861" xr:uid="{00000000-0005-0000-0000-00006C2A0000}"/>
    <cellStyle name="Normal 4 4 2 2 3 5" xfId="10862" xr:uid="{00000000-0005-0000-0000-00006D2A0000}"/>
    <cellStyle name="Normal 4 4 2 2 4" xfId="10863" xr:uid="{00000000-0005-0000-0000-00006E2A0000}"/>
    <cellStyle name="Normal 4 4 2 2 4 2" xfId="10864" xr:uid="{00000000-0005-0000-0000-00006F2A0000}"/>
    <cellStyle name="Normal 4 4 2 2 4 2 2" xfId="10865" xr:uid="{00000000-0005-0000-0000-0000702A0000}"/>
    <cellStyle name="Normal 4 4 2 2 4 2 2 2" xfId="10866" xr:uid="{00000000-0005-0000-0000-0000712A0000}"/>
    <cellStyle name="Normal 4 4 2 2 4 2 3" xfId="10867" xr:uid="{00000000-0005-0000-0000-0000722A0000}"/>
    <cellStyle name="Normal 4 4 2 2 4 3" xfId="10868" xr:uid="{00000000-0005-0000-0000-0000732A0000}"/>
    <cellStyle name="Normal 4 4 2 2 4 3 2" xfId="10869" xr:uid="{00000000-0005-0000-0000-0000742A0000}"/>
    <cellStyle name="Normal 4 4 2 2 4 3 2 2" xfId="10870" xr:uid="{00000000-0005-0000-0000-0000752A0000}"/>
    <cellStyle name="Normal 4 4 2 2 4 3 3" xfId="10871" xr:uid="{00000000-0005-0000-0000-0000762A0000}"/>
    <cellStyle name="Normal 4 4 2 2 4 4" xfId="10872" xr:uid="{00000000-0005-0000-0000-0000772A0000}"/>
    <cellStyle name="Normal 4 4 2 2 4 4 2" xfId="10873" xr:uid="{00000000-0005-0000-0000-0000782A0000}"/>
    <cellStyle name="Normal 4 4 2 2 4 5" xfId="10874" xr:uid="{00000000-0005-0000-0000-0000792A0000}"/>
    <cellStyle name="Normal 4 4 2 2 5" xfId="10875" xr:uid="{00000000-0005-0000-0000-00007A2A0000}"/>
    <cellStyle name="Normal 4 4 2 2 5 2" xfId="10876" xr:uid="{00000000-0005-0000-0000-00007B2A0000}"/>
    <cellStyle name="Normal 4 4 2 2 5 2 2" xfId="10877" xr:uid="{00000000-0005-0000-0000-00007C2A0000}"/>
    <cellStyle name="Normal 4 4 2 2 5 3" xfId="10878" xr:uid="{00000000-0005-0000-0000-00007D2A0000}"/>
    <cellStyle name="Normal 4 4 2 2 6" xfId="10879" xr:uid="{00000000-0005-0000-0000-00007E2A0000}"/>
    <cellStyle name="Normal 4 4 2 2 6 2" xfId="10880" xr:uid="{00000000-0005-0000-0000-00007F2A0000}"/>
    <cellStyle name="Normal 4 4 2 2 6 2 2" xfId="10881" xr:uid="{00000000-0005-0000-0000-0000802A0000}"/>
    <cellStyle name="Normal 4 4 2 2 6 3" xfId="10882" xr:uid="{00000000-0005-0000-0000-0000812A0000}"/>
    <cellStyle name="Normal 4 4 2 2 7" xfId="10883" xr:uid="{00000000-0005-0000-0000-0000822A0000}"/>
    <cellStyle name="Normal 4 4 2 2 7 2" xfId="10884" xr:uid="{00000000-0005-0000-0000-0000832A0000}"/>
    <cellStyle name="Normal 4 4 2 2 7 2 2" xfId="10885" xr:uid="{00000000-0005-0000-0000-0000842A0000}"/>
    <cellStyle name="Normal 4 4 2 2 7 3" xfId="10886" xr:uid="{00000000-0005-0000-0000-0000852A0000}"/>
    <cellStyle name="Normal 4 4 2 2 8" xfId="10887" xr:uid="{00000000-0005-0000-0000-0000862A0000}"/>
    <cellStyle name="Normal 4 4 2 2 8 2" xfId="10888" xr:uid="{00000000-0005-0000-0000-0000872A0000}"/>
    <cellStyle name="Normal 4 4 2 2 9" xfId="10889" xr:uid="{00000000-0005-0000-0000-0000882A0000}"/>
    <cellStyle name="Normal 4 4 2 3" xfId="10890" xr:uid="{00000000-0005-0000-0000-0000892A0000}"/>
    <cellStyle name="Normal 4 4 2 3 2" xfId="10891" xr:uid="{00000000-0005-0000-0000-00008A2A0000}"/>
    <cellStyle name="Normal 4 4 2 3 2 2" xfId="10892" xr:uid="{00000000-0005-0000-0000-00008B2A0000}"/>
    <cellStyle name="Normal 4 4 2 3 2 2 2" xfId="10893" xr:uid="{00000000-0005-0000-0000-00008C2A0000}"/>
    <cellStyle name="Normal 4 4 2 3 2 2 2 2" xfId="10894" xr:uid="{00000000-0005-0000-0000-00008D2A0000}"/>
    <cellStyle name="Normal 4 4 2 3 2 2 3" xfId="10895" xr:uid="{00000000-0005-0000-0000-00008E2A0000}"/>
    <cellStyle name="Normal 4 4 2 3 2 3" xfId="10896" xr:uid="{00000000-0005-0000-0000-00008F2A0000}"/>
    <cellStyle name="Normal 4 4 2 3 2 3 2" xfId="10897" xr:uid="{00000000-0005-0000-0000-0000902A0000}"/>
    <cellStyle name="Normal 4 4 2 3 2 3 2 2" xfId="10898" xr:uid="{00000000-0005-0000-0000-0000912A0000}"/>
    <cellStyle name="Normal 4 4 2 3 2 3 3" xfId="10899" xr:uid="{00000000-0005-0000-0000-0000922A0000}"/>
    <cellStyle name="Normal 4 4 2 3 2 4" xfId="10900" xr:uid="{00000000-0005-0000-0000-0000932A0000}"/>
    <cellStyle name="Normal 4 4 2 3 2 4 2" xfId="10901" xr:uid="{00000000-0005-0000-0000-0000942A0000}"/>
    <cellStyle name="Normal 4 4 2 3 2 5" xfId="10902" xr:uid="{00000000-0005-0000-0000-0000952A0000}"/>
    <cellStyle name="Normal 4 4 2 3 3" xfId="10903" xr:uid="{00000000-0005-0000-0000-0000962A0000}"/>
    <cellStyle name="Normal 4 4 2 3 3 2" xfId="10904" xr:uid="{00000000-0005-0000-0000-0000972A0000}"/>
    <cellStyle name="Normal 4 4 2 3 3 2 2" xfId="10905" xr:uid="{00000000-0005-0000-0000-0000982A0000}"/>
    <cellStyle name="Normal 4 4 2 3 3 2 2 2" xfId="10906" xr:uid="{00000000-0005-0000-0000-0000992A0000}"/>
    <cellStyle name="Normal 4 4 2 3 3 2 3" xfId="10907" xr:uid="{00000000-0005-0000-0000-00009A2A0000}"/>
    <cellStyle name="Normal 4 4 2 3 3 3" xfId="10908" xr:uid="{00000000-0005-0000-0000-00009B2A0000}"/>
    <cellStyle name="Normal 4 4 2 3 3 3 2" xfId="10909" xr:uid="{00000000-0005-0000-0000-00009C2A0000}"/>
    <cellStyle name="Normal 4 4 2 3 3 3 2 2" xfId="10910" xr:uid="{00000000-0005-0000-0000-00009D2A0000}"/>
    <cellStyle name="Normal 4 4 2 3 3 3 3" xfId="10911" xr:uid="{00000000-0005-0000-0000-00009E2A0000}"/>
    <cellStyle name="Normal 4 4 2 3 3 4" xfId="10912" xr:uid="{00000000-0005-0000-0000-00009F2A0000}"/>
    <cellStyle name="Normal 4 4 2 3 3 4 2" xfId="10913" xr:uid="{00000000-0005-0000-0000-0000A02A0000}"/>
    <cellStyle name="Normal 4 4 2 3 3 5" xfId="10914" xr:uid="{00000000-0005-0000-0000-0000A12A0000}"/>
    <cellStyle name="Normal 4 4 2 3 4" xfId="10915" xr:uid="{00000000-0005-0000-0000-0000A22A0000}"/>
    <cellStyle name="Normal 4 4 2 3 4 2" xfId="10916" xr:uid="{00000000-0005-0000-0000-0000A32A0000}"/>
    <cellStyle name="Normal 4 4 2 3 4 2 2" xfId="10917" xr:uid="{00000000-0005-0000-0000-0000A42A0000}"/>
    <cellStyle name="Normal 4 4 2 3 4 3" xfId="10918" xr:uid="{00000000-0005-0000-0000-0000A52A0000}"/>
    <cellStyle name="Normal 4 4 2 3 5" xfId="10919" xr:uid="{00000000-0005-0000-0000-0000A62A0000}"/>
    <cellStyle name="Normal 4 4 2 3 5 2" xfId="10920" xr:uid="{00000000-0005-0000-0000-0000A72A0000}"/>
    <cellStyle name="Normal 4 4 2 3 5 2 2" xfId="10921" xr:uid="{00000000-0005-0000-0000-0000A82A0000}"/>
    <cellStyle name="Normal 4 4 2 3 5 3" xfId="10922" xr:uid="{00000000-0005-0000-0000-0000A92A0000}"/>
    <cellStyle name="Normal 4 4 2 3 6" xfId="10923" xr:uid="{00000000-0005-0000-0000-0000AA2A0000}"/>
    <cellStyle name="Normal 4 4 2 3 6 2" xfId="10924" xr:uid="{00000000-0005-0000-0000-0000AB2A0000}"/>
    <cellStyle name="Normal 4 4 2 3 7" xfId="10925" xr:uid="{00000000-0005-0000-0000-0000AC2A0000}"/>
    <cellStyle name="Normal 4 4 2 4" xfId="10926" xr:uid="{00000000-0005-0000-0000-0000AD2A0000}"/>
    <cellStyle name="Normal 4 4 2 4 2" xfId="10927" xr:uid="{00000000-0005-0000-0000-0000AE2A0000}"/>
    <cellStyle name="Normal 4 4 2 4 2 2" xfId="10928" xr:uid="{00000000-0005-0000-0000-0000AF2A0000}"/>
    <cellStyle name="Normal 4 4 2 4 2 2 2" xfId="10929" xr:uid="{00000000-0005-0000-0000-0000B02A0000}"/>
    <cellStyle name="Normal 4 4 2 4 2 2 2 2" xfId="10930" xr:uid="{00000000-0005-0000-0000-0000B12A0000}"/>
    <cellStyle name="Normal 4 4 2 4 2 2 3" xfId="10931" xr:uid="{00000000-0005-0000-0000-0000B22A0000}"/>
    <cellStyle name="Normal 4 4 2 4 2 3" xfId="10932" xr:uid="{00000000-0005-0000-0000-0000B32A0000}"/>
    <cellStyle name="Normal 4 4 2 4 2 3 2" xfId="10933" xr:uid="{00000000-0005-0000-0000-0000B42A0000}"/>
    <cellStyle name="Normal 4 4 2 4 2 3 2 2" xfId="10934" xr:uid="{00000000-0005-0000-0000-0000B52A0000}"/>
    <cellStyle name="Normal 4 4 2 4 2 3 3" xfId="10935" xr:uid="{00000000-0005-0000-0000-0000B62A0000}"/>
    <cellStyle name="Normal 4 4 2 4 2 4" xfId="10936" xr:uid="{00000000-0005-0000-0000-0000B72A0000}"/>
    <cellStyle name="Normal 4 4 2 4 2 4 2" xfId="10937" xr:uid="{00000000-0005-0000-0000-0000B82A0000}"/>
    <cellStyle name="Normal 4 4 2 4 2 5" xfId="10938" xr:uid="{00000000-0005-0000-0000-0000B92A0000}"/>
    <cellStyle name="Normal 4 4 2 4 3" xfId="10939" xr:uid="{00000000-0005-0000-0000-0000BA2A0000}"/>
    <cellStyle name="Normal 4 4 2 4 3 2" xfId="10940" xr:uid="{00000000-0005-0000-0000-0000BB2A0000}"/>
    <cellStyle name="Normal 4 4 2 4 3 2 2" xfId="10941" xr:uid="{00000000-0005-0000-0000-0000BC2A0000}"/>
    <cellStyle name="Normal 4 4 2 4 3 2 2 2" xfId="10942" xr:uid="{00000000-0005-0000-0000-0000BD2A0000}"/>
    <cellStyle name="Normal 4 4 2 4 3 2 3" xfId="10943" xr:uid="{00000000-0005-0000-0000-0000BE2A0000}"/>
    <cellStyle name="Normal 4 4 2 4 3 3" xfId="10944" xr:uid="{00000000-0005-0000-0000-0000BF2A0000}"/>
    <cellStyle name="Normal 4 4 2 4 3 3 2" xfId="10945" xr:uid="{00000000-0005-0000-0000-0000C02A0000}"/>
    <cellStyle name="Normal 4 4 2 4 3 4" xfId="10946" xr:uid="{00000000-0005-0000-0000-0000C12A0000}"/>
    <cellStyle name="Normal 4 4 2 4 4" xfId="10947" xr:uid="{00000000-0005-0000-0000-0000C22A0000}"/>
    <cellStyle name="Normal 4 4 2 4 4 2" xfId="10948" xr:uid="{00000000-0005-0000-0000-0000C32A0000}"/>
    <cellStyle name="Normal 4 4 2 4 4 2 2" xfId="10949" xr:uid="{00000000-0005-0000-0000-0000C42A0000}"/>
    <cellStyle name="Normal 4 4 2 4 4 3" xfId="10950" xr:uid="{00000000-0005-0000-0000-0000C52A0000}"/>
    <cellStyle name="Normal 4 4 2 4 5" xfId="10951" xr:uid="{00000000-0005-0000-0000-0000C62A0000}"/>
    <cellStyle name="Normal 4 4 2 4 5 2" xfId="10952" xr:uid="{00000000-0005-0000-0000-0000C72A0000}"/>
    <cellStyle name="Normal 4 4 2 4 5 2 2" xfId="10953" xr:uid="{00000000-0005-0000-0000-0000C82A0000}"/>
    <cellStyle name="Normal 4 4 2 4 5 3" xfId="10954" xr:uid="{00000000-0005-0000-0000-0000C92A0000}"/>
    <cellStyle name="Normal 4 4 2 4 6" xfId="10955" xr:uid="{00000000-0005-0000-0000-0000CA2A0000}"/>
    <cellStyle name="Normal 4 4 2 4 6 2" xfId="10956" xr:uid="{00000000-0005-0000-0000-0000CB2A0000}"/>
    <cellStyle name="Normal 4 4 2 4 7" xfId="10957" xr:uid="{00000000-0005-0000-0000-0000CC2A0000}"/>
    <cellStyle name="Normal 4 4 2 5" xfId="10958" xr:uid="{00000000-0005-0000-0000-0000CD2A0000}"/>
    <cellStyle name="Normal 4 4 2 5 2" xfId="10959" xr:uid="{00000000-0005-0000-0000-0000CE2A0000}"/>
    <cellStyle name="Normal 4 4 2 5 2 2" xfId="10960" xr:uid="{00000000-0005-0000-0000-0000CF2A0000}"/>
    <cellStyle name="Normal 4 4 2 5 2 2 2" xfId="10961" xr:uid="{00000000-0005-0000-0000-0000D02A0000}"/>
    <cellStyle name="Normal 4 4 2 5 2 3" xfId="10962" xr:uid="{00000000-0005-0000-0000-0000D12A0000}"/>
    <cellStyle name="Normal 4 4 2 5 3" xfId="10963" xr:uid="{00000000-0005-0000-0000-0000D22A0000}"/>
    <cellStyle name="Normal 4 4 2 5 3 2" xfId="10964" xr:uid="{00000000-0005-0000-0000-0000D32A0000}"/>
    <cellStyle name="Normal 4 4 2 5 3 2 2" xfId="10965" xr:uid="{00000000-0005-0000-0000-0000D42A0000}"/>
    <cellStyle name="Normal 4 4 2 5 3 3" xfId="10966" xr:uid="{00000000-0005-0000-0000-0000D52A0000}"/>
    <cellStyle name="Normal 4 4 2 5 4" xfId="10967" xr:uid="{00000000-0005-0000-0000-0000D62A0000}"/>
    <cellStyle name="Normal 4 4 2 5 4 2" xfId="10968" xr:uid="{00000000-0005-0000-0000-0000D72A0000}"/>
    <cellStyle name="Normal 4 4 2 5 5" xfId="10969" xr:uid="{00000000-0005-0000-0000-0000D82A0000}"/>
    <cellStyle name="Normal 4 4 2 6" xfId="10970" xr:uid="{00000000-0005-0000-0000-0000D92A0000}"/>
    <cellStyle name="Normal 4 4 2 6 2" xfId="10971" xr:uid="{00000000-0005-0000-0000-0000DA2A0000}"/>
    <cellStyle name="Normal 4 4 2 6 2 2" xfId="10972" xr:uid="{00000000-0005-0000-0000-0000DB2A0000}"/>
    <cellStyle name="Normal 4 4 2 6 2 2 2" xfId="10973" xr:uid="{00000000-0005-0000-0000-0000DC2A0000}"/>
    <cellStyle name="Normal 4 4 2 6 2 3" xfId="10974" xr:uid="{00000000-0005-0000-0000-0000DD2A0000}"/>
    <cellStyle name="Normal 4 4 2 6 3" xfId="10975" xr:uid="{00000000-0005-0000-0000-0000DE2A0000}"/>
    <cellStyle name="Normal 4 4 2 6 3 2" xfId="10976" xr:uid="{00000000-0005-0000-0000-0000DF2A0000}"/>
    <cellStyle name="Normal 4 4 2 6 3 2 2" xfId="10977" xr:uid="{00000000-0005-0000-0000-0000E02A0000}"/>
    <cellStyle name="Normal 4 4 2 6 3 3" xfId="10978" xr:uid="{00000000-0005-0000-0000-0000E12A0000}"/>
    <cellStyle name="Normal 4 4 2 6 4" xfId="10979" xr:uid="{00000000-0005-0000-0000-0000E22A0000}"/>
    <cellStyle name="Normal 4 4 2 6 4 2" xfId="10980" xr:uid="{00000000-0005-0000-0000-0000E32A0000}"/>
    <cellStyle name="Normal 4 4 2 6 5" xfId="10981" xr:uid="{00000000-0005-0000-0000-0000E42A0000}"/>
    <cellStyle name="Normal 4 4 2 7" xfId="10982" xr:uid="{00000000-0005-0000-0000-0000E52A0000}"/>
    <cellStyle name="Normal 4 4 2 7 2" xfId="10983" xr:uid="{00000000-0005-0000-0000-0000E62A0000}"/>
    <cellStyle name="Normal 4 4 2 7 2 2" xfId="10984" xr:uid="{00000000-0005-0000-0000-0000E72A0000}"/>
    <cellStyle name="Normal 4 4 2 7 2 2 2" xfId="10985" xr:uid="{00000000-0005-0000-0000-0000E82A0000}"/>
    <cellStyle name="Normal 4 4 2 7 2 3" xfId="10986" xr:uid="{00000000-0005-0000-0000-0000E92A0000}"/>
    <cellStyle name="Normal 4 4 2 7 3" xfId="10987" xr:uid="{00000000-0005-0000-0000-0000EA2A0000}"/>
    <cellStyle name="Normal 4 4 2 7 3 2" xfId="10988" xr:uid="{00000000-0005-0000-0000-0000EB2A0000}"/>
    <cellStyle name="Normal 4 4 2 7 4" xfId="10989" xr:uid="{00000000-0005-0000-0000-0000EC2A0000}"/>
    <cellStyle name="Normal 4 4 2 8" xfId="10990" xr:uid="{00000000-0005-0000-0000-0000ED2A0000}"/>
    <cellStyle name="Normal 4 4 2 8 2" xfId="10991" xr:uid="{00000000-0005-0000-0000-0000EE2A0000}"/>
    <cellStyle name="Normal 4 4 2 8 2 2" xfId="10992" xr:uid="{00000000-0005-0000-0000-0000EF2A0000}"/>
    <cellStyle name="Normal 4 4 2 8 3" xfId="10993" xr:uid="{00000000-0005-0000-0000-0000F02A0000}"/>
    <cellStyle name="Normal 4 4 2 9" xfId="10994" xr:uid="{00000000-0005-0000-0000-0000F12A0000}"/>
    <cellStyle name="Normal 4 4 2 9 2" xfId="10995" xr:uid="{00000000-0005-0000-0000-0000F22A0000}"/>
    <cellStyle name="Normal 4 4 2 9 2 2" xfId="10996" xr:uid="{00000000-0005-0000-0000-0000F32A0000}"/>
    <cellStyle name="Normal 4 4 2 9 3" xfId="10997" xr:uid="{00000000-0005-0000-0000-0000F42A0000}"/>
    <cellStyle name="Normal 4 4 3" xfId="10998" xr:uid="{00000000-0005-0000-0000-0000F52A0000}"/>
    <cellStyle name="Normal 4 4 3 2" xfId="10999" xr:uid="{00000000-0005-0000-0000-0000F62A0000}"/>
    <cellStyle name="Normal 4 4 3 2 2" xfId="11000" xr:uid="{00000000-0005-0000-0000-0000F72A0000}"/>
    <cellStyle name="Normal 4 4 3 2 2 2" xfId="11001" xr:uid="{00000000-0005-0000-0000-0000F82A0000}"/>
    <cellStyle name="Normal 4 4 3 2 2 2 2" xfId="11002" xr:uid="{00000000-0005-0000-0000-0000F92A0000}"/>
    <cellStyle name="Normal 4 4 3 2 2 2 2 2" xfId="11003" xr:uid="{00000000-0005-0000-0000-0000FA2A0000}"/>
    <cellStyle name="Normal 4 4 3 2 2 2 3" xfId="11004" xr:uid="{00000000-0005-0000-0000-0000FB2A0000}"/>
    <cellStyle name="Normal 4 4 3 2 2 3" xfId="11005" xr:uid="{00000000-0005-0000-0000-0000FC2A0000}"/>
    <cellStyle name="Normal 4 4 3 2 2 3 2" xfId="11006" xr:uid="{00000000-0005-0000-0000-0000FD2A0000}"/>
    <cellStyle name="Normal 4 4 3 2 2 3 2 2" xfId="11007" xr:uid="{00000000-0005-0000-0000-0000FE2A0000}"/>
    <cellStyle name="Normal 4 4 3 2 2 3 3" xfId="11008" xr:uid="{00000000-0005-0000-0000-0000FF2A0000}"/>
    <cellStyle name="Normal 4 4 3 2 2 4" xfId="11009" xr:uid="{00000000-0005-0000-0000-0000002B0000}"/>
    <cellStyle name="Normal 4 4 3 2 2 4 2" xfId="11010" xr:uid="{00000000-0005-0000-0000-0000012B0000}"/>
    <cellStyle name="Normal 4 4 3 2 2 5" xfId="11011" xr:uid="{00000000-0005-0000-0000-0000022B0000}"/>
    <cellStyle name="Normal 4 4 3 2 3" xfId="11012" xr:uid="{00000000-0005-0000-0000-0000032B0000}"/>
    <cellStyle name="Normal 4 4 3 2 3 2" xfId="11013" xr:uid="{00000000-0005-0000-0000-0000042B0000}"/>
    <cellStyle name="Normal 4 4 3 2 3 2 2" xfId="11014" xr:uid="{00000000-0005-0000-0000-0000052B0000}"/>
    <cellStyle name="Normal 4 4 3 2 3 2 2 2" xfId="11015" xr:uid="{00000000-0005-0000-0000-0000062B0000}"/>
    <cellStyle name="Normal 4 4 3 2 3 2 3" xfId="11016" xr:uid="{00000000-0005-0000-0000-0000072B0000}"/>
    <cellStyle name="Normal 4 4 3 2 3 3" xfId="11017" xr:uid="{00000000-0005-0000-0000-0000082B0000}"/>
    <cellStyle name="Normal 4 4 3 2 3 3 2" xfId="11018" xr:uid="{00000000-0005-0000-0000-0000092B0000}"/>
    <cellStyle name="Normal 4 4 3 2 3 3 2 2" xfId="11019" xr:uid="{00000000-0005-0000-0000-00000A2B0000}"/>
    <cellStyle name="Normal 4 4 3 2 3 3 3" xfId="11020" xr:uid="{00000000-0005-0000-0000-00000B2B0000}"/>
    <cellStyle name="Normal 4 4 3 2 3 4" xfId="11021" xr:uid="{00000000-0005-0000-0000-00000C2B0000}"/>
    <cellStyle name="Normal 4 4 3 2 3 4 2" xfId="11022" xr:uid="{00000000-0005-0000-0000-00000D2B0000}"/>
    <cellStyle name="Normal 4 4 3 2 3 5" xfId="11023" xr:uid="{00000000-0005-0000-0000-00000E2B0000}"/>
    <cellStyle name="Normal 4 4 3 2 4" xfId="11024" xr:uid="{00000000-0005-0000-0000-00000F2B0000}"/>
    <cellStyle name="Normal 4 4 3 2 4 2" xfId="11025" xr:uid="{00000000-0005-0000-0000-0000102B0000}"/>
    <cellStyle name="Normal 4 4 3 2 4 2 2" xfId="11026" xr:uid="{00000000-0005-0000-0000-0000112B0000}"/>
    <cellStyle name="Normal 4 4 3 2 4 3" xfId="11027" xr:uid="{00000000-0005-0000-0000-0000122B0000}"/>
    <cellStyle name="Normal 4 4 3 2 5" xfId="11028" xr:uid="{00000000-0005-0000-0000-0000132B0000}"/>
    <cellStyle name="Normal 4 4 3 2 5 2" xfId="11029" xr:uid="{00000000-0005-0000-0000-0000142B0000}"/>
    <cellStyle name="Normal 4 4 3 2 5 2 2" xfId="11030" xr:uid="{00000000-0005-0000-0000-0000152B0000}"/>
    <cellStyle name="Normal 4 4 3 2 5 3" xfId="11031" xr:uid="{00000000-0005-0000-0000-0000162B0000}"/>
    <cellStyle name="Normal 4 4 3 2 6" xfId="11032" xr:uid="{00000000-0005-0000-0000-0000172B0000}"/>
    <cellStyle name="Normal 4 4 3 2 6 2" xfId="11033" xr:uid="{00000000-0005-0000-0000-0000182B0000}"/>
    <cellStyle name="Normal 4 4 3 2 7" xfId="11034" xr:uid="{00000000-0005-0000-0000-0000192B0000}"/>
    <cellStyle name="Normal 4 4 3 3" xfId="11035" xr:uid="{00000000-0005-0000-0000-00001A2B0000}"/>
    <cellStyle name="Normal 4 4 3 3 2" xfId="11036" xr:uid="{00000000-0005-0000-0000-00001B2B0000}"/>
    <cellStyle name="Normal 4 4 3 3 2 2" xfId="11037" xr:uid="{00000000-0005-0000-0000-00001C2B0000}"/>
    <cellStyle name="Normal 4 4 3 3 2 2 2" xfId="11038" xr:uid="{00000000-0005-0000-0000-00001D2B0000}"/>
    <cellStyle name="Normal 4 4 3 3 2 3" xfId="11039" xr:uid="{00000000-0005-0000-0000-00001E2B0000}"/>
    <cellStyle name="Normal 4 4 3 3 3" xfId="11040" xr:uid="{00000000-0005-0000-0000-00001F2B0000}"/>
    <cellStyle name="Normal 4 4 3 3 3 2" xfId="11041" xr:uid="{00000000-0005-0000-0000-0000202B0000}"/>
    <cellStyle name="Normal 4 4 3 3 3 2 2" xfId="11042" xr:uid="{00000000-0005-0000-0000-0000212B0000}"/>
    <cellStyle name="Normal 4 4 3 3 3 3" xfId="11043" xr:uid="{00000000-0005-0000-0000-0000222B0000}"/>
    <cellStyle name="Normal 4 4 3 3 4" xfId="11044" xr:uid="{00000000-0005-0000-0000-0000232B0000}"/>
    <cellStyle name="Normal 4 4 3 3 4 2" xfId="11045" xr:uid="{00000000-0005-0000-0000-0000242B0000}"/>
    <cellStyle name="Normal 4 4 3 3 5" xfId="11046" xr:uid="{00000000-0005-0000-0000-0000252B0000}"/>
    <cellStyle name="Normal 4 4 3 4" xfId="11047" xr:uid="{00000000-0005-0000-0000-0000262B0000}"/>
    <cellStyle name="Normal 4 4 3 4 2" xfId="11048" xr:uid="{00000000-0005-0000-0000-0000272B0000}"/>
    <cellStyle name="Normal 4 4 3 4 2 2" xfId="11049" xr:uid="{00000000-0005-0000-0000-0000282B0000}"/>
    <cellStyle name="Normal 4 4 3 4 2 2 2" xfId="11050" xr:uid="{00000000-0005-0000-0000-0000292B0000}"/>
    <cellStyle name="Normal 4 4 3 4 2 3" xfId="11051" xr:uid="{00000000-0005-0000-0000-00002A2B0000}"/>
    <cellStyle name="Normal 4 4 3 4 3" xfId="11052" xr:uid="{00000000-0005-0000-0000-00002B2B0000}"/>
    <cellStyle name="Normal 4 4 3 4 3 2" xfId="11053" xr:uid="{00000000-0005-0000-0000-00002C2B0000}"/>
    <cellStyle name="Normal 4 4 3 4 3 2 2" xfId="11054" xr:uid="{00000000-0005-0000-0000-00002D2B0000}"/>
    <cellStyle name="Normal 4 4 3 4 3 3" xfId="11055" xr:uid="{00000000-0005-0000-0000-00002E2B0000}"/>
    <cellStyle name="Normal 4 4 3 4 4" xfId="11056" xr:uid="{00000000-0005-0000-0000-00002F2B0000}"/>
    <cellStyle name="Normal 4 4 3 4 4 2" xfId="11057" xr:uid="{00000000-0005-0000-0000-0000302B0000}"/>
    <cellStyle name="Normal 4 4 3 4 5" xfId="11058" xr:uid="{00000000-0005-0000-0000-0000312B0000}"/>
    <cellStyle name="Normal 4 4 3 5" xfId="11059" xr:uid="{00000000-0005-0000-0000-0000322B0000}"/>
    <cellStyle name="Normal 4 4 3 5 2" xfId="11060" xr:uid="{00000000-0005-0000-0000-0000332B0000}"/>
    <cellStyle name="Normal 4 4 3 5 2 2" xfId="11061" xr:uid="{00000000-0005-0000-0000-0000342B0000}"/>
    <cellStyle name="Normal 4 4 3 5 3" xfId="11062" xr:uid="{00000000-0005-0000-0000-0000352B0000}"/>
    <cellStyle name="Normal 4 4 3 6" xfId="11063" xr:uid="{00000000-0005-0000-0000-0000362B0000}"/>
    <cellStyle name="Normal 4 4 3 6 2" xfId="11064" xr:uid="{00000000-0005-0000-0000-0000372B0000}"/>
    <cellStyle name="Normal 4 4 3 6 2 2" xfId="11065" xr:uid="{00000000-0005-0000-0000-0000382B0000}"/>
    <cellStyle name="Normal 4 4 3 6 3" xfId="11066" xr:uid="{00000000-0005-0000-0000-0000392B0000}"/>
    <cellStyle name="Normal 4 4 3 7" xfId="11067" xr:uid="{00000000-0005-0000-0000-00003A2B0000}"/>
    <cellStyle name="Normal 4 4 3 7 2" xfId="11068" xr:uid="{00000000-0005-0000-0000-00003B2B0000}"/>
    <cellStyle name="Normal 4 4 3 7 2 2" xfId="11069" xr:uid="{00000000-0005-0000-0000-00003C2B0000}"/>
    <cellStyle name="Normal 4 4 3 7 3" xfId="11070" xr:uid="{00000000-0005-0000-0000-00003D2B0000}"/>
    <cellStyle name="Normal 4 4 3 8" xfId="11071" xr:uid="{00000000-0005-0000-0000-00003E2B0000}"/>
    <cellStyle name="Normal 4 4 3 8 2" xfId="11072" xr:uid="{00000000-0005-0000-0000-00003F2B0000}"/>
    <cellStyle name="Normal 4 4 3 9" xfId="11073" xr:uid="{00000000-0005-0000-0000-0000402B0000}"/>
    <cellStyle name="Normal 4 4 4" xfId="11074" xr:uid="{00000000-0005-0000-0000-0000412B0000}"/>
    <cellStyle name="Normal 4 4 4 2" xfId="11075" xr:uid="{00000000-0005-0000-0000-0000422B0000}"/>
    <cellStyle name="Normal 4 4 4 2 2" xfId="11076" xr:uid="{00000000-0005-0000-0000-0000432B0000}"/>
    <cellStyle name="Normal 4 4 4 2 2 2" xfId="11077" xr:uid="{00000000-0005-0000-0000-0000442B0000}"/>
    <cellStyle name="Normal 4 4 4 2 2 2 2" xfId="11078" xr:uid="{00000000-0005-0000-0000-0000452B0000}"/>
    <cellStyle name="Normal 4 4 4 2 2 3" xfId="11079" xr:uid="{00000000-0005-0000-0000-0000462B0000}"/>
    <cellStyle name="Normal 4 4 4 2 3" xfId="11080" xr:uid="{00000000-0005-0000-0000-0000472B0000}"/>
    <cellStyle name="Normal 4 4 4 2 3 2" xfId="11081" xr:uid="{00000000-0005-0000-0000-0000482B0000}"/>
    <cellStyle name="Normal 4 4 4 2 3 2 2" xfId="11082" xr:uid="{00000000-0005-0000-0000-0000492B0000}"/>
    <cellStyle name="Normal 4 4 4 2 3 3" xfId="11083" xr:uid="{00000000-0005-0000-0000-00004A2B0000}"/>
    <cellStyle name="Normal 4 4 4 2 4" xfId="11084" xr:uid="{00000000-0005-0000-0000-00004B2B0000}"/>
    <cellStyle name="Normal 4 4 4 2 4 2" xfId="11085" xr:uid="{00000000-0005-0000-0000-00004C2B0000}"/>
    <cellStyle name="Normal 4 4 4 2 5" xfId="11086" xr:uid="{00000000-0005-0000-0000-00004D2B0000}"/>
    <cellStyle name="Normal 4 4 4 3" xfId="11087" xr:uid="{00000000-0005-0000-0000-00004E2B0000}"/>
    <cellStyle name="Normal 4 4 4 3 2" xfId="11088" xr:uid="{00000000-0005-0000-0000-00004F2B0000}"/>
    <cellStyle name="Normal 4 4 4 3 2 2" xfId="11089" xr:uid="{00000000-0005-0000-0000-0000502B0000}"/>
    <cellStyle name="Normal 4 4 4 3 2 2 2" xfId="11090" xr:uid="{00000000-0005-0000-0000-0000512B0000}"/>
    <cellStyle name="Normal 4 4 4 3 2 3" xfId="11091" xr:uid="{00000000-0005-0000-0000-0000522B0000}"/>
    <cellStyle name="Normal 4 4 4 3 3" xfId="11092" xr:uid="{00000000-0005-0000-0000-0000532B0000}"/>
    <cellStyle name="Normal 4 4 4 3 3 2" xfId="11093" xr:uid="{00000000-0005-0000-0000-0000542B0000}"/>
    <cellStyle name="Normal 4 4 4 3 3 2 2" xfId="11094" xr:uid="{00000000-0005-0000-0000-0000552B0000}"/>
    <cellStyle name="Normal 4 4 4 3 3 3" xfId="11095" xr:uid="{00000000-0005-0000-0000-0000562B0000}"/>
    <cellStyle name="Normal 4 4 4 3 4" xfId="11096" xr:uid="{00000000-0005-0000-0000-0000572B0000}"/>
    <cellStyle name="Normal 4 4 4 3 4 2" xfId="11097" xr:uid="{00000000-0005-0000-0000-0000582B0000}"/>
    <cellStyle name="Normal 4 4 4 3 5" xfId="11098" xr:uid="{00000000-0005-0000-0000-0000592B0000}"/>
    <cellStyle name="Normal 4 4 4 4" xfId="11099" xr:uid="{00000000-0005-0000-0000-00005A2B0000}"/>
    <cellStyle name="Normal 4 4 4 4 2" xfId="11100" xr:uid="{00000000-0005-0000-0000-00005B2B0000}"/>
    <cellStyle name="Normal 4 4 4 4 2 2" xfId="11101" xr:uid="{00000000-0005-0000-0000-00005C2B0000}"/>
    <cellStyle name="Normal 4 4 4 4 3" xfId="11102" xr:uid="{00000000-0005-0000-0000-00005D2B0000}"/>
    <cellStyle name="Normal 4 4 4 5" xfId="11103" xr:uid="{00000000-0005-0000-0000-00005E2B0000}"/>
    <cellStyle name="Normal 4 4 4 5 2" xfId="11104" xr:uid="{00000000-0005-0000-0000-00005F2B0000}"/>
    <cellStyle name="Normal 4 4 4 5 2 2" xfId="11105" xr:uid="{00000000-0005-0000-0000-0000602B0000}"/>
    <cellStyle name="Normal 4 4 4 5 3" xfId="11106" xr:uid="{00000000-0005-0000-0000-0000612B0000}"/>
    <cellStyle name="Normal 4 4 4 6" xfId="11107" xr:uid="{00000000-0005-0000-0000-0000622B0000}"/>
    <cellStyle name="Normal 4 4 4 6 2" xfId="11108" xr:uid="{00000000-0005-0000-0000-0000632B0000}"/>
    <cellStyle name="Normal 4 4 4 7" xfId="11109" xr:uid="{00000000-0005-0000-0000-0000642B0000}"/>
    <cellStyle name="Normal 4 4 5" xfId="11110" xr:uid="{00000000-0005-0000-0000-0000652B0000}"/>
    <cellStyle name="Normal 4 4 5 2" xfId="11111" xr:uid="{00000000-0005-0000-0000-0000662B0000}"/>
    <cellStyle name="Normal 4 4 5 2 2" xfId="11112" xr:uid="{00000000-0005-0000-0000-0000672B0000}"/>
    <cellStyle name="Normal 4 4 5 2 2 2" xfId="11113" xr:uid="{00000000-0005-0000-0000-0000682B0000}"/>
    <cellStyle name="Normal 4 4 5 2 2 2 2" xfId="11114" xr:uid="{00000000-0005-0000-0000-0000692B0000}"/>
    <cellStyle name="Normal 4 4 5 2 2 3" xfId="11115" xr:uid="{00000000-0005-0000-0000-00006A2B0000}"/>
    <cellStyle name="Normal 4 4 5 2 3" xfId="11116" xr:uid="{00000000-0005-0000-0000-00006B2B0000}"/>
    <cellStyle name="Normal 4 4 5 2 3 2" xfId="11117" xr:uid="{00000000-0005-0000-0000-00006C2B0000}"/>
    <cellStyle name="Normal 4 4 5 2 3 2 2" xfId="11118" xr:uid="{00000000-0005-0000-0000-00006D2B0000}"/>
    <cellStyle name="Normal 4 4 5 2 3 3" xfId="11119" xr:uid="{00000000-0005-0000-0000-00006E2B0000}"/>
    <cellStyle name="Normal 4 4 5 2 4" xfId="11120" xr:uid="{00000000-0005-0000-0000-00006F2B0000}"/>
    <cellStyle name="Normal 4 4 5 2 4 2" xfId="11121" xr:uid="{00000000-0005-0000-0000-0000702B0000}"/>
    <cellStyle name="Normal 4 4 5 2 5" xfId="11122" xr:uid="{00000000-0005-0000-0000-0000712B0000}"/>
    <cellStyle name="Normal 4 4 5 3" xfId="11123" xr:uid="{00000000-0005-0000-0000-0000722B0000}"/>
    <cellStyle name="Normal 4 4 5 3 2" xfId="11124" xr:uid="{00000000-0005-0000-0000-0000732B0000}"/>
    <cellStyle name="Normal 4 4 5 3 2 2" xfId="11125" xr:uid="{00000000-0005-0000-0000-0000742B0000}"/>
    <cellStyle name="Normal 4 4 5 3 2 2 2" xfId="11126" xr:uid="{00000000-0005-0000-0000-0000752B0000}"/>
    <cellStyle name="Normal 4 4 5 3 2 3" xfId="11127" xr:uid="{00000000-0005-0000-0000-0000762B0000}"/>
    <cellStyle name="Normal 4 4 5 3 3" xfId="11128" xr:uid="{00000000-0005-0000-0000-0000772B0000}"/>
    <cellStyle name="Normal 4 4 5 3 3 2" xfId="11129" xr:uid="{00000000-0005-0000-0000-0000782B0000}"/>
    <cellStyle name="Normal 4 4 5 3 4" xfId="11130" xr:uid="{00000000-0005-0000-0000-0000792B0000}"/>
    <cellStyle name="Normal 4 4 5 4" xfId="11131" xr:uid="{00000000-0005-0000-0000-00007A2B0000}"/>
    <cellStyle name="Normal 4 4 5 4 2" xfId="11132" xr:uid="{00000000-0005-0000-0000-00007B2B0000}"/>
    <cellStyle name="Normal 4 4 5 4 2 2" xfId="11133" xr:uid="{00000000-0005-0000-0000-00007C2B0000}"/>
    <cellStyle name="Normal 4 4 5 4 3" xfId="11134" xr:uid="{00000000-0005-0000-0000-00007D2B0000}"/>
    <cellStyle name="Normal 4 4 5 5" xfId="11135" xr:uid="{00000000-0005-0000-0000-00007E2B0000}"/>
    <cellStyle name="Normal 4 4 5 5 2" xfId="11136" xr:uid="{00000000-0005-0000-0000-00007F2B0000}"/>
    <cellStyle name="Normal 4 4 5 5 2 2" xfId="11137" xr:uid="{00000000-0005-0000-0000-0000802B0000}"/>
    <cellStyle name="Normal 4 4 5 5 3" xfId="11138" xr:uid="{00000000-0005-0000-0000-0000812B0000}"/>
    <cellStyle name="Normal 4 4 5 6" xfId="11139" xr:uid="{00000000-0005-0000-0000-0000822B0000}"/>
    <cellStyle name="Normal 4 4 5 6 2" xfId="11140" xr:uid="{00000000-0005-0000-0000-0000832B0000}"/>
    <cellStyle name="Normal 4 4 5 7" xfId="11141" xr:uid="{00000000-0005-0000-0000-0000842B0000}"/>
    <cellStyle name="Normal 4 4 6" xfId="11142" xr:uid="{00000000-0005-0000-0000-0000852B0000}"/>
    <cellStyle name="Normal 4 4 6 2" xfId="11143" xr:uid="{00000000-0005-0000-0000-0000862B0000}"/>
    <cellStyle name="Normal 4 4 6 2 2" xfId="11144" xr:uid="{00000000-0005-0000-0000-0000872B0000}"/>
    <cellStyle name="Normal 4 4 6 2 2 2" xfId="11145" xr:uid="{00000000-0005-0000-0000-0000882B0000}"/>
    <cellStyle name="Normal 4 4 6 2 3" xfId="11146" xr:uid="{00000000-0005-0000-0000-0000892B0000}"/>
    <cellStyle name="Normal 4 4 6 3" xfId="11147" xr:uid="{00000000-0005-0000-0000-00008A2B0000}"/>
    <cellStyle name="Normal 4 4 6 3 2" xfId="11148" xr:uid="{00000000-0005-0000-0000-00008B2B0000}"/>
    <cellStyle name="Normal 4 4 6 3 2 2" xfId="11149" xr:uid="{00000000-0005-0000-0000-00008C2B0000}"/>
    <cellStyle name="Normal 4 4 6 3 3" xfId="11150" xr:uid="{00000000-0005-0000-0000-00008D2B0000}"/>
    <cellStyle name="Normal 4 4 6 4" xfId="11151" xr:uid="{00000000-0005-0000-0000-00008E2B0000}"/>
    <cellStyle name="Normal 4 4 6 4 2" xfId="11152" xr:uid="{00000000-0005-0000-0000-00008F2B0000}"/>
    <cellStyle name="Normal 4 4 6 5" xfId="11153" xr:uid="{00000000-0005-0000-0000-0000902B0000}"/>
    <cellStyle name="Normal 4 4 7" xfId="11154" xr:uid="{00000000-0005-0000-0000-0000912B0000}"/>
    <cellStyle name="Normal 4 4 7 2" xfId="11155" xr:uid="{00000000-0005-0000-0000-0000922B0000}"/>
    <cellStyle name="Normal 4 4 7 2 2" xfId="11156" xr:uid="{00000000-0005-0000-0000-0000932B0000}"/>
    <cellStyle name="Normal 4 4 7 2 2 2" xfId="11157" xr:uid="{00000000-0005-0000-0000-0000942B0000}"/>
    <cellStyle name="Normal 4 4 7 2 3" xfId="11158" xr:uid="{00000000-0005-0000-0000-0000952B0000}"/>
    <cellStyle name="Normal 4 4 7 3" xfId="11159" xr:uid="{00000000-0005-0000-0000-0000962B0000}"/>
    <cellStyle name="Normal 4 4 7 3 2" xfId="11160" xr:uid="{00000000-0005-0000-0000-0000972B0000}"/>
    <cellStyle name="Normal 4 4 7 3 2 2" xfId="11161" xr:uid="{00000000-0005-0000-0000-0000982B0000}"/>
    <cellStyle name="Normal 4 4 7 3 3" xfId="11162" xr:uid="{00000000-0005-0000-0000-0000992B0000}"/>
    <cellStyle name="Normal 4 4 7 4" xfId="11163" xr:uid="{00000000-0005-0000-0000-00009A2B0000}"/>
    <cellStyle name="Normal 4 4 7 4 2" xfId="11164" xr:uid="{00000000-0005-0000-0000-00009B2B0000}"/>
    <cellStyle name="Normal 4 4 7 5" xfId="11165" xr:uid="{00000000-0005-0000-0000-00009C2B0000}"/>
    <cellStyle name="Normal 4 4 8" xfId="11166" xr:uid="{00000000-0005-0000-0000-00009D2B0000}"/>
    <cellStyle name="Normal 4 4 8 2" xfId="11167" xr:uid="{00000000-0005-0000-0000-00009E2B0000}"/>
    <cellStyle name="Normal 4 4 8 2 2" xfId="11168" xr:uid="{00000000-0005-0000-0000-00009F2B0000}"/>
    <cellStyle name="Normal 4 4 8 2 2 2" xfId="11169" xr:uid="{00000000-0005-0000-0000-0000A02B0000}"/>
    <cellStyle name="Normal 4 4 8 2 3" xfId="11170" xr:uid="{00000000-0005-0000-0000-0000A12B0000}"/>
    <cellStyle name="Normal 4 4 8 3" xfId="11171" xr:uid="{00000000-0005-0000-0000-0000A22B0000}"/>
    <cellStyle name="Normal 4 4 8 3 2" xfId="11172" xr:uid="{00000000-0005-0000-0000-0000A32B0000}"/>
    <cellStyle name="Normal 4 4 8 4" xfId="11173" xr:uid="{00000000-0005-0000-0000-0000A42B0000}"/>
    <cellStyle name="Normal 4 4 9" xfId="11174" xr:uid="{00000000-0005-0000-0000-0000A52B0000}"/>
    <cellStyle name="Normal 4 4 9 2" xfId="11175" xr:uid="{00000000-0005-0000-0000-0000A62B0000}"/>
    <cellStyle name="Normal 4 4 9 2 2" xfId="11176" xr:uid="{00000000-0005-0000-0000-0000A72B0000}"/>
    <cellStyle name="Normal 4 4 9 3" xfId="11177" xr:uid="{00000000-0005-0000-0000-0000A82B0000}"/>
    <cellStyle name="Normal 4 5" xfId="11178" xr:uid="{00000000-0005-0000-0000-0000A92B0000}"/>
    <cellStyle name="Normal 4 5 10" xfId="11179" xr:uid="{00000000-0005-0000-0000-0000AA2B0000}"/>
    <cellStyle name="Normal 4 5 10 2" xfId="11180" xr:uid="{00000000-0005-0000-0000-0000AB2B0000}"/>
    <cellStyle name="Normal 4 5 10 2 2" xfId="11181" xr:uid="{00000000-0005-0000-0000-0000AC2B0000}"/>
    <cellStyle name="Normal 4 5 10 3" xfId="11182" xr:uid="{00000000-0005-0000-0000-0000AD2B0000}"/>
    <cellStyle name="Normal 4 5 11" xfId="11183" xr:uid="{00000000-0005-0000-0000-0000AE2B0000}"/>
    <cellStyle name="Normal 4 5 11 2" xfId="11184" xr:uid="{00000000-0005-0000-0000-0000AF2B0000}"/>
    <cellStyle name="Normal 4 5 11 2 2" xfId="11185" xr:uid="{00000000-0005-0000-0000-0000B02B0000}"/>
    <cellStyle name="Normal 4 5 11 3" xfId="11186" xr:uid="{00000000-0005-0000-0000-0000B12B0000}"/>
    <cellStyle name="Normal 4 5 12" xfId="11187" xr:uid="{00000000-0005-0000-0000-0000B22B0000}"/>
    <cellStyle name="Normal 4 5 12 2" xfId="11188" xr:uid="{00000000-0005-0000-0000-0000B32B0000}"/>
    <cellStyle name="Normal 4 5 13" xfId="11189" xr:uid="{00000000-0005-0000-0000-0000B42B0000}"/>
    <cellStyle name="Normal 4 5 2" xfId="11190" xr:uid="{00000000-0005-0000-0000-0000B52B0000}"/>
    <cellStyle name="Normal 4 5 2 2" xfId="11191" xr:uid="{00000000-0005-0000-0000-0000B62B0000}"/>
    <cellStyle name="Normal 4 5 2 2 2" xfId="11192" xr:uid="{00000000-0005-0000-0000-0000B72B0000}"/>
    <cellStyle name="Normal 4 5 2 2 2 2" xfId="11193" xr:uid="{00000000-0005-0000-0000-0000B82B0000}"/>
    <cellStyle name="Normal 4 5 2 2 2 2 2" xfId="11194" xr:uid="{00000000-0005-0000-0000-0000B92B0000}"/>
    <cellStyle name="Normal 4 5 2 2 2 2 2 2" xfId="11195" xr:uid="{00000000-0005-0000-0000-0000BA2B0000}"/>
    <cellStyle name="Normal 4 5 2 2 2 2 3" xfId="11196" xr:uid="{00000000-0005-0000-0000-0000BB2B0000}"/>
    <cellStyle name="Normal 4 5 2 2 2 3" xfId="11197" xr:uid="{00000000-0005-0000-0000-0000BC2B0000}"/>
    <cellStyle name="Normal 4 5 2 2 2 3 2" xfId="11198" xr:uid="{00000000-0005-0000-0000-0000BD2B0000}"/>
    <cellStyle name="Normal 4 5 2 2 2 3 2 2" xfId="11199" xr:uid="{00000000-0005-0000-0000-0000BE2B0000}"/>
    <cellStyle name="Normal 4 5 2 2 2 3 3" xfId="11200" xr:uid="{00000000-0005-0000-0000-0000BF2B0000}"/>
    <cellStyle name="Normal 4 5 2 2 2 4" xfId="11201" xr:uid="{00000000-0005-0000-0000-0000C02B0000}"/>
    <cellStyle name="Normal 4 5 2 2 2 4 2" xfId="11202" xr:uid="{00000000-0005-0000-0000-0000C12B0000}"/>
    <cellStyle name="Normal 4 5 2 2 2 5" xfId="11203" xr:uid="{00000000-0005-0000-0000-0000C22B0000}"/>
    <cellStyle name="Normal 4 5 2 2 3" xfId="11204" xr:uid="{00000000-0005-0000-0000-0000C32B0000}"/>
    <cellStyle name="Normal 4 5 2 2 3 2" xfId="11205" xr:uid="{00000000-0005-0000-0000-0000C42B0000}"/>
    <cellStyle name="Normal 4 5 2 2 3 2 2" xfId="11206" xr:uid="{00000000-0005-0000-0000-0000C52B0000}"/>
    <cellStyle name="Normal 4 5 2 2 3 2 2 2" xfId="11207" xr:uid="{00000000-0005-0000-0000-0000C62B0000}"/>
    <cellStyle name="Normal 4 5 2 2 3 2 3" xfId="11208" xr:uid="{00000000-0005-0000-0000-0000C72B0000}"/>
    <cellStyle name="Normal 4 5 2 2 3 3" xfId="11209" xr:uid="{00000000-0005-0000-0000-0000C82B0000}"/>
    <cellStyle name="Normal 4 5 2 2 3 3 2" xfId="11210" xr:uid="{00000000-0005-0000-0000-0000C92B0000}"/>
    <cellStyle name="Normal 4 5 2 2 3 3 2 2" xfId="11211" xr:uid="{00000000-0005-0000-0000-0000CA2B0000}"/>
    <cellStyle name="Normal 4 5 2 2 3 3 3" xfId="11212" xr:uid="{00000000-0005-0000-0000-0000CB2B0000}"/>
    <cellStyle name="Normal 4 5 2 2 3 4" xfId="11213" xr:uid="{00000000-0005-0000-0000-0000CC2B0000}"/>
    <cellStyle name="Normal 4 5 2 2 3 4 2" xfId="11214" xr:uid="{00000000-0005-0000-0000-0000CD2B0000}"/>
    <cellStyle name="Normal 4 5 2 2 3 5" xfId="11215" xr:uid="{00000000-0005-0000-0000-0000CE2B0000}"/>
    <cellStyle name="Normal 4 5 2 2 4" xfId="11216" xr:uid="{00000000-0005-0000-0000-0000CF2B0000}"/>
    <cellStyle name="Normal 4 5 2 2 4 2" xfId="11217" xr:uid="{00000000-0005-0000-0000-0000D02B0000}"/>
    <cellStyle name="Normal 4 5 2 2 4 2 2" xfId="11218" xr:uid="{00000000-0005-0000-0000-0000D12B0000}"/>
    <cellStyle name="Normal 4 5 2 2 4 3" xfId="11219" xr:uid="{00000000-0005-0000-0000-0000D22B0000}"/>
    <cellStyle name="Normal 4 5 2 2 5" xfId="11220" xr:uid="{00000000-0005-0000-0000-0000D32B0000}"/>
    <cellStyle name="Normal 4 5 2 2 5 2" xfId="11221" xr:uid="{00000000-0005-0000-0000-0000D42B0000}"/>
    <cellStyle name="Normal 4 5 2 2 5 2 2" xfId="11222" xr:uid="{00000000-0005-0000-0000-0000D52B0000}"/>
    <cellStyle name="Normal 4 5 2 2 5 3" xfId="11223" xr:uid="{00000000-0005-0000-0000-0000D62B0000}"/>
    <cellStyle name="Normal 4 5 2 2 6" xfId="11224" xr:uid="{00000000-0005-0000-0000-0000D72B0000}"/>
    <cellStyle name="Normal 4 5 2 2 6 2" xfId="11225" xr:uid="{00000000-0005-0000-0000-0000D82B0000}"/>
    <cellStyle name="Normal 4 5 2 2 7" xfId="11226" xr:uid="{00000000-0005-0000-0000-0000D92B0000}"/>
    <cellStyle name="Normal 4 5 2 3" xfId="11227" xr:uid="{00000000-0005-0000-0000-0000DA2B0000}"/>
    <cellStyle name="Normal 4 5 2 3 2" xfId="11228" xr:uid="{00000000-0005-0000-0000-0000DB2B0000}"/>
    <cellStyle name="Normal 4 5 2 3 2 2" xfId="11229" xr:uid="{00000000-0005-0000-0000-0000DC2B0000}"/>
    <cellStyle name="Normal 4 5 2 3 2 2 2" xfId="11230" xr:uid="{00000000-0005-0000-0000-0000DD2B0000}"/>
    <cellStyle name="Normal 4 5 2 3 2 3" xfId="11231" xr:uid="{00000000-0005-0000-0000-0000DE2B0000}"/>
    <cellStyle name="Normal 4 5 2 3 3" xfId="11232" xr:uid="{00000000-0005-0000-0000-0000DF2B0000}"/>
    <cellStyle name="Normal 4 5 2 3 3 2" xfId="11233" xr:uid="{00000000-0005-0000-0000-0000E02B0000}"/>
    <cellStyle name="Normal 4 5 2 3 3 2 2" xfId="11234" xr:uid="{00000000-0005-0000-0000-0000E12B0000}"/>
    <cellStyle name="Normal 4 5 2 3 3 3" xfId="11235" xr:uid="{00000000-0005-0000-0000-0000E22B0000}"/>
    <cellStyle name="Normal 4 5 2 3 4" xfId="11236" xr:uid="{00000000-0005-0000-0000-0000E32B0000}"/>
    <cellStyle name="Normal 4 5 2 3 4 2" xfId="11237" xr:uid="{00000000-0005-0000-0000-0000E42B0000}"/>
    <cellStyle name="Normal 4 5 2 3 5" xfId="11238" xr:uid="{00000000-0005-0000-0000-0000E52B0000}"/>
    <cellStyle name="Normal 4 5 2 4" xfId="11239" xr:uid="{00000000-0005-0000-0000-0000E62B0000}"/>
    <cellStyle name="Normal 4 5 2 4 2" xfId="11240" xr:uid="{00000000-0005-0000-0000-0000E72B0000}"/>
    <cellStyle name="Normal 4 5 2 4 2 2" xfId="11241" xr:uid="{00000000-0005-0000-0000-0000E82B0000}"/>
    <cellStyle name="Normal 4 5 2 4 2 2 2" xfId="11242" xr:uid="{00000000-0005-0000-0000-0000E92B0000}"/>
    <cellStyle name="Normal 4 5 2 4 2 3" xfId="11243" xr:uid="{00000000-0005-0000-0000-0000EA2B0000}"/>
    <cellStyle name="Normal 4 5 2 4 3" xfId="11244" xr:uid="{00000000-0005-0000-0000-0000EB2B0000}"/>
    <cellStyle name="Normal 4 5 2 4 3 2" xfId="11245" xr:uid="{00000000-0005-0000-0000-0000EC2B0000}"/>
    <cellStyle name="Normal 4 5 2 4 3 2 2" xfId="11246" xr:uid="{00000000-0005-0000-0000-0000ED2B0000}"/>
    <cellStyle name="Normal 4 5 2 4 3 3" xfId="11247" xr:uid="{00000000-0005-0000-0000-0000EE2B0000}"/>
    <cellStyle name="Normal 4 5 2 4 4" xfId="11248" xr:uid="{00000000-0005-0000-0000-0000EF2B0000}"/>
    <cellStyle name="Normal 4 5 2 4 4 2" xfId="11249" xr:uid="{00000000-0005-0000-0000-0000F02B0000}"/>
    <cellStyle name="Normal 4 5 2 4 5" xfId="11250" xr:uid="{00000000-0005-0000-0000-0000F12B0000}"/>
    <cellStyle name="Normal 4 5 2 5" xfId="11251" xr:uid="{00000000-0005-0000-0000-0000F22B0000}"/>
    <cellStyle name="Normal 4 5 2 5 2" xfId="11252" xr:uid="{00000000-0005-0000-0000-0000F32B0000}"/>
    <cellStyle name="Normal 4 5 2 5 2 2" xfId="11253" xr:uid="{00000000-0005-0000-0000-0000F42B0000}"/>
    <cellStyle name="Normal 4 5 2 5 3" xfId="11254" xr:uid="{00000000-0005-0000-0000-0000F52B0000}"/>
    <cellStyle name="Normal 4 5 2 6" xfId="11255" xr:uid="{00000000-0005-0000-0000-0000F62B0000}"/>
    <cellStyle name="Normal 4 5 2 6 2" xfId="11256" xr:uid="{00000000-0005-0000-0000-0000F72B0000}"/>
    <cellStyle name="Normal 4 5 2 6 2 2" xfId="11257" xr:uid="{00000000-0005-0000-0000-0000F82B0000}"/>
    <cellStyle name="Normal 4 5 2 6 3" xfId="11258" xr:uid="{00000000-0005-0000-0000-0000F92B0000}"/>
    <cellStyle name="Normal 4 5 2 7" xfId="11259" xr:uid="{00000000-0005-0000-0000-0000FA2B0000}"/>
    <cellStyle name="Normal 4 5 2 7 2" xfId="11260" xr:uid="{00000000-0005-0000-0000-0000FB2B0000}"/>
    <cellStyle name="Normal 4 5 2 7 2 2" xfId="11261" xr:uid="{00000000-0005-0000-0000-0000FC2B0000}"/>
    <cellStyle name="Normal 4 5 2 7 3" xfId="11262" xr:uid="{00000000-0005-0000-0000-0000FD2B0000}"/>
    <cellStyle name="Normal 4 5 2 8" xfId="11263" xr:uid="{00000000-0005-0000-0000-0000FE2B0000}"/>
    <cellStyle name="Normal 4 5 2 8 2" xfId="11264" xr:uid="{00000000-0005-0000-0000-0000FF2B0000}"/>
    <cellStyle name="Normal 4 5 2 9" xfId="11265" xr:uid="{00000000-0005-0000-0000-0000002C0000}"/>
    <cellStyle name="Normal 4 5 3" xfId="11266" xr:uid="{00000000-0005-0000-0000-0000012C0000}"/>
    <cellStyle name="Normal 4 5 3 2" xfId="11267" xr:uid="{00000000-0005-0000-0000-0000022C0000}"/>
    <cellStyle name="Normal 4 5 3 2 2" xfId="11268" xr:uid="{00000000-0005-0000-0000-0000032C0000}"/>
    <cellStyle name="Normal 4 5 3 2 2 2" xfId="11269" xr:uid="{00000000-0005-0000-0000-0000042C0000}"/>
    <cellStyle name="Normal 4 5 3 2 2 2 2" xfId="11270" xr:uid="{00000000-0005-0000-0000-0000052C0000}"/>
    <cellStyle name="Normal 4 5 3 2 2 3" xfId="11271" xr:uid="{00000000-0005-0000-0000-0000062C0000}"/>
    <cellStyle name="Normal 4 5 3 2 3" xfId="11272" xr:uid="{00000000-0005-0000-0000-0000072C0000}"/>
    <cellStyle name="Normal 4 5 3 2 3 2" xfId="11273" xr:uid="{00000000-0005-0000-0000-0000082C0000}"/>
    <cellStyle name="Normal 4 5 3 2 3 2 2" xfId="11274" xr:uid="{00000000-0005-0000-0000-0000092C0000}"/>
    <cellStyle name="Normal 4 5 3 2 3 3" xfId="11275" xr:uid="{00000000-0005-0000-0000-00000A2C0000}"/>
    <cellStyle name="Normal 4 5 3 2 4" xfId="11276" xr:uid="{00000000-0005-0000-0000-00000B2C0000}"/>
    <cellStyle name="Normal 4 5 3 2 4 2" xfId="11277" xr:uid="{00000000-0005-0000-0000-00000C2C0000}"/>
    <cellStyle name="Normal 4 5 3 2 5" xfId="11278" xr:uid="{00000000-0005-0000-0000-00000D2C0000}"/>
    <cellStyle name="Normal 4 5 3 3" xfId="11279" xr:uid="{00000000-0005-0000-0000-00000E2C0000}"/>
    <cellStyle name="Normal 4 5 3 3 2" xfId="11280" xr:uid="{00000000-0005-0000-0000-00000F2C0000}"/>
    <cellStyle name="Normal 4 5 3 3 2 2" xfId="11281" xr:uid="{00000000-0005-0000-0000-0000102C0000}"/>
    <cellStyle name="Normal 4 5 3 3 2 2 2" xfId="11282" xr:uid="{00000000-0005-0000-0000-0000112C0000}"/>
    <cellStyle name="Normal 4 5 3 3 2 3" xfId="11283" xr:uid="{00000000-0005-0000-0000-0000122C0000}"/>
    <cellStyle name="Normal 4 5 3 3 3" xfId="11284" xr:uid="{00000000-0005-0000-0000-0000132C0000}"/>
    <cellStyle name="Normal 4 5 3 3 3 2" xfId="11285" xr:uid="{00000000-0005-0000-0000-0000142C0000}"/>
    <cellStyle name="Normal 4 5 3 3 3 2 2" xfId="11286" xr:uid="{00000000-0005-0000-0000-0000152C0000}"/>
    <cellStyle name="Normal 4 5 3 3 3 3" xfId="11287" xr:uid="{00000000-0005-0000-0000-0000162C0000}"/>
    <cellStyle name="Normal 4 5 3 3 4" xfId="11288" xr:uid="{00000000-0005-0000-0000-0000172C0000}"/>
    <cellStyle name="Normal 4 5 3 3 4 2" xfId="11289" xr:uid="{00000000-0005-0000-0000-0000182C0000}"/>
    <cellStyle name="Normal 4 5 3 3 5" xfId="11290" xr:uid="{00000000-0005-0000-0000-0000192C0000}"/>
    <cellStyle name="Normal 4 5 3 4" xfId="11291" xr:uid="{00000000-0005-0000-0000-00001A2C0000}"/>
    <cellStyle name="Normal 4 5 3 4 2" xfId="11292" xr:uid="{00000000-0005-0000-0000-00001B2C0000}"/>
    <cellStyle name="Normal 4 5 3 4 2 2" xfId="11293" xr:uid="{00000000-0005-0000-0000-00001C2C0000}"/>
    <cellStyle name="Normal 4 5 3 4 3" xfId="11294" xr:uid="{00000000-0005-0000-0000-00001D2C0000}"/>
    <cellStyle name="Normal 4 5 3 5" xfId="11295" xr:uid="{00000000-0005-0000-0000-00001E2C0000}"/>
    <cellStyle name="Normal 4 5 3 5 2" xfId="11296" xr:uid="{00000000-0005-0000-0000-00001F2C0000}"/>
    <cellStyle name="Normal 4 5 3 5 2 2" xfId="11297" xr:uid="{00000000-0005-0000-0000-0000202C0000}"/>
    <cellStyle name="Normal 4 5 3 5 3" xfId="11298" xr:uid="{00000000-0005-0000-0000-0000212C0000}"/>
    <cellStyle name="Normal 4 5 3 6" xfId="11299" xr:uid="{00000000-0005-0000-0000-0000222C0000}"/>
    <cellStyle name="Normal 4 5 3 6 2" xfId="11300" xr:uid="{00000000-0005-0000-0000-0000232C0000}"/>
    <cellStyle name="Normal 4 5 3 7" xfId="11301" xr:uid="{00000000-0005-0000-0000-0000242C0000}"/>
    <cellStyle name="Normal 4 5 4" xfId="11302" xr:uid="{00000000-0005-0000-0000-0000252C0000}"/>
    <cellStyle name="Normal 4 5 4 2" xfId="11303" xr:uid="{00000000-0005-0000-0000-0000262C0000}"/>
    <cellStyle name="Normal 4 5 4 2 2" xfId="11304" xr:uid="{00000000-0005-0000-0000-0000272C0000}"/>
    <cellStyle name="Normal 4 5 4 2 2 2" xfId="11305" xr:uid="{00000000-0005-0000-0000-0000282C0000}"/>
    <cellStyle name="Normal 4 5 4 2 2 2 2" xfId="11306" xr:uid="{00000000-0005-0000-0000-0000292C0000}"/>
    <cellStyle name="Normal 4 5 4 2 2 3" xfId="11307" xr:uid="{00000000-0005-0000-0000-00002A2C0000}"/>
    <cellStyle name="Normal 4 5 4 2 3" xfId="11308" xr:uid="{00000000-0005-0000-0000-00002B2C0000}"/>
    <cellStyle name="Normal 4 5 4 2 3 2" xfId="11309" xr:uid="{00000000-0005-0000-0000-00002C2C0000}"/>
    <cellStyle name="Normal 4 5 4 2 3 2 2" xfId="11310" xr:uid="{00000000-0005-0000-0000-00002D2C0000}"/>
    <cellStyle name="Normal 4 5 4 2 3 3" xfId="11311" xr:uid="{00000000-0005-0000-0000-00002E2C0000}"/>
    <cellStyle name="Normal 4 5 4 2 4" xfId="11312" xr:uid="{00000000-0005-0000-0000-00002F2C0000}"/>
    <cellStyle name="Normal 4 5 4 2 4 2" xfId="11313" xr:uid="{00000000-0005-0000-0000-0000302C0000}"/>
    <cellStyle name="Normal 4 5 4 2 5" xfId="11314" xr:uid="{00000000-0005-0000-0000-0000312C0000}"/>
    <cellStyle name="Normal 4 5 4 3" xfId="11315" xr:uid="{00000000-0005-0000-0000-0000322C0000}"/>
    <cellStyle name="Normal 4 5 4 3 2" xfId="11316" xr:uid="{00000000-0005-0000-0000-0000332C0000}"/>
    <cellStyle name="Normal 4 5 4 3 2 2" xfId="11317" xr:uid="{00000000-0005-0000-0000-0000342C0000}"/>
    <cellStyle name="Normal 4 5 4 3 2 2 2" xfId="11318" xr:uid="{00000000-0005-0000-0000-0000352C0000}"/>
    <cellStyle name="Normal 4 5 4 3 2 3" xfId="11319" xr:uid="{00000000-0005-0000-0000-0000362C0000}"/>
    <cellStyle name="Normal 4 5 4 3 3" xfId="11320" xr:uid="{00000000-0005-0000-0000-0000372C0000}"/>
    <cellStyle name="Normal 4 5 4 3 3 2" xfId="11321" xr:uid="{00000000-0005-0000-0000-0000382C0000}"/>
    <cellStyle name="Normal 4 5 4 3 4" xfId="11322" xr:uid="{00000000-0005-0000-0000-0000392C0000}"/>
    <cellStyle name="Normal 4 5 4 4" xfId="11323" xr:uid="{00000000-0005-0000-0000-00003A2C0000}"/>
    <cellStyle name="Normal 4 5 4 4 2" xfId="11324" xr:uid="{00000000-0005-0000-0000-00003B2C0000}"/>
    <cellStyle name="Normal 4 5 4 4 2 2" xfId="11325" xr:uid="{00000000-0005-0000-0000-00003C2C0000}"/>
    <cellStyle name="Normal 4 5 4 4 3" xfId="11326" xr:uid="{00000000-0005-0000-0000-00003D2C0000}"/>
    <cellStyle name="Normal 4 5 4 5" xfId="11327" xr:uid="{00000000-0005-0000-0000-00003E2C0000}"/>
    <cellStyle name="Normal 4 5 4 5 2" xfId="11328" xr:uid="{00000000-0005-0000-0000-00003F2C0000}"/>
    <cellStyle name="Normal 4 5 4 5 2 2" xfId="11329" xr:uid="{00000000-0005-0000-0000-0000402C0000}"/>
    <cellStyle name="Normal 4 5 4 5 3" xfId="11330" xr:uid="{00000000-0005-0000-0000-0000412C0000}"/>
    <cellStyle name="Normal 4 5 4 6" xfId="11331" xr:uid="{00000000-0005-0000-0000-0000422C0000}"/>
    <cellStyle name="Normal 4 5 4 6 2" xfId="11332" xr:uid="{00000000-0005-0000-0000-0000432C0000}"/>
    <cellStyle name="Normal 4 5 4 7" xfId="11333" xr:uid="{00000000-0005-0000-0000-0000442C0000}"/>
    <cellStyle name="Normal 4 5 5" xfId="11334" xr:uid="{00000000-0005-0000-0000-0000452C0000}"/>
    <cellStyle name="Normal 4 5 5 2" xfId="11335" xr:uid="{00000000-0005-0000-0000-0000462C0000}"/>
    <cellStyle name="Normal 4 5 5 2 2" xfId="11336" xr:uid="{00000000-0005-0000-0000-0000472C0000}"/>
    <cellStyle name="Normal 4 5 5 2 2 2" xfId="11337" xr:uid="{00000000-0005-0000-0000-0000482C0000}"/>
    <cellStyle name="Normal 4 5 5 2 3" xfId="11338" xr:uid="{00000000-0005-0000-0000-0000492C0000}"/>
    <cellStyle name="Normal 4 5 5 3" xfId="11339" xr:uid="{00000000-0005-0000-0000-00004A2C0000}"/>
    <cellStyle name="Normal 4 5 5 3 2" xfId="11340" xr:uid="{00000000-0005-0000-0000-00004B2C0000}"/>
    <cellStyle name="Normal 4 5 5 3 2 2" xfId="11341" xr:uid="{00000000-0005-0000-0000-00004C2C0000}"/>
    <cellStyle name="Normal 4 5 5 3 3" xfId="11342" xr:uid="{00000000-0005-0000-0000-00004D2C0000}"/>
    <cellStyle name="Normal 4 5 5 4" xfId="11343" xr:uid="{00000000-0005-0000-0000-00004E2C0000}"/>
    <cellStyle name="Normal 4 5 5 4 2" xfId="11344" xr:uid="{00000000-0005-0000-0000-00004F2C0000}"/>
    <cellStyle name="Normal 4 5 5 5" xfId="11345" xr:uid="{00000000-0005-0000-0000-0000502C0000}"/>
    <cellStyle name="Normal 4 5 6" xfId="11346" xr:uid="{00000000-0005-0000-0000-0000512C0000}"/>
    <cellStyle name="Normal 4 5 6 2" xfId="11347" xr:uid="{00000000-0005-0000-0000-0000522C0000}"/>
    <cellStyle name="Normal 4 5 6 2 2" xfId="11348" xr:uid="{00000000-0005-0000-0000-0000532C0000}"/>
    <cellStyle name="Normal 4 5 6 2 2 2" xfId="11349" xr:uid="{00000000-0005-0000-0000-0000542C0000}"/>
    <cellStyle name="Normal 4 5 6 2 3" xfId="11350" xr:uid="{00000000-0005-0000-0000-0000552C0000}"/>
    <cellStyle name="Normal 4 5 6 3" xfId="11351" xr:uid="{00000000-0005-0000-0000-0000562C0000}"/>
    <cellStyle name="Normal 4 5 6 3 2" xfId="11352" xr:uid="{00000000-0005-0000-0000-0000572C0000}"/>
    <cellStyle name="Normal 4 5 6 3 2 2" xfId="11353" xr:uid="{00000000-0005-0000-0000-0000582C0000}"/>
    <cellStyle name="Normal 4 5 6 3 3" xfId="11354" xr:uid="{00000000-0005-0000-0000-0000592C0000}"/>
    <cellStyle name="Normal 4 5 6 4" xfId="11355" xr:uid="{00000000-0005-0000-0000-00005A2C0000}"/>
    <cellStyle name="Normal 4 5 6 4 2" xfId="11356" xr:uid="{00000000-0005-0000-0000-00005B2C0000}"/>
    <cellStyle name="Normal 4 5 6 5" xfId="11357" xr:uid="{00000000-0005-0000-0000-00005C2C0000}"/>
    <cellStyle name="Normal 4 5 7" xfId="11358" xr:uid="{00000000-0005-0000-0000-00005D2C0000}"/>
    <cellStyle name="Normal 4 5 7 2" xfId="11359" xr:uid="{00000000-0005-0000-0000-00005E2C0000}"/>
    <cellStyle name="Normal 4 5 7 2 2" xfId="11360" xr:uid="{00000000-0005-0000-0000-00005F2C0000}"/>
    <cellStyle name="Normal 4 5 7 2 2 2" xfId="11361" xr:uid="{00000000-0005-0000-0000-0000602C0000}"/>
    <cellStyle name="Normal 4 5 7 2 3" xfId="11362" xr:uid="{00000000-0005-0000-0000-0000612C0000}"/>
    <cellStyle name="Normal 4 5 7 3" xfId="11363" xr:uid="{00000000-0005-0000-0000-0000622C0000}"/>
    <cellStyle name="Normal 4 5 7 3 2" xfId="11364" xr:uid="{00000000-0005-0000-0000-0000632C0000}"/>
    <cellStyle name="Normal 4 5 7 4" xfId="11365" xr:uid="{00000000-0005-0000-0000-0000642C0000}"/>
    <cellStyle name="Normal 4 5 8" xfId="11366" xr:uid="{00000000-0005-0000-0000-0000652C0000}"/>
    <cellStyle name="Normal 4 5 8 2" xfId="11367" xr:uid="{00000000-0005-0000-0000-0000662C0000}"/>
    <cellStyle name="Normal 4 5 8 2 2" xfId="11368" xr:uid="{00000000-0005-0000-0000-0000672C0000}"/>
    <cellStyle name="Normal 4 5 8 3" xfId="11369" xr:uid="{00000000-0005-0000-0000-0000682C0000}"/>
    <cellStyle name="Normal 4 5 9" xfId="11370" xr:uid="{00000000-0005-0000-0000-0000692C0000}"/>
    <cellStyle name="Normal 4 5 9 2" xfId="11371" xr:uid="{00000000-0005-0000-0000-00006A2C0000}"/>
    <cellStyle name="Normal 4 5 9 2 2" xfId="11372" xr:uid="{00000000-0005-0000-0000-00006B2C0000}"/>
    <cellStyle name="Normal 4 5 9 3" xfId="11373" xr:uid="{00000000-0005-0000-0000-00006C2C0000}"/>
    <cellStyle name="Normal 4 6" xfId="11374" xr:uid="{00000000-0005-0000-0000-00006D2C0000}"/>
    <cellStyle name="Normal 4 6 10" xfId="11375" xr:uid="{00000000-0005-0000-0000-00006E2C0000}"/>
    <cellStyle name="Normal 4 6 10 2" xfId="11376" xr:uid="{00000000-0005-0000-0000-00006F2C0000}"/>
    <cellStyle name="Normal 4 6 10 2 2" xfId="11377" xr:uid="{00000000-0005-0000-0000-0000702C0000}"/>
    <cellStyle name="Normal 4 6 10 3" xfId="11378" xr:uid="{00000000-0005-0000-0000-0000712C0000}"/>
    <cellStyle name="Normal 4 6 11" xfId="11379" xr:uid="{00000000-0005-0000-0000-0000722C0000}"/>
    <cellStyle name="Normal 4 6 11 2" xfId="11380" xr:uid="{00000000-0005-0000-0000-0000732C0000}"/>
    <cellStyle name="Normal 4 6 11 2 2" xfId="11381" xr:uid="{00000000-0005-0000-0000-0000742C0000}"/>
    <cellStyle name="Normal 4 6 11 3" xfId="11382" xr:uid="{00000000-0005-0000-0000-0000752C0000}"/>
    <cellStyle name="Normal 4 6 12" xfId="11383" xr:uid="{00000000-0005-0000-0000-0000762C0000}"/>
    <cellStyle name="Normal 4 6 12 2" xfId="11384" xr:uid="{00000000-0005-0000-0000-0000772C0000}"/>
    <cellStyle name="Normal 4 6 13" xfId="11385" xr:uid="{00000000-0005-0000-0000-0000782C0000}"/>
    <cellStyle name="Normal 4 6 2" xfId="11386" xr:uid="{00000000-0005-0000-0000-0000792C0000}"/>
    <cellStyle name="Normal 4 6 2 2" xfId="11387" xr:uid="{00000000-0005-0000-0000-00007A2C0000}"/>
    <cellStyle name="Normal 4 6 2 2 2" xfId="11388" xr:uid="{00000000-0005-0000-0000-00007B2C0000}"/>
    <cellStyle name="Normal 4 6 2 2 2 2" xfId="11389" xr:uid="{00000000-0005-0000-0000-00007C2C0000}"/>
    <cellStyle name="Normal 4 6 2 2 2 2 2" xfId="11390" xr:uid="{00000000-0005-0000-0000-00007D2C0000}"/>
    <cellStyle name="Normal 4 6 2 2 2 2 2 2" xfId="11391" xr:uid="{00000000-0005-0000-0000-00007E2C0000}"/>
    <cellStyle name="Normal 4 6 2 2 2 2 3" xfId="11392" xr:uid="{00000000-0005-0000-0000-00007F2C0000}"/>
    <cellStyle name="Normal 4 6 2 2 2 3" xfId="11393" xr:uid="{00000000-0005-0000-0000-0000802C0000}"/>
    <cellStyle name="Normal 4 6 2 2 2 3 2" xfId="11394" xr:uid="{00000000-0005-0000-0000-0000812C0000}"/>
    <cellStyle name="Normal 4 6 2 2 2 3 2 2" xfId="11395" xr:uid="{00000000-0005-0000-0000-0000822C0000}"/>
    <cellStyle name="Normal 4 6 2 2 2 3 3" xfId="11396" xr:uid="{00000000-0005-0000-0000-0000832C0000}"/>
    <cellStyle name="Normal 4 6 2 2 2 4" xfId="11397" xr:uid="{00000000-0005-0000-0000-0000842C0000}"/>
    <cellStyle name="Normal 4 6 2 2 2 4 2" xfId="11398" xr:uid="{00000000-0005-0000-0000-0000852C0000}"/>
    <cellStyle name="Normal 4 6 2 2 2 5" xfId="11399" xr:uid="{00000000-0005-0000-0000-0000862C0000}"/>
    <cellStyle name="Normal 4 6 2 2 3" xfId="11400" xr:uid="{00000000-0005-0000-0000-0000872C0000}"/>
    <cellStyle name="Normal 4 6 2 2 3 2" xfId="11401" xr:uid="{00000000-0005-0000-0000-0000882C0000}"/>
    <cellStyle name="Normal 4 6 2 2 3 2 2" xfId="11402" xr:uid="{00000000-0005-0000-0000-0000892C0000}"/>
    <cellStyle name="Normal 4 6 2 2 3 2 2 2" xfId="11403" xr:uid="{00000000-0005-0000-0000-00008A2C0000}"/>
    <cellStyle name="Normal 4 6 2 2 3 2 3" xfId="11404" xr:uid="{00000000-0005-0000-0000-00008B2C0000}"/>
    <cellStyle name="Normal 4 6 2 2 3 3" xfId="11405" xr:uid="{00000000-0005-0000-0000-00008C2C0000}"/>
    <cellStyle name="Normal 4 6 2 2 3 3 2" xfId="11406" xr:uid="{00000000-0005-0000-0000-00008D2C0000}"/>
    <cellStyle name="Normal 4 6 2 2 3 3 2 2" xfId="11407" xr:uid="{00000000-0005-0000-0000-00008E2C0000}"/>
    <cellStyle name="Normal 4 6 2 2 3 3 3" xfId="11408" xr:uid="{00000000-0005-0000-0000-00008F2C0000}"/>
    <cellStyle name="Normal 4 6 2 2 3 4" xfId="11409" xr:uid="{00000000-0005-0000-0000-0000902C0000}"/>
    <cellStyle name="Normal 4 6 2 2 3 4 2" xfId="11410" xr:uid="{00000000-0005-0000-0000-0000912C0000}"/>
    <cellStyle name="Normal 4 6 2 2 3 5" xfId="11411" xr:uid="{00000000-0005-0000-0000-0000922C0000}"/>
    <cellStyle name="Normal 4 6 2 2 4" xfId="11412" xr:uid="{00000000-0005-0000-0000-0000932C0000}"/>
    <cellStyle name="Normal 4 6 2 2 4 2" xfId="11413" xr:uid="{00000000-0005-0000-0000-0000942C0000}"/>
    <cellStyle name="Normal 4 6 2 2 4 2 2" xfId="11414" xr:uid="{00000000-0005-0000-0000-0000952C0000}"/>
    <cellStyle name="Normal 4 6 2 2 4 3" xfId="11415" xr:uid="{00000000-0005-0000-0000-0000962C0000}"/>
    <cellStyle name="Normal 4 6 2 2 5" xfId="11416" xr:uid="{00000000-0005-0000-0000-0000972C0000}"/>
    <cellStyle name="Normal 4 6 2 2 5 2" xfId="11417" xr:uid="{00000000-0005-0000-0000-0000982C0000}"/>
    <cellStyle name="Normal 4 6 2 2 5 2 2" xfId="11418" xr:uid="{00000000-0005-0000-0000-0000992C0000}"/>
    <cellStyle name="Normal 4 6 2 2 5 3" xfId="11419" xr:uid="{00000000-0005-0000-0000-00009A2C0000}"/>
    <cellStyle name="Normal 4 6 2 2 6" xfId="11420" xr:uid="{00000000-0005-0000-0000-00009B2C0000}"/>
    <cellStyle name="Normal 4 6 2 2 6 2" xfId="11421" xr:uid="{00000000-0005-0000-0000-00009C2C0000}"/>
    <cellStyle name="Normal 4 6 2 2 7" xfId="11422" xr:uid="{00000000-0005-0000-0000-00009D2C0000}"/>
    <cellStyle name="Normal 4 6 2 3" xfId="11423" xr:uid="{00000000-0005-0000-0000-00009E2C0000}"/>
    <cellStyle name="Normal 4 6 2 3 2" xfId="11424" xr:uid="{00000000-0005-0000-0000-00009F2C0000}"/>
    <cellStyle name="Normal 4 6 2 3 2 2" xfId="11425" xr:uid="{00000000-0005-0000-0000-0000A02C0000}"/>
    <cellStyle name="Normal 4 6 2 3 2 2 2" xfId="11426" xr:uid="{00000000-0005-0000-0000-0000A12C0000}"/>
    <cellStyle name="Normal 4 6 2 3 2 3" xfId="11427" xr:uid="{00000000-0005-0000-0000-0000A22C0000}"/>
    <cellStyle name="Normal 4 6 2 3 3" xfId="11428" xr:uid="{00000000-0005-0000-0000-0000A32C0000}"/>
    <cellStyle name="Normal 4 6 2 3 3 2" xfId="11429" xr:uid="{00000000-0005-0000-0000-0000A42C0000}"/>
    <cellStyle name="Normal 4 6 2 3 3 2 2" xfId="11430" xr:uid="{00000000-0005-0000-0000-0000A52C0000}"/>
    <cellStyle name="Normal 4 6 2 3 3 3" xfId="11431" xr:uid="{00000000-0005-0000-0000-0000A62C0000}"/>
    <cellStyle name="Normal 4 6 2 3 4" xfId="11432" xr:uid="{00000000-0005-0000-0000-0000A72C0000}"/>
    <cellStyle name="Normal 4 6 2 3 4 2" xfId="11433" xr:uid="{00000000-0005-0000-0000-0000A82C0000}"/>
    <cellStyle name="Normal 4 6 2 3 5" xfId="11434" xr:uid="{00000000-0005-0000-0000-0000A92C0000}"/>
    <cellStyle name="Normal 4 6 2 4" xfId="11435" xr:uid="{00000000-0005-0000-0000-0000AA2C0000}"/>
    <cellStyle name="Normal 4 6 2 4 2" xfId="11436" xr:uid="{00000000-0005-0000-0000-0000AB2C0000}"/>
    <cellStyle name="Normal 4 6 2 4 2 2" xfId="11437" xr:uid="{00000000-0005-0000-0000-0000AC2C0000}"/>
    <cellStyle name="Normal 4 6 2 4 2 2 2" xfId="11438" xr:uid="{00000000-0005-0000-0000-0000AD2C0000}"/>
    <cellStyle name="Normal 4 6 2 4 2 3" xfId="11439" xr:uid="{00000000-0005-0000-0000-0000AE2C0000}"/>
    <cellStyle name="Normal 4 6 2 4 3" xfId="11440" xr:uid="{00000000-0005-0000-0000-0000AF2C0000}"/>
    <cellStyle name="Normal 4 6 2 4 3 2" xfId="11441" xr:uid="{00000000-0005-0000-0000-0000B02C0000}"/>
    <cellStyle name="Normal 4 6 2 4 3 2 2" xfId="11442" xr:uid="{00000000-0005-0000-0000-0000B12C0000}"/>
    <cellStyle name="Normal 4 6 2 4 3 3" xfId="11443" xr:uid="{00000000-0005-0000-0000-0000B22C0000}"/>
    <cellStyle name="Normal 4 6 2 4 4" xfId="11444" xr:uid="{00000000-0005-0000-0000-0000B32C0000}"/>
    <cellStyle name="Normal 4 6 2 4 4 2" xfId="11445" xr:uid="{00000000-0005-0000-0000-0000B42C0000}"/>
    <cellStyle name="Normal 4 6 2 4 5" xfId="11446" xr:uid="{00000000-0005-0000-0000-0000B52C0000}"/>
    <cellStyle name="Normal 4 6 2 5" xfId="11447" xr:uid="{00000000-0005-0000-0000-0000B62C0000}"/>
    <cellStyle name="Normal 4 6 2 5 2" xfId="11448" xr:uid="{00000000-0005-0000-0000-0000B72C0000}"/>
    <cellStyle name="Normal 4 6 2 5 2 2" xfId="11449" xr:uid="{00000000-0005-0000-0000-0000B82C0000}"/>
    <cellStyle name="Normal 4 6 2 5 3" xfId="11450" xr:uid="{00000000-0005-0000-0000-0000B92C0000}"/>
    <cellStyle name="Normal 4 6 2 6" xfId="11451" xr:uid="{00000000-0005-0000-0000-0000BA2C0000}"/>
    <cellStyle name="Normal 4 6 2 6 2" xfId="11452" xr:uid="{00000000-0005-0000-0000-0000BB2C0000}"/>
    <cellStyle name="Normal 4 6 2 6 2 2" xfId="11453" xr:uid="{00000000-0005-0000-0000-0000BC2C0000}"/>
    <cellStyle name="Normal 4 6 2 6 3" xfId="11454" xr:uid="{00000000-0005-0000-0000-0000BD2C0000}"/>
    <cellStyle name="Normal 4 6 2 7" xfId="11455" xr:uid="{00000000-0005-0000-0000-0000BE2C0000}"/>
    <cellStyle name="Normal 4 6 2 7 2" xfId="11456" xr:uid="{00000000-0005-0000-0000-0000BF2C0000}"/>
    <cellStyle name="Normal 4 6 2 7 2 2" xfId="11457" xr:uid="{00000000-0005-0000-0000-0000C02C0000}"/>
    <cellStyle name="Normal 4 6 2 7 3" xfId="11458" xr:uid="{00000000-0005-0000-0000-0000C12C0000}"/>
    <cellStyle name="Normal 4 6 2 8" xfId="11459" xr:uid="{00000000-0005-0000-0000-0000C22C0000}"/>
    <cellStyle name="Normal 4 6 2 8 2" xfId="11460" xr:uid="{00000000-0005-0000-0000-0000C32C0000}"/>
    <cellStyle name="Normal 4 6 2 9" xfId="11461" xr:uid="{00000000-0005-0000-0000-0000C42C0000}"/>
    <cellStyle name="Normal 4 6 3" xfId="11462" xr:uid="{00000000-0005-0000-0000-0000C52C0000}"/>
    <cellStyle name="Normal 4 6 3 2" xfId="11463" xr:uid="{00000000-0005-0000-0000-0000C62C0000}"/>
    <cellStyle name="Normal 4 6 3 2 2" xfId="11464" xr:uid="{00000000-0005-0000-0000-0000C72C0000}"/>
    <cellStyle name="Normal 4 6 3 2 2 2" xfId="11465" xr:uid="{00000000-0005-0000-0000-0000C82C0000}"/>
    <cellStyle name="Normal 4 6 3 2 2 2 2" xfId="11466" xr:uid="{00000000-0005-0000-0000-0000C92C0000}"/>
    <cellStyle name="Normal 4 6 3 2 2 3" xfId="11467" xr:uid="{00000000-0005-0000-0000-0000CA2C0000}"/>
    <cellStyle name="Normal 4 6 3 2 3" xfId="11468" xr:uid="{00000000-0005-0000-0000-0000CB2C0000}"/>
    <cellStyle name="Normal 4 6 3 2 3 2" xfId="11469" xr:uid="{00000000-0005-0000-0000-0000CC2C0000}"/>
    <cellStyle name="Normal 4 6 3 2 3 2 2" xfId="11470" xr:uid="{00000000-0005-0000-0000-0000CD2C0000}"/>
    <cellStyle name="Normal 4 6 3 2 3 3" xfId="11471" xr:uid="{00000000-0005-0000-0000-0000CE2C0000}"/>
    <cellStyle name="Normal 4 6 3 2 4" xfId="11472" xr:uid="{00000000-0005-0000-0000-0000CF2C0000}"/>
    <cellStyle name="Normal 4 6 3 2 4 2" xfId="11473" xr:uid="{00000000-0005-0000-0000-0000D02C0000}"/>
    <cellStyle name="Normal 4 6 3 2 5" xfId="11474" xr:uid="{00000000-0005-0000-0000-0000D12C0000}"/>
    <cellStyle name="Normal 4 6 3 3" xfId="11475" xr:uid="{00000000-0005-0000-0000-0000D22C0000}"/>
    <cellStyle name="Normal 4 6 3 3 2" xfId="11476" xr:uid="{00000000-0005-0000-0000-0000D32C0000}"/>
    <cellStyle name="Normal 4 6 3 3 2 2" xfId="11477" xr:uid="{00000000-0005-0000-0000-0000D42C0000}"/>
    <cellStyle name="Normal 4 6 3 3 2 2 2" xfId="11478" xr:uid="{00000000-0005-0000-0000-0000D52C0000}"/>
    <cellStyle name="Normal 4 6 3 3 2 3" xfId="11479" xr:uid="{00000000-0005-0000-0000-0000D62C0000}"/>
    <cellStyle name="Normal 4 6 3 3 3" xfId="11480" xr:uid="{00000000-0005-0000-0000-0000D72C0000}"/>
    <cellStyle name="Normal 4 6 3 3 3 2" xfId="11481" xr:uid="{00000000-0005-0000-0000-0000D82C0000}"/>
    <cellStyle name="Normal 4 6 3 3 3 2 2" xfId="11482" xr:uid="{00000000-0005-0000-0000-0000D92C0000}"/>
    <cellStyle name="Normal 4 6 3 3 3 3" xfId="11483" xr:uid="{00000000-0005-0000-0000-0000DA2C0000}"/>
    <cellStyle name="Normal 4 6 3 3 4" xfId="11484" xr:uid="{00000000-0005-0000-0000-0000DB2C0000}"/>
    <cellStyle name="Normal 4 6 3 3 4 2" xfId="11485" xr:uid="{00000000-0005-0000-0000-0000DC2C0000}"/>
    <cellStyle name="Normal 4 6 3 3 5" xfId="11486" xr:uid="{00000000-0005-0000-0000-0000DD2C0000}"/>
    <cellStyle name="Normal 4 6 3 4" xfId="11487" xr:uid="{00000000-0005-0000-0000-0000DE2C0000}"/>
    <cellStyle name="Normal 4 6 3 4 2" xfId="11488" xr:uid="{00000000-0005-0000-0000-0000DF2C0000}"/>
    <cellStyle name="Normal 4 6 3 4 2 2" xfId="11489" xr:uid="{00000000-0005-0000-0000-0000E02C0000}"/>
    <cellStyle name="Normal 4 6 3 4 3" xfId="11490" xr:uid="{00000000-0005-0000-0000-0000E12C0000}"/>
    <cellStyle name="Normal 4 6 3 5" xfId="11491" xr:uid="{00000000-0005-0000-0000-0000E22C0000}"/>
    <cellStyle name="Normal 4 6 3 5 2" xfId="11492" xr:uid="{00000000-0005-0000-0000-0000E32C0000}"/>
    <cellStyle name="Normal 4 6 3 5 2 2" xfId="11493" xr:uid="{00000000-0005-0000-0000-0000E42C0000}"/>
    <cellStyle name="Normal 4 6 3 5 3" xfId="11494" xr:uid="{00000000-0005-0000-0000-0000E52C0000}"/>
    <cellStyle name="Normal 4 6 3 6" xfId="11495" xr:uid="{00000000-0005-0000-0000-0000E62C0000}"/>
    <cellStyle name="Normal 4 6 3 6 2" xfId="11496" xr:uid="{00000000-0005-0000-0000-0000E72C0000}"/>
    <cellStyle name="Normal 4 6 3 7" xfId="11497" xr:uid="{00000000-0005-0000-0000-0000E82C0000}"/>
    <cellStyle name="Normal 4 6 4" xfId="11498" xr:uid="{00000000-0005-0000-0000-0000E92C0000}"/>
    <cellStyle name="Normal 4 6 4 2" xfId="11499" xr:uid="{00000000-0005-0000-0000-0000EA2C0000}"/>
    <cellStyle name="Normal 4 6 4 2 2" xfId="11500" xr:uid="{00000000-0005-0000-0000-0000EB2C0000}"/>
    <cellStyle name="Normal 4 6 4 2 2 2" xfId="11501" xr:uid="{00000000-0005-0000-0000-0000EC2C0000}"/>
    <cellStyle name="Normal 4 6 4 2 2 2 2" xfId="11502" xr:uid="{00000000-0005-0000-0000-0000ED2C0000}"/>
    <cellStyle name="Normal 4 6 4 2 2 3" xfId="11503" xr:uid="{00000000-0005-0000-0000-0000EE2C0000}"/>
    <cellStyle name="Normal 4 6 4 2 3" xfId="11504" xr:uid="{00000000-0005-0000-0000-0000EF2C0000}"/>
    <cellStyle name="Normal 4 6 4 2 3 2" xfId="11505" xr:uid="{00000000-0005-0000-0000-0000F02C0000}"/>
    <cellStyle name="Normal 4 6 4 2 3 2 2" xfId="11506" xr:uid="{00000000-0005-0000-0000-0000F12C0000}"/>
    <cellStyle name="Normal 4 6 4 2 3 3" xfId="11507" xr:uid="{00000000-0005-0000-0000-0000F22C0000}"/>
    <cellStyle name="Normal 4 6 4 2 4" xfId="11508" xr:uid="{00000000-0005-0000-0000-0000F32C0000}"/>
    <cellStyle name="Normal 4 6 4 2 4 2" xfId="11509" xr:uid="{00000000-0005-0000-0000-0000F42C0000}"/>
    <cellStyle name="Normal 4 6 4 2 5" xfId="11510" xr:uid="{00000000-0005-0000-0000-0000F52C0000}"/>
    <cellStyle name="Normal 4 6 4 3" xfId="11511" xr:uid="{00000000-0005-0000-0000-0000F62C0000}"/>
    <cellStyle name="Normal 4 6 4 3 2" xfId="11512" xr:uid="{00000000-0005-0000-0000-0000F72C0000}"/>
    <cellStyle name="Normal 4 6 4 3 2 2" xfId="11513" xr:uid="{00000000-0005-0000-0000-0000F82C0000}"/>
    <cellStyle name="Normal 4 6 4 3 2 2 2" xfId="11514" xr:uid="{00000000-0005-0000-0000-0000F92C0000}"/>
    <cellStyle name="Normal 4 6 4 3 2 3" xfId="11515" xr:uid="{00000000-0005-0000-0000-0000FA2C0000}"/>
    <cellStyle name="Normal 4 6 4 3 3" xfId="11516" xr:uid="{00000000-0005-0000-0000-0000FB2C0000}"/>
    <cellStyle name="Normal 4 6 4 3 3 2" xfId="11517" xr:uid="{00000000-0005-0000-0000-0000FC2C0000}"/>
    <cellStyle name="Normal 4 6 4 3 4" xfId="11518" xr:uid="{00000000-0005-0000-0000-0000FD2C0000}"/>
    <cellStyle name="Normal 4 6 4 4" xfId="11519" xr:uid="{00000000-0005-0000-0000-0000FE2C0000}"/>
    <cellStyle name="Normal 4 6 4 4 2" xfId="11520" xr:uid="{00000000-0005-0000-0000-0000FF2C0000}"/>
    <cellStyle name="Normal 4 6 4 4 2 2" xfId="11521" xr:uid="{00000000-0005-0000-0000-0000002D0000}"/>
    <cellStyle name="Normal 4 6 4 4 3" xfId="11522" xr:uid="{00000000-0005-0000-0000-0000012D0000}"/>
    <cellStyle name="Normal 4 6 4 5" xfId="11523" xr:uid="{00000000-0005-0000-0000-0000022D0000}"/>
    <cellStyle name="Normal 4 6 4 5 2" xfId="11524" xr:uid="{00000000-0005-0000-0000-0000032D0000}"/>
    <cellStyle name="Normal 4 6 4 5 2 2" xfId="11525" xr:uid="{00000000-0005-0000-0000-0000042D0000}"/>
    <cellStyle name="Normal 4 6 4 5 3" xfId="11526" xr:uid="{00000000-0005-0000-0000-0000052D0000}"/>
    <cellStyle name="Normal 4 6 4 6" xfId="11527" xr:uid="{00000000-0005-0000-0000-0000062D0000}"/>
    <cellStyle name="Normal 4 6 4 6 2" xfId="11528" xr:uid="{00000000-0005-0000-0000-0000072D0000}"/>
    <cellStyle name="Normal 4 6 4 7" xfId="11529" xr:uid="{00000000-0005-0000-0000-0000082D0000}"/>
    <cellStyle name="Normal 4 6 5" xfId="11530" xr:uid="{00000000-0005-0000-0000-0000092D0000}"/>
    <cellStyle name="Normal 4 6 5 2" xfId="11531" xr:uid="{00000000-0005-0000-0000-00000A2D0000}"/>
    <cellStyle name="Normal 4 6 5 2 2" xfId="11532" xr:uid="{00000000-0005-0000-0000-00000B2D0000}"/>
    <cellStyle name="Normal 4 6 5 2 2 2" xfId="11533" xr:uid="{00000000-0005-0000-0000-00000C2D0000}"/>
    <cellStyle name="Normal 4 6 5 2 3" xfId="11534" xr:uid="{00000000-0005-0000-0000-00000D2D0000}"/>
    <cellStyle name="Normal 4 6 5 3" xfId="11535" xr:uid="{00000000-0005-0000-0000-00000E2D0000}"/>
    <cellStyle name="Normal 4 6 5 3 2" xfId="11536" xr:uid="{00000000-0005-0000-0000-00000F2D0000}"/>
    <cellStyle name="Normal 4 6 5 3 2 2" xfId="11537" xr:uid="{00000000-0005-0000-0000-0000102D0000}"/>
    <cellStyle name="Normal 4 6 5 3 3" xfId="11538" xr:uid="{00000000-0005-0000-0000-0000112D0000}"/>
    <cellStyle name="Normal 4 6 5 4" xfId="11539" xr:uid="{00000000-0005-0000-0000-0000122D0000}"/>
    <cellStyle name="Normal 4 6 5 4 2" xfId="11540" xr:uid="{00000000-0005-0000-0000-0000132D0000}"/>
    <cellStyle name="Normal 4 6 5 5" xfId="11541" xr:uid="{00000000-0005-0000-0000-0000142D0000}"/>
    <cellStyle name="Normal 4 6 6" xfId="11542" xr:uid="{00000000-0005-0000-0000-0000152D0000}"/>
    <cellStyle name="Normal 4 6 6 2" xfId="11543" xr:uid="{00000000-0005-0000-0000-0000162D0000}"/>
    <cellStyle name="Normal 4 6 6 2 2" xfId="11544" xr:uid="{00000000-0005-0000-0000-0000172D0000}"/>
    <cellStyle name="Normal 4 6 6 2 2 2" xfId="11545" xr:uid="{00000000-0005-0000-0000-0000182D0000}"/>
    <cellStyle name="Normal 4 6 6 2 3" xfId="11546" xr:uid="{00000000-0005-0000-0000-0000192D0000}"/>
    <cellStyle name="Normal 4 6 6 3" xfId="11547" xr:uid="{00000000-0005-0000-0000-00001A2D0000}"/>
    <cellStyle name="Normal 4 6 6 3 2" xfId="11548" xr:uid="{00000000-0005-0000-0000-00001B2D0000}"/>
    <cellStyle name="Normal 4 6 6 3 2 2" xfId="11549" xr:uid="{00000000-0005-0000-0000-00001C2D0000}"/>
    <cellStyle name="Normal 4 6 6 3 3" xfId="11550" xr:uid="{00000000-0005-0000-0000-00001D2D0000}"/>
    <cellStyle name="Normal 4 6 6 4" xfId="11551" xr:uid="{00000000-0005-0000-0000-00001E2D0000}"/>
    <cellStyle name="Normal 4 6 6 4 2" xfId="11552" xr:uid="{00000000-0005-0000-0000-00001F2D0000}"/>
    <cellStyle name="Normal 4 6 6 5" xfId="11553" xr:uid="{00000000-0005-0000-0000-0000202D0000}"/>
    <cellStyle name="Normal 4 6 7" xfId="11554" xr:uid="{00000000-0005-0000-0000-0000212D0000}"/>
    <cellStyle name="Normal 4 6 7 2" xfId="11555" xr:uid="{00000000-0005-0000-0000-0000222D0000}"/>
    <cellStyle name="Normal 4 6 7 2 2" xfId="11556" xr:uid="{00000000-0005-0000-0000-0000232D0000}"/>
    <cellStyle name="Normal 4 6 7 2 2 2" xfId="11557" xr:uid="{00000000-0005-0000-0000-0000242D0000}"/>
    <cellStyle name="Normal 4 6 7 2 3" xfId="11558" xr:uid="{00000000-0005-0000-0000-0000252D0000}"/>
    <cellStyle name="Normal 4 6 7 3" xfId="11559" xr:uid="{00000000-0005-0000-0000-0000262D0000}"/>
    <cellStyle name="Normal 4 6 7 3 2" xfId="11560" xr:uid="{00000000-0005-0000-0000-0000272D0000}"/>
    <cellStyle name="Normal 4 6 7 4" xfId="11561" xr:uid="{00000000-0005-0000-0000-0000282D0000}"/>
    <cellStyle name="Normal 4 6 8" xfId="11562" xr:uid="{00000000-0005-0000-0000-0000292D0000}"/>
    <cellStyle name="Normal 4 6 8 2" xfId="11563" xr:uid="{00000000-0005-0000-0000-00002A2D0000}"/>
    <cellStyle name="Normal 4 6 8 2 2" xfId="11564" xr:uid="{00000000-0005-0000-0000-00002B2D0000}"/>
    <cellStyle name="Normal 4 6 8 3" xfId="11565" xr:uid="{00000000-0005-0000-0000-00002C2D0000}"/>
    <cellStyle name="Normal 4 6 9" xfId="11566" xr:uid="{00000000-0005-0000-0000-00002D2D0000}"/>
    <cellStyle name="Normal 4 6 9 2" xfId="11567" xr:uid="{00000000-0005-0000-0000-00002E2D0000}"/>
    <cellStyle name="Normal 4 6 9 2 2" xfId="11568" xr:uid="{00000000-0005-0000-0000-00002F2D0000}"/>
    <cellStyle name="Normal 4 6 9 3" xfId="11569" xr:uid="{00000000-0005-0000-0000-0000302D0000}"/>
    <cellStyle name="Normal 4 7" xfId="11570" xr:uid="{00000000-0005-0000-0000-0000312D0000}"/>
    <cellStyle name="Normal 4 7 10" xfId="11571" xr:uid="{00000000-0005-0000-0000-0000322D0000}"/>
    <cellStyle name="Normal 4 7 10 2" xfId="11572" xr:uid="{00000000-0005-0000-0000-0000332D0000}"/>
    <cellStyle name="Normal 4 7 10 2 2" xfId="11573" xr:uid="{00000000-0005-0000-0000-0000342D0000}"/>
    <cellStyle name="Normal 4 7 10 3" xfId="11574" xr:uid="{00000000-0005-0000-0000-0000352D0000}"/>
    <cellStyle name="Normal 4 7 11" xfId="11575" xr:uid="{00000000-0005-0000-0000-0000362D0000}"/>
    <cellStyle name="Normal 4 7 11 2" xfId="11576" xr:uid="{00000000-0005-0000-0000-0000372D0000}"/>
    <cellStyle name="Normal 4 7 11 2 2" xfId="11577" xr:uid="{00000000-0005-0000-0000-0000382D0000}"/>
    <cellStyle name="Normal 4 7 11 3" xfId="11578" xr:uid="{00000000-0005-0000-0000-0000392D0000}"/>
    <cellStyle name="Normal 4 7 12" xfId="11579" xr:uid="{00000000-0005-0000-0000-00003A2D0000}"/>
    <cellStyle name="Normal 4 7 12 2" xfId="11580" xr:uid="{00000000-0005-0000-0000-00003B2D0000}"/>
    <cellStyle name="Normal 4 7 13" xfId="11581" xr:uid="{00000000-0005-0000-0000-00003C2D0000}"/>
    <cellStyle name="Normal 4 7 2" xfId="11582" xr:uid="{00000000-0005-0000-0000-00003D2D0000}"/>
    <cellStyle name="Normal 4 7 2 2" xfId="11583" xr:uid="{00000000-0005-0000-0000-00003E2D0000}"/>
    <cellStyle name="Normal 4 7 2 2 2" xfId="11584" xr:uid="{00000000-0005-0000-0000-00003F2D0000}"/>
    <cellStyle name="Normal 4 7 2 2 2 2" xfId="11585" xr:uid="{00000000-0005-0000-0000-0000402D0000}"/>
    <cellStyle name="Normal 4 7 2 2 2 2 2" xfId="11586" xr:uid="{00000000-0005-0000-0000-0000412D0000}"/>
    <cellStyle name="Normal 4 7 2 2 2 2 2 2" xfId="11587" xr:uid="{00000000-0005-0000-0000-0000422D0000}"/>
    <cellStyle name="Normal 4 7 2 2 2 2 3" xfId="11588" xr:uid="{00000000-0005-0000-0000-0000432D0000}"/>
    <cellStyle name="Normal 4 7 2 2 2 3" xfId="11589" xr:uid="{00000000-0005-0000-0000-0000442D0000}"/>
    <cellStyle name="Normal 4 7 2 2 2 3 2" xfId="11590" xr:uid="{00000000-0005-0000-0000-0000452D0000}"/>
    <cellStyle name="Normal 4 7 2 2 2 3 2 2" xfId="11591" xr:uid="{00000000-0005-0000-0000-0000462D0000}"/>
    <cellStyle name="Normal 4 7 2 2 2 3 3" xfId="11592" xr:uid="{00000000-0005-0000-0000-0000472D0000}"/>
    <cellStyle name="Normal 4 7 2 2 2 4" xfId="11593" xr:uid="{00000000-0005-0000-0000-0000482D0000}"/>
    <cellStyle name="Normal 4 7 2 2 2 4 2" xfId="11594" xr:uid="{00000000-0005-0000-0000-0000492D0000}"/>
    <cellStyle name="Normal 4 7 2 2 2 5" xfId="11595" xr:uid="{00000000-0005-0000-0000-00004A2D0000}"/>
    <cellStyle name="Normal 4 7 2 2 3" xfId="11596" xr:uid="{00000000-0005-0000-0000-00004B2D0000}"/>
    <cellStyle name="Normal 4 7 2 2 3 2" xfId="11597" xr:uid="{00000000-0005-0000-0000-00004C2D0000}"/>
    <cellStyle name="Normal 4 7 2 2 3 2 2" xfId="11598" xr:uid="{00000000-0005-0000-0000-00004D2D0000}"/>
    <cellStyle name="Normal 4 7 2 2 3 2 2 2" xfId="11599" xr:uid="{00000000-0005-0000-0000-00004E2D0000}"/>
    <cellStyle name="Normal 4 7 2 2 3 2 3" xfId="11600" xr:uid="{00000000-0005-0000-0000-00004F2D0000}"/>
    <cellStyle name="Normal 4 7 2 2 3 3" xfId="11601" xr:uid="{00000000-0005-0000-0000-0000502D0000}"/>
    <cellStyle name="Normal 4 7 2 2 3 3 2" xfId="11602" xr:uid="{00000000-0005-0000-0000-0000512D0000}"/>
    <cellStyle name="Normal 4 7 2 2 3 3 2 2" xfId="11603" xr:uid="{00000000-0005-0000-0000-0000522D0000}"/>
    <cellStyle name="Normal 4 7 2 2 3 3 3" xfId="11604" xr:uid="{00000000-0005-0000-0000-0000532D0000}"/>
    <cellStyle name="Normal 4 7 2 2 3 4" xfId="11605" xr:uid="{00000000-0005-0000-0000-0000542D0000}"/>
    <cellStyle name="Normal 4 7 2 2 3 4 2" xfId="11606" xr:uid="{00000000-0005-0000-0000-0000552D0000}"/>
    <cellStyle name="Normal 4 7 2 2 3 5" xfId="11607" xr:uid="{00000000-0005-0000-0000-0000562D0000}"/>
    <cellStyle name="Normal 4 7 2 2 4" xfId="11608" xr:uid="{00000000-0005-0000-0000-0000572D0000}"/>
    <cellStyle name="Normal 4 7 2 2 4 2" xfId="11609" xr:uid="{00000000-0005-0000-0000-0000582D0000}"/>
    <cellStyle name="Normal 4 7 2 2 4 2 2" xfId="11610" xr:uid="{00000000-0005-0000-0000-0000592D0000}"/>
    <cellStyle name="Normal 4 7 2 2 4 3" xfId="11611" xr:uid="{00000000-0005-0000-0000-00005A2D0000}"/>
    <cellStyle name="Normal 4 7 2 2 5" xfId="11612" xr:uid="{00000000-0005-0000-0000-00005B2D0000}"/>
    <cellStyle name="Normal 4 7 2 2 5 2" xfId="11613" xr:uid="{00000000-0005-0000-0000-00005C2D0000}"/>
    <cellStyle name="Normal 4 7 2 2 5 2 2" xfId="11614" xr:uid="{00000000-0005-0000-0000-00005D2D0000}"/>
    <cellStyle name="Normal 4 7 2 2 5 3" xfId="11615" xr:uid="{00000000-0005-0000-0000-00005E2D0000}"/>
    <cellStyle name="Normal 4 7 2 2 6" xfId="11616" xr:uid="{00000000-0005-0000-0000-00005F2D0000}"/>
    <cellStyle name="Normal 4 7 2 2 6 2" xfId="11617" xr:uid="{00000000-0005-0000-0000-0000602D0000}"/>
    <cellStyle name="Normal 4 7 2 2 7" xfId="11618" xr:uid="{00000000-0005-0000-0000-0000612D0000}"/>
    <cellStyle name="Normal 4 7 2 3" xfId="11619" xr:uid="{00000000-0005-0000-0000-0000622D0000}"/>
    <cellStyle name="Normal 4 7 2 3 2" xfId="11620" xr:uid="{00000000-0005-0000-0000-0000632D0000}"/>
    <cellStyle name="Normal 4 7 2 3 2 2" xfId="11621" xr:uid="{00000000-0005-0000-0000-0000642D0000}"/>
    <cellStyle name="Normal 4 7 2 3 2 2 2" xfId="11622" xr:uid="{00000000-0005-0000-0000-0000652D0000}"/>
    <cellStyle name="Normal 4 7 2 3 2 3" xfId="11623" xr:uid="{00000000-0005-0000-0000-0000662D0000}"/>
    <cellStyle name="Normal 4 7 2 3 3" xfId="11624" xr:uid="{00000000-0005-0000-0000-0000672D0000}"/>
    <cellStyle name="Normal 4 7 2 3 3 2" xfId="11625" xr:uid="{00000000-0005-0000-0000-0000682D0000}"/>
    <cellStyle name="Normal 4 7 2 3 3 2 2" xfId="11626" xr:uid="{00000000-0005-0000-0000-0000692D0000}"/>
    <cellStyle name="Normal 4 7 2 3 3 3" xfId="11627" xr:uid="{00000000-0005-0000-0000-00006A2D0000}"/>
    <cellStyle name="Normal 4 7 2 3 4" xfId="11628" xr:uid="{00000000-0005-0000-0000-00006B2D0000}"/>
    <cellStyle name="Normal 4 7 2 3 4 2" xfId="11629" xr:uid="{00000000-0005-0000-0000-00006C2D0000}"/>
    <cellStyle name="Normal 4 7 2 3 5" xfId="11630" xr:uid="{00000000-0005-0000-0000-00006D2D0000}"/>
    <cellStyle name="Normal 4 7 2 4" xfId="11631" xr:uid="{00000000-0005-0000-0000-00006E2D0000}"/>
    <cellStyle name="Normal 4 7 2 4 2" xfId="11632" xr:uid="{00000000-0005-0000-0000-00006F2D0000}"/>
    <cellStyle name="Normal 4 7 2 4 2 2" xfId="11633" xr:uid="{00000000-0005-0000-0000-0000702D0000}"/>
    <cellStyle name="Normal 4 7 2 4 2 2 2" xfId="11634" xr:uid="{00000000-0005-0000-0000-0000712D0000}"/>
    <cellStyle name="Normal 4 7 2 4 2 3" xfId="11635" xr:uid="{00000000-0005-0000-0000-0000722D0000}"/>
    <cellStyle name="Normal 4 7 2 4 3" xfId="11636" xr:uid="{00000000-0005-0000-0000-0000732D0000}"/>
    <cellStyle name="Normal 4 7 2 4 3 2" xfId="11637" xr:uid="{00000000-0005-0000-0000-0000742D0000}"/>
    <cellStyle name="Normal 4 7 2 4 3 2 2" xfId="11638" xr:uid="{00000000-0005-0000-0000-0000752D0000}"/>
    <cellStyle name="Normal 4 7 2 4 3 3" xfId="11639" xr:uid="{00000000-0005-0000-0000-0000762D0000}"/>
    <cellStyle name="Normal 4 7 2 4 4" xfId="11640" xr:uid="{00000000-0005-0000-0000-0000772D0000}"/>
    <cellStyle name="Normal 4 7 2 4 4 2" xfId="11641" xr:uid="{00000000-0005-0000-0000-0000782D0000}"/>
    <cellStyle name="Normal 4 7 2 4 5" xfId="11642" xr:uid="{00000000-0005-0000-0000-0000792D0000}"/>
    <cellStyle name="Normal 4 7 2 5" xfId="11643" xr:uid="{00000000-0005-0000-0000-00007A2D0000}"/>
    <cellStyle name="Normal 4 7 2 5 2" xfId="11644" xr:uid="{00000000-0005-0000-0000-00007B2D0000}"/>
    <cellStyle name="Normal 4 7 2 5 2 2" xfId="11645" xr:uid="{00000000-0005-0000-0000-00007C2D0000}"/>
    <cellStyle name="Normal 4 7 2 5 3" xfId="11646" xr:uid="{00000000-0005-0000-0000-00007D2D0000}"/>
    <cellStyle name="Normal 4 7 2 6" xfId="11647" xr:uid="{00000000-0005-0000-0000-00007E2D0000}"/>
    <cellStyle name="Normal 4 7 2 6 2" xfId="11648" xr:uid="{00000000-0005-0000-0000-00007F2D0000}"/>
    <cellStyle name="Normal 4 7 2 6 2 2" xfId="11649" xr:uid="{00000000-0005-0000-0000-0000802D0000}"/>
    <cellStyle name="Normal 4 7 2 6 3" xfId="11650" xr:uid="{00000000-0005-0000-0000-0000812D0000}"/>
    <cellStyle name="Normal 4 7 2 7" xfId="11651" xr:uid="{00000000-0005-0000-0000-0000822D0000}"/>
    <cellStyle name="Normal 4 7 2 7 2" xfId="11652" xr:uid="{00000000-0005-0000-0000-0000832D0000}"/>
    <cellStyle name="Normal 4 7 2 7 3" xfId="11653" xr:uid="{00000000-0005-0000-0000-0000842D0000}"/>
    <cellStyle name="Normal 4 7 2 7 3 2" xfId="11654" xr:uid="{00000000-0005-0000-0000-0000852D0000}"/>
    <cellStyle name="Normal 4 7 2 7 4" xfId="11655" xr:uid="{00000000-0005-0000-0000-0000862D0000}"/>
    <cellStyle name="Normal 4 7 2 8" xfId="11656" xr:uid="{00000000-0005-0000-0000-0000872D0000}"/>
    <cellStyle name="Normal 4 7 2 8 2" xfId="11657" xr:uid="{00000000-0005-0000-0000-0000882D0000}"/>
    <cellStyle name="Normal 4 7 2 9" xfId="11658" xr:uid="{00000000-0005-0000-0000-0000892D0000}"/>
    <cellStyle name="Normal 4 7 3" xfId="11659" xr:uid="{00000000-0005-0000-0000-00008A2D0000}"/>
    <cellStyle name="Normal 4 7 3 2" xfId="11660" xr:uid="{00000000-0005-0000-0000-00008B2D0000}"/>
    <cellStyle name="Normal 4 7 3 2 2" xfId="11661" xr:uid="{00000000-0005-0000-0000-00008C2D0000}"/>
    <cellStyle name="Normal 4 7 3 2 2 2" xfId="11662" xr:uid="{00000000-0005-0000-0000-00008D2D0000}"/>
    <cellStyle name="Normal 4 7 3 2 2 2 2" xfId="11663" xr:uid="{00000000-0005-0000-0000-00008E2D0000}"/>
    <cellStyle name="Normal 4 7 3 2 2 3" xfId="11664" xr:uid="{00000000-0005-0000-0000-00008F2D0000}"/>
    <cellStyle name="Normal 4 7 3 2 3" xfId="11665" xr:uid="{00000000-0005-0000-0000-0000902D0000}"/>
    <cellStyle name="Normal 4 7 3 2 3 2" xfId="11666" xr:uid="{00000000-0005-0000-0000-0000912D0000}"/>
    <cellStyle name="Normal 4 7 3 2 3 2 2" xfId="11667" xr:uid="{00000000-0005-0000-0000-0000922D0000}"/>
    <cellStyle name="Normal 4 7 3 2 3 3" xfId="11668" xr:uid="{00000000-0005-0000-0000-0000932D0000}"/>
    <cellStyle name="Normal 4 7 3 2 4" xfId="11669" xr:uid="{00000000-0005-0000-0000-0000942D0000}"/>
    <cellStyle name="Normal 4 7 3 2 4 2" xfId="11670" xr:uid="{00000000-0005-0000-0000-0000952D0000}"/>
    <cellStyle name="Normal 4 7 3 2 5" xfId="11671" xr:uid="{00000000-0005-0000-0000-0000962D0000}"/>
    <cellStyle name="Normal 4 7 3 3" xfId="11672" xr:uid="{00000000-0005-0000-0000-0000972D0000}"/>
    <cellStyle name="Normal 4 7 3 3 2" xfId="11673" xr:uid="{00000000-0005-0000-0000-0000982D0000}"/>
    <cellStyle name="Normal 4 7 3 3 2 2" xfId="11674" xr:uid="{00000000-0005-0000-0000-0000992D0000}"/>
    <cellStyle name="Normal 4 7 3 3 2 2 2" xfId="11675" xr:uid="{00000000-0005-0000-0000-00009A2D0000}"/>
    <cellStyle name="Normal 4 7 3 3 2 3" xfId="11676" xr:uid="{00000000-0005-0000-0000-00009B2D0000}"/>
    <cellStyle name="Normal 4 7 3 3 3" xfId="11677" xr:uid="{00000000-0005-0000-0000-00009C2D0000}"/>
    <cellStyle name="Normal 4 7 3 3 3 2" xfId="11678" xr:uid="{00000000-0005-0000-0000-00009D2D0000}"/>
    <cellStyle name="Normal 4 7 3 3 3 2 2" xfId="11679" xr:uid="{00000000-0005-0000-0000-00009E2D0000}"/>
    <cellStyle name="Normal 4 7 3 3 3 3" xfId="11680" xr:uid="{00000000-0005-0000-0000-00009F2D0000}"/>
    <cellStyle name="Normal 4 7 3 3 4" xfId="11681" xr:uid="{00000000-0005-0000-0000-0000A02D0000}"/>
    <cellStyle name="Normal 4 7 3 3 4 2" xfId="11682" xr:uid="{00000000-0005-0000-0000-0000A12D0000}"/>
    <cellStyle name="Normal 4 7 3 3 5" xfId="11683" xr:uid="{00000000-0005-0000-0000-0000A22D0000}"/>
    <cellStyle name="Normal 4 7 3 4" xfId="11684" xr:uid="{00000000-0005-0000-0000-0000A32D0000}"/>
    <cellStyle name="Normal 4 7 3 4 2" xfId="11685" xr:uid="{00000000-0005-0000-0000-0000A42D0000}"/>
    <cellStyle name="Normal 4 7 3 4 2 2" xfId="11686" xr:uid="{00000000-0005-0000-0000-0000A52D0000}"/>
    <cellStyle name="Normal 4 7 3 4 3" xfId="11687" xr:uid="{00000000-0005-0000-0000-0000A62D0000}"/>
    <cellStyle name="Normal 4 7 3 5" xfId="11688" xr:uid="{00000000-0005-0000-0000-0000A72D0000}"/>
    <cellStyle name="Normal 4 7 3 5 2" xfId="11689" xr:uid="{00000000-0005-0000-0000-0000A82D0000}"/>
    <cellStyle name="Normal 4 7 3 5 2 2" xfId="11690" xr:uid="{00000000-0005-0000-0000-0000A92D0000}"/>
    <cellStyle name="Normal 4 7 3 5 3" xfId="11691" xr:uid="{00000000-0005-0000-0000-0000AA2D0000}"/>
    <cellStyle name="Normal 4 7 3 6" xfId="11692" xr:uid="{00000000-0005-0000-0000-0000AB2D0000}"/>
    <cellStyle name="Normal 4 7 3 6 2" xfId="11693" xr:uid="{00000000-0005-0000-0000-0000AC2D0000}"/>
    <cellStyle name="Normal 4 7 3 7" xfId="11694" xr:uid="{00000000-0005-0000-0000-0000AD2D0000}"/>
    <cellStyle name="Normal 4 7 4" xfId="11695" xr:uid="{00000000-0005-0000-0000-0000AE2D0000}"/>
    <cellStyle name="Normal 4 7 4 2" xfId="11696" xr:uid="{00000000-0005-0000-0000-0000AF2D0000}"/>
    <cellStyle name="Normal 4 7 4 2 2" xfId="11697" xr:uid="{00000000-0005-0000-0000-0000B02D0000}"/>
    <cellStyle name="Normal 4 7 4 2 2 2" xfId="11698" xr:uid="{00000000-0005-0000-0000-0000B12D0000}"/>
    <cellStyle name="Normal 4 7 4 2 2 2 2" xfId="11699" xr:uid="{00000000-0005-0000-0000-0000B22D0000}"/>
    <cellStyle name="Normal 4 7 4 2 2 3" xfId="11700" xr:uid="{00000000-0005-0000-0000-0000B32D0000}"/>
    <cellStyle name="Normal 4 7 4 2 3" xfId="11701" xr:uid="{00000000-0005-0000-0000-0000B42D0000}"/>
    <cellStyle name="Normal 4 7 4 2 3 2" xfId="11702" xr:uid="{00000000-0005-0000-0000-0000B52D0000}"/>
    <cellStyle name="Normal 4 7 4 2 3 2 2" xfId="11703" xr:uid="{00000000-0005-0000-0000-0000B62D0000}"/>
    <cellStyle name="Normal 4 7 4 2 3 3" xfId="11704" xr:uid="{00000000-0005-0000-0000-0000B72D0000}"/>
    <cellStyle name="Normal 4 7 4 2 4" xfId="11705" xr:uid="{00000000-0005-0000-0000-0000B82D0000}"/>
    <cellStyle name="Normal 4 7 4 2 4 2" xfId="11706" xr:uid="{00000000-0005-0000-0000-0000B92D0000}"/>
    <cellStyle name="Normal 4 7 4 2 5" xfId="11707" xr:uid="{00000000-0005-0000-0000-0000BA2D0000}"/>
    <cellStyle name="Normal 4 7 4 3" xfId="11708" xr:uid="{00000000-0005-0000-0000-0000BB2D0000}"/>
    <cellStyle name="Normal 4 7 4 3 2" xfId="11709" xr:uid="{00000000-0005-0000-0000-0000BC2D0000}"/>
    <cellStyle name="Normal 4 7 4 3 2 2" xfId="11710" xr:uid="{00000000-0005-0000-0000-0000BD2D0000}"/>
    <cellStyle name="Normal 4 7 4 3 2 2 2" xfId="11711" xr:uid="{00000000-0005-0000-0000-0000BE2D0000}"/>
    <cellStyle name="Normal 4 7 4 3 2 3" xfId="11712" xr:uid="{00000000-0005-0000-0000-0000BF2D0000}"/>
    <cellStyle name="Normal 4 7 4 3 3" xfId="11713" xr:uid="{00000000-0005-0000-0000-0000C02D0000}"/>
    <cellStyle name="Normal 4 7 4 3 3 2" xfId="11714" xr:uid="{00000000-0005-0000-0000-0000C12D0000}"/>
    <cellStyle name="Normal 4 7 4 3 4" xfId="11715" xr:uid="{00000000-0005-0000-0000-0000C22D0000}"/>
    <cellStyle name="Normal 4 7 4 4" xfId="11716" xr:uid="{00000000-0005-0000-0000-0000C32D0000}"/>
    <cellStyle name="Normal 4 7 4 4 2" xfId="11717" xr:uid="{00000000-0005-0000-0000-0000C42D0000}"/>
    <cellStyle name="Normal 4 7 4 4 2 2" xfId="11718" xr:uid="{00000000-0005-0000-0000-0000C52D0000}"/>
    <cellStyle name="Normal 4 7 4 4 3" xfId="11719" xr:uid="{00000000-0005-0000-0000-0000C62D0000}"/>
    <cellStyle name="Normal 4 7 4 5" xfId="11720" xr:uid="{00000000-0005-0000-0000-0000C72D0000}"/>
    <cellStyle name="Normal 4 7 4 5 2" xfId="11721" xr:uid="{00000000-0005-0000-0000-0000C82D0000}"/>
    <cellStyle name="Normal 4 7 4 5 2 2" xfId="11722" xr:uid="{00000000-0005-0000-0000-0000C92D0000}"/>
    <cellStyle name="Normal 4 7 4 5 3" xfId="11723" xr:uid="{00000000-0005-0000-0000-0000CA2D0000}"/>
    <cellStyle name="Normal 4 7 4 6" xfId="11724" xr:uid="{00000000-0005-0000-0000-0000CB2D0000}"/>
    <cellStyle name="Normal 4 7 4 6 2" xfId="11725" xr:uid="{00000000-0005-0000-0000-0000CC2D0000}"/>
    <cellStyle name="Normal 4 7 4 7" xfId="11726" xr:uid="{00000000-0005-0000-0000-0000CD2D0000}"/>
    <cellStyle name="Normal 4 7 5" xfId="11727" xr:uid="{00000000-0005-0000-0000-0000CE2D0000}"/>
    <cellStyle name="Normal 4 7 5 2" xfId="11728" xr:uid="{00000000-0005-0000-0000-0000CF2D0000}"/>
    <cellStyle name="Normal 4 7 5 2 2" xfId="11729" xr:uid="{00000000-0005-0000-0000-0000D02D0000}"/>
    <cellStyle name="Normal 4 7 5 2 2 2" xfId="11730" xr:uid="{00000000-0005-0000-0000-0000D12D0000}"/>
    <cellStyle name="Normal 4 7 5 2 3" xfId="11731" xr:uid="{00000000-0005-0000-0000-0000D22D0000}"/>
    <cellStyle name="Normal 4 7 5 3" xfId="11732" xr:uid="{00000000-0005-0000-0000-0000D32D0000}"/>
    <cellStyle name="Normal 4 7 5 3 2" xfId="11733" xr:uid="{00000000-0005-0000-0000-0000D42D0000}"/>
    <cellStyle name="Normal 4 7 5 3 2 2" xfId="11734" xr:uid="{00000000-0005-0000-0000-0000D52D0000}"/>
    <cellStyle name="Normal 4 7 5 3 3" xfId="11735" xr:uid="{00000000-0005-0000-0000-0000D62D0000}"/>
    <cellStyle name="Normal 4 7 5 4" xfId="11736" xr:uid="{00000000-0005-0000-0000-0000D72D0000}"/>
    <cellStyle name="Normal 4 7 5 4 2" xfId="11737" xr:uid="{00000000-0005-0000-0000-0000D82D0000}"/>
    <cellStyle name="Normal 4 7 5 5" xfId="11738" xr:uid="{00000000-0005-0000-0000-0000D92D0000}"/>
    <cellStyle name="Normal 4 7 6" xfId="11739" xr:uid="{00000000-0005-0000-0000-0000DA2D0000}"/>
    <cellStyle name="Normal 4 7 6 2" xfId="11740" xr:uid="{00000000-0005-0000-0000-0000DB2D0000}"/>
    <cellStyle name="Normal 4 7 6 2 2" xfId="11741" xr:uid="{00000000-0005-0000-0000-0000DC2D0000}"/>
    <cellStyle name="Normal 4 7 6 2 2 2" xfId="11742" xr:uid="{00000000-0005-0000-0000-0000DD2D0000}"/>
    <cellStyle name="Normal 4 7 6 2 3" xfId="11743" xr:uid="{00000000-0005-0000-0000-0000DE2D0000}"/>
    <cellStyle name="Normal 4 7 6 3" xfId="11744" xr:uid="{00000000-0005-0000-0000-0000DF2D0000}"/>
    <cellStyle name="Normal 4 7 6 3 2" xfId="11745" xr:uid="{00000000-0005-0000-0000-0000E02D0000}"/>
    <cellStyle name="Normal 4 7 6 3 2 2" xfId="11746" xr:uid="{00000000-0005-0000-0000-0000E12D0000}"/>
    <cellStyle name="Normal 4 7 6 3 3" xfId="11747" xr:uid="{00000000-0005-0000-0000-0000E22D0000}"/>
    <cellStyle name="Normal 4 7 6 4" xfId="11748" xr:uid="{00000000-0005-0000-0000-0000E32D0000}"/>
    <cellStyle name="Normal 4 7 6 4 2" xfId="11749" xr:uid="{00000000-0005-0000-0000-0000E42D0000}"/>
    <cellStyle name="Normal 4 7 6 5" xfId="11750" xr:uid="{00000000-0005-0000-0000-0000E52D0000}"/>
    <cellStyle name="Normal 4 7 7" xfId="11751" xr:uid="{00000000-0005-0000-0000-0000E62D0000}"/>
    <cellStyle name="Normal 4 7 7 2" xfId="11752" xr:uid="{00000000-0005-0000-0000-0000E72D0000}"/>
    <cellStyle name="Normal 4 7 7 2 2" xfId="11753" xr:uid="{00000000-0005-0000-0000-0000E82D0000}"/>
    <cellStyle name="Normal 4 7 7 2 2 2" xfId="11754" xr:uid="{00000000-0005-0000-0000-0000E92D0000}"/>
    <cellStyle name="Normal 4 7 7 2 3" xfId="11755" xr:uid="{00000000-0005-0000-0000-0000EA2D0000}"/>
    <cellStyle name="Normal 4 7 7 3" xfId="11756" xr:uid="{00000000-0005-0000-0000-0000EB2D0000}"/>
    <cellStyle name="Normal 4 7 7 3 2" xfId="11757" xr:uid="{00000000-0005-0000-0000-0000EC2D0000}"/>
    <cellStyle name="Normal 4 7 7 4" xfId="11758" xr:uid="{00000000-0005-0000-0000-0000ED2D0000}"/>
    <cellStyle name="Normal 4 7 8" xfId="11759" xr:uid="{00000000-0005-0000-0000-0000EE2D0000}"/>
    <cellStyle name="Normal 4 7 8 2" xfId="11760" xr:uid="{00000000-0005-0000-0000-0000EF2D0000}"/>
    <cellStyle name="Normal 4 7 8 2 2" xfId="11761" xr:uid="{00000000-0005-0000-0000-0000F02D0000}"/>
    <cellStyle name="Normal 4 7 8 3" xfId="11762" xr:uid="{00000000-0005-0000-0000-0000F12D0000}"/>
    <cellStyle name="Normal 4 7 9" xfId="11763" xr:uid="{00000000-0005-0000-0000-0000F22D0000}"/>
    <cellStyle name="Normal 4 7 9 2" xfId="11764" xr:uid="{00000000-0005-0000-0000-0000F32D0000}"/>
    <cellStyle name="Normal 4 7 9 2 2" xfId="11765" xr:uid="{00000000-0005-0000-0000-0000F42D0000}"/>
    <cellStyle name="Normal 4 7 9 3" xfId="11766" xr:uid="{00000000-0005-0000-0000-0000F52D0000}"/>
    <cellStyle name="Normal 4 8" xfId="11767" xr:uid="{00000000-0005-0000-0000-0000F62D0000}"/>
    <cellStyle name="Normal 4 8 2" xfId="11768" xr:uid="{00000000-0005-0000-0000-0000F72D0000}"/>
    <cellStyle name="Normal 4 8 2 2" xfId="11769" xr:uid="{00000000-0005-0000-0000-0000F82D0000}"/>
    <cellStyle name="Normal 4 8 2 2 2" xfId="11770" xr:uid="{00000000-0005-0000-0000-0000F92D0000}"/>
    <cellStyle name="Normal 4 8 2 2 2 2" xfId="11771" xr:uid="{00000000-0005-0000-0000-0000FA2D0000}"/>
    <cellStyle name="Normal 4 8 2 2 2 2 2" xfId="11772" xr:uid="{00000000-0005-0000-0000-0000FB2D0000}"/>
    <cellStyle name="Normal 4 8 2 2 2 3" xfId="11773" xr:uid="{00000000-0005-0000-0000-0000FC2D0000}"/>
    <cellStyle name="Normal 4 8 2 2 3" xfId="11774" xr:uid="{00000000-0005-0000-0000-0000FD2D0000}"/>
    <cellStyle name="Normal 4 8 2 2 3 2" xfId="11775" xr:uid="{00000000-0005-0000-0000-0000FE2D0000}"/>
    <cellStyle name="Normal 4 8 2 2 3 2 2" xfId="11776" xr:uid="{00000000-0005-0000-0000-0000FF2D0000}"/>
    <cellStyle name="Normal 4 8 2 2 3 3" xfId="11777" xr:uid="{00000000-0005-0000-0000-0000002E0000}"/>
    <cellStyle name="Normal 4 8 2 2 4" xfId="11778" xr:uid="{00000000-0005-0000-0000-0000012E0000}"/>
    <cellStyle name="Normal 4 8 2 2 4 2" xfId="11779" xr:uid="{00000000-0005-0000-0000-0000022E0000}"/>
    <cellStyle name="Normal 4 8 2 2 5" xfId="11780" xr:uid="{00000000-0005-0000-0000-0000032E0000}"/>
    <cellStyle name="Normal 4 8 2 3" xfId="11781" xr:uid="{00000000-0005-0000-0000-0000042E0000}"/>
    <cellStyle name="Normal 4 8 2 3 2" xfId="11782" xr:uid="{00000000-0005-0000-0000-0000052E0000}"/>
    <cellStyle name="Normal 4 8 2 3 2 2" xfId="11783" xr:uid="{00000000-0005-0000-0000-0000062E0000}"/>
    <cellStyle name="Normal 4 8 2 3 2 2 2" xfId="11784" xr:uid="{00000000-0005-0000-0000-0000072E0000}"/>
    <cellStyle name="Normal 4 8 2 3 2 3" xfId="11785" xr:uid="{00000000-0005-0000-0000-0000082E0000}"/>
    <cellStyle name="Normal 4 8 2 3 3" xfId="11786" xr:uid="{00000000-0005-0000-0000-0000092E0000}"/>
    <cellStyle name="Normal 4 8 2 3 3 2" xfId="11787" xr:uid="{00000000-0005-0000-0000-00000A2E0000}"/>
    <cellStyle name="Normal 4 8 2 3 3 2 2" xfId="11788" xr:uid="{00000000-0005-0000-0000-00000B2E0000}"/>
    <cellStyle name="Normal 4 8 2 3 3 3" xfId="11789" xr:uid="{00000000-0005-0000-0000-00000C2E0000}"/>
    <cellStyle name="Normal 4 8 2 3 4" xfId="11790" xr:uid="{00000000-0005-0000-0000-00000D2E0000}"/>
    <cellStyle name="Normal 4 8 2 3 4 2" xfId="11791" xr:uid="{00000000-0005-0000-0000-00000E2E0000}"/>
    <cellStyle name="Normal 4 8 2 3 5" xfId="11792" xr:uid="{00000000-0005-0000-0000-00000F2E0000}"/>
    <cellStyle name="Normal 4 8 2 4" xfId="11793" xr:uid="{00000000-0005-0000-0000-0000102E0000}"/>
    <cellStyle name="Normal 4 8 2 4 2" xfId="11794" xr:uid="{00000000-0005-0000-0000-0000112E0000}"/>
    <cellStyle name="Normal 4 8 2 4 2 2" xfId="11795" xr:uid="{00000000-0005-0000-0000-0000122E0000}"/>
    <cellStyle name="Normal 4 8 2 4 3" xfId="11796" xr:uid="{00000000-0005-0000-0000-0000132E0000}"/>
    <cellStyle name="Normal 4 8 2 5" xfId="11797" xr:uid="{00000000-0005-0000-0000-0000142E0000}"/>
    <cellStyle name="Normal 4 8 2 5 2" xfId="11798" xr:uid="{00000000-0005-0000-0000-0000152E0000}"/>
    <cellStyle name="Normal 4 8 2 5 2 2" xfId="11799" xr:uid="{00000000-0005-0000-0000-0000162E0000}"/>
    <cellStyle name="Normal 4 8 2 5 3" xfId="11800" xr:uid="{00000000-0005-0000-0000-0000172E0000}"/>
    <cellStyle name="Normal 4 8 2 6" xfId="11801" xr:uid="{00000000-0005-0000-0000-0000182E0000}"/>
    <cellStyle name="Normal 4 8 2 6 2" xfId="11802" xr:uid="{00000000-0005-0000-0000-0000192E0000}"/>
    <cellStyle name="Normal 4 8 2 7" xfId="11803" xr:uid="{00000000-0005-0000-0000-00001A2E0000}"/>
    <cellStyle name="Normal 4 8 3" xfId="11804" xr:uid="{00000000-0005-0000-0000-00001B2E0000}"/>
    <cellStyle name="Normal 4 8 3 2" xfId="11805" xr:uid="{00000000-0005-0000-0000-00001C2E0000}"/>
    <cellStyle name="Normal 4 8 3 2 2" xfId="11806" xr:uid="{00000000-0005-0000-0000-00001D2E0000}"/>
    <cellStyle name="Normal 4 8 3 2 2 2" xfId="11807" xr:uid="{00000000-0005-0000-0000-00001E2E0000}"/>
    <cellStyle name="Normal 4 8 3 2 3" xfId="11808" xr:uid="{00000000-0005-0000-0000-00001F2E0000}"/>
    <cellStyle name="Normal 4 8 3 3" xfId="11809" xr:uid="{00000000-0005-0000-0000-0000202E0000}"/>
    <cellStyle name="Normal 4 8 3 3 2" xfId="11810" xr:uid="{00000000-0005-0000-0000-0000212E0000}"/>
    <cellStyle name="Normal 4 8 3 3 2 2" xfId="11811" xr:uid="{00000000-0005-0000-0000-0000222E0000}"/>
    <cellStyle name="Normal 4 8 3 3 3" xfId="11812" xr:uid="{00000000-0005-0000-0000-0000232E0000}"/>
    <cellStyle name="Normal 4 8 3 4" xfId="11813" xr:uid="{00000000-0005-0000-0000-0000242E0000}"/>
    <cellStyle name="Normal 4 8 3 4 2" xfId="11814" xr:uid="{00000000-0005-0000-0000-0000252E0000}"/>
    <cellStyle name="Normal 4 8 3 5" xfId="11815" xr:uid="{00000000-0005-0000-0000-0000262E0000}"/>
    <cellStyle name="Normal 4 8 4" xfId="11816" xr:uid="{00000000-0005-0000-0000-0000272E0000}"/>
    <cellStyle name="Normal 4 8 4 2" xfId="11817" xr:uid="{00000000-0005-0000-0000-0000282E0000}"/>
    <cellStyle name="Normal 4 8 4 2 2" xfId="11818" xr:uid="{00000000-0005-0000-0000-0000292E0000}"/>
    <cellStyle name="Normal 4 8 4 2 2 2" xfId="11819" xr:uid="{00000000-0005-0000-0000-00002A2E0000}"/>
    <cellStyle name="Normal 4 8 4 2 3" xfId="11820" xr:uid="{00000000-0005-0000-0000-00002B2E0000}"/>
    <cellStyle name="Normal 4 8 4 3" xfId="11821" xr:uid="{00000000-0005-0000-0000-00002C2E0000}"/>
    <cellStyle name="Normal 4 8 4 3 2" xfId="11822" xr:uid="{00000000-0005-0000-0000-00002D2E0000}"/>
    <cellStyle name="Normal 4 8 4 3 2 2" xfId="11823" xr:uid="{00000000-0005-0000-0000-00002E2E0000}"/>
    <cellStyle name="Normal 4 8 4 3 3" xfId="11824" xr:uid="{00000000-0005-0000-0000-00002F2E0000}"/>
    <cellStyle name="Normal 4 8 4 4" xfId="11825" xr:uid="{00000000-0005-0000-0000-0000302E0000}"/>
    <cellStyle name="Normal 4 8 4 4 2" xfId="11826" xr:uid="{00000000-0005-0000-0000-0000312E0000}"/>
    <cellStyle name="Normal 4 8 4 5" xfId="11827" xr:uid="{00000000-0005-0000-0000-0000322E0000}"/>
    <cellStyle name="Normal 4 8 5" xfId="11828" xr:uid="{00000000-0005-0000-0000-0000332E0000}"/>
    <cellStyle name="Normal 4 8 5 2" xfId="11829" xr:uid="{00000000-0005-0000-0000-0000342E0000}"/>
    <cellStyle name="Normal 4 8 5 2 2" xfId="11830" xr:uid="{00000000-0005-0000-0000-0000352E0000}"/>
    <cellStyle name="Normal 4 8 5 3" xfId="11831" xr:uid="{00000000-0005-0000-0000-0000362E0000}"/>
    <cellStyle name="Normal 4 8 6" xfId="11832" xr:uid="{00000000-0005-0000-0000-0000372E0000}"/>
    <cellStyle name="Normal 4 8 6 2" xfId="11833" xr:uid="{00000000-0005-0000-0000-0000382E0000}"/>
    <cellStyle name="Normal 4 8 6 2 2" xfId="11834" xr:uid="{00000000-0005-0000-0000-0000392E0000}"/>
    <cellStyle name="Normal 4 8 6 3" xfId="11835" xr:uid="{00000000-0005-0000-0000-00003A2E0000}"/>
    <cellStyle name="Normal 4 8 7" xfId="11836" xr:uid="{00000000-0005-0000-0000-00003B2E0000}"/>
    <cellStyle name="Normal 4 8 7 2" xfId="11837" xr:uid="{00000000-0005-0000-0000-00003C2E0000}"/>
    <cellStyle name="Normal 4 8 7 3" xfId="11838" xr:uid="{00000000-0005-0000-0000-00003D2E0000}"/>
    <cellStyle name="Normal 4 8 7 3 2" xfId="11839" xr:uid="{00000000-0005-0000-0000-00003E2E0000}"/>
    <cellStyle name="Normal 4 8 7 4" xfId="11840" xr:uid="{00000000-0005-0000-0000-00003F2E0000}"/>
    <cellStyle name="Normal 4 8 8" xfId="11841" xr:uid="{00000000-0005-0000-0000-0000402E0000}"/>
    <cellStyle name="Normal 4 8 8 2" xfId="11842" xr:uid="{00000000-0005-0000-0000-0000412E0000}"/>
    <cellStyle name="Normal 4 8 9" xfId="11843" xr:uid="{00000000-0005-0000-0000-0000422E0000}"/>
    <cellStyle name="Normal 4 9" xfId="11844" xr:uid="{00000000-0005-0000-0000-0000432E0000}"/>
    <cellStyle name="Normal 4 9 2" xfId="11845" xr:uid="{00000000-0005-0000-0000-0000442E0000}"/>
    <cellStyle name="Normal 4 9 2 2" xfId="11846" xr:uid="{00000000-0005-0000-0000-0000452E0000}"/>
    <cellStyle name="Normal 4 9 2 2 2" xfId="11847" xr:uid="{00000000-0005-0000-0000-0000462E0000}"/>
    <cellStyle name="Normal 4 9 2 2 2 2" xfId="11848" xr:uid="{00000000-0005-0000-0000-0000472E0000}"/>
    <cellStyle name="Normal 4 9 2 2 3" xfId="11849" xr:uid="{00000000-0005-0000-0000-0000482E0000}"/>
    <cellStyle name="Normal 4 9 2 3" xfId="11850" xr:uid="{00000000-0005-0000-0000-0000492E0000}"/>
    <cellStyle name="Normal 4 9 2 3 2" xfId="11851" xr:uid="{00000000-0005-0000-0000-00004A2E0000}"/>
    <cellStyle name="Normal 4 9 2 3 2 2" xfId="11852" xr:uid="{00000000-0005-0000-0000-00004B2E0000}"/>
    <cellStyle name="Normal 4 9 2 3 3" xfId="11853" xr:uid="{00000000-0005-0000-0000-00004C2E0000}"/>
    <cellStyle name="Normal 4 9 2 4" xfId="11854" xr:uid="{00000000-0005-0000-0000-00004D2E0000}"/>
    <cellStyle name="Normal 4 9 2 4 2" xfId="11855" xr:uid="{00000000-0005-0000-0000-00004E2E0000}"/>
    <cellStyle name="Normal 4 9 2 5" xfId="11856" xr:uid="{00000000-0005-0000-0000-00004F2E0000}"/>
    <cellStyle name="Normal 4 9 3" xfId="11857" xr:uid="{00000000-0005-0000-0000-0000502E0000}"/>
    <cellStyle name="Normal 4 9 3 2" xfId="11858" xr:uid="{00000000-0005-0000-0000-0000512E0000}"/>
    <cellStyle name="Normal 4 9 3 2 2" xfId="11859" xr:uid="{00000000-0005-0000-0000-0000522E0000}"/>
    <cellStyle name="Normal 4 9 3 2 2 2" xfId="11860" xr:uid="{00000000-0005-0000-0000-0000532E0000}"/>
    <cellStyle name="Normal 4 9 3 2 3" xfId="11861" xr:uid="{00000000-0005-0000-0000-0000542E0000}"/>
    <cellStyle name="Normal 4 9 3 3" xfId="11862" xr:uid="{00000000-0005-0000-0000-0000552E0000}"/>
    <cellStyle name="Normal 4 9 3 3 2" xfId="11863" xr:uid="{00000000-0005-0000-0000-0000562E0000}"/>
    <cellStyle name="Normal 4 9 3 3 2 2" xfId="11864" xr:uid="{00000000-0005-0000-0000-0000572E0000}"/>
    <cellStyle name="Normal 4 9 3 3 3" xfId="11865" xr:uid="{00000000-0005-0000-0000-0000582E0000}"/>
    <cellStyle name="Normal 4 9 3 4" xfId="11866" xr:uid="{00000000-0005-0000-0000-0000592E0000}"/>
    <cellStyle name="Normal 4 9 3 4 2" xfId="11867" xr:uid="{00000000-0005-0000-0000-00005A2E0000}"/>
    <cellStyle name="Normal 4 9 3 5" xfId="11868" xr:uid="{00000000-0005-0000-0000-00005B2E0000}"/>
    <cellStyle name="Normal 4 9 4" xfId="11869" xr:uid="{00000000-0005-0000-0000-00005C2E0000}"/>
    <cellStyle name="Normal 4 9 4 2" xfId="11870" xr:uid="{00000000-0005-0000-0000-00005D2E0000}"/>
    <cellStyle name="Normal 4 9 4 2 2" xfId="11871" xr:uid="{00000000-0005-0000-0000-00005E2E0000}"/>
    <cellStyle name="Normal 4 9 4 3" xfId="11872" xr:uid="{00000000-0005-0000-0000-00005F2E0000}"/>
    <cellStyle name="Normal 4 9 5" xfId="11873" xr:uid="{00000000-0005-0000-0000-0000602E0000}"/>
    <cellStyle name="Normal 4 9 5 2" xfId="11874" xr:uid="{00000000-0005-0000-0000-0000612E0000}"/>
    <cellStyle name="Normal 4 9 5 2 2" xfId="11875" xr:uid="{00000000-0005-0000-0000-0000622E0000}"/>
    <cellStyle name="Normal 4 9 5 3" xfId="11876" xr:uid="{00000000-0005-0000-0000-0000632E0000}"/>
    <cellStyle name="Normal 4 9 6" xfId="11877" xr:uid="{00000000-0005-0000-0000-0000642E0000}"/>
    <cellStyle name="Normal 4 9 6 2" xfId="11878" xr:uid="{00000000-0005-0000-0000-0000652E0000}"/>
    <cellStyle name="Normal 4 9 7" xfId="11879" xr:uid="{00000000-0005-0000-0000-0000662E0000}"/>
    <cellStyle name="Normal 40" xfId="11880" xr:uid="{00000000-0005-0000-0000-0000672E0000}"/>
    <cellStyle name="Normal 40 10" xfId="11881" xr:uid="{00000000-0005-0000-0000-0000682E0000}"/>
    <cellStyle name="Normal 40 11" xfId="11882" xr:uid="{00000000-0005-0000-0000-0000692E0000}"/>
    <cellStyle name="Normal 40 2" xfId="11883" xr:uid="{00000000-0005-0000-0000-00006A2E0000}"/>
    <cellStyle name="Normal 40 2 2" xfId="11884" xr:uid="{00000000-0005-0000-0000-00006B2E0000}"/>
    <cellStyle name="Normal 40 2 2 2" xfId="11885" xr:uid="{00000000-0005-0000-0000-00006C2E0000}"/>
    <cellStyle name="Normal 40 2 2 2 2" xfId="11886" xr:uid="{00000000-0005-0000-0000-00006D2E0000}"/>
    <cellStyle name="Normal 40 2 2 3" xfId="11887" xr:uid="{00000000-0005-0000-0000-00006E2E0000}"/>
    <cellStyle name="Normal 40 2 3" xfId="11888" xr:uid="{00000000-0005-0000-0000-00006F2E0000}"/>
    <cellStyle name="Normal 40 2 3 2" xfId="11889" xr:uid="{00000000-0005-0000-0000-0000702E0000}"/>
    <cellStyle name="Normal 40 2 3 2 2" xfId="11890" xr:uid="{00000000-0005-0000-0000-0000712E0000}"/>
    <cellStyle name="Normal 40 2 3 3" xfId="11891" xr:uid="{00000000-0005-0000-0000-0000722E0000}"/>
    <cellStyle name="Normal 40 2 4" xfId="11892" xr:uid="{00000000-0005-0000-0000-0000732E0000}"/>
    <cellStyle name="Normal 40 2 4 2" xfId="11893" xr:uid="{00000000-0005-0000-0000-0000742E0000}"/>
    <cellStyle name="Normal 40 2 5" xfId="11894" xr:uid="{00000000-0005-0000-0000-0000752E0000}"/>
    <cellStyle name="Normal 40 3" xfId="11895" xr:uid="{00000000-0005-0000-0000-0000762E0000}"/>
    <cellStyle name="Normal 40 3 2" xfId="11896" xr:uid="{00000000-0005-0000-0000-0000772E0000}"/>
    <cellStyle name="Normal 40 3 2 2" xfId="11897" xr:uid="{00000000-0005-0000-0000-0000782E0000}"/>
    <cellStyle name="Normal 40 3 2 2 2" xfId="11898" xr:uid="{00000000-0005-0000-0000-0000792E0000}"/>
    <cellStyle name="Normal 40 3 2 3" xfId="11899" xr:uid="{00000000-0005-0000-0000-00007A2E0000}"/>
    <cellStyle name="Normal 40 3 3" xfId="11900" xr:uid="{00000000-0005-0000-0000-00007B2E0000}"/>
    <cellStyle name="Normal 40 3 3 2" xfId="11901" xr:uid="{00000000-0005-0000-0000-00007C2E0000}"/>
    <cellStyle name="Normal 40 3 3 2 2" xfId="11902" xr:uid="{00000000-0005-0000-0000-00007D2E0000}"/>
    <cellStyle name="Normal 40 3 3 3" xfId="11903" xr:uid="{00000000-0005-0000-0000-00007E2E0000}"/>
    <cellStyle name="Normal 40 3 4" xfId="11904" xr:uid="{00000000-0005-0000-0000-00007F2E0000}"/>
    <cellStyle name="Normal 40 3 5" xfId="11905" xr:uid="{00000000-0005-0000-0000-0000802E0000}"/>
    <cellStyle name="Normal 40 4" xfId="11906" xr:uid="{00000000-0005-0000-0000-0000812E0000}"/>
    <cellStyle name="Normal 40 4 2" xfId="11907" xr:uid="{00000000-0005-0000-0000-0000822E0000}"/>
    <cellStyle name="Normal 40 4 2 2" xfId="11908" xr:uid="{00000000-0005-0000-0000-0000832E0000}"/>
    <cellStyle name="Normal 40 4 2 3" xfId="11909" xr:uid="{00000000-0005-0000-0000-0000842E0000}"/>
    <cellStyle name="Normal 40 4 3" xfId="11910" xr:uid="{00000000-0005-0000-0000-0000852E0000}"/>
    <cellStyle name="Normal 40 4 3 2" xfId="11911" xr:uid="{00000000-0005-0000-0000-0000862E0000}"/>
    <cellStyle name="Normal 40 4 4" xfId="11912" xr:uid="{00000000-0005-0000-0000-0000872E0000}"/>
    <cellStyle name="Normal 40 5" xfId="11913" xr:uid="{00000000-0005-0000-0000-0000882E0000}"/>
    <cellStyle name="Normal 40 5 2" xfId="11914" xr:uid="{00000000-0005-0000-0000-0000892E0000}"/>
    <cellStyle name="Normal 40 6" xfId="11915" xr:uid="{00000000-0005-0000-0000-00008A2E0000}"/>
    <cellStyle name="Normal 40 6 2" xfId="11916" xr:uid="{00000000-0005-0000-0000-00008B2E0000}"/>
    <cellStyle name="Normal 40 6 2 2" xfId="11917" xr:uid="{00000000-0005-0000-0000-00008C2E0000}"/>
    <cellStyle name="Normal 40 6 3" xfId="11918" xr:uid="{00000000-0005-0000-0000-00008D2E0000}"/>
    <cellStyle name="Normal 40 7" xfId="11919" xr:uid="{00000000-0005-0000-0000-00008E2E0000}"/>
    <cellStyle name="Normal 40 7 2" xfId="11920" xr:uid="{00000000-0005-0000-0000-00008F2E0000}"/>
    <cellStyle name="Normal 40 7 2 2" xfId="11921" xr:uid="{00000000-0005-0000-0000-0000902E0000}"/>
    <cellStyle name="Normal 40 7 3" xfId="11922" xr:uid="{00000000-0005-0000-0000-0000912E0000}"/>
    <cellStyle name="Normal 40 8" xfId="11923" xr:uid="{00000000-0005-0000-0000-0000922E0000}"/>
    <cellStyle name="Normal 40 8 2" xfId="11924" xr:uid="{00000000-0005-0000-0000-0000932E0000}"/>
    <cellStyle name="Normal 40 8 3" xfId="11925" xr:uid="{00000000-0005-0000-0000-0000942E0000}"/>
    <cellStyle name="Normal 40 8 3 2" xfId="11926" xr:uid="{00000000-0005-0000-0000-0000952E0000}"/>
    <cellStyle name="Normal 40 9" xfId="11927" xr:uid="{00000000-0005-0000-0000-0000962E0000}"/>
    <cellStyle name="Normal 40 9 2" xfId="11928" xr:uid="{00000000-0005-0000-0000-0000972E0000}"/>
    <cellStyle name="Normal 40 9 2 2" xfId="11929" xr:uid="{00000000-0005-0000-0000-0000982E0000}"/>
    <cellStyle name="Normal 40 9 3" xfId="11930" xr:uid="{00000000-0005-0000-0000-0000992E0000}"/>
    <cellStyle name="Normal 41" xfId="11931" xr:uid="{00000000-0005-0000-0000-00009A2E0000}"/>
    <cellStyle name="Normal 41 2" xfId="11932" xr:uid="{00000000-0005-0000-0000-00009B2E0000}"/>
    <cellStyle name="Normal 41 3" xfId="11933" xr:uid="{00000000-0005-0000-0000-00009C2E0000}"/>
    <cellStyle name="Normal 42" xfId="11934" xr:uid="{00000000-0005-0000-0000-00009D2E0000}"/>
    <cellStyle name="Normal 42 2" xfId="11935" xr:uid="{00000000-0005-0000-0000-00009E2E0000}"/>
    <cellStyle name="Normal 42 3" xfId="11936" xr:uid="{00000000-0005-0000-0000-00009F2E0000}"/>
    <cellStyle name="Normal 43" xfId="11937" xr:uid="{00000000-0005-0000-0000-0000A02E0000}"/>
    <cellStyle name="Normal 43 2" xfId="11938" xr:uid="{00000000-0005-0000-0000-0000A12E0000}"/>
    <cellStyle name="Normal 43 3" xfId="11939" xr:uid="{00000000-0005-0000-0000-0000A22E0000}"/>
    <cellStyle name="Normal 44" xfId="11940" xr:uid="{00000000-0005-0000-0000-0000A32E0000}"/>
    <cellStyle name="Normal 44 2" xfId="11941" xr:uid="{00000000-0005-0000-0000-0000A42E0000}"/>
    <cellStyle name="Normal 44 3" xfId="11942" xr:uid="{00000000-0005-0000-0000-0000A52E0000}"/>
    <cellStyle name="Normal 45" xfId="11943" xr:uid="{00000000-0005-0000-0000-0000A62E0000}"/>
    <cellStyle name="Normal 45 2" xfId="11944" xr:uid="{00000000-0005-0000-0000-0000A72E0000}"/>
    <cellStyle name="Normal 45 3" xfId="11945" xr:uid="{00000000-0005-0000-0000-0000A82E0000}"/>
    <cellStyle name="Normal 46" xfId="11946" xr:uid="{00000000-0005-0000-0000-0000A92E0000}"/>
    <cellStyle name="Normal 46 2" xfId="11947" xr:uid="{00000000-0005-0000-0000-0000AA2E0000}"/>
    <cellStyle name="Normal 46 3" xfId="11948" xr:uid="{00000000-0005-0000-0000-0000AB2E0000}"/>
    <cellStyle name="Normal 47" xfId="11949" xr:uid="{00000000-0005-0000-0000-0000AC2E0000}"/>
    <cellStyle name="Normal 47 2" xfId="11950" xr:uid="{00000000-0005-0000-0000-0000AD2E0000}"/>
    <cellStyle name="Normal 47 3" xfId="11951" xr:uid="{00000000-0005-0000-0000-0000AE2E0000}"/>
    <cellStyle name="Normal 48" xfId="11952" xr:uid="{00000000-0005-0000-0000-0000AF2E0000}"/>
    <cellStyle name="Normal 48 2" xfId="11953" xr:uid="{00000000-0005-0000-0000-0000B02E0000}"/>
    <cellStyle name="Normal 48 3" xfId="11954" xr:uid="{00000000-0005-0000-0000-0000B12E0000}"/>
    <cellStyle name="Normal 49" xfId="11955" xr:uid="{00000000-0005-0000-0000-0000B22E0000}"/>
    <cellStyle name="Normal 49 2" xfId="11956" xr:uid="{00000000-0005-0000-0000-0000B32E0000}"/>
    <cellStyle name="Normal 49 3" xfId="11957" xr:uid="{00000000-0005-0000-0000-0000B42E0000}"/>
    <cellStyle name="Normal 5" xfId="11958" xr:uid="{00000000-0005-0000-0000-0000B52E0000}"/>
    <cellStyle name="Normal 5 10" xfId="11959" xr:uid="{00000000-0005-0000-0000-0000B62E0000}"/>
    <cellStyle name="Normal 5 10 2" xfId="11960" xr:uid="{00000000-0005-0000-0000-0000B72E0000}"/>
    <cellStyle name="Normal 5 10 2 2" xfId="11961" xr:uid="{00000000-0005-0000-0000-0000B82E0000}"/>
    <cellStyle name="Normal 5 10 2 2 2" xfId="11962" xr:uid="{00000000-0005-0000-0000-0000B92E0000}"/>
    <cellStyle name="Normal 5 10 2 2 2 2" xfId="11963" xr:uid="{00000000-0005-0000-0000-0000BA2E0000}"/>
    <cellStyle name="Normal 5 10 2 2 3" xfId="11964" xr:uid="{00000000-0005-0000-0000-0000BB2E0000}"/>
    <cellStyle name="Normal 5 10 2 3" xfId="11965" xr:uid="{00000000-0005-0000-0000-0000BC2E0000}"/>
    <cellStyle name="Normal 5 10 2 3 2" xfId="11966" xr:uid="{00000000-0005-0000-0000-0000BD2E0000}"/>
    <cellStyle name="Normal 5 10 2 3 2 2" xfId="11967" xr:uid="{00000000-0005-0000-0000-0000BE2E0000}"/>
    <cellStyle name="Normal 5 10 2 3 3" xfId="11968" xr:uid="{00000000-0005-0000-0000-0000BF2E0000}"/>
    <cellStyle name="Normal 5 10 2 4" xfId="11969" xr:uid="{00000000-0005-0000-0000-0000C02E0000}"/>
    <cellStyle name="Normal 5 10 2 4 2" xfId="11970" xr:uid="{00000000-0005-0000-0000-0000C12E0000}"/>
    <cellStyle name="Normal 5 10 2 5" xfId="11971" xr:uid="{00000000-0005-0000-0000-0000C22E0000}"/>
    <cellStyle name="Normal 5 10 3" xfId="11972" xr:uid="{00000000-0005-0000-0000-0000C32E0000}"/>
    <cellStyle name="Normal 5 10 3 2" xfId="11973" xr:uid="{00000000-0005-0000-0000-0000C42E0000}"/>
    <cellStyle name="Normal 5 10 3 2 2" xfId="11974" xr:uid="{00000000-0005-0000-0000-0000C52E0000}"/>
    <cellStyle name="Normal 5 10 3 2 2 2" xfId="11975" xr:uid="{00000000-0005-0000-0000-0000C62E0000}"/>
    <cellStyle name="Normal 5 10 3 2 3" xfId="11976" xr:uid="{00000000-0005-0000-0000-0000C72E0000}"/>
    <cellStyle name="Normal 5 10 3 3" xfId="11977" xr:uid="{00000000-0005-0000-0000-0000C82E0000}"/>
    <cellStyle name="Normal 5 10 3 3 2" xfId="11978" xr:uid="{00000000-0005-0000-0000-0000C92E0000}"/>
    <cellStyle name="Normal 5 10 3 4" xfId="11979" xr:uid="{00000000-0005-0000-0000-0000CA2E0000}"/>
    <cellStyle name="Normal 5 10 4" xfId="11980" xr:uid="{00000000-0005-0000-0000-0000CB2E0000}"/>
    <cellStyle name="Normal 5 10 4 2" xfId="11981" xr:uid="{00000000-0005-0000-0000-0000CC2E0000}"/>
    <cellStyle name="Normal 5 10 4 2 2" xfId="11982" xr:uid="{00000000-0005-0000-0000-0000CD2E0000}"/>
    <cellStyle name="Normal 5 10 4 3" xfId="11983" xr:uid="{00000000-0005-0000-0000-0000CE2E0000}"/>
    <cellStyle name="Normal 5 10 5" xfId="11984" xr:uid="{00000000-0005-0000-0000-0000CF2E0000}"/>
    <cellStyle name="Normal 5 10 5 2" xfId="11985" xr:uid="{00000000-0005-0000-0000-0000D02E0000}"/>
    <cellStyle name="Normal 5 10 5 2 2" xfId="11986" xr:uid="{00000000-0005-0000-0000-0000D12E0000}"/>
    <cellStyle name="Normal 5 10 5 3" xfId="11987" xr:uid="{00000000-0005-0000-0000-0000D22E0000}"/>
    <cellStyle name="Normal 5 10 6" xfId="11988" xr:uid="{00000000-0005-0000-0000-0000D32E0000}"/>
    <cellStyle name="Normal 5 10 6 2" xfId="11989" xr:uid="{00000000-0005-0000-0000-0000D42E0000}"/>
    <cellStyle name="Normal 5 10 7" xfId="11990" xr:uid="{00000000-0005-0000-0000-0000D52E0000}"/>
    <cellStyle name="Normal 5 11" xfId="11991" xr:uid="{00000000-0005-0000-0000-0000D62E0000}"/>
    <cellStyle name="Normal 5 11 2" xfId="11992" xr:uid="{00000000-0005-0000-0000-0000D72E0000}"/>
    <cellStyle name="Normal 5 11 2 2" xfId="11993" xr:uid="{00000000-0005-0000-0000-0000D82E0000}"/>
    <cellStyle name="Normal 5 11 2 2 2" xfId="11994" xr:uid="{00000000-0005-0000-0000-0000D92E0000}"/>
    <cellStyle name="Normal 5 11 2 3" xfId="11995" xr:uid="{00000000-0005-0000-0000-0000DA2E0000}"/>
    <cellStyle name="Normal 5 11 3" xfId="11996" xr:uid="{00000000-0005-0000-0000-0000DB2E0000}"/>
    <cellStyle name="Normal 5 11 3 2" xfId="11997" xr:uid="{00000000-0005-0000-0000-0000DC2E0000}"/>
    <cellStyle name="Normal 5 11 3 2 2" xfId="11998" xr:uid="{00000000-0005-0000-0000-0000DD2E0000}"/>
    <cellStyle name="Normal 5 11 3 3" xfId="11999" xr:uid="{00000000-0005-0000-0000-0000DE2E0000}"/>
    <cellStyle name="Normal 5 11 4" xfId="12000" xr:uid="{00000000-0005-0000-0000-0000DF2E0000}"/>
    <cellStyle name="Normal 5 11 4 2" xfId="12001" xr:uid="{00000000-0005-0000-0000-0000E02E0000}"/>
    <cellStyle name="Normal 5 11 5" xfId="12002" xr:uid="{00000000-0005-0000-0000-0000E12E0000}"/>
    <cellStyle name="Normal 5 12" xfId="12003" xr:uid="{00000000-0005-0000-0000-0000E22E0000}"/>
    <cellStyle name="Normal 5 12 2" xfId="12004" xr:uid="{00000000-0005-0000-0000-0000E32E0000}"/>
    <cellStyle name="Normal 5 12 2 2" xfId="12005" xr:uid="{00000000-0005-0000-0000-0000E42E0000}"/>
    <cellStyle name="Normal 5 12 2 2 2" xfId="12006" xr:uid="{00000000-0005-0000-0000-0000E52E0000}"/>
    <cellStyle name="Normal 5 12 2 3" xfId="12007" xr:uid="{00000000-0005-0000-0000-0000E62E0000}"/>
    <cellStyle name="Normal 5 12 3" xfId="12008" xr:uid="{00000000-0005-0000-0000-0000E72E0000}"/>
    <cellStyle name="Normal 5 12 3 2" xfId="12009" xr:uid="{00000000-0005-0000-0000-0000E82E0000}"/>
    <cellStyle name="Normal 5 12 3 2 2" xfId="12010" xr:uid="{00000000-0005-0000-0000-0000E92E0000}"/>
    <cellStyle name="Normal 5 12 3 3" xfId="12011" xr:uid="{00000000-0005-0000-0000-0000EA2E0000}"/>
    <cellStyle name="Normal 5 12 4" xfId="12012" xr:uid="{00000000-0005-0000-0000-0000EB2E0000}"/>
    <cellStyle name="Normal 5 12 4 2" xfId="12013" xr:uid="{00000000-0005-0000-0000-0000EC2E0000}"/>
    <cellStyle name="Normal 5 12 5" xfId="12014" xr:uid="{00000000-0005-0000-0000-0000ED2E0000}"/>
    <cellStyle name="Normal 5 13" xfId="12015" xr:uid="{00000000-0005-0000-0000-0000EE2E0000}"/>
    <cellStyle name="Normal 5 13 2" xfId="12016" xr:uid="{00000000-0005-0000-0000-0000EF2E0000}"/>
    <cellStyle name="Normal 5 13 2 2" xfId="12017" xr:uid="{00000000-0005-0000-0000-0000F02E0000}"/>
    <cellStyle name="Normal 5 13 2 2 2" xfId="12018" xr:uid="{00000000-0005-0000-0000-0000F12E0000}"/>
    <cellStyle name="Normal 5 13 2 3" xfId="12019" xr:uid="{00000000-0005-0000-0000-0000F22E0000}"/>
    <cellStyle name="Normal 5 13 3" xfId="12020" xr:uid="{00000000-0005-0000-0000-0000F32E0000}"/>
    <cellStyle name="Normal 5 13 3 2" xfId="12021" xr:uid="{00000000-0005-0000-0000-0000F42E0000}"/>
    <cellStyle name="Normal 5 13 4" xfId="12022" xr:uid="{00000000-0005-0000-0000-0000F52E0000}"/>
    <cellStyle name="Normal 5 14" xfId="12023" xr:uid="{00000000-0005-0000-0000-0000F62E0000}"/>
    <cellStyle name="Normal 5 14 2" xfId="12024" xr:uid="{00000000-0005-0000-0000-0000F72E0000}"/>
    <cellStyle name="Normal 5 14 2 2" xfId="12025" xr:uid="{00000000-0005-0000-0000-0000F82E0000}"/>
    <cellStyle name="Normal 5 14 3" xfId="12026" xr:uid="{00000000-0005-0000-0000-0000F92E0000}"/>
    <cellStyle name="Normal 5 15" xfId="12027" xr:uid="{00000000-0005-0000-0000-0000FA2E0000}"/>
    <cellStyle name="Normal 5 15 2" xfId="12028" xr:uid="{00000000-0005-0000-0000-0000FB2E0000}"/>
    <cellStyle name="Normal 5 15 2 2" xfId="12029" xr:uid="{00000000-0005-0000-0000-0000FC2E0000}"/>
    <cellStyle name="Normal 5 15 3" xfId="12030" xr:uid="{00000000-0005-0000-0000-0000FD2E0000}"/>
    <cellStyle name="Normal 5 16" xfId="12031" xr:uid="{00000000-0005-0000-0000-0000FE2E0000}"/>
    <cellStyle name="Normal 5 16 2" xfId="12032" xr:uid="{00000000-0005-0000-0000-0000FF2E0000}"/>
    <cellStyle name="Normal 5 16 3" xfId="12033" xr:uid="{00000000-0005-0000-0000-0000002F0000}"/>
    <cellStyle name="Normal 5 16 3 2" xfId="12034" xr:uid="{00000000-0005-0000-0000-0000012F0000}"/>
    <cellStyle name="Normal 5 16 4" xfId="12035" xr:uid="{00000000-0005-0000-0000-0000022F0000}"/>
    <cellStyle name="Normal 5 17" xfId="12036" xr:uid="{00000000-0005-0000-0000-0000032F0000}"/>
    <cellStyle name="Normal 5 17 2" xfId="12037" xr:uid="{00000000-0005-0000-0000-0000042F0000}"/>
    <cellStyle name="Normal 5 17 2 2" xfId="12038" xr:uid="{00000000-0005-0000-0000-0000052F0000}"/>
    <cellStyle name="Normal 5 17 3" xfId="12039" xr:uid="{00000000-0005-0000-0000-0000062F0000}"/>
    <cellStyle name="Normal 5 18" xfId="12040" xr:uid="{00000000-0005-0000-0000-0000072F0000}"/>
    <cellStyle name="Normal 5 18 2" xfId="12041" xr:uid="{00000000-0005-0000-0000-0000082F0000}"/>
    <cellStyle name="Normal 5 19" xfId="12042" xr:uid="{00000000-0005-0000-0000-0000092F0000}"/>
    <cellStyle name="Normal 5 2" xfId="12043" xr:uid="{00000000-0005-0000-0000-00000A2F0000}"/>
    <cellStyle name="Normal 5 2 10" xfId="12044" xr:uid="{00000000-0005-0000-0000-00000B2F0000}"/>
    <cellStyle name="Normal 5 2 10 2" xfId="12045" xr:uid="{00000000-0005-0000-0000-00000C2F0000}"/>
    <cellStyle name="Normal 5 2 10 2 2" xfId="12046" xr:uid="{00000000-0005-0000-0000-00000D2F0000}"/>
    <cellStyle name="Normal 5 2 10 2 2 2" xfId="12047" xr:uid="{00000000-0005-0000-0000-00000E2F0000}"/>
    <cellStyle name="Normal 5 2 10 2 3" xfId="12048" xr:uid="{00000000-0005-0000-0000-00000F2F0000}"/>
    <cellStyle name="Normal 5 2 10 3" xfId="12049" xr:uid="{00000000-0005-0000-0000-0000102F0000}"/>
    <cellStyle name="Normal 5 2 10 3 2" xfId="12050" xr:uid="{00000000-0005-0000-0000-0000112F0000}"/>
    <cellStyle name="Normal 5 2 10 3 2 2" xfId="12051" xr:uid="{00000000-0005-0000-0000-0000122F0000}"/>
    <cellStyle name="Normal 5 2 10 3 3" xfId="12052" xr:uid="{00000000-0005-0000-0000-0000132F0000}"/>
    <cellStyle name="Normal 5 2 10 4" xfId="12053" xr:uid="{00000000-0005-0000-0000-0000142F0000}"/>
    <cellStyle name="Normal 5 2 10 4 2" xfId="12054" xr:uid="{00000000-0005-0000-0000-0000152F0000}"/>
    <cellStyle name="Normal 5 2 10 5" xfId="12055" xr:uid="{00000000-0005-0000-0000-0000162F0000}"/>
    <cellStyle name="Normal 5 2 11" xfId="12056" xr:uid="{00000000-0005-0000-0000-0000172F0000}"/>
    <cellStyle name="Normal 5 2 11 2" xfId="12057" xr:uid="{00000000-0005-0000-0000-0000182F0000}"/>
    <cellStyle name="Normal 5 2 11 2 2" xfId="12058" xr:uid="{00000000-0005-0000-0000-0000192F0000}"/>
    <cellStyle name="Normal 5 2 11 2 2 2" xfId="12059" xr:uid="{00000000-0005-0000-0000-00001A2F0000}"/>
    <cellStyle name="Normal 5 2 11 2 3" xfId="12060" xr:uid="{00000000-0005-0000-0000-00001B2F0000}"/>
    <cellStyle name="Normal 5 2 11 3" xfId="12061" xr:uid="{00000000-0005-0000-0000-00001C2F0000}"/>
    <cellStyle name="Normal 5 2 11 3 2" xfId="12062" xr:uid="{00000000-0005-0000-0000-00001D2F0000}"/>
    <cellStyle name="Normal 5 2 11 3 2 2" xfId="12063" xr:uid="{00000000-0005-0000-0000-00001E2F0000}"/>
    <cellStyle name="Normal 5 2 11 3 3" xfId="12064" xr:uid="{00000000-0005-0000-0000-00001F2F0000}"/>
    <cellStyle name="Normal 5 2 11 4" xfId="12065" xr:uid="{00000000-0005-0000-0000-0000202F0000}"/>
    <cellStyle name="Normal 5 2 11 4 2" xfId="12066" xr:uid="{00000000-0005-0000-0000-0000212F0000}"/>
    <cellStyle name="Normal 5 2 11 5" xfId="12067" xr:uid="{00000000-0005-0000-0000-0000222F0000}"/>
    <cellStyle name="Normal 5 2 12" xfId="12068" xr:uid="{00000000-0005-0000-0000-0000232F0000}"/>
    <cellStyle name="Normal 5 2 12 2" xfId="12069" xr:uid="{00000000-0005-0000-0000-0000242F0000}"/>
    <cellStyle name="Normal 5 2 12 2 2" xfId="12070" xr:uid="{00000000-0005-0000-0000-0000252F0000}"/>
    <cellStyle name="Normal 5 2 12 2 2 2" xfId="12071" xr:uid="{00000000-0005-0000-0000-0000262F0000}"/>
    <cellStyle name="Normal 5 2 12 2 3" xfId="12072" xr:uid="{00000000-0005-0000-0000-0000272F0000}"/>
    <cellStyle name="Normal 5 2 12 3" xfId="12073" xr:uid="{00000000-0005-0000-0000-0000282F0000}"/>
    <cellStyle name="Normal 5 2 12 3 2" xfId="12074" xr:uid="{00000000-0005-0000-0000-0000292F0000}"/>
    <cellStyle name="Normal 5 2 12 4" xfId="12075" xr:uid="{00000000-0005-0000-0000-00002A2F0000}"/>
    <cellStyle name="Normal 5 2 13" xfId="12076" xr:uid="{00000000-0005-0000-0000-00002B2F0000}"/>
    <cellStyle name="Normal 5 2 13 2" xfId="12077" xr:uid="{00000000-0005-0000-0000-00002C2F0000}"/>
    <cellStyle name="Normal 5 2 13 2 2" xfId="12078" xr:uid="{00000000-0005-0000-0000-00002D2F0000}"/>
    <cellStyle name="Normal 5 2 13 3" xfId="12079" xr:uid="{00000000-0005-0000-0000-00002E2F0000}"/>
    <cellStyle name="Normal 5 2 14" xfId="12080" xr:uid="{00000000-0005-0000-0000-00002F2F0000}"/>
    <cellStyle name="Normal 5 2 14 2" xfId="12081" xr:uid="{00000000-0005-0000-0000-0000302F0000}"/>
    <cellStyle name="Normal 5 2 14 2 2" xfId="12082" xr:uid="{00000000-0005-0000-0000-0000312F0000}"/>
    <cellStyle name="Normal 5 2 14 3" xfId="12083" xr:uid="{00000000-0005-0000-0000-0000322F0000}"/>
    <cellStyle name="Normal 5 2 15" xfId="12084" xr:uid="{00000000-0005-0000-0000-0000332F0000}"/>
    <cellStyle name="Normal 5 2 15 2" xfId="12085" xr:uid="{00000000-0005-0000-0000-0000342F0000}"/>
    <cellStyle name="Normal 5 2 15 3" xfId="12086" xr:uid="{00000000-0005-0000-0000-0000352F0000}"/>
    <cellStyle name="Normal 5 2 15 3 2" xfId="12087" xr:uid="{00000000-0005-0000-0000-0000362F0000}"/>
    <cellStyle name="Normal 5 2 15 4" xfId="12088" xr:uid="{00000000-0005-0000-0000-0000372F0000}"/>
    <cellStyle name="Normal 5 2 16" xfId="12089" xr:uid="{00000000-0005-0000-0000-0000382F0000}"/>
    <cellStyle name="Normal 5 2 16 2" xfId="12090" xr:uid="{00000000-0005-0000-0000-0000392F0000}"/>
    <cellStyle name="Normal 5 2 16 2 2" xfId="12091" xr:uid="{00000000-0005-0000-0000-00003A2F0000}"/>
    <cellStyle name="Normal 5 2 16 3" xfId="12092" xr:uid="{00000000-0005-0000-0000-00003B2F0000}"/>
    <cellStyle name="Normal 5 2 17" xfId="12093" xr:uid="{00000000-0005-0000-0000-00003C2F0000}"/>
    <cellStyle name="Normal 5 2 17 2" xfId="12094" xr:uid="{00000000-0005-0000-0000-00003D2F0000}"/>
    <cellStyle name="Normal 5 2 18" xfId="12095" xr:uid="{00000000-0005-0000-0000-00003E2F0000}"/>
    <cellStyle name="Normal 5 2 2" xfId="12096" xr:uid="{00000000-0005-0000-0000-00003F2F0000}"/>
    <cellStyle name="Normal 5 2 2 2" xfId="12097" xr:uid="{00000000-0005-0000-0000-0000402F0000}"/>
    <cellStyle name="Normal 5 2 2 2 2" xfId="12098" xr:uid="{00000000-0005-0000-0000-0000412F0000}"/>
    <cellStyle name="Normal 5 2 2 2 2 2" xfId="12099" xr:uid="{00000000-0005-0000-0000-0000422F0000}"/>
    <cellStyle name="Normal 5 2 2 2 2 3" xfId="12100" xr:uid="{00000000-0005-0000-0000-0000432F0000}"/>
    <cellStyle name="Normal 5 2 2 2 2 3 2" xfId="12101" xr:uid="{00000000-0005-0000-0000-0000442F0000}"/>
    <cellStyle name="Normal 5 2 2 2 3" xfId="12102" xr:uid="{00000000-0005-0000-0000-0000452F0000}"/>
    <cellStyle name="Normal 5 2 2 2 4" xfId="12103" xr:uid="{00000000-0005-0000-0000-0000462F0000}"/>
    <cellStyle name="Normal 5 2 2 2 4 2" xfId="12104" xr:uid="{00000000-0005-0000-0000-0000472F0000}"/>
    <cellStyle name="Normal 5 2 2 3" xfId="12105" xr:uid="{00000000-0005-0000-0000-0000482F0000}"/>
    <cellStyle name="Normal 5 2 2 3 2" xfId="12106" xr:uid="{00000000-0005-0000-0000-0000492F0000}"/>
    <cellStyle name="Normal 5 2 2 3 2 2" xfId="12107" xr:uid="{00000000-0005-0000-0000-00004A2F0000}"/>
    <cellStyle name="Normal 5 2 2 3 2 2 2" xfId="12108" xr:uid="{00000000-0005-0000-0000-00004B2F0000}"/>
    <cellStyle name="Normal 5 2 2 3 2 2 2 2" xfId="12109" xr:uid="{00000000-0005-0000-0000-00004C2F0000}"/>
    <cellStyle name="Normal 5 2 2 3 2 2 3" xfId="12110" xr:uid="{00000000-0005-0000-0000-00004D2F0000}"/>
    <cellStyle name="Normal 5 2 2 3 2 3" xfId="12111" xr:uid="{00000000-0005-0000-0000-00004E2F0000}"/>
    <cellStyle name="Normal 5 2 2 3 2 3 2" xfId="12112" xr:uid="{00000000-0005-0000-0000-00004F2F0000}"/>
    <cellStyle name="Normal 5 2 2 3 2 3 2 2" xfId="12113" xr:uid="{00000000-0005-0000-0000-0000502F0000}"/>
    <cellStyle name="Normal 5 2 2 3 2 3 3" xfId="12114" xr:uid="{00000000-0005-0000-0000-0000512F0000}"/>
    <cellStyle name="Normal 5 2 2 3 2 4" xfId="12115" xr:uid="{00000000-0005-0000-0000-0000522F0000}"/>
    <cellStyle name="Normal 5 2 2 3 2 4 2" xfId="12116" xr:uid="{00000000-0005-0000-0000-0000532F0000}"/>
    <cellStyle name="Normal 5 2 2 3 2 5" xfId="12117" xr:uid="{00000000-0005-0000-0000-0000542F0000}"/>
    <cellStyle name="Normal 5 2 2 3 3" xfId="12118" xr:uid="{00000000-0005-0000-0000-0000552F0000}"/>
    <cellStyle name="Normal 5 2 2 3 3 2" xfId="12119" xr:uid="{00000000-0005-0000-0000-0000562F0000}"/>
    <cellStyle name="Normal 5 2 2 3 3 2 2" xfId="12120" xr:uid="{00000000-0005-0000-0000-0000572F0000}"/>
    <cellStyle name="Normal 5 2 2 3 3 2 2 2" xfId="12121" xr:uid="{00000000-0005-0000-0000-0000582F0000}"/>
    <cellStyle name="Normal 5 2 2 3 3 2 3" xfId="12122" xr:uid="{00000000-0005-0000-0000-0000592F0000}"/>
    <cellStyle name="Normal 5 2 2 3 3 3" xfId="12123" xr:uid="{00000000-0005-0000-0000-00005A2F0000}"/>
    <cellStyle name="Normal 5 2 2 3 3 3 2" xfId="12124" xr:uid="{00000000-0005-0000-0000-00005B2F0000}"/>
    <cellStyle name="Normal 5 2 2 3 3 3 2 2" xfId="12125" xr:uid="{00000000-0005-0000-0000-00005C2F0000}"/>
    <cellStyle name="Normal 5 2 2 3 3 3 3" xfId="12126" xr:uid="{00000000-0005-0000-0000-00005D2F0000}"/>
    <cellStyle name="Normal 5 2 2 3 3 4" xfId="12127" xr:uid="{00000000-0005-0000-0000-00005E2F0000}"/>
    <cellStyle name="Normal 5 2 2 3 3 4 2" xfId="12128" xr:uid="{00000000-0005-0000-0000-00005F2F0000}"/>
    <cellStyle name="Normal 5 2 2 3 3 5" xfId="12129" xr:uid="{00000000-0005-0000-0000-0000602F0000}"/>
    <cellStyle name="Normal 5 2 2 3 4" xfId="12130" xr:uid="{00000000-0005-0000-0000-0000612F0000}"/>
    <cellStyle name="Normal 5 2 2 3 4 2" xfId="12131" xr:uid="{00000000-0005-0000-0000-0000622F0000}"/>
    <cellStyle name="Normal 5 2 2 3 4 2 2" xfId="12132" xr:uid="{00000000-0005-0000-0000-0000632F0000}"/>
    <cellStyle name="Normal 5 2 2 3 4 3" xfId="12133" xr:uid="{00000000-0005-0000-0000-0000642F0000}"/>
    <cellStyle name="Normal 5 2 2 3 5" xfId="12134" xr:uid="{00000000-0005-0000-0000-0000652F0000}"/>
    <cellStyle name="Normal 5 2 2 3 5 2" xfId="12135" xr:uid="{00000000-0005-0000-0000-0000662F0000}"/>
    <cellStyle name="Normal 5 2 2 3 5 2 2" xfId="12136" xr:uid="{00000000-0005-0000-0000-0000672F0000}"/>
    <cellStyle name="Normal 5 2 2 3 5 3" xfId="12137" xr:uid="{00000000-0005-0000-0000-0000682F0000}"/>
    <cellStyle name="Normal 5 2 2 3 6" xfId="12138" xr:uid="{00000000-0005-0000-0000-0000692F0000}"/>
    <cellStyle name="Normal 5 2 2 3 6 2" xfId="12139" xr:uid="{00000000-0005-0000-0000-00006A2F0000}"/>
    <cellStyle name="Normal 5 2 2 3 7" xfId="12140" xr:uid="{00000000-0005-0000-0000-00006B2F0000}"/>
    <cellStyle name="Normal 5 2 2 4" xfId="12141" xr:uid="{00000000-0005-0000-0000-00006C2F0000}"/>
    <cellStyle name="Normal 5 2 2 4 2" xfId="12142" xr:uid="{00000000-0005-0000-0000-00006D2F0000}"/>
    <cellStyle name="Normal 5 2 2 4 2 2" xfId="12143" xr:uid="{00000000-0005-0000-0000-00006E2F0000}"/>
    <cellStyle name="Normal 5 2 2 4 2 2 2" xfId="12144" xr:uid="{00000000-0005-0000-0000-00006F2F0000}"/>
    <cellStyle name="Normal 5 2 2 4 2 2 2 2" xfId="12145" xr:uid="{00000000-0005-0000-0000-0000702F0000}"/>
    <cellStyle name="Normal 5 2 2 4 2 2 3" xfId="12146" xr:uid="{00000000-0005-0000-0000-0000712F0000}"/>
    <cellStyle name="Normal 5 2 2 4 2 3" xfId="12147" xr:uid="{00000000-0005-0000-0000-0000722F0000}"/>
    <cellStyle name="Normal 5 2 2 4 2 3 2" xfId="12148" xr:uid="{00000000-0005-0000-0000-0000732F0000}"/>
    <cellStyle name="Normal 5 2 2 4 2 3 2 2" xfId="12149" xr:uid="{00000000-0005-0000-0000-0000742F0000}"/>
    <cellStyle name="Normal 5 2 2 4 2 3 3" xfId="12150" xr:uid="{00000000-0005-0000-0000-0000752F0000}"/>
    <cellStyle name="Normal 5 2 2 4 2 4" xfId="12151" xr:uid="{00000000-0005-0000-0000-0000762F0000}"/>
    <cellStyle name="Normal 5 2 2 4 2 4 2" xfId="12152" xr:uid="{00000000-0005-0000-0000-0000772F0000}"/>
    <cellStyle name="Normal 5 2 2 4 2 5" xfId="12153" xr:uid="{00000000-0005-0000-0000-0000782F0000}"/>
    <cellStyle name="Normal 5 2 2 4 3" xfId="12154" xr:uid="{00000000-0005-0000-0000-0000792F0000}"/>
    <cellStyle name="Normal 5 2 2 4 3 2" xfId="12155" xr:uid="{00000000-0005-0000-0000-00007A2F0000}"/>
    <cellStyle name="Normal 5 2 2 4 3 2 2" xfId="12156" xr:uid="{00000000-0005-0000-0000-00007B2F0000}"/>
    <cellStyle name="Normal 5 2 2 4 3 2 2 2" xfId="12157" xr:uid="{00000000-0005-0000-0000-00007C2F0000}"/>
    <cellStyle name="Normal 5 2 2 4 3 2 3" xfId="12158" xr:uid="{00000000-0005-0000-0000-00007D2F0000}"/>
    <cellStyle name="Normal 5 2 2 4 3 3" xfId="12159" xr:uid="{00000000-0005-0000-0000-00007E2F0000}"/>
    <cellStyle name="Normal 5 2 2 4 3 3 2" xfId="12160" xr:uid="{00000000-0005-0000-0000-00007F2F0000}"/>
    <cellStyle name="Normal 5 2 2 4 3 3 2 2" xfId="12161" xr:uid="{00000000-0005-0000-0000-0000802F0000}"/>
    <cellStyle name="Normal 5 2 2 4 3 3 3" xfId="12162" xr:uid="{00000000-0005-0000-0000-0000812F0000}"/>
    <cellStyle name="Normal 5 2 2 4 3 4" xfId="12163" xr:uid="{00000000-0005-0000-0000-0000822F0000}"/>
    <cellStyle name="Normal 5 2 2 4 3 4 2" xfId="12164" xr:uid="{00000000-0005-0000-0000-0000832F0000}"/>
    <cellStyle name="Normal 5 2 2 4 3 5" xfId="12165" xr:uid="{00000000-0005-0000-0000-0000842F0000}"/>
    <cellStyle name="Normal 5 2 2 4 4" xfId="12166" xr:uid="{00000000-0005-0000-0000-0000852F0000}"/>
    <cellStyle name="Normal 5 2 2 4 4 2" xfId="12167" xr:uid="{00000000-0005-0000-0000-0000862F0000}"/>
    <cellStyle name="Normal 5 2 2 4 4 2 2" xfId="12168" xr:uid="{00000000-0005-0000-0000-0000872F0000}"/>
    <cellStyle name="Normal 5 2 2 4 4 3" xfId="12169" xr:uid="{00000000-0005-0000-0000-0000882F0000}"/>
    <cellStyle name="Normal 5 2 2 4 5" xfId="12170" xr:uid="{00000000-0005-0000-0000-0000892F0000}"/>
    <cellStyle name="Normal 5 2 2 4 5 2" xfId="12171" xr:uid="{00000000-0005-0000-0000-00008A2F0000}"/>
    <cellStyle name="Normal 5 2 2 4 5 2 2" xfId="12172" xr:uid="{00000000-0005-0000-0000-00008B2F0000}"/>
    <cellStyle name="Normal 5 2 2 4 5 3" xfId="12173" xr:uid="{00000000-0005-0000-0000-00008C2F0000}"/>
    <cellStyle name="Normal 5 2 2 4 6" xfId="12174" xr:uid="{00000000-0005-0000-0000-00008D2F0000}"/>
    <cellStyle name="Normal 5 2 2 4 6 2" xfId="12175" xr:uid="{00000000-0005-0000-0000-00008E2F0000}"/>
    <cellStyle name="Normal 5 2 2 4 7" xfId="12176" xr:uid="{00000000-0005-0000-0000-00008F2F0000}"/>
    <cellStyle name="Normal 5 2 2 5" xfId="12177" xr:uid="{00000000-0005-0000-0000-0000902F0000}"/>
    <cellStyle name="Normal 5 2 2 5 2" xfId="12178" xr:uid="{00000000-0005-0000-0000-0000912F0000}"/>
    <cellStyle name="Normal 5 2 2 5 3" xfId="12179" xr:uid="{00000000-0005-0000-0000-0000922F0000}"/>
    <cellStyle name="Normal 5 2 2 5 3 2" xfId="12180" xr:uid="{00000000-0005-0000-0000-0000932F0000}"/>
    <cellStyle name="Normal 5 2 2 6" xfId="12181" xr:uid="{00000000-0005-0000-0000-0000942F0000}"/>
    <cellStyle name="Normal 5 2 2 7" xfId="12182" xr:uid="{00000000-0005-0000-0000-0000952F0000}"/>
    <cellStyle name="Normal 5 2 2 7 2" xfId="12183" xr:uid="{00000000-0005-0000-0000-0000962F0000}"/>
    <cellStyle name="Normal 5 2 3" xfId="12184" xr:uid="{00000000-0005-0000-0000-0000972F0000}"/>
    <cellStyle name="Normal 5 2 3 10" xfId="12185" xr:uid="{00000000-0005-0000-0000-0000982F0000}"/>
    <cellStyle name="Normal 5 2 3 10 2" xfId="12186" xr:uid="{00000000-0005-0000-0000-0000992F0000}"/>
    <cellStyle name="Normal 5 2 3 10 2 2" xfId="12187" xr:uid="{00000000-0005-0000-0000-00009A2F0000}"/>
    <cellStyle name="Normal 5 2 3 10 3" xfId="12188" xr:uid="{00000000-0005-0000-0000-00009B2F0000}"/>
    <cellStyle name="Normal 5 2 3 11" xfId="12189" xr:uid="{00000000-0005-0000-0000-00009C2F0000}"/>
    <cellStyle name="Normal 5 2 3 11 2" xfId="12190" xr:uid="{00000000-0005-0000-0000-00009D2F0000}"/>
    <cellStyle name="Normal 5 2 3 11 3" xfId="12191" xr:uid="{00000000-0005-0000-0000-00009E2F0000}"/>
    <cellStyle name="Normal 5 2 3 11 3 2" xfId="12192" xr:uid="{00000000-0005-0000-0000-00009F2F0000}"/>
    <cellStyle name="Normal 5 2 3 11 4" xfId="12193" xr:uid="{00000000-0005-0000-0000-0000A02F0000}"/>
    <cellStyle name="Normal 5 2 3 12" xfId="12194" xr:uid="{00000000-0005-0000-0000-0000A12F0000}"/>
    <cellStyle name="Normal 5 2 3 12 2" xfId="12195" xr:uid="{00000000-0005-0000-0000-0000A22F0000}"/>
    <cellStyle name="Normal 5 2 3 12 2 2" xfId="12196" xr:uid="{00000000-0005-0000-0000-0000A32F0000}"/>
    <cellStyle name="Normal 5 2 3 12 3" xfId="12197" xr:uid="{00000000-0005-0000-0000-0000A42F0000}"/>
    <cellStyle name="Normal 5 2 3 13" xfId="12198" xr:uid="{00000000-0005-0000-0000-0000A52F0000}"/>
    <cellStyle name="Normal 5 2 3 13 2" xfId="12199" xr:uid="{00000000-0005-0000-0000-0000A62F0000}"/>
    <cellStyle name="Normal 5 2 3 14" xfId="12200" xr:uid="{00000000-0005-0000-0000-0000A72F0000}"/>
    <cellStyle name="Normal 5 2 3 2" xfId="12201" xr:uid="{00000000-0005-0000-0000-0000A82F0000}"/>
    <cellStyle name="Normal 5 2 3 2 10" xfId="12202" xr:uid="{00000000-0005-0000-0000-0000A92F0000}"/>
    <cellStyle name="Normal 5 2 3 2 10 2" xfId="12203" xr:uid="{00000000-0005-0000-0000-0000AA2F0000}"/>
    <cellStyle name="Normal 5 2 3 2 10 3" xfId="12204" xr:uid="{00000000-0005-0000-0000-0000AB2F0000}"/>
    <cellStyle name="Normal 5 2 3 2 10 3 2" xfId="12205" xr:uid="{00000000-0005-0000-0000-0000AC2F0000}"/>
    <cellStyle name="Normal 5 2 3 2 10 4" xfId="12206" xr:uid="{00000000-0005-0000-0000-0000AD2F0000}"/>
    <cellStyle name="Normal 5 2 3 2 11" xfId="12207" xr:uid="{00000000-0005-0000-0000-0000AE2F0000}"/>
    <cellStyle name="Normal 5 2 3 2 11 2" xfId="12208" xr:uid="{00000000-0005-0000-0000-0000AF2F0000}"/>
    <cellStyle name="Normal 5 2 3 2 11 2 2" xfId="12209" xr:uid="{00000000-0005-0000-0000-0000B02F0000}"/>
    <cellStyle name="Normal 5 2 3 2 11 3" xfId="12210" xr:uid="{00000000-0005-0000-0000-0000B12F0000}"/>
    <cellStyle name="Normal 5 2 3 2 12" xfId="12211" xr:uid="{00000000-0005-0000-0000-0000B22F0000}"/>
    <cellStyle name="Normal 5 2 3 2 12 2" xfId="12212" xr:uid="{00000000-0005-0000-0000-0000B32F0000}"/>
    <cellStyle name="Normal 5 2 3 2 13" xfId="12213" xr:uid="{00000000-0005-0000-0000-0000B42F0000}"/>
    <cellStyle name="Normal 5 2 3 2 2" xfId="12214" xr:uid="{00000000-0005-0000-0000-0000B52F0000}"/>
    <cellStyle name="Normal 5 2 3 2 2 2" xfId="12215" xr:uid="{00000000-0005-0000-0000-0000B62F0000}"/>
    <cellStyle name="Normal 5 2 3 2 2 2 2" xfId="12216" xr:uid="{00000000-0005-0000-0000-0000B72F0000}"/>
    <cellStyle name="Normal 5 2 3 2 2 2 2 2" xfId="12217" xr:uid="{00000000-0005-0000-0000-0000B82F0000}"/>
    <cellStyle name="Normal 5 2 3 2 2 2 2 2 2" xfId="12218" xr:uid="{00000000-0005-0000-0000-0000B92F0000}"/>
    <cellStyle name="Normal 5 2 3 2 2 2 2 2 2 2" xfId="12219" xr:uid="{00000000-0005-0000-0000-0000BA2F0000}"/>
    <cellStyle name="Normal 5 2 3 2 2 2 2 2 3" xfId="12220" xr:uid="{00000000-0005-0000-0000-0000BB2F0000}"/>
    <cellStyle name="Normal 5 2 3 2 2 2 2 3" xfId="12221" xr:uid="{00000000-0005-0000-0000-0000BC2F0000}"/>
    <cellStyle name="Normal 5 2 3 2 2 2 2 3 2" xfId="12222" xr:uid="{00000000-0005-0000-0000-0000BD2F0000}"/>
    <cellStyle name="Normal 5 2 3 2 2 2 2 3 2 2" xfId="12223" xr:uid="{00000000-0005-0000-0000-0000BE2F0000}"/>
    <cellStyle name="Normal 5 2 3 2 2 2 2 3 3" xfId="12224" xr:uid="{00000000-0005-0000-0000-0000BF2F0000}"/>
    <cellStyle name="Normal 5 2 3 2 2 2 2 4" xfId="12225" xr:uid="{00000000-0005-0000-0000-0000C02F0000}"/>
    <cellStyle name="Normal 5 2 3 2 2 2 2 4 2" xfId="12226" xr:uid="{00000000-0005-0000-0000-0000C12F0000}"/>
    <cellStyle name="Normal 5 2 3 2 2 2 2 5" xfId="12227" xr:uid="{00000000-0005-0000-0000-0000C22F0000}"/>
    <cellStyle name="Normal 5 2 3 2 2 2 3" xfId="12228" xr:uid="{00000000-0005-0000-0000-0000C32F0000}"/>
    <cellStyle name="Normal 5 2 3 2 2 2 3 2" xfId="12229" xr:uid="{00000000-0005-0000-0000-0000C42F0000}"/>
    <cellStyle name="Normal 5 2 3 2 2 2 3 2 2" xfId="12230" xr:uid="{00000000-0005-0000-0000-0000C52F0000}"/>
    <cellStyle name="Normal 5 2 3 2 2 2 3 2 2 2" xfId="12231" xr:uid="{00000000-0005-0000-0000-0000C62F0000}"/>
    <cellStyle name="Normal 5 2 3 2 2 2 3 2 3" xfId="12232" xr:uid="{00000000-0005-0000-0000-0000C72F0000}"/>
    <cellStyle name="Normal 5 2 3 2 2 2 3 3" xfId="12233" xr:uid="{00000000-0005-0000-0000-0000C82F0000}"/>
    <cellStyle name="Normal 5 2 3 2 2 2 3 3 2" xfId="12234" xr:uid="{00000000-0005-0000-0000-0000C92F0000}"/>
    <cellStyle name="Normal 5 2 3 2 2 2 3 3 2 2" xfId="12235" xr:uid="{00000000-0005-0000-0000-0000CA2F0000}"/>
    <cellStyle name="Normal 5 2 3 2 2 2 3 3 3" xfId="12236" xr:uid="{00000000-0005-0000-0000-0000CB2F0000}"/>
    <cellStyle name="Normal 5 2 3 2 2 2 3 4" xfId="12237" xr:uid="{00000000-0005-0000-0000-0000CC2F0000}"/>
    <cellStyle name="Normal 5 2 3 2 2 2 3 4 2" xfId="12238" xr:uid="{00000000-0005-0000-0000-0000CD2F0000}"/>
    <cellStyle name="Normal 5 2 3 2 2 2 3 5" xfId="12239" xr:uid="{00000000-0005-0000-0000-0000CE2F0000}"/>
    <cellStyle name="Normal 5 2 3 2 2 2 4" xfId="12240" xr:uid="{00000000-0005-0000-0000-0000CF2F0000}"/>
    <cellStyle name="Normal 5 2 3 2 2 2 4 2" xfId="12241" xr:uid="{00000000-0005-0000-0000-0000D02F0000}"/>
    <cellStyle name="Normal 5 2 3 2 2 2 4 2 2" xfId="12242" xr:uid="{00000000-0005-0000-0000-0000D12F0000}"/>
    <cellStyle name="Normal 5 2 3 2 2 2 4 3" xfId="12243" xr:uid="{00000000-0005-0000-0000-0000D22F0000}"/>
    <cellStyle name="Normal 5 2 3 2 2 2 5" xfId="12244" xr:uid="{00000000-0005-0000-0000-0000D32F0000}"/>
    <cellStyle name="Normal 5 2 3 2 2 2 5 2" xfId="12245" xr:uid="{00000000-0005-0000-0000-0000D42F0000}"/>
    <cellStyle name="Normal 5 2 3 2 2 2 5 2 2" xfId="12246" xr:uid="{00000000-0005-0000-0000-0000D52F0000}"/>
    <cellStyle name="Normal 5 2 3 2 2 2 5 3" xfId="12247" xr:uid="{00000000-0005-0000-0000-0000D62F0000}"/>
    <cellStyle name="Normal 5 2 3 2 2 2 6" xfId="12248" xr:uid="{00000000-0005-0000-0000-0000D72F0000}"/>
    <cellStyle name="Normal 5 2 3 2 2 2 6 2" xfId="12249" xr:uid="{00000000-0005-0000-0000-0000D82F0000}"/>
    <cellStyle name="Normal 5 2 3 2 2 2 7" xfId="12250" xr:uid="{00000000-0005-0000-0000-0000D92F0000}"/>
    <cellStyle name="Normal 5 2 3 2 2 3" xfId="12251" xr:uid="{00000000-0005-0000-0000-0000DA2F0000}"/>
    <cellStyle name="Normal 5 2 3 2 2 3 2" xfId="12252" xr:uid="{00000000-0005-0000-0000-0000DB2F0000}"/>
    <cellStyle name="Normal 5 2 3 2 2 3 2 2" xfId="12253" xr:uid="{00000000-0005-0000-0000-0000DC2F0000}"/>
    <cellStyle name="Normal 5 2 3 2 2 3 2 2 2" xfId="12254" xr:uid="{00000000-0005-0000-0000-0000DD2F0000}"/>
    <cellStyle name="Normal 5 2 3 2 2 3 2 3" xfId="12255" xr:uid="{00000000-0005-0000-0000-0000DE2F0000}"/>
    <cellStyle name="Normal 5 2 3 2 2 3 3" xfId="12256" xr:uid="{00000000-0005-0000-0000-0000DF2F0000}"/>
    <cellStyle name="Normal 5 2 3 2 2 3 3 2" xfId="12257" xr:uid="{00000000-0005-0000-0000-0000E02F0000}"/>
    <cellStyle name="Normal 5 2 3 2 2 3 3 2 2" xfId="12258" xr:uid="{00000000-0005-0000-0000-0000E12F0000}"/>
    <cellStyle name="Normal 5 2 3 2 2 3 3 3" xfId="12259" xr:uid="{00000000-0005-0000-0000-0000E22F0000}"/>
    <cellStyle name="Normal 5 2 3 2 2 3 4" xfId="12260" xr:uid="{00000000-0005-0000-0000-0000E32F0000}"/>
    <cellStyle name="Normal 5 2 3 2 2 3 4 2" xfId="12261" xr:uid="{00000000-0005-0000-0000-0000E42F0000}"/>
    <cellStyle name="Normal 5 2 3 2 2 3 5" xfId="12262" xr:uid="{00000000-0005-0000-0000-0000E52F0000}"/>
    <cellStyle name="Normal 5 2 3 2 2 4" xfId="12263" xr:uid="{00000000-0005-0000-0000-0000E62F0000}"/>
    <cellStyle name="Normal 5 2 3 2 2 4 2" xfId="12264" xr:uid="{00000000-0005-0000-0000-0000E72F0000}"/>
    <cellStyle name="Normal 5 2 3 2 2 4 2 2" xfId="12265" xr:uid="{00000000-0005-0000-0000-0000E82F0000}"/>
    <cellStyle name="Normal 5 2 3 2 2 4 2 2 2" xfId="12266" xr:uid="{00000000-0005-0000-0000-0000E92F0000}"/>
    <cellStyle name="Normal 5 2 3 2 2 4 2 3" xfId="12267" xr:uid="{00000000-0005-0000-0000-0000EA2F0000}"/>
    <cellStyle name="Normal 5 2 3 2 2 4 3" xfId="12268" xr:uid="{00000000-0005-0000-0000-0000EB2F0000}"/>
    <cellStyle name="Normal 5 2 3 2 2 4 3 2" xfId="12269" xr:uid="{00000000-0005-0000-0000-0000EC2F0000}"/>
    <cellStyle name="Normal 5 2 3 2 2 4 3 2 2" xfId="12270" xr:uid="{00000000-0005-0000-0000-0000ED2F0000}"/>
    <cellStyle name="Normal 5 2 3 2 2 4 3 3" xfId="12271" xr:uid="{00000000-0005-0000-0000-0000EE2F0000}"/>
    <cellStyle name="Normal 5 2 3 2 2 4 4" xfId="12272" xr:uid="{00000000-0005-0000-0000-0000EF2F0000}"/>
    <cellStyle name="Normal 5 2 3 2 2 4 4 2" xfId="12273" xr:uid="{00000000-0005-0000-0000-0000F02F0000}"/>
    <cellStyle name="Normal 5 2 3 2 2 4 5" xfId="12274" xr:uid="{00000000-0005-0000-0000-0000F12F0000}"/>
    <cellStyle name="Normal 5 2 3 2 2 5" xfId="12275" xr:uid="{00000000-0005-0000-0000-0000F22F0000}"/>
    <cellStyle name="Normal 5 2 3 2 2 5 2" xfId="12276" xr:uid="{00000000-0005-0000-0000-0000F32F0000}"/>
    <cellStyle name="Normal 5 2 3 2 2 5 2 2" xfId="12277" xr:uid="{00000000-0005-0000-0000-0000F42F0000}"/>
    <cellStyle name="Normal 5 2 3 2 2 5 3" xfId="12278" xr:uid="{00000000-0005-0000-0000-0000F52F0000}"/>
    <cellStyle name="Normal 5 2 3 2 2 6" xfId="12279" xr:uid="{00000000-0005-0000-0000-0000F62F0000}"/>
    <cellStyle name="Normal 5 2 3 2 2 6 2" xfId="12280" xr:uid="{00000000-0005-0000-0000-0000F72F0000}"/>
    <cellStyle name="Normal 5 2 3 2 2 6 2 2" xfId="12281" xr:uid="{00000000-0005-0000-0000-0000F82F0000}"/>
    <cellStyle name="Normal 5 2 3 2 2 6 3" xfId="12282" xr:uid="{00000000-0005-0000-0000-0000F92F0000}"/>
    <cellStyle name="Normal 5 2 3 2 2 7" xfId="12283" xr:uid="{00000000-0005-0000-0000-0000FA2F0000}"/>
    <cellStyle name="Normal 5 2 3 2 2 7 2" xfId="12284" xr:uid="{00000000-0005-0000-0000-0000FB2F0000}"/>
    <cellStyle name="Normal 5 2 3 2 2 7 3" xfId="12285" xr:uid="{00000000-0005-0000-0000-0000FC2F0000}"/>
    <cellStyle name="Normal 5 2 3 2 2 7 3 2" xfId="12286" xr:uid="{00000000-0005-0000-0000-0000FD2F0000}"/>
    <cellStyle name="Normal 5 2 3 2 2 7 4" xfId="12287" xr:uid="{00000000-0005-0000-0000-0000FE2F0000}"/>
    <cellStyle name="Normal 5 2 3 2 2 8" xfId="12288" xr:uid="{00000000-0005-0000-0000-0000FF2F0000}"/>
    <cellStyle name="Normal 5 2 3 2 2 8 2" xfId="12289" xr:uid="{00000000-0005-0000-0000-000000300000}"/>
    <cellStyle name="Normal 5 2 3 2 2 9" xfId="12290" xr:uid="{00000000-0005-0000-0000-000001300000}"/>
    <cellStyle name="Normal 5 2 3 2 3" xfId="12291" xr:uid="{00000000-0005-0000-0000-000002300000}"/>
    <cellStyle name="Normal 5 2 3 2 3 2" xfId="12292" xr:uid="{00000000-0005-0000-0000-000003300000}"/>
    <cellStyle name="Normal 5 2 3 2 3 2 2" xfId="12293" xr:uid="{00000000-0005-0000-0000-000004300000}"/>
    <cellStyle name="Normal 5 2 3 2 3 2 2 2" xfId="12294" xr:uid="{00000000-0005-0000-0000-000005300000}"/>
    <cellStyle name="Normal 5 2 3 2 3 2 2 2 2" xfId="12295" xr:uid="{00000000-0005-0000-0000-000006300000}"/>
    <cellStyle name="Normal 5 2 3 2 3 2 2 3" xfId="12296" xr:uid="{00000000-0005-0000-0000-000007300000}"/>
    <cellStyle name="Normal 5 2 3 2 3 2 3" xfId="12297" xr:uid="{00000000-0005-0000-0000-000008300000}"/>
    <cellStyle name="Normal 5 2 3 2 3 2 3 2" xfId="12298" xr:uid="{00000000-0005-0000-0000-000009300000}"/>
    <cellStyle name="Normal 5 2 3 2 3 2 3 2 2" xfId="12299" xr:uid="{00000000-0005-0000-0000-00000A300000}"/>
    <cellStyle name="Normal 5 2 3 2 3 2 3 3" xfId="12300" xr:uid="{00000000-0005-0000-0000-00000B300000}"/>
    <cellStyle name="Normal 5 2 3 2 3 2 4" xfId="12301" xr:uid="{00000000-0005-0000-0000-00000C300000}"/>
    <cellStyle name="Normal 5 2 3 2 3 2 4 2" xfId="12302" xr:uid="{00000000-0005-0000-0000-00000D300000}"/>
    <cellStyle name="Normal 5 2 3 2 3 2 5" xfId="12303" xr:uid="{00000000-0005-0000-0000-00000E300000}"/>
    <cellStyle name="Normal 5 2 3 2 3 3" xfId="12304" xr:uid="{00000000-0005-0000-0000-00000F300000}"/>
    <cellStyle name="Normal 5 2 3 2 3 3 2" xfId="12305" xr:uid="{00000000-0005-0000-0000-000010300000}"/>
    <cellStyle name="Normal 5 2 3 2 3 3 2 2" xfId="12306" xr:uid="{00000000-0005-0000-0000-000011300000}"/>
    <cellStyle name="Normal 5 2 3 2 3 3 2 2 2" xfId="12307" xr:uid="{00000000-0005-0000-0000-000012300000}"/>
    <cellStyle name="Normal 5 2 3 2 3 3 2 3" xfId="12308" xr:uid="{00000000-0005-0000-0000-000013300000}"/>
    <cellStyle name="Normal 5 2 3 2 3 3 3" xfId="12309" xr:uid="{00000000-0005-0000-0000-000014300000}"/>
    <cellStyle name="Normal 5 2 3 2 3 3 3 2" xfId="12310" xr:uid="{00000000-0005-0000-0000-000015300000}"/>
    <cellStyle name="Normal 5 2 3 2 3 3 3 2 2" xfId="12311" xr:uid="{00000000-0005-0000-0000-000016300000}"/>
    <cellStyle name="Normal 5 2 3 2 3 3 3 3" xfId="12312" xr:uid="{00000000-0005-0000-0000-000017300000}"/>
    <cellStyle name="Normal 5 2 3 2 3 3 4" xfId="12313" xr:uid="{00000000-0005-0000-0000-000018300000}"/>
    <cellStyle name="Normal 5 2 3 2 3 3 4 2" xfId="12314" xr:uid="{00000000-0005-0000-0000-000019300000}"/>
    <cellStyle name="Normal 5 2 3 2 3 3 5" xfId="12315" xr:uid="{00000000-0005-0000-0000-00001A300000}"/>
    <cellStyle name="Normal 5 2 3 2 3 4" xfId="12316" xr:uid="{00000000-0005-0000-0000-00001B300000}"/>
    <cellStyle name="Normal 5 2 3 2 3 4 2" xfId="12317" xr:uid="{00000000-0005-0000-0000-00001C300000}"/>
    <cellStyle name="Normal 5 2 3 2 3 4 2 2" xfId="12318" xr:uid="{00000000-0005-0000-0000-00001D300000}"/>
    <cellStyle name="Normal 5 2 3 2 3 4 3" xfId="12319" xr:uid="{00000000-0005-0000-0000-00001E300000}"/>
    <cellStyle name="Normal 5 2 3 2 3 5" xfId="12320" xr:uid="{00000000-0005-0000-0000-00001F300000}"/>
    <cellStyle name="Normal 5 2 3 2 3 5 2" xfId="12321" xr:uid="{00000000-0005-0000-0000-000020300000}"/>
    <cellStyle name="Normal 5 2 3 2 3 5 2 2" xfId="12322" xr:uid="{00000000-0005-0000-0000-000021300000}"/>
    <cellStyle name="Normal 5 2 3 2 3 5 3" xfId="12323" xr:uid="{00000000-0005-0000-0000-000022300000}"/>
    <cellStyle name="Normal 5 2 3 2 3 6" xfId="12324" xr:uid="{00000000-0005-0000-0000-000023300000}"/>
    <cellStyle name="Normal 5 2 3 2 3 6 2" xfId="12325" xr:uid="{00000000-0005-0000-0000-000024300000}"/>
    <cellStyle name="Normal 5 2 3 2 3 7" xfId="12326" xr:uid="{00000000-0005-0000-0000-000025300000}"/>
    <cellStyle name="Normal 5 2 3 2 4" xfId="12327" xr:uid="{00000000-0005-0000-0000-000026300000}"/>
    <cellStyle name="Normal 5 2 3 2 4 2" xfId="12328" xr:uid="{00000000-0005-0000-0000-000027300000}"/>
    <cellStyle name="Normal 5 2 3 2 4 2 2" xfId="12329" xr:uid="{00000000-0005-0000-0000-000028300000}"/>
    <cellStyle name="Normal 5 2 3 2 4 2 2 2" xfId="12330" xr:uid="{00000000-0005-0000-0000-000029300000}"/>
    <cellStyle name="Normal 5 2 3 2 4 2 2 2 2" xfId="12331" xr:uid="{00000000-0005-0000-0000-00002A300000}"/>
    <cellStyle name="Normal 5 2 3 2 4 2 2 3" xfId="12332" xr:uid="{00000000-0005-0000-0000-00002B300000}"/>
    <cellStyle name="Normal 5 2 3 2 4 2 3" xfId="12333" xr:uid="{00000000-0005-0000-0000-00002C300000}"/>
    <cellStyle name="Normal 5 2 3 2 4 2 3 2" xfId="12334" xr:uid="{00000000-0005-0000-0000-00002D300000}"/>
    <cellStyle name="Normal 5 2 3 2 4 2 3 2 2" xfId="12335" xr:uid="{00000000-0005-0000-0000-00002E300000}"/>
    <cellStyle name="Normal 5 2 3 2 4 2 3 3" xfId="12336" xr:uid="{00000000-0005-0000-0000-00002F300000}"/>
    <cellStyle name="Normal 5 2 3 2 4 2 4" xfId="12337" xr:uid="{00000000-0005-0000-0000-000030300000}"/>
    <cellStyle name="Normal 5 2 3 2 4 2 4 2" xfId="12338" xr:uid="{00000000-0005-0000-0000-000031300000}"/>
    <cellStyle name="Normal 5 2 3 2 4 2 5" xfId="12339" xr:uid="{00000000-0005-0000-0000-000032300000}"/>
    <cellStyle name="Normal 5 2 3 2 4 3" xfId="12340" xr:uid="{00000000-0005-0000-0000-000033300000}"/>
    <cellStyle name="Normal 5 2 3 2 4 3 2" xfId="12341" xr:uid="{00000000-0005-0000-0000-000034300000}"/>
    <cellStyle name="Normal 5 2 3 2 4 3 2 2" xfId="12342" xr:uid="{00000000-0005-0000-0000-000035300000}"/>
    <cellStyle name="Normal 5 2 3 2 4 3 2 2 2" xfId="12343" xr:uid="{00000000-0005-0000-0000-000036300000}"/>
    <cellStyle name="Normal 5 2 3 2 4 3 2 3" xfId="12344" xr:uid="{00000000-0005-0000-0000-000037300000}"/>
    <cellStyle name="Normal 5 2 3 2 4 3 3" xfId="12345" xr:uid="{00000000-0005-0000-0000-000038300000}"/>
    <cellStyle name="Normal 5 2 3 2 4 3 3 2" xfId="12346" xr:uid="{00000000-0005-0000-0000-000039300000}"/>
    <cellStyle name="Normal 5 2 3 2 4 3 4" xfId="12347" xr:uid="{00000000-0005-0000-0000-00003A300000}"/>
    <cellStyle name="Normal 5 2 3 2 4 4" xfId="12348" xr:uid="{00000000-0005-0000-0000-00003B300000}"/>
    <cellStyle name="Normal 5 2 3 2 4 4 2" xfId="12349" xr:uid="{00000000-0005-0000-0000-00003C300000}"/>
    <cellStyle name="Normal 5 2 3 2 4 4 2 2" xfId="12350" xr:uid="{00000000-0005-0000-0000-00003D300000}"/>
    <cellStyle name="Normal 5 2 3 2 4 4 3" xfId="12351" xr:uid="{00000000-0005-0000-0000-00003E300000}"/>
    <cellStyle name="Normal 5 2 3 2 4 5" xfId="12352" xr:uid="{00000000-0005-0000-0000-00003F300000}"/>
    <cellStyle name="Normal 5 2 3 2 4 5 2" xfId="12353" xr:uid="{00000000-0005-0000-0000-000040300000}"/>
    <cellStyle name="Normal 5 2 3 2 4 5 2 2" xfId="12354" xr:uid="{00000000-0005-0000-0000-000041300000}"/>
    <cellStyle name="Normal 5 2 3 2 4 5 3" xfId="12355" xr:uid="{00000000-0005-0000-0000-000042300000}"/>
    <cellStyle name="Normal 5 2 3 2 4 6" xfId="12356" xr:uid="{00000000-0005-0000-0000-000043300000}"/>
    <cellStyle name="Normal 5 2 3 2 4 6 2" xfId="12357" xr:uid="{00000000-0005-0000-0000-000044300000}"/>
    <cellStyle name="Normal 5 2 3 2 4 7" xfId="12358" xr:uid="{00000000-0005-0000-0000-000045300000}"/>
    <cellStyle name="Normal 5 2 3 2 5" xfId="12359" xr:uid="{00000000-0005-0000-0000-000046300000}"/>
    <cellStyle name="Normal 5 2 3 2 5 2" xfId="12360" xr:uid="{00000000-0005-0000-0000-000047300000}"/>
    <cellStyle name="Normal 5 2 3 2 5 2 2" xfId="12361" xr:uid="{00000000-0005-0000-0000-000048300000}"/>
    <cellStyle name="Normal 5 2 3 2 5 2 2 2" xfId="12362" xr:uid="{00000000-0005-0000-0000-000049300000}"/>
    <cellStyle name="Normal 5 2 3 2 5 2 3" xfId="12363" xr:uid="{00000000-0005-0000-0000-00004A300000}"/>
    <cellStyle name="Normal 5 2 3 2 5 3" xfId="12364" xr:uid="{00000000-0005-0000-0000-00004B300000}"/>
    <cellStyle name="Normal 5 2 3 2 5 3 2" xfId="12365" xr:uid="{00000000-0005-0000-0000-00004C300000}"/>
    <cellStyle name="Normal 5 2 3 2 5 3 2 2" xfId="12366" xr:uid="{00000000-0005-0000-0000-00004D300000}"/>
    <cellStyle name="Normal 5 2 3 2 5 3 3" xfId="12367" xr:uid="{00000000-0005-0000-0000-00004E300000}"/>
    <cellStyle name="Normal 5 2 3 2 5 4" xfId="12368" xr:uid="{00000000-0005-0000-0000-00004F300000}"/>
    <cellStyle name="Normal 5 2 3 2 5 4 2" xfId="12369" xr:uid="{00000000-0005-0000-0000-000050300000}"/>
    <cellStyle name="Normal 5 2 3 2 5 5" xfId="12370" xr:uid="{00000000-0005-0000-0000-000051300000}"/>
    <cellStyle name="Normal 5 2 3 2 6" xfId="12371" xr:uid="{00000000-0005-0000-0000-000052300000}"/>
    <cellStyle name="Normal 5 2 3 2 6 2" xfId="12372" xr:uid="{00000000-0005-0000-0000-000053300000}"/>
    <cellStyle name="Normal 5 2 3 2 6 2 2" xfId="12373" xr:uid="{00000000-0005-0000-0000-000054300000}"/>
    <cellStyle name="Normal 5 2 3 2 6 2 2 2" xfId="12374" xr:uid="{00000000-0005-0000-0000-000055300000}"/>
    <cellStyle name="Normal 5 2 3 2 6 2 3" xfId="12375" xr:uid="{00000000-0005-0000-0000-000056300000}"/>
    <cellStyle name="Normal 5 2 3 2 6 3" xfId="12376" xr:uid="{00000000-0005-0000-0000-000057300000}"/>
    <cellStyle name="Normal 5 2 3 2 6 3 2" xfId="12377" xr:uid="{00000000-0005-0000-0000-000058300000}"/>
    <cellStyle name="Normal 5 2 3 2 6 3 2 2" xfId="12378" xr:uid="{00000000-0005-0000-0000-000059300000}"/>
    <cellStyle name="Normal 5 2 3 2 6 3 3" xfId="12379" xr:uid="{00000000-0005-0000-0000-00005A300000}"/>
    <cellStyle name="Normal 5 2 3 2 6 4" xfId="12380" xr:uid="{00000000-0005-0000-0000-00005B300000}"/>
    <cellStyle name="Normal 5 2 3 2 6 4 2" xfId="12381" xr:uid="{00000000-0005-0000-0000-00005C300000}"/>
    <cellStyle name="Normal 5 2 3 2 6 5" xfId="12382" xr:uid="{00000000-0005-0000-0000-00005D300000}"/>
    <cellStyle name="Normal 5 2 3 2 7" xfId="12383" xr:uid="{00000000-0005-0000-0000-00005E300000}"/>
    <cellStyle name="Normal 5 2 3 2 7 2" xfId="12384" xr:uid="{00000000-0005-0000-0000-00005F300000}"/>
    <cellStyle name="Normal 5 2 3 2 7 2 2" xfId="12385" xr:uid="{00000000-0005-0000-0000-000060300000}"/>
    <cellStyle name="Normal 5 2 3 2 7 2 2 2" xfId="12386" xr:uid="{00000000-0005-0000-0000-000061300000}"/>
    <cellStyle name="Normal 5 2 3 2 7 2 3" xfId="12387" xr:uid="{00000000-0005-0000-0000-000062300000}"/>
    <cellStyle name="Normal 5 2 3 2 7 3" xfId="12388" xr:uid="{00000000-0005-0000-0000-000063300000}"/>
    <cellStyle name="Normal 5 2 3 2 7 3 2" xfId="12389" xr:uid="{00000000-0005-0000-0000-000064300000}"/>
    <cellStyle name="Normal 5 2 3 2 7 4" xfId="12390" xr:uid="{00000000-0005-0000-0000-000065300000}"/>
    <cellStyle name="Normal 5 2 3 2 8" xfId="12391" xr:uid="{00000000-0005-0000-0000-000066300000}"/>
    <cellStyle name="Normal 5 2 3 2 8 2" xfId="12392" xr:uid="{00000000-0005-0000-0000-000067300000}"/>
    <cellStyle name="Normal 5 2 3 2 8 2 2" xfId="12393" xr:uid="{00000000-0005-0000-0000-000068300000}"/>
    <cellStyle name="Normal 5 2 3 2 8 3" xfId="12394" xr:uid="{00000000-0005-0000-0000-000069300000}"/>
    <cellStyle name="Normal 5 2 3 2 9" xfId="12395" xr:uid="{00000000-0005-0000-0000-00006A300000}"/>
    <cellStyle name="Normal 5 2 3 2 9 2" xfId="12396" xr:uid="{00000000-0005-0000-0000-00006B300000}"/>
    <cellStyle name="Normal 5 2 3 2 9 2 2" xfId="12397" xr:uid="{00000000-0005-0000-0000-00006C300000}"/>
    <cellStyle name="Normal 5 2 3 2 9 3" xfId="12398" xr:uid="{00000000-0005-0000-0000-00006D300000}"/>
    <cellStyle name="Normal 5 2 3 3" xfId="12399" xr:uid="{00000000-0005-0000-0000-00006E300000}"/>
    <cellStyle name="Normal 5 2 3 3 2" xfId="12400" xr:uid="{00000000-0005-0000-0000-00006F300000}"/>
    <cellStyle name="Normal 5 2 3 3 2 2" xfId="12401" xr:uid="{00000000-0005-0000-0000-000070300000}"/>
    <cellStyle name="Normal 5 2 3 3 2 2 2" xfId="12402" xr:uid="{00000000-0005-0000-0000-000071300000}"/>
    <cellStyle name="Normal 5 2 3 3 2 2 2 2" xfId="12403" xr:uid="{00000000-0005-0000-0000-000072300000}"/>
    <cellStyle name="Normal 5 2 3 3 2 2 2 2 2" xfId="12404" xr:uid="{00000000-0005-0000-0000-000073300000}"/>
    <cellStyle name="Normal 5 2 3 3 2 2 2 3" xfId="12405" xr:uid="{00000000-0005-0000-0000-000074300000}"/>
    <cellStyle name="Normal 5 2 3 3 2 2 3" xfId="12406" xr:uid="{00000000-0005-0000-0000-000075300000}"/>
    <cellStyle name="Normal 5 2 3 3 2 2 3 2" xfId="12407" xr:uid="{00000000-0005-0000-0000-000076300000}"/>
    <cellStyle name="Normal 5 2 3 3 2 2 3 2 2" xfId="12408" xr:uid="{00000000-0005-0000-0000-000077300000}"/>
    <cellStyle name="Normal 5 2 3 3 2 2 3 3" xfId="12409" xr:uid="{00000000-0005-0000-0000-000078300000}"/>
    <cellStyle name="Normal 5 2 3 3 2 2 4" xfId="12410" xr:uid="{00000000-0005-0000-0000-000079300000}"/>
    <cellStyle name="Normal 5 2 3 3 2 2 4 2" xfId="12411" xr:uid="{00000000-0005-0000-0000-00007A300000}"/>
    <cellStyle name="Normal 5 2 3 3 2 2 5" xfId="12412" xr:uid="{00000000-0005-0000-0000-00007B300000}"/>
    <cellStyle name="Normal 5 2 3 3 2 3" xfId="12413" xr:uid="{00000000-0005-0000-0000-00007C300000}"/>
    <cellStyle name="Normal 5 2 3 3 2 3 2" xfId="12414" xr:uid="{00000000-0005-0000-0000-00007D300000}"/>
    <cellStyle name="Normal 5 2 3 3 2 3 2 2" xfId="12415" xr:uid="{00000000-0005-0000-0000-00007E300000}"/>
    <cellStyle name="Normal 5 2 3 3 2 3 2 2 2" xfId="12416" xr:uid="{00000000-0005-0000-0000-00007F300000}"/>
    <cellStyle name="Normal 5 2 3 3 2 3 2 3" xfId="12417" xr:uid="{00000000-0005-0000-0000-000080300000}"/>
    <cellStyle name="Normal 5 2 3 3 2 3 3" xfId="12418" xr:uid="{00000000-0005-0000-0000-000081300000}"/>
    <cellStyle name="Normal 5 2 3 3 2 3 3 2" xfId="12419" xr:uid="{00000000-0005-0000-0000-000082300000}"/>
    <cellStyle name="Normal 5 2 3 3 2 3 3 2 2" xfId="12420" xr:uid="{00000000-0005-0000-0000-000083300000}"/>
    <cellStyle name="Normal 5 2 3 3 2 3 3 3" xfId="12421" xr:uid="{00000000-0005-0000-0000-000084300000}"/>
    <cellStyle name="Normal 5 2 3 3 2 3 4" xfId="12422" xr:uid="{00000000-0005-0000-0000-000085300000}"/>
    <cellStyle name="Normal 5 2 3 3 2 3 4 2" xfId="12423" xr:uid="{00000000-0005-0000-0000-000086300000}"/>
    <cellStyle name="Normal 5 2 3 3 2 3 5" xfId="12424" xr:uid="{00000000-0005-0000-0000-000087300000}"/>
    <cellStyle name="Normal 5 2 3 3 2 4" xfId="12425" xr:uid="{00000000-0005-0000-0000-000088300000}"/>
    <cellStyle name="Normal 5 2 3 3 2 4 2" xfId="12426" xr:uid="{00000000-0005-0000-0000-000089300000}"/>
    <cellStyle name="Normal 5 2 3 3 2 4 2 2" xfId="12427" xr:uid="{00000000-0005-0000-0000-00008A300000}"/>
    <cellStyle name="Normal 5 2 3 3 2 4 3" xfId="12428" xr:uid="{00000000-0005-0000-0000-00008B300000}"/>
    <cellStyle name="Normal 5 2 3 3 2 5" xfId="12429" xr:uid="{00000000-0005-0000-0000-00008C300000}"/>
    <cellStyle name="Normal 5 2 3 3 2 5 2" xfId="12430" xr:uid="{00000000-0005-0000-0000-00008D300000}"/>
    <cellStyle name="Normal 5 2 3 3 2 5 2 2" xfId="12431" xr:uid="{00000000-0005-0000-0000-00008E300000}"/>
    <cellStyle name="Normal 5 2 3 3 2 5 3" xfId="12432" xr:uid="{00000000-0005-0000-0000-00008F300000}"/>
    <cellStyle name="Normal 5 2 3 3 2 6" xfId="12433" xr:uid="{00000000-0005-0000-0000-000090300000}"/>
    <cellStyle name="Normal 5 2 3 3 2 6 2" xfId="12434" xr:uid="{00000000-0005-0000-0000-000091300000}"/>
    <cellStyle name="Normal 5 2 3 3 2 7" xfId="12435" xr:uid="{00000000-0005-0000-0000-000092300000}"/>
    <cellStyle name="Normal 5 2 3 3 3" xfId="12436" xr:uid="{00000000-0005-0000-0000-000093300000}"/>
    <cellStyle name="Normal 5 2 3 3 3 2" xfId="12437" xr:uid="{00000000-0005-0000-0000-000094300000}"/>
    <cellStyle name="Normal 5 2 3 3 3 2 2" xfId="12438" xr:uid="{00000000-0005-0000-0000-000095300000}"/>
    <cellStyle name="Normal 5 2 3 3 3 2 2 2" xfId="12439" xr:uid="{00000000-0005-0000-0000-000096300000}"/>
    <cellStyle name="Normal 5 2 3 3 3 2 3" xfId="12440" xr:uid="{00000000-0005-0000-0000-000097300000}"/>
    <cellStyle name="Normal 5 2 3 3 3 3" xfId="12441" xr:uid="{00000000-0005-0000-0000-000098300000}"/>
    <cellStyle name="Normal 5 2 3 3 3 3 2" xfId="12442" xr:uid="{00000000-0005-0000-0000-000099300000}"/>
    <cellStyle name="Normal 5 2 3 3 3 3 2 2" xfId="12443" xr:uid="{00000000-0005-0000-0000-00009A300000}"/>
    <cellStyle name="Normal 5 2 3 3 3 3 3" xfId="12444" xr:uid="{00000000-0005-0000-0000-00009B300000}"/>
    <cellStyle name="Normal 5 2 3 3 3 4" xfId="12445" xr:uid="{00000000-0005-0000-0000-00009C300000}"/>
    <cellStyle name="Normal 5 2 3 3 3 4 2" xfId="12446" xr:uid="{00000000-0005-0000-0000-00009D300000}"/>
    <cellStyle name="Normal 5 2 3 3 3 5" xfId="12447" xr:uid="{00000000-0005-0000-0000-00009E300000}"/>
    <cellStyle name="Normal 5 2 3 3 4" xfId="12448" xr:uid="{00000000-0005-0000-0000-00009F300000}"/>
    <cellStyle name="Normal 5 2 3 3 4 2" xfId="12449" xr:uid="{00000000-0005-0000-0000-0000A0300000}"/>
    <cellStyle name="Normal 5 2 3 3 4 2 2" xfId="12450" xr:uid="{00000000-0005-0000-0000-0000A1300000}"/>
    <cellStyle name="Normal 5 2 3 3 4 2 2 2" xfId="12451" xr:uid="{00000000-0005-0000-0000-0000A2300000}"/>
    <cellStyle name="Normal 5 2 3 3 4 2 3" xfId="12452" xr:uid="{00000000-0005-0000-0000-0000A3300000}"/>
    <cellStyle name="Normal 5 2 3 3 4 3" xfId="12453" xr:uid="{00000000-0005-0000-0000-0000A4300000}"/>
    <cellStyle name="Normal 5 2 3 3 4 3 2" xfId="12454" xr:uid="{00000000-0005-0000-0000-0000A5300000}"/>
    <cellStyle name="Normal 5 2 3 3 4 3 2 2" xfId="12455" xr:uid="{00000000-0005-0000-0000-0000A6300000}"/>
    <cellStyle name="Normal 5 2 3 3 4 3 3" xfId="12456" xr:uid="{00000000-0005-0000-0000-0000A7300000}"/>
    <cellStyle name="Normal 5 2 3 3 4 4" xfId="12457" xr:uid="{00000000-0005-0000-0000-0000A8300000}"/>
    <cellStyle name="Normal 5 2 3 3 4 4 2" xfId="12458" xr:uid="{00000000-0005-0000-0000-0000A9300000}"/>
    <cellStyle name="Normal 5 2 3 3 4 5" xfId="12459" xr:uid="{00000000-0005-0000-0000-0000AA300000}"/>
    <cellStyle name="Normal 5 2 3 3 5" xfId="12460" xr:uid="{00000000-0005-0000-0000-0000AB300000}"/>
    <cellStyle name="Normal 5 2 3 3 5 2" xfId="12461" xr:uid="{00000000-0005-0000-0000-0000AC300000}"/>
    <cellStyle name="Normal 5 2 3 3 5 2 2" xfId="12462" xr:uid="{00000000-0005-0000-0000-0000AD300000}"/>
    <cellStyle name="Normal 5 2 3 3 5 3" xfId="12463" xr:uid="{00000000-0005-0000-0000-0000AE300000}"/>
    <cellStyle name="Normal 5 2 3 3 6" xfId="12464" xr:uid="{00000000-0005-0000-0000-0000AF300000}"/>
    <cellStyle name="Normal 5 2 3 3 6 2" xfId="12465" xr:uid="{00000000-0005-0000-0000-0000B0300000}"/>
    <cellStyle name="Normal 5 2 3 3 6 2 2" xfId="12466" xr:uid="{00000000-0005-0000-0000-0000B1300000}"/>
    <cellStyle name="Normal 5 2 3 3 6 3" xfId="12467" xr:uid="{00000000-0005-0000-0000-0000B2300000}"/>
    <cellStyle name="Normal 5 2 3 3 7" xfId="12468" xr:uid="{00000000-0005-0000-0000-0000B3300000}"/>
    <cellStyle name="Normal 5 2 3 3 7 2" xfId="12469" xr:uid="{00000000-0005-0000-0000-0000B4300000}"/>
    <cellStyle name="Normal 5 2 3 3 7 3" xfId="12470" xr:uid="{00000000-0005-0000-0000-0000B5300000}"/>
    <cellStyle name="Normal 5 2 3 3 7 3 2" xfId="12471" xr:uid="{00000000-0005-0000-0000-0000B6300000}"/>
    <cellStyle name="Normal 5 2 3 3 7 4" xfId="12472" xr:uid="{00000000-0005-0000-0000-0000B7300000}"/>
    <cellStyle name="Normal 5 2 3 3 8" xfId="12473" xr:uid="{00000000-0005-0000-0000-0000B8300000}"/>
    <cellStyle name="Normal 5 2 3 3 8 2" xfId="12474" xr:uid="{00000000-0005-0000-0000-0000B9300000}"/>
    <cellStyle name="Normal 5 2 3 3 9" xfId="12475" xr:uid="{00000000-0005-0000-0000-0000BA300000}"/>
    <cellStyle name="Normal 5 2 3 4" xfId="12476" xr:uid="{00000000-0005-0000-0000-0000BB300000}"/>
    <cellStyle name="Normal 5 2 3 4 2" xfId="12477" xr:uid="{00000000-0005-0000-0000-0000BC300000}"/>
    <cellStyle name="Normal 5 2 3 4 2 2" xfId="12478" xr:uid="{00000000-0005-0000-0000-0000BD300000}"/>
    <cellStyle name="Normal 5 2 3 4 2 2 2" xfId="12479" xr:uid="{00000000-0005-0000-0000-0000BE300000}"/>
    <cellStyle name="Normal 5 2 3 4 2 2 2 2" xfId="12480" xr:uid="{00000000-0005-0000-0000-0000BF300000}"/>
    <cellStyle name="Normal 5 2 3 4 2 2 3" xfId="12481" xr:uid="{00000000-0005-0000-0000-0000C0300000}"/>
    <cellStyle name="Normal 5 2 3 4 2 3" xfId="12482" xr:uid="{00000000-0005-0000-0000-0000C1300000}"/>
    <cellStyle name="Normal 5 2 3 4 2 3 2" xfId="12483" xr:uid="{00000000-0005-0000-0000-0000C2300000}"/>
    <cellStyle name="Normal 5 2 3 4 2 3 2 2" xfId="12484" xr:uid="{00000000-0005-0000-0000-0000C3300000}"/>
    <cellStyle name="Normal 5 2 3 4 2 3 3" xfId="12485" xr:uid="{00000000-0005-0000-0000-0000C4300000}"/>
    <cellStyle name="Normal 5 2 3 4 2 4" xfId="12486" xr:uid="{00000000-0005-0000-0000-0000C5300000}"/>
    <cellStyle name="Normal 5 2 3 4 2 4 2" xfId="12487" xr:uid="{00000000-0005-0000-0000-0000C6300000}"/>
    <cellStyle name="Normal 5 2 3 4 2 5" xfId="12488" xr:uid="{00000000-0005-0000-0000-0000C7300000}"/>
    <cellStyle name="Normal 5 2 3 4 3" xfId="12489" xr:uid="{00000000-0005-0000-0000-0000C8300000}"/>
    <cellStyle name="Normal 5 2 3 4 3 2" xfId="12490" xr:uid="{00000000-0005-0000-0000-0000C9300000}"/>
    <cellStyle name="Normal 5 2 3 4 3 2 2" xfId="12491" xr:uid="{00000000-0005-0000-0000-0000CA300000}"/>
    <cellStyle name="Normal 5 2 3 4 3 2 2 2" xfId="12492" xr:uid="{00000000-0005-0000-0000-0000CB300000}"/>
    <cellStyle name="Normal 5 2 3 4 3 2 3" xfId="12493" xr:uid="{00000000-0005-0000-0000-0000CC300000}"/>
    <cellStyle name="Normal 5 2 3 4 3 3" xfId="12494" xr:uid="{00000000-0005-0000-0000-0000CD300000}"/>
    <cellStyle name="Normal 5 2 3 4 3 3 2" xfId="12495" xr:uid="{00000000-0005-0000-0000-0000CE300000}"/>
    <cellStyle name="Normal 5 2 3 4 3 3 2 2" xfId="12496" xr:uid="{00000000-0005-0000-0000-0000CF300000}"/>
    <cellStyle name="Normal 5 2 3 4 3 3 3" xfId="12497" xr:uid="{00000000-0005-0000-0000-0000D0300000}"/>
    <cellStyle name="Normal 5 2 3 4 3 4" xfId="12498" xr:uid="{00000000-0005-0000-0000-0000D1300000}"/>
    <cellStyle name="Normal 5 2 3 4 3 4 2" xfId="12499" xr:uid="{00000000-0005-0000-0000-0000D2300000}"/>
    <cellStyle name="Normal 5 2 3 4 3 5" xfId="12500" xr:uid="{00000000-0005-0000-0000-0000D3300000}"/>
    <cellStyle name="Normal 5 2 3 4 4" xfId="12501" xr:uid="{00000000-0005-0000-0000-0000D4300000}"/>
    <cellStyle name="Normal 5 2 3 4 4 2" xfId="12502" xr:uid="{00000000-0005-0000-0000-0000D5300000}"/>
    <cellStyle name="Normal 5 2 3 4 4 2 2" xfId="12503" xr:uid="{00000000-0005-0000-0000-0000D6300000}"/>
    <cellStyle name="Normal 5 2 3 4 4 3" xfId="12504" xr:uid="{00000000-0005-0000-0000-0000D7300000}"/>
    <cellStyle name="Normal 5 2 3 4 5" xfId="12505" xr:uid="{00000000-0005-0000-0000-0000D8300000}"/>
    <cellStyle name="Normal 5 2 3 4 5 2" xfId="12506" xr:uid="{00000000-0005-0000-0000-0000D9300000}"/>
    <cellStyle name="Normal 5 2 3 4 5 2 2" xfId="12507" xr:uid="{00000000-0005-0000-0000-0000DA300000}"/>
    <cellStyle name="Normal 5 2 3 4 5 3" xfId="12508" xr:uid="{00000000-0005-0000-0000-0000DB300000}"/>
    <cellStyle name="Normal 5 2 3 4 6" xfId="12509" xr:uid="{00000000-0005-0000-0000-0000DC300000}"/>
    <cellStyle name="Normal 5 2 3 4 6 2" xfId="12510" xr:uid="{00000000-0005-0000-0000-0000DD300000}"/>
    <cellStyle name="Normal 5 2 3 4 7" xfId="12511" xr:uid="{00000000-0005-0000-0000-0000DE300000}"/>
    <cellStyle name="Normal 5 2 3 5" xfId="12512" xr:uid="{00000000-0005-0000-0000-0000DF300000}"/>
    <cellStyle name="Normal 5 2 3 5 2" xfId="12513" xr:uid="{00000000-0005-0000-0000-0000E0300000}"/>
    <cellStyle name="Normal 5 2 3 5 2 2" xfId="12514" xr:uid="{00000000-0005-0000-0000-0000E1300000}"/>
    <cellStyle name="Normal 5 2 3 5 2 2 2" xfId="12515" xr:uid="{00000000-0005-0000-0000-0000E2300000}"/>
    <cellStyle name="Normal 5 2 3 5 2 2 2 2" xfId="12516" xr:uid="{00000000-0005-0000-0000-0000E3300000}"/>
    <cellStyle name="Normal 5 2 3 5 2 2 3" xfId="12517" xr:uid="{00000000-0005-0000-0000-0000E4300000}"/>
    <cellStyle name="Normal 5 2 3 5 2 3" xfId="12518" xr:uid="{00000000-0005-0000-0000-0000E5300000}"/>
    <cellStyle name="Normal 5 2 3 5 2 3 2" xfId="12519" xr:uid="{00000000-0005-0000-0000-0000E6300000}"/>
    <cellStyle name="Normal 5 2 3 5 2 3 2 2" xfId="12520" xr:uid="{00000000-0005-0000-0000-0000E7300000}"/>
    <cellStyle name="Normal 5 2 3 5 2 3 3" xfId="12521" xr:uid="{00000000-0005-0000-0000-0000E8300000}"/>
    <cellStyle name="Normal 5 2 3 5 2 4" xfId="12522" xr:uid="{00000000-0005-0000-0000-0000E9300000}"/>
    <cellStyle name="Normal 5 2 3 5 2 4 2" xfId="12523" xr:uid="{00000000-0005-0000-0000-0000EA300000}"/>
    <cellStyle name="Normal 5 2 3 5 2 5" xfId="12524" xr:uid="{00000000-0005-0000-0000-0000EB300000}"/>
    <cellStyle name="Normal 5 2 3 5 3" xfId="12525" xr:uid="{00000000-0005-0000-0000-0000EC300000}"/>
    <cellStyle name="Normal 5 2 3 5 3 2" xfId="12526" xr:uid="{00000000-0005-0000-0000-0000ED300000}"/>
    <cellStyle name="Normal 5 2 3 5 3 2 2" xfId="12527" xr:uid="{00000000-0005-0000-0000-0000EE300000}"/>
    <cellStyle name="Normal 5 2 3 5 3 2 2 2" xfId="12528" xr:uid="{00000000-0005-0000-0000-0000EF300000}"/>
    <cellStyle name="Normal 5 2 3 5 3 2 3" xfId="12529" xr:uid="{00000000-0005-0000-0000-0000F0300000}"/>
    <cellStyle name="Normal 5 2 3 5 3 3" xfId="12530" xr:uid="{00000000-0005-0000-0000-0000F1300000}"/>
    <cellStyle name="Normal 5 2 3 5 3 3 2" xfId="12531" xr:uid="{00000000-0005-0000-0000-0000F2300000}"/>
    <cellStyle name="Normal 5 2 3 5 3 4" xfId="12532" xr:uid="{00000000-0005-0000-0000-0000F3300000}"/>
    <cellStyle name="Normal 5 2 3 5 4" xfId="12533" xr:uid="{00000000-0005-0000-0000-0000F4300000}"/>
    <cellStyle name="Normal 5 2 3 5 4 2" xfId="12534" xr:uid="{00000000-0005-0000-0000-0000F5300000}"/>
    <cellStyle name="Normal 5 2 3 5 4 2 2" xfId="12535" xr:uid="{00000000-0005-0000-0000-0000F6300000}"/>
    <cellStyle name="Normal 5 2 3 5 4 3" xfId="12536" xr:uid="{00000000-0005-0000-0000-0000F7300000}"/>
    <cellStyle name="Normal 5 2 3 5 5" xfId="12537" xr:uid="{00000000-0005-0000-0000-0000F8300000}"/>
    <cellStyle name="Normal 5 2 3 5 5 2" xfId="12538" xr:uid="{00000000-0005-0000-0000-0000F9300000}"/>
    <cellStyle name="Normal 5 2 3 5 5 2 2" xfId="12539" xr:uid="{00000000-0005-0000-0000-0000FA300000}"/>
    <cellStyle name="Normal 5 2 3 5 5 3" xfId="12540" xr:uid="{00000000-0005-0000-0000-0000FB300000}"/>
    <cellStyle name="Normal 5 2 3 5 6" xfId="12541" xr:uid="{00000000-0005-0000-0000-0000FC300000}"/>
    <cellStyle name="Normal 5 2 3 5 6 2" xfId="12542" xr:uid="{00000000-0005-0000-0000-0000FD300000}"/>
    <cellStyle name="Normal 5 2 3 5 7" xfId="12543" xr:uid="{00000000-0005-0000-0000-0000FE300000}"/>
    <cellStyle name="Normal 5 2 3 6" xfId="12544" xr:uid="{00000000-0005-0000-0000-0000FF300000}"/>
    <cellStyle name="Normal 5 2 3 6 2" xfId="12545" xr:uid="{00000000-0005-0000-0000-000000310000}"/>
    <cellStyle name="Normal 5 2 3 6 2 2" xfId="12546" xr:uid="{00000000-0005-0000-0000-000001310000}"/>
    <cellStyle name="Normal 5 2 3 6 2 2 2" xfId="12547" xr:uid="{00000000-0005-0000-0000-000002310000}"/>
    <cellStyle name="Normal 5 2 3 6 2 3" xfId="12548" xr:uid="{00000000-0005-0000-0000-000003310000}"/>
    <cellStyle name="Normal 5 2 3 6 3" xfId="12549" xr:uid="{00000000-0005-0000-0000-000004310000}"/>
    <cellStyle name="Normal 5 2 3 6 3 2" xfId="12550" xr:uid="{00000000-0005-0000-0000-000005310000}"/>
    <cellStyle name="Normal 5 2 3 6 3 2 2" xfId="12551" xr:uid="{00000000-0005-0000-0000-000006310000}"/>
    <cellStyle name="Normal 5 2 3 6 3 3" xfId="12552" xr:uid="{00000000-0005-0000-0000-000007310000}"/>
    <cellStyle name="Normal 5 2 3 6 4" xfId="12553" xr:uid="{00000000-0005-0000-0000-000008310000}"/>
    <cellStyle name="Normal 5 2 3 6 4 2" xfId="12554" xr:uid="{00000000-0005-0000-0000-000009310000}"/>
    <cellStyle name="Normal 5 2 3 6 5" xfId="12555" xr:uid="{00000000-0005-0000-0000-00000A310000}"/>
    <cellStyle name="Normal 5 2 3 7" xfId="12556" xr:uid="{00000000-0005-0000-0000-00000B310000}"/>
    <cellStyle name="Normal 5 2 3 7 2" xfId="12557" xr:uid="{00000000-0005-0000-0000-00000C310000}"/>
    <cellStyle name="Normal 5 2 3 7 2 2" xfId="12558" xr:uid="{00000000-0005-0000-0000-00000D310000}"/>
    <cellStyle name="Normal 5 2 3 7 2 2 2" xfId="12559" xr:uid="{00000000-0005-0000-0000-00000E310000}"/>
    <cellStyle name="Normal 5 2 3 7 2 3" xfId="12560" xr:uid="{00000000-0005-0000-0000-00000F310000}"/>
    <cellStyle name="Normal 5 2 3 7 3" xfId="12561" xr:uid="{00000000-0005-0000-0000-000010310000}"/>
    <cellStyle name="Normal 5 2 3 7 3 2" xfId="12562" xr:uid="{00000000-0005-0000-0000-000011310000}"/>
    <cellStyle name="Normal 5 2 3 7 3 2 2" xfId="12563" xr:uid="{00000000-0005-0000-0000-000012310000}"/>
    <cellStyle name="Normal 5 2 3 7 3 3" xfId="12564" xr:uid="{00000000-0005-0000-0000-000013310000}"/>
    <cellStyle name="Normal 5 2 3 7 4" xfId="12565" xr:uid="{00000000-0005-0000-0000-000014310000}"/>
    <cellStyle name="Normal 5 2 3 7 4 2" xfId="12566" xr:uid="{00000000-0005-0000-0000-000015310000}"/>
    <cellStyle name="Normal 5 2 3 7 5" xfId="12567" xr:uid="{00000000-0005-0000-0000-000016310000}"/>
    <cellStyle name="Normal 5 2 3 8" xfId="12568" xr:uid="{00000000-0005-0000-0000-000017310000}"/>
    <cellStyle name="Normal 5 2 3 8 2" xfId="12569" xr:uid="{00000000-0005-0000-0000-000018310000}"/>
    <cellStyle name="Normal 5 2 3 8 2 2" xfId="12570" xr:uid="{00000000-0005-0000-0000-000019310000}"/>
    <cellStyle name="Normal 5 2 3 8 2 2 2" xfId="12571" xr:uid="{00000000-0005-0000-0000-00001A310000}"/>
    <cellStyle name="Normal 5 2 3 8 2 3" xfId="12572" xr:uid="{00000000-0005-0000-0000-00001B310000}"/>
    <cellStyle name="Normal 5 2 3 8 3" xfId="12573" xr:uid="{00000000-0005-0000-0000-00001C310000}"/>
    <cellStyle name="Normal 5 2 3 8 3 2" xfId="12574" xr:uid="{00000000-0005-0000-0000-00001D310000}"/>
    <cellStyle name="Normal 5 2 3 8 4" xfId="12575" xr:uid="{00000000-0005-0000-0000-00001E310000}"/>
    <cellStyle name="Normal 5 2 3 9" xfId="12576" xr:uid="{00000000-0005-0000-0000-00001F310000}"/>
    <cellStyle name="Normal 5 2 3 9 2" xfId="12577" xr:uid="{00000000-0005-0000-0000-000020310000}"/>
    <cellStyle name="Normal 5 2 3 9 2 2" xfId="12578" xr:uid="{00000000-0005-0000-0000-000021310000}"/>
    <cellStyle name="Normal 5 2 3 9 3" xfId="12579" xr:uid="{00000000-0005-0000-0000-000022310000}"/>
    <cellStyle name="Normal 5 2 4" xfId="12580" xr:uid="{00000000-0005-0000-0000-000023310000}"/>
    <cellStyle name="Normal 5 2 4 10" xfId="12581" xr:uid="{00000000-0005-0000-0000-000024310000}"/>
    <cellStyle name="Normal 5 2 4 10 2" xfId="12582" xr:uid="{00000000-0005-0000-0000-000025310000}"/>
    <cellStyle name="Normal 5 2 4 10 3" xfId="12583" xr:uid="{00000000-0005-0000-0000-000026310000}"/>
    <cellStyle name="Normal 5 2 4 10 3 2" xfId="12584" xr:uid="{00000000-0005-0000-0000-000027310000}"/>
    <cellStyle name="Normal 5 2 4 10 4" xfId="12585" xr:uid="{00000000-0005-0000-0000-000028310000}"/>
    <cellStyle name="Normal 5 2 4 11" xfId="12586" xr:uid="{00000000-0005-0000-0000-000029310000}"/>
    <cellStyle name="Normal 5 2 4 11 2" xfId="12587" xr:uid="{00000000-0005-0000-0000-00002A310000}"/>
    <cellStyle name="Normal 5 2 4 11 2 2" xfId="12588" xr:uid="{00000000-0005-0000-0000-00002B310000}"/>
    <cellStyle name="Normal 5 2 4 11 3" xfId="12589" xr:uid="{00000000-0005-0000-0000-00002C310000}"/>
    <cellStyle name="Normal 5 2 4 12" xfId="12590" xr:uid="{00000000-0005-0000-0000-00002D310000}"/>
    <cellStyle name="Normal 5 2 4 12 2" xfId="12591" xr:uid="{00000000-0005-0000-0000-00002E310000}"/>
    <cellStyle name="Normal 5 2 4 13" xfId="12592" xr:uid="{00000000-0005-0000-0000-00002F310000}"/>
    <cellStyle name="Normal 5 2 4 2" xfId="12593" xr:uid="{00000000-0005-0000-0000-000030310000}"/>
    <cellStyle name="Normal 5 2 4 2 2" xfId="12594" xr:uid="{00000000-0005-0000-0000-000031310000}"/>
    <cellStyle name="Normal 5 2 4 2 2 2" xfId="12595" xr:uid="{00000000-0005-0000-0000-000032310000}"/>
    <cellStyle name="Normal 5 2 4 2 2 2 2" xfId="12596" xr:uid="{00000000-0005-0000-0000-000033310000}"/>
    <cellStyle name="Normal 5 2 4 2 2 2 2 2" xfId="12597" xr:uid="{00000000-0005-0000-0000-000034310000}"/>
    <cellStyle name="Normal 5 2 4 2 2 2 2 2 2" xfId="12598" xr:uid="{00000000-0005-0000-0000-000035310000}"/>
    <cellStyle name="Normal 5 2 4 2 2 2 2 3" xfId="12599" xr:uid="{00000000-0005-0000-0000-000036310000}"/>
    <cellStyle name="Normal 5 2 4 2 2 2 3" xfId="12600" xr:uid="{00000000-0005-0000-0000-000037310000}"/>
    <cellStyle name="Normal 5 2 4 2 2 2 3 2" xfId="12601" xr:uid="{00000000-0005-0000-0000-000038310000}"/>
    <cellStyle name="Normal 5 2 4 2 2 2 3 2 2" xfId="12602" xr:uid="{00000000-0005-0000-0000-000039310000}"/>
    <cellStyle name="Normal 5 2 4 2 2 2 3 3" xfId="12603" xr:uid="{00000000-0005-0000-0000-00003A310000}"/>
    <cellStyle name="Normal 5 2 4 2 2 2 4" xfId="12604" xr:uid="{00000000-0005-0000-0000-00003B310000}"/>
    <cellStyle name="Normal 5 2 4 2 2 2 4 2" xfId="12605" xr:uid="{00000000-0005-0000-0000-00003C310000}"/>
    <cellStyle name="Normal 5 2 4 2 2 2 5" xfId="12606" xr:uid="{00000000-0005-0000-0000-00003D310000}"/>
    <cellStyle name="Normal 5 2 4 2 2 3" xfId="12607" xr:uid="{00000000-0005-0000-0000-00003E310000}"/>
    <cellStyle name="Normal 5 2 4 2 2 3 2" xfId="12608" xr:uid="{00000000-0005-0000-0000-00003F310000}"/>
    <cellStyle name="Normal 5 2 4 2 2 3 2 2" xfId="12609" xr:uid="{00000000-0005-0000-0000-000040310000}"/>
    <cellStyle name="Normal 5 2 4 2 2 3 2 2 2" xfId="12610" xr:uid="{00000000-0005-0000-0000-000041310000}"/>
    <cellStyle name="Normal 5 2 4 2 2 3 2 3" xfId="12611" xr:uid="{00000000-0005-0000-0000-000042310000}"/>
    <cellStyle name="Normal 5 2 4 2 2 3 3" xfId="12612" xr:uid="{00000000-0005-0000-0000-000043310000}"/>
    <cellStyle name="Normal 5 2 4 2 2 3 3 2" xfId="12613" xr:uid="{00000000-0005-0000-0000-000044310000}"/>
    <cellStyle name="Normal 5 2 4 2 2 3 3 2 2" xfId="12614" xr:uid="{00000000-0005-0000-0000-000045310000}"/>
    <cellStyle name="Normal 5 2 4 2 2 3 3 3" xfId="12615" xr:uid="{00000000-0005-0000-0000-000046310000}"/>
    <cellStyle name="Normal 5 2 4 2 2 3 4" xfId="12616" xr:uid="{00000000-0005-0000-0000-000047310000}"/>
    <cellStyle name="Normal 5 2 4 2 2 3 4 2" xfId="12617" xr:uid="{00000000-0005-0000-0000-000048310000}"/>
    <cellStyle name="Normal 5 2 4 2 2 3 5" xfId="12618" xr:uid="{00000000-0005-0000-0000-000049310000}"/>
    <cellStyle name="Normal 5 2 4 2 2 4" xfId="12619" xr:uid="{00000000-0005-0000-0000-00004A310000}"/>
    <cellStyle name="Normal 5 2 4 2 2 4 2" xfId="12620" xr:uid="{00000000-0005-0000-0000-00004B310000}"/>
    <cellStyle name="Normal 5 2 4 2 2 4 2 2" xfId="12621" xr:uid="{00000000-0005-0000-0000-00004C310000}"/>
    <cellStyle name="Normal 5 2 4 2 2 4 3" xfId="12622" xr:uid="{00000000-0005-0000-0000-00004D310000}"/>
    <cellStyle name="Normal 5 2 4 2 2 5" xfId="12623" xr:uid="{00000000-0005-0000-0000-00004E310000}"/>
    <cellStyle name="Normal 5 2 4 2 2 5 2" xfId="12624" xr:uid="{00000000-0005-0000-0000-00004F310000}"/>
    <cellStyle name="Normal 5 2 4 2 2 5 2 2" xfId="12625" xr:uid="{00000000-0005-0000-0000-000050310000}"/>
    <cellStyle name="Normal 5 2 4 2 2 5 3" xfId="12626" xr:uid="{00000000-0005-0000-0000-000051310000}"/>
    <cellStyle name="Normal 5 2 4 2 2 6" xfId="12627" xr:uid="{00000000-0005-0000-0000-000052310000}"/>
    <cellStyle name="Normal 5 2 4 2 2 6 2" xfId="12628" xr:uid="{00000000-0005-0000-0000-000053310000}"/>
    <cellStyle name="Normal 5 2 4 2 2 7" xfId="12629" xr:uid="{00000000-0005-0000-0000-000054310000}"/>
    <cellStyle name="Normal 5 2 4 2 3" xfId="12630" xr:uid="{00000000-0005-0000-0000-000055310000}"/>
    <cellStyle name="Normal 5 2 4 2 3 2" xfId="12631" xr:uid="{00000000-0005-0000-0000-000056310000}"/>
    <cellStyle name="Normal 5 2 4 2 3 2 2" xfId="12632" xr:uid="{00000000-0005-0000-0000-000057310000}"/>
    <cellStyle name="Normal 5 2 4 2 3 2 2 2" xfId="12633" xr:uid="{00000000-0005-0000-0000-000058310000}"/>
    <cellStyle name="Normal 5 2 4 2 3 2 3" xfId="12634" xr:uid="{00000000-0005-0000-0000-000059310000}"/>
    <cellStyle name="Normal 5 2 4 2 3 3" xfId="12635" xr:uid="{00000000-0005-0000-0000-00005A310000}"/>
    <cellStyle name="Normal 5 2 4 2 3 3 2" xfId="12636" xr:uid="{00000000-0005-0000-0000-00005B310000}"/>
    <cellStyle name="Normal 5 2 4 2 3 3 2 2" xfId="12637" xr:uid="{00000000-0005-0000-0000-00005C310000}"/>
    <cellStyle name="Normal 5 2 4 2 3 3 3" xfId="12638" xr:uid="{00000000-0005-0000-0000-00005D310000}"/>
    <cellStyle name="Normal 5 2 4 2 3 4" xfId="12639" xr:uid="{00000000-0005-0000-0000-00005E310000}"/>
    <cellStyle name="Normal 5 2 4 2 3 4 2" xfId="12640" xr:uid="{00000000-0005-0000-0000-00005F310000}"/>
    <cellStyle name="Normal 5 2 4 2 3 5" xfId="12641" xr:uid="{00000000-0005-0000-0000-000060310000}"/>
    <cellStyle name="Normal 5 2 4 2 4" xfId="12642" xr:uid="{00000000-0005-0000-0000-000061310000}"/>
    <cellStyle name="Normal 5 2 4 2 4 2" xfId="12643" xr:uid="{00000000-0005-0000-0000-000062310000}"/>
    <cellStyle name="Normal 5 2 4 2 4 2 2" xfId="12644" xr:uid="{00000000-0005-0000-0000-000063310000}"/>
    <cellStyle name="Normal 5 2 4 2 4 2 2 2" xfId="12645" xr:uid="{00000000-0005-0000-0000-000064310000}"/>
    <cellStyle name="Normal 5 2 4 2 4 2 3" xfId="12646" xr:uid="{00000000-0005-0000-0000-000065310000}"/>
    <cellStyle name="Normal 5 2 4 2 4 3" xfId="12647" xr:uid="{00000000-0005-0000-0000-000066310000}"/>
    <cellStyle name="Normal 5 2 4 2 4 3 2" xfId="12648" xr:uid="{00000000-0005-0000-0000-000067310000}"/>
    <cellStyle name="Normal 5 2 4 2 4 3 2 2" xfId="12649" xr:uid="{00000000-0005-0000-0000-000068310000}"/>
    <cellStyle name="Normal 5 2 4 2 4 3 3" xfId="12650" xr:uid="{00000000-0005-0000-0000-000069310000}"/>
    <cellStyle name="Normal 5 2 4 2 4 4" xfId="12651" xr:uid="{00000000-0005-0000-0000-00006A310000}"/>
    <cellStyle name="Normal 5 2 4 2 4 4 2" xfId="12652" xr:uid="{00000000-0005-0000-0000-00006B310000}"/>
    <cellStyle name="Normal 5 2 4 2 4 5" xfId="12653" xr:uid="{00000000-0005-0000-0000-00006C310000}"/>
    <cellStyle name="Normal 5 2 4 2 5" xfId="12654" xr:uid="{00000000-0005-0000-0000-00006D310000}"/>
    <cellStyle name="Normal 5 2 4 2 5 2" xfId="12655" xr:uid="{00000000-0005-0000-0000-00006E310000}"/>
    <cellStyle name="Normal 5 2 4 2 5 2 2" xfId="12656" xr:uid="{00000000-0005-0000-0000-00006F310000}"/>
    <cellStyle name="Normal 5 2 4 2 5 3" xfId="12657" xr:uid="{00000000-0005-0000-0000-000070310000}"/>
    <cellStyle name="Normal 5 2 4 2 6" xfId="12658" xr:uid="{00000000-0005-0000-0000-000071310000}"/>
    <cellStyle name="Normal 5 2 4 2 6 2" xfId="12659" xr:uid="{00000000-0005-0000-0000-000072310000}"/>
    <cellStyle name="Normal 5 2 4 2 6 2 2" xfId="12660" xr:uid="{00000000-0005-0000-0000-000073310000}"/>
    <cellStyle name="Normal 5 2 4 2 6 3" xfId="12661" xr:uid="{00000000-0005-0000-0000-000074310000}"/>
    <cellStyle name="Normal 5 2 4 2 7" xfId="12662" xr:uid="{00000000-0005-0000-0000-000075310000}"/>
    <cellStyle name="Normal 5 2 4 2 7 2" xfId="12663" xr:uid="{00000000-0005-0000-0000-000076310000}"/>
    <cellStyle name="Normal 5 2 4 2 7 3" xfId="12664" xr:uid="{00000000-0005-0000-0000-000077310000}"/>
    <cellStyle name="Normal 5 2 4 2 7 3 2" xfId="12665" xr:uid="{00000000-0005-0000-0000-000078310000}"/>
    <cellStyle name="Normal 5 2 4 2 7 4" xfId="12666" xr:uid="{00000000-0005-0000-0000-000079310000}"/>
    <cellStyle name="Normal 5 2 4 2 8" xfId="12667" xr:uid="{00000000-0005-0000-0000-00007A310000}"/>
    <cellStyle name="Normal 5 2 4 2 8 2" xfId="12668" xr:uid="{00000000-0005-0000-0000-00007B310000}"/>
    <cellStyle name="Normal 5 2 4 2 9" xfId="12669" xr:uid="{00000000-0005-0000-0000-00007C310000}"/>
    <cellStyle name="Normal 5 2 4 3" xfId="12670" xr:uid="{00000000-0005-0000-0000-00007D310000}"/>
    <cellStyle name="Normal 5 2 4 3 2" xfId="12671" xr:uid="{00000000-0005-0000-0000-00007E310000}"/>
    <cellStyle name="Normal 5 2 4 3 2 2" xfId="12672" xr:uid="{00000000-0005-0000-0000-00007F310000}"/>
    <cellStyle name="Normal 5 2 4 3 2 2 2" xfId="12673" xr:uid="{00000000-0005-0000-0000-000080310000}"/>
    <cellStyle name="Normal 5 2 4 3 2 2 2 2" xfId="12674" xr:uid="{00000000-0005-0000-0000-000081310000}"/>
    <cellStyle name="Normal 5 2 4 3 2 2 3" xfId="12675" xr:uid="{00000000-0005-0000-0000-000082310000}"/>
    <cellStyle name="Normal 5 2 4 3 2 3" xfId="12676" xr:uid="{00000000-0005-0000-0000-000083310000}"/>
    <cellStyle name="Normal 5 2 4 3 2 3 2" xfId="12677" xr:uid="{00000000-0005-0000-0000-000084310000}"/>
    <cellStyle name="Normal 5 2 4 3 2 3 2 2" xfId="12678" xr:uid="{00000000-0005-0000-0000-000085310000}"/>
    <cellStyle name="Normal 5 2 4 3 2 3 3" xfId="12679" xr:uid="{00000000-0005-0000-0000-000086310000}"/>
    <cellStyle name="Normal 5 2 4 3 2 4" xfId="12680" xr:uid="{00000000-0005-0000-0000-000087310000}"/>
    <cellStyle name="Normal 5 2 4 3 2 4 2" xfId="12681" xr:uid="{00000000-0005-0000-0000-000088310000}"/>
    <cellStyle name="Normal 5 2 4 3 2 5" xfId="12682" xr:uid="{00000000-0005-0000-0000-000089310000}"/>
    <cellStyle name="Normal 5 2 4 3 3" xfId="12683" xr:uid="{00000000-0005-0000-0000-00008A310000}"/>
    <cellStyle name="Normal 5 2 4 3 3 2" xfId="12684" xr:uid="{00000000-0005-0000-0000-00008B310000}"/>
    <cellStyle name="Normal 5 2 4 3 3 2 2" xfId="12685" xr:uid="{00000000-0005-0000-0000-00008C310000}"/>
    <cellStyle name="Normal 5 2 4 3 3 2 2 2" xfId="12686" xr:uid="{00000000-0005-0000-0000-00008D310000}"/>
    <cellStyle name="Normal 5 2 4 3 3 2 3" xfId="12687" xr:uid="{00000000-0005-0000-0000-00008E310000}"/>
    <cellStyle name="Normal 5 2 4 3 3 3" xfId="12688" xr:uid="{00000000-0005-0000-0000-00008F310000}"/>
    <cellStyle name="Normal 5 2 4 3 3 3 2" xfId="12689" xr:uid="{00000000-0005-0000-0000-000090310000}"/>
    <cellStyle name="Normal 5 2 4 3 3 3 2 2" xfId="12690" xr:uid="{00000000-0005-0000-0000-000091310000}"/>
    <cellStyle name="Normal 5 2 4 3 3 3 3" xfId="12691" xr:uid="{00000000-0005-0000-0000-000092310000}"/>
    <cellStyle name="Normal 5 2 4 3 3 4" xfId="12692" xr:uid="{00000000-0005-0000-0000-000093310000}"/>
    <cellStyle name="Normal 5 2 4 3 3 4 2" xfId="12693" xr:uid="{00000000-0005-0000-0000-000094310000}"/>
    <cellStyle name="Normal 5 2 4 3 3 5" xfId="12694" xr:uid="{00000000-0005-0000-0000-000095310000}"/>
    <cellStyle name="Normal 5 2 4 3 4" xfId="12695" xr:uid="{00000000-0005-0000-0000-000096310000}"/>
    <cellStyle name="Normal 5 2 4 3 4 2" xfId="12696" xr:uid="{00000000-0005-0000-0000-000097310000}"/>
    <cellStyle name="Normal 5 2 4 3 4 2 2" xfId="12697" xr:uid="{00000000-0005-0000-0000-000098310000}"/>
    <cellStyle name="Normal 5 2 4 3 4 3" xfId="12698" xr:uid="{00000000-0005-0000-0000-000099310000}"/>
    <cellStyle name="Normal 5 2 4 3 5" xfId="12699" xr:uid="{00000000-0005-0000-0000-00009A310000}"/>
    <cellStyle name="Normal 5 2 4 3 5 2" xfId="12700" xr:uid="{00000000-0005-0000-0000-00009B310000}"/>
    <cellStyle name="Normal 5 2 4 3 5 2 2" xfId="12701" xr:uid="{00000000-0005-0000-0000-00009C310000}"/>
    <cellStyle name="Normal 5 2 4 3 5 3" xfId="12702" xr:uid="{00000000-0005-0000-0000-00009D310000}"/>
    <cellStyle name="Normal 5 2 4 3 6" xfId="12703" xr:uid="{00000000-0005-0000-0000-00009E310000}"/>
    <cellStyle name="Normal 5 2 4 3 6 2" xfId="12704" xr:uid="{00000000-0005-0000-0000-00009F310000}"/>
    <cellStyle name="Normal 5 2 4 3 7" xfId="12705" xr:uid="{00000000-0005-0000-0000-0000A0310000}"/>
    <cellStyle name="Normal 5 2 4 4" xfId="12706" xr:uid="{00000000-0005-0000-0000-0000A1310000}"/>
    <cellStyle name="Normal 5 2 4 4 2" xfId="12707" xr:uid="{00000000-0005-0000-0000-0000A2310000}"/>
    <cellStyle name="Normal 5 2 4 4 2 2" xfId="12708" xr:uid="{00000000-0005-0000-0000-0000A3310000}"/>
    <cellStyle name="Normal 5 2 4 4 2 2 2" xfId="12709" xr:uid="{00000000-0005-0000-0000-0000A4310000}"/>
    <cellStyle name="Normal 5 2 4 4 2 2 2 2" xfId="12710" xr:uid="{00000000-0005-0000-0000-0000A5310000}"/>
    <cellStyle name="Normal 5 2 4 4 2 2 3" xfId="12711" xr:uid="{00000000-0005-0000-0000-0000A6310000}"/>
    <cellStyle name="Normal 5 2 4 4 2 3" xfId="12712" xr:uid="{00000000-0005-0000-0000-0000A7310000}"/>
    <cellStyle name="Normal 5 2 4 4 2 3 2" xfId="12713" xr:uid="{00000000-0005-0000-0000-0000A8310000}"/>
    <cellStyle name="Normal 5 2 4 4 2 3 2 2" xfId="12714" xr:uid="{00000000-0005-0000-0000-0000A9310000}"/>
    <cellStyle name="Normal 5 2 4 4 2 3 3" xfId="12715" xr:uid="{00000000-0005-0000-0000-0000AA310000}"/>
    <cellStyle name="Normal 5 2 4 4 2 4" xfId="12716" xr:uid="{00000000-0005-0000-0000-0000AB310000}"/>
    <cellStyle name="Normal 5 2 4 4 2 4 2" xfId="12717" xr:uid="{00000000-0005-0000-0000-0000AC310000}"/>
    <cellStyle name="Normal 5 2 4 4 2 5" xfId="12718" xr:uid="{00000000-0005-0000-0000-0000AD310000}"/>
    <cellStyle name="Normal 5 2 4 4 3" xfId="12719" xr:uid="{00000000-0005-0000-0000-0000AE310000}"/>
    <cellStyle name="Normal 5 2 4 4 3 2" xfId="12720" xr:uid="{00000000-0005-0000-0000-0000AF310000}"/>
    <cellStyle name="Normal 5 2 4 4 3 2 2" xfId="12721" xr:uid="{00000000-0005-0000-0000-0000B0310000}"/>
    <cellStyle name="Normal 5 2 4 4 3 2 2 2" xfId="12722" xr:uid="{00000000-0005-0000-0000-0000B1310000}"/>
    <cellStyle name="Normal 5 2 4 4 3 2 3" xfId="12723" xr:uid="{00000000-0005-0000-0000-0000B2310000}"/>
    <cellStyle name="Normal 5 2 4 4 3 3" xfId="12724" xr:uid="{00000000-0005-0000-0000-0000B3310000}"/>
    <cellStyle name="Normal 5 2 4 4 3 3 2" xfId="12725" xr:uid="{00000000-0005-0000-0000-0000B4310000}"/>
    <cellStyle name="Normal 5 2 4 4 3 4" xfId="12726" xr:uid="{00000000-0005-0000-0000-0000B5310000}"/>
    <cellStyle name="Normal 5 2 4 4 4" xfId="12727" xr:uid="{00000000-0005-0000-0000-0000B6310000}"/>
    <cellStyle name="Normal 5 2 4 4 4 2" xfId="12728" xr:uid="{00000000-0005-0000-0000-0000B7310000}"/>
    <cellStyle name="Normal 5 2 4 4 4 2 2" xfId="12729" xr:uid="{00000000-0005-0000-0000-0000B8310000}"/>
    <cellStyle name="Normal 5 2 4 4 4 3" xfId="12730" xr:uid="{00000000-0005-0000-0000-0000B9310000}"/>
    <cellStyle name="Normal 5 2 4 4 5" xfId="12731" xr:uid="{00000000-0005-0000-0000-0000BA310000}"/>
    <cellStyle name="Normal 5 2 4 4 5 2" xfId="12732" xr:uid="{00000000-0005-0000-0000-0000BB310000}"/>
    <cellStyle name="Normal 5 2 4 4 5 2 2" xfId="12733" xr:uid="{00000000-0005-0000-0000-0000BC310000}"/>
    <cellStyle name="Normal 5 2 4 4 5 3" xfId="12734" xr:uid="{00000000-0005-0000-0000-0000BD310000}"/>
    <cellStyle name="Normal 5 2 4 4 6" xfId="12735" xr:uid="{00000000-0005-0000-0000-0000BE310000}"/>
    <cellStyle name="Normal 5 2 4 4 6 2" xfId="12736" xr:uid="{00000000-0005-0000-0000-0000BF310000}"/>
    <cellStyle name="Normal 5 2 4 4 7" xfId="12737" xr:uid="{00000000-0005-0000-0000-0000C0310000}"/>
    <cellStyle name="Normal 5 2 4 5" xfId="12738" xr:uid="{00000000-0005-0000-0000-0000C1310000}"/>
    <cellStyle name="Normal 5 2 4 5 2" xfId="12739" xr:uid="{00000000-0005-0000-0000-0000C2310000}"/>
    <cellStyle name="Normal 5 2 4 5 2 2" xfId="12740" xr:uid="{00000000-0005-0000-0000-0000C3310000}"/>
    <cellStyle name="Normal 5 2 4 5 2 2 2" xfId="12741" xr:uid="{00000000-0005-0000-0000-0000C4310000}"/>
    <cellStyle name="Normal 5 2 4 5 2 3" xfId="12742" xr:uid="{00000000-0005-0000-0000-0000C5310000}"/>
    <cellStyle name="Normal 5 2 4 5 3" xfId="12743" xr:uid="{00000000-0005-0000-0000-0000C6310000}"/>
    <cellStyle name="Normal 5 2 4 5 3 2" xfId="12744" xr:uid="{00000000-0005-0000-0000-0000C7310000}"/>
    <cellStyle name="Normal 5 2 4 5 3 2 2" xfId="12745" xr:uid="{00000000-0005-0000-0000-0000C8310000}"/>
    <cellStyle name="Normal 5 2 4 5 3 3" xfId="12746" xr:uid="{00000000-0005-0000-0000-0000C9310000}"/>
    <cellStyle name="Normal 5 2 4 5 4" xfId="12747" xr:uid="{00000000-0005-0000-0000-0000CA310000}"/>
    <cellStyle name="Normal 5 2 4 5 4 2" xfId="12748" xr:uid="{00000000-0005-0000-0000-0000CB310000}"/>
    <cellStyle name="Normal 5 2 4 5 5" xfId="12749" xr:uid="{00000000-0005-0000-0000-0000CC310000}"/>
    <cellStyle name="Normal 5 2 4 6" xfId="12750" xr:uid="{00000000-0005-0000-0000-0000CD310000}"/>
    <cellStyle name="Normal 5 2 4 6 2" xfId="12751" xr:uid="{00000000-0005-0000-0000-0000CE310000}"/>
    <cellStyle name="Normal 5 2 4 6 2 2" xfId="12752" xr:uid="{00000000-0005-0000-0000-0000CF310000}"/>
    <cellStyle name="Normal 5 2 4 6 2 2 2" xfId="12753" xr:uid="{00000000-0005-0000-0000-0000D0310000}"/>
    <cellStyle name="Normal 5 2 4 6 2 3" xfId="12754" xr:uid="{00000000-0005-0000-0000-0000D1310000}"/>
    <cellStyle name="Normal 5 2 4 6 3" xfId="12755" xr:uid="{00000000-0005-0000-0000-0000D2310000}"/>
    <cellStyle name="Normal 5 2 4 6 3 2" xfId="12756" xr:uid="{00000000-0005-0000-0000-0000D3310000}"/>
    <cellStyle name="Normal 5 2 4 6 3 2 2" xfId="12757" xr:uid="{00000000-0005-0000-0000-0000D4310000}"/>
    <cellStyle name="Normal 5 2 4 6 3 3" xfId="12758" xr:uid="{00000000-0005-0000-0000-0000D5310000}"/>
    <cellStyle name="Normal 5 2 4 6 4" xfId="12759" xr:uid="{00000000-0005-0000-0000-0000D6310000}"/>
    <cellStyle name="Normal 5 2 4 6 4 2" xfId="12760" xr:uid="{00000000-0005-0000-0000-0000D7310000}"/>
    <cellStyle name="Normal 5 2 4 6 5" xfId="12761" xr:uid="{00000000-0005-0000-0000-0000D8310000}"/>
    <cellStyle name="Normal 5 2 4 7" xfId="12762" xr:uid="{00000000-0005-0000-0000-0000D9310000}"/>
    <cellStyle name="Normal 5 2 4 7 2" xfId="12763" xr:uid="{00000000-0005-0000-0000-0000DA310000}"/>
    <cellStyle name="Normal 5 2 4 7 2 2" xfId="12764" xr:uid="{00000000-0005-0000-0000-0000DB310000}"/>
    <cellStyle name="Normal 5 2 4 7 2 2 2" xfId="12765" xr:uid="{00000000-0005-0000-0000-0000DC310000}"/>
    <cellStyle name="Normal 5 2 4 7 2 3" xfId="12766" xr:uid="{00000000-0005-0000-0000-0000DD310000}"/>
    <cellStyle name="Normal 5 2 4 7 3" xfId="12767" xr:uid="{00000000-0005-0000-0000-0000DE310000}"/>
    <cellStyle name="Normal 5 2 4 7 3 2" xfId="12768" xr:uid="{00000000-0005-0000-0000-0000DF310000}"/>
    <cellStyle name="Normal 5 2 4 7 4" xfId="12769" xr:uid="{00000000-0005-0000-0000-0000E0310000}"/>
    <cellStyle name="Normal 5 2 4 8" xfId="12770" xr:uid="{00000000-0005-0000-0000-0000E1310000}"/>
    <cellStyle name="Normal 5 2 4 8 2" xfId="12771" xr:uid="{00000000-0005-0000-0000-0000E2310000}"/>
    <cellStyle name="Normal 5 2 4 8 2 2" xfId="12772" xr:uid="{00000000-0005-0000-0000-0000E3310000}"/>
    <cellStyle name="Normal 5 2 4 8 3" xfId="12773" xr:uid="{00000000-0005-0000-0000-0000E4310000}"/>
    <cellStyle name="Normal 5 2 4 9" xfId="12774" xr:uid="{00000000-0005-0000-0000-0000E5310000}"/>
    <cellStyle name="Normal 5 2 4 9 2" xfId="12775" xr:uid="{00000000-0005-0000-0000-0000E6310000}"/>
    <cellStyle name="Normal 5 2 4 9 2 2" xfId="12776" xr:uid="{00000000-0005-0000-0000-0000E7310000}"/>
    <cellStyle name="Normal 5 2 4 9 3" xfId="12777" xr:uid="{00000000-0005-0000-0000-0000E8310000}"/>
    <cellStyle name="Normal 5 2 5" xfId="12778" xr:uid="{00000000-0005-0000-0000-0000E9310000}"/>
    <cellStyle name="Normal 5 2 5 10" xfId="12779" xr:uid="{00000000-0005-0000-0000-0000EA310000}"/>
    <cellStyle name="Normal 5 2 5 10 2" xfId="12780" xr:uid="{00000000-0005-0000-0000-0000EB310000}"/>
    <cellStyle name="Normal 5 2 5 10 3" xfId="12781" xr:uid="{00000000-0005-0000-0000-0000EC310000}"/>
    <cellStyle name="Normal 5 2 5 10 3 2" xfId="12782" xr:uid="{00000000-0005-0000-0000-0000ED310000}"/>
    <cellStyle name="Normal 5 2 5 10 4" xfId="12783" xr:uid="{00000000-0005-0000-0000-0000EE310000}"/>
    <cellStyle name="Normal 5 2 5 11" xfId="12784" xr:uid="{00000000-0005-0000-0000-0000EF310000}"/>
    <cellStyle name="Normal 5 2 5 11 2" xfId="12785" xr:uid="{00000000-0005-0000-0000-0000F0310000}"/>
    <cellStyle name="Normal 5 2 5 11 3" xfId="12786" xr:uid="{00000000-0005-0000-0000-0000F1310000}"/>
    <cellStyle name="Normal 5 2 5 11 3 2" xfId="12787" xr:uid="{00000000-0005-0000-0000-0000F2310000}"/>
    <cellStyle name="Normal 5 2 5 11 4" xfId="12788" xr:uid="{00000000-0005-0000-0000-0000F3310000}"/>
    <cellStyle name="Normal 5 2 5 12" xfId="12789" xr:uid="{00000000-0005-0000-0000-0000F4310000}"/>
    <cellStyle name="Normal 5 2 5 13" xfId="12790" xr:uid="{00000000-0005-0000-0000-0000F5310000}"/>
    <cellStyle name="Normal 5 2 5 13 2" xfId="12791" xr:uid="{00000000-0005-0000-0000-0000F6310000}"/>
    <cellStyle name="Normal 5 2 5 14" xfId="12792" xr:uid="{00000000-0005-0000-0000-0000F7310000}"/>
    <cellStyle name="Normal 5 2 5 2" xfId="12793" xr:uid="{00000000-0005-0000-0000-0000F8310000}"/>
    <cellStyle name="Normal 5 2 5 2 10" xfId="12794" xr:uid="{00000000-0005-0000-0000-0000F9310000}"/>
    <cellStyle name="Normal 5 2 5 2 2" xfId="12795" xr:uid="{00000000-0005-0000-0000-0000FA310000}"/>
    <cellStyle name="Normal 5 2 5 2 2 2" xfId="12796" xr:uid="{00000000-0005-0000-0000-0000FB310000}"/>
    <cellStyle name="Normal 5 2 5 2 2 2 2" xfId="12797" xr:uid="{00000000-0005-0000-0000-0000FC310000}"/>
    <cellStyle name="Normal 5 2 5 2 2 2 2 2" xfId="12798" xr:uid="{00000000-0005-0000-0000-0000FD310000}"/>
    <cellStyle name="Normal 5 2 5 2 2 2 2 3" xfId="12799" xr:uid="{00000000-0005-0000-0000-0000FE310000}"/>
    <cellStyle name="Normal 5 2 5 2 2 2 2 3 2" xfId="12800" xr:uid="{00000000-0005-0000-0000-0000FF310000}"/>
    <cellStyle name="Normal 5 2 5 2 2 2 2 4" xfId="12801" xr:uid="{00000000-0005-0000-0000-000000320000}"/>
    <cellStyle name="Normal 5 2 5 2 2 2 3" xfId="12802" xr:uid="{00000000-0005-0000-0000-000001320000}"/>
    <cellStyle name="Normal 5 2 5 2 2 2 3 2" xfId="12803" xr:uid="{00000000-0005-0000-0000-000002320000}"/>
    <cellStyle name="Normal 5 2 5 2 2 2 3 3" xfId="12804" xr:uid="{00000000-0005-0000-0000-000003320000}"/>
    <cellStyle name="Normal 5 2 5 2 2 2 3 3 2" xfId="12805" xr:uid="{00000000-0005-0000-0000-000004320000}"/>
    <cellStyle name="Normal 5 2 5 2 2 2 3 4" xfId="12806" xr:uid="{00000000-0005-0000-0000-000005320000}"/>
    <cellStyle name="Normal 5 2 5 2 2 2 4" xfId="12807" xr:uid="{00000000-0005-0000-0000-000006320000}"/>
    <cellStyle name="Normal 5 2 5 2 2 2 5" xfId="12808" xr:uid="{00000000-0005-0000-0000-000007320000}"/>
    <cellStyle name="Normal 5 2 5 2 2 2 5 2" xfId="12809" xr:uid="{00000000-0005-0000-0000-000008320000}"/>
    <cellStyle name="Normal 5 2 5 2 2 2 6" xfId="12810" xr:uid="{00000000-0005-0000-0000-000009320000}"/>
    <cellStyle name="Normal 5 2 5 2 2 3" xfId="12811" xr:uid="{00000000-0005-0000-0000-00000A320000}"/>
    <cellStyle name="Normal 5 2 5 2 2 3 2" xfId="12812" xr:uid="{00000000-0005-0000-0000-00000B320000}"/>
    <cellStyle name="Normal 5 2 5 2 2 3 2 2" xfId="12813" xr:uid="{00000000-0005-0000-0000-00000C320000}"/>
    <cellStyle name="Normal 5 2 5 2 2 3 2 3" xfId="12814" xr:uid="{00000000-0005-0000-0000-00000D320000}"/>
    <cellStyle name="Normal 5 2 5 2 2 3 2 3 2" xfId="12815" xr:uid="{00000000-0005-0000-0000-00000E320000}"/>
    <cellStyle name="Normal 5 2 5 2 2 3 2 4" xfId="12816" xr:uid="{00000000-0005-0000-0000-00000F320000}"/>
    <cellStyle name="Normal 5 2 5 2 2 3 3" xfId="12817" xr:uid="{00000000-0005-0000-0000-000010320000}"/>
    <cellStyle name="Normal 5 2 5 2 2 3 3 2" xfId="12818" xr:uid="{00000000-0005-0000-0000-000011320000}"/>
    <cellStyle name="Normal 5 2 5 2 2 3 3 3" xfId="12819" xr:uid="{00000000-0005-0000-0000-000012320000}"/>
    <cellStyle name="Normal 5 2 5 2 2 3 3 3 2" xfId="12820" xr:uid="{00000000-0005-0000-0000-000013320000}"/>
    <cellStyle name="Normal 5 2 5 2 2 3 3 4" xfId="12821" xr:uid="{00000000-0005-0000-0000-000014320000}"/>
    <cellStyle name="Normal 5 2 5 2 2 3 4" xfId="12822" xr:uid="{00000000-0005-0000-0000-000015320000}"/>
    <cellStyle name="Normal 5 2 5 2 2 3 5" xfId="12823" xr:uid="{00000000-0005-0000-0000-000016320000}"/>
    <cellStyle name="Normal 5 2 5 2 2 3 5 2" xfId="12824" xr:uid="{00000000-0005-0000-0000-000017320000}"/>
    <cellStyle name="Normal 5 2 5 2 2 3 6" xfId="12825" xr:uid="{00000000-0005-0000-0000-000018320000}"/>
    <cellStyle name="Normal 5 2 5 2 2 4" xfId="12826" xr:uid="{00000000-0005-0000-0000-000019320000}"/>
    <cellStyle name="Normal 5 2 5 2 2 4 2" xfId="12827" xr:uid="{00000000-0005-0000-0000-00001A320000}"/>
    <cellStyle name="Normal 5 2 5 2 2 4 3" xfId="12828" xr:uid="{00000000-0005-0000-0000-00001B320000}"/>
    <cellStyle name="Normal 5 2 5 2 2 4 3 2" xfId="12829" xr:uid="{00000000-0005-0000-0000-00001C320000}"/>
    <cellStyle name="Normal 5 2 5 2 2 4 4" xfId="12830" xr:uid="{00000000-0005-0000-0000-00001D320000}"/>
    <cellStyle name="Normal 5 2 5 2 2 5" xfId="12831" xr:uid="{00000000-0005-0000-0000-00001E320000}"/>
    <cellStyle name="Normal 5 2 5 2 2 5 2" xfId="12832" xr:uid="{00000000-0005-0000-0000-00001F320000}"/>
    <cellStyle name="Normal 5 2 5 2 2 5 3" xfId="12833" xr:uid="{00000000-0005-0000-0000-000020320000}"/>
    <cellStyle name="Normal 5 2 5 2 2 5 3 2" xfId="12834" xr:uid="{00000000-0005-0000-0000-000021320000}"/>
    <cellStyle name="Normal 5 2 5 2 2 5 4" xfId="12835" xr:uid="{00000000-0005-0000-0000-000022320000}"/>
    <cellStyle name="Normal 5 2 5 2 2 6" xfId="12836" xr:uid="{00000000-0005-0000-0000-000023320000}"/>
    <cellStyle name="Normal 5 2 5 2 2 7" xfId="12837" xr:uid="{00000000-0005-0000-0000-000024320000}"/>
    <cellStyle name="Normal 5 2 5 2 2 7 2" xfId="12838" xr:uid="{00000000-0005-0000-0000-000025320000}"/>
    <cellStyle name="Normal 5 2 5 2 2 8" xfId="12839" xr:uid="{00000000-0005-0000-0000-000026320000}"/>
    <cellStyle name="Normal 5 2 5 2 3" xfId="12840" xr:uid="{00000000-0005-0000-0000-000027320000}"/>
    <cellStyle name="Normal 5 2 5 2 3 2" xfId="12841" xr:uid="{00000000-0005-0000-0000-000028320000}"/>
    <cellStyle name="Normal 5 2 5 2 3 2 2" xfId="12842" xr:uid="{00000000-0005-0000-0000-000029320000}"/>
    <cellStyle name="Normal 5 2 5 2 3 2 3" xfId="12843" xr:uid="{00000000-0005-0000-0000-00002A320000}"/>
    <cellStyle name="Normal 5 2 5 2 3 2 3 2" xfId="12844" xr:uid="{00000000-0005-0000-0000-00002B320000}"/>
    <cellStyle name="Normal 5 2 5 2 3 2 4" xfId="12845" xr:uid="{00000000-0005-0000-0000-00002C320000}"/>
    <cellStyle name="Normal 5 2 5 2 3 3" xfId="12846" xr:uid="{00000000-0005-0000-0000-00002D320000}"/>
    <cellStyle name="Normal 5 2 5 2 3 3 2" xfId="12847" xr:uid="{00000000-0005-0000-0000-00002E320000}"/>
    <cellStyle name="Normal 5 2 5 2 3 3 3" xfId="12848" xr:uid="{00000000-0005-0000-0000-00002F320000}"/>
    <cellStyle name="Normal 5 2 5 2 3 3 3 2" xfId="12849" xr:uid="{00000000-0005-0000-0000-000030320000}"/>
    <cellStyle name="Normal 5 2 5 2 3 3 4" xfId="12850" xr:uid="{00000000-0005-0000-0000-000031320000}"/>
    <cellStyle name="Normal 5 2 5 2 3 4" xfId="12851" xr:uid="{00000000-0005-0000-0000-000032320000}"/>
    <cellStyle name="Normal 5 2 5 2 3 5" xfId="12852" xr:uid="{00000000-0005-0000-0000-000033320000}"/>
    <cellStyle name="Normal 5 2 5 2 3 5 2" xfId="12853" xr:uid="{00000000-0005-0000-0000-000034320000}"/>
    <cellStyle name="Normal 5 2 5 2 3 6" xfId="12854" xr:uid="{00000000-0005-0000-0000-000035320000}"/>
    <cellStyle name="Normal 5 2 5 2 4" xfId="12855" xr:uid="{00000000-0005-0000-0000-000036320000}"/>
    <cellStyle name="Normal 5 2 5 2 4 2" xfId="12856" xr:uid="{00000000-0005-0000-0000-000037320000}"/>
    <cellStyle name="Normal 5 2 5 2 4 2 2" xfId="12857" xr:uid="{00000000-0005-0000-0000-000038320000}"/>
    <cellStyle name="Normal 5 2 5 2 4 2 3" xfId="12858" xr:uid="{00000000-0005-0000-0000-000039320000}"/>
    <cellStyle name="Normal 5 2 5 2 4 2 3 2" xfId="12859" xr:uid="{00000000-0005-0000-0000-00003A320000}"/>
    <cellStyle name="Normal 5 2 5 2 4 2 4" xfId="12860" xr:uid="{00000000-0005-0000-0000-00003B320000}"/>
    <cellStyle name="Normal 5 2 5 2 4 3" xfId="12861" xr:uid="{00000000-0005-0000-0000-00003C320000}"/>
    <cellStyle name="Normal 5 2 5 2 4 3 2" xfId="12862" xr:uid="{00000000-0005-0000-0000-00003D320000}"/>
    <cellStyle name="Normal 5 2 5 2 4 3 3" xfId="12863" xr:uid="{00000000-0005-0000-0000-00003E320000}"/>
    <cellStyle name="Normal 5 2 5 2 4 3 3 2" xfId="12864" xr:uid="{00000000-0005-0000-0000-00003F320000}"/>
    <cellStyle name="Normal 5 2 5 2 4 3 4" xfId="12865" xr:uid="{00000000-0005-0000-0000-000040320000}"/>
    <cellStyle name="Normal 5 2 5 2 4 4" xfId="12866" xr:uid="{00000000-0005-0000-0000-000041320000}"/>
    <cellStyle name="Normal 5 2 5 2 4 5" xfId="12867" xr:uid="{00000000-0005-0000-0000-000042320000}"/>
    <cellStyle name="Normal 5 2 5 2 4 5 2" xfId="12868" xr:uid="{00000000-0005-0000-0000-000043320000}"/>
    <cellStyle name="Normal 5 2 5 2 4 6" xfId="12869" xr:uid="{00000000-0005-0000-0000-000044320000}"/>
    <cellStyle name="Normal 5 2 5 2 5" xfId="12870" xr:uid="{00000000-0005-0000-0000-000045320000}"/>
    <cellStyle name="Normal 5 2 5 2 5 2" xfId="12871" xr:uid="{00000000-0005-0000-0000-000046320000}"/>
    <cellStyle name="Normal 5 2 5 2 5 3" xfId="12872" xr:uid="{00000000-0005-0000-0000-000047320000}"/>
    <cellStyle name="Normal 5 2 5 2 5 3 2" xfId="12873" xr:uid="{00000000-0005-0000-0000-000048320000}"/>
    <cellStyle name="Normal 5 2 5 2 5 4" xfId="12874" xr:uid="{00000000-0005-0000-0000-000049320000}"/>
    <cellStyle name="Normal 5 2 5 2 6" xfId="12875" xr:uid="{00000000-0005-0000-0000-00004A320000}"/>
    <cellStyle name="Normal 5 2 5 2 6 2" xfId="12876" xr:uid="{00000000-0005-0000-0000-00004B320000}"/>
    <cellStyle name="Normal 5 2 5 2 6 3" xfId="12877" xr:uid="{00000000-0005-0000-0000-00004C320000}"/>
    <cellStyle name="Normal 5 2 5 2 6 3 2" xfId="12878" xr:uid="{00000000-0005-0000-0000-00004D320000}"/>
    <cellStyle name="Normal 5 2 5 2 6 4" xfId="12879" xr:uid="{00000000-0005-0000-0000-00004E320000}"/>
    <cellStyle name="Normal 5 2 5 2 7" xfId="12880" xr:uid="{00000000-0005-0000-0000-00004F320000}"/>
    <cellStyle name="Normal 5 2 5 2 7 2" xfId="12881" xr:uid="{00000000-0005-0000-0000-000050320000}"/>
    <cellStyle name="Normal 5 2 5 2 7 3" xfId="12882" xr:uid="{00000000-0005-0000-0000-000051320000}"/>
    <cellStyle name="Normal 5 2 5 2 7 3 2" xfId="12883" xr:uid="{00000000-0005-0000-0000-000052320000}"/>
    <cellStyle name="Normal 5 2 5 2 7 4" xfId="12884" xr:uid="{00000000-0005-0000-0000-000053320000}"/>
    <cellStyle name="Normal 5 2 5 2 8" xfId="12885" xr:uid="{00000000-0005-0000-0000-000054320000}"/>
    <cellStyle name="Normal 5 2 5 2 9" xfId="12886" xr:uid="{00000000-0005-0000-0000-000055320000}"/>
    <cellStyle name="Normal 5 2 5 2 9 2" xfId="12887" xr:uid="{00000000-0005-0000-0000-000056320000}"/>
    <cellStyle name="Normal 5 2 5 3" xfId="12888" xr:uid="{00000000-0005-0000-0000-000057320000}"/>
    <cellStyle name="Normal 5 2 5 3 2" xfId="12889" xr:uid="{00000000-0005-0000-0000-000058320000}"/>
    <cellStyle name="Normal 5 2 5 3 2 2" xfId="12890" xr:uid="{00000000-0005-0000-0000-000059320000}"/>
    <cellStyle name="Normal 5 2 5 3 2 2 2" xfId="12891" xr:uid="{00000000-0005-0000-0000-00005A320000}"/>
    <cellStyle name="Normal 5 2 5 3 2 2 3" xfId="12892" xr:uid="{00000000-0005-0000-0000-00005B320000}"/>
    <cellStyle name="Normal 5 2 5 3 2 2 3 2" xfId="12893" xr:uid="{00000000-0005-0000-0000-00005C320000}"/>
    <cellStyle name="Normal 5 2 5 3 2 2 4" xfId="12894" xr:uid="{00000000-0005-0000-0000-00005D320000}"/>
    <cellStyle name="Normal 5 2 5 3 2 3" xfId="12895" xr:uid="{00000000-0005-0000-0000-00005E320000}"/>
    <cellStyle name="Normal 5 2 5 3 2 3 2" xfId="12896" xr:uid="{00000000-0005-0000-0000-00005F320000}"/>
    <cellStyle name="Normal 5 2 5 3 2 3 3" xfId="12897" xr:uid="{00000000-0005-0000-0000-000060320000}"/>
    <cellStyle name="Normal 5 2 5 3 2 3 3 2" xfId="12898" xr:uid="{00000000-0005-0000-0000-000061320000}"/>
    <cellStyle name="Normal 5 2 5 3 2 3 4" xfId="12899" xr:uid="{00000000-0005-0000-0000-000062320000}"/>
    <cellStyle name="Normal 5 2 5 3 2 4" xfId="12900" xr:uid="{00000000-0005-0000-0000-000063320000}"/>
    <cellStyle name="Normal 5 2 5 3 2 5" xfId="12901" xr:uid="{00000000-0005-0000-0000-000064320000}"/>
    <cellStyle name="Normal 5 2 5 3 2 5 2" xfId="12902" xr:uid="{00000000-0005-0000-0000-000065320000}"/>
    <cellStyle name="Normal 5 2 5 3 2 6" xfId="12903" xr:uid="{00000000-0005-0000-0000-000066320000}"/>
    <cellStyle name="Normal 5 2 5 3 3" xfId="12904" xr:uid="{00000000-0005-0000-0000-000067320000}"/>
    <cellStyle name="Normal 5 2 5 3 3 2" xfId="12905" xr:uid="{00000000-0005-0000-0000-000068320000}"/>
    <cellStyle name="Normal 5 2 5 3 3 2 2" xfId="12906" xr:uid="{00000000-0005-0000-0000-000069320000}"/>
    <cellStyle name="Normal 5 2 5 3 3 2 3" xfId="12907" xr:uid="{00000000-0005-0000-0000-00006A320000}"/>
    <cellStyle name="Normal 5 2 5 3 3 2 3 2" xfId="12908" xr:uid="{00000000-0005-0000-0000-00006B320000}"/>
    <cellStyle name="Normal 5 2 5 3 3 2 4" xfId="12909" xr:uid="{00000000-0005-0000-0000-00006C320000}"/>
    <cellStyle name="Normal 5 2 5 3 3 3" xfId="12910" xr:uid="{00000000-0005-0000-0000-00006D320000}"/>
    <cellStyle name="Normal 5 2 5 3 3 3 2" xfId="12911" xr:uid="{00000000-0005-0000-0000-00006E320000}"/>
    <cellStyle name="Normal 5 2 5 3 3 3 3" xfId="12912" xr:uid="{00000000-0005-0000-0000-00006F320000}"/>
    <cellStyle name="Normal 5 2 5 3 3 3 3 2" xfId="12913" xr:uid="{00000000-0005-0000-0000-000070320000}"/>
    <cellStyle name="Normal 5 2 5 3 3 3 4" xfId="12914" xr:uid="{00000000-0005-0000-0000-000071320000}"/>
    <cellStyle name="Normal 5 2 5 3 3 4" xfId="12915" xr:uid="{00000000-0005-0000-0000-000072320000}"/>
    <cellStyle name="Normal 5 2 5 3 3 5" xfId="12916" xr:uid="{00000000-0005-0000-0000-000073320000}"/>
    <cellStyle name="Normal 5 2 5 3 3 5 2" xfId="12917" xr:uid="{00000000-0005-0000-0000-000074320000}"/>
    <cellStyle name="Normal 5 2 5 3 3 6" xfId="12918" xr:uid="{00000000-0005-0000-0000-000075320000}"/>
    <cellStyle name="Normal 5 2 5 3 4" xfId="12919" xr:uid="{00000000-0005-0000-0000-000076320000}"/>
    <cellStyle name="Normal 5 2 5 3 4 2" xfId="12920" xr:uid="{00000000-0005-0000-0000-000077320000}"/>
    <cellStyle name="Normal 5 2 5 3 4 3" xfId="12921" xr:uid="{00000000-0005-0000-0000-000078320000}"/>
    <cellStyle name="Normal 5 2 5 3 4 3 2" xfId="12922" xr:uid="{00000000-0005-0000-0000-000079320000}"/>
    <cellStyle name="Normal 5 2 5 3 4 4" xfId="12923" xr:uid="{00000000-0005-0000-0000-00007A320000}"/>
    <cellStyle name="Normal 5 2 5 3 5" xfId="12924" xr:uid="{00000000-0005-0000-0000-00007B320000}"/>
    <cellStyle name="Normal 5 2 5 3 5 2" xfId="12925" xr:uid="{00000000-0005-0000-0000-00007C320000}"/>
    <cellStyle name="Normal 5 2 5 3 5 3" xfId="12926" xr:uid="{00000000-0005-0000-0000-00007D320000}"/>
    <cellStyle name="Normal 5 2 5 3 5 3 2" xfId="12927" xr:uid="{00000000-0005-0000-0000-00007E320000}"/>
    <cellStyle name="Normal 5 2 5 3 5 4" xfId="12928" xr:uid="{00000000-0005-0000-0000-00007F320000}"/>
    <cellStyle name="Normal 5 2 5 3 6" xfId="12929" xr:uid="{00000000-0005-0000-0000-000080320000}"/>
    <cellStyle name="Normal 5 2 5 3 7" xfId="12930" xr:uid="{00000000-0005-0000-0000-000081320000}"/>
    <cellStyle name="Normal 5 2 5 3 7 2" xfId="12931" xr:uid="{00000000-0005-0000-0000-000082320000}"/>
    <cellStyle name="Normal 5 2 5 3 8" xfId="12932" xr:uid="{00000000-0005-0000-0000-000083320000}"/>
    <cellStyle name="Normal 5 2 5 4" xfId="12933" xr:uid="{00000000-0005-0000-0000-000084320000}"/>
    <cellStyle name="Normal 5 2 5 4 2" xfId="12934" xr:uid="{00000000-0005-0000-0000-000085320000}"/>
    <cellStyle name="Normal 5 2 5 4 2 2" xfId="12935" xr:uid="{00000000-0005-0000-0000-000086320000}"/>
    <cellStyle name="Normal 5 2 5 4 2 2 2" xfId="12936" xr:uid="{00000000-0005-0000-0000-000087320000}"/>
    <cellStyle name="Normal 5 2 5 4 2 2 3" xfId="12937" xr:uid="{00000000-0005-0000-0000-000088320000}"/>
    <cellStyle name="Normal 5 2 5 4 2 2 3 2" xfId="12938" xr:uid="{00000000-0005-0000-0000-000089320000}"/>
    <cellStyle name="Normal 5 2 5 4 2 2 4" xfId="12939" xr:uid="{00000000-0005-0000-0000-00008A320000}"/>
    <cellStyle name="Normal 5 2 5 4 2 3" xfId="12940" xr:uid="{00000000-0005-0000-0000-00008B320000}"/>
    <cellStyle name="Normal 5 2 5 4 2 3 2" xfId="12941" xr:uid="{00000000-0005-0000-0000-00008C320000}"/>
    <cellStyle name="Normal 5 2 5 4 2 3 3" xfId="12942" xr:uid="{00000000-0005-0000-0000-00008D320000}"/>
    <cellStyle name="Normal 5 2 5 4 2 3 3 2" xfId="12943" xr:uid="{00000000-0005-0000-0000-00008E320000}"/>
    <cellStyle name="Normal 5 2 5 4 2 3 4" xfId="12944" xr:uid="{00000000-0005-0000-0000-00008F320000}"/>
    <cellStyle name="Normal 5 2 5 4 2 4" xfId="12945" xr:uid="{00000000-0005-0000-0000-000090320000}"/>
    <cellStyle name="Normal 5 2 5 4 2 5" xfId="12946" xr:uid="{00000000-0005-0000-0000-000091320000}"/>
    <cellStyle name="Normal 5 2 5 4 2 5 2" xfId="12947" xr:uid="{00000000-0005-0000-0000-000092320000}"/>
    <cellStyle name="Normal 5 2 5 4 2 6" xfId="12948" xr:uid="{00000000-0005-0000-0000-000093320000}"/>
    <cellStyle name="Normal 5 2 5 4 3" xfId="12949" xr:uid="{00000000-0005-0000-0000-000094320000}"/>
    <cellStyle name="Normal 5 2 5 4 3 2" xfId="12950" xr:uid="{00000000-0005-0000-0000-000095320000}"/>
    <cellStyle name="Normal 5 2 5 4 3 2 2" xfId="12951" xr:uid="{00000000-0005-0000-0000-000096320000}"/>
    <cellStyle name="Normal 5 2 5 4 3 2 3" xfId="12952" xr:uid="{00000000-0005-0000-0000-000097320000}"/>
    <cellStyle name="Normal 5 2 5 4 3 2 3 2" xfId="12953" xr:uid="{00000000-0005-0000-0000-000098320000}"/>
    <cellStyle name="Normal 5 2 5 4 3 2 4" xfId="12954" xr:uid="{00000000-0005-0000-0000-000099320000}"/>
    <cellStyle name="Normal 5 2 5 4 3 3" xfId="12955" xr:uid="{00000000-0005-0000-0000-00009A320000}"/>
    <cellStyle name="Normal 5 2 5 4 3 4" xfId="12956" xr:uid="{00000000-0005-0000-0000-00009B320000}"/>
    <cellStyle name="Normal 5 2 5 4 3 4 2" xfId="12957" xr:uid="{00000000-0005-0000-0000-00009C320000}"/>
    <cellStyle name="Normal 5 2 5 4 3 5" xfId="12958" xr:uid="{00000000-0005-0000-0000-00009D320000}"/>
    <cellStyle name="Normal 5 2 5 4 4" xfId="12959" xr:uid="{00000000-0005-0000-0000-00009E320000}"/>
    <cellStyle name="Normal 5 2 5 4 4 2" xfId="12960" xr:uid="{00000000-0005-0000-0000-00009F320000}"/>
    <cellStyle name="Normal 5 2 5 4 4 3" xfId="12961" xr:uid="{00000000-0005-0000-0000-0000A0320000}"/>
    <cellStyle name="Normal 5 2 5 4 4 3 2" xfId="12962" xr:uid="{00000000-0005-0000-0000-0000A1320000}"/>
    <cellStyle name="Normal 5 2 5 4 4 4" xfId="12963" xr:uid="{00000000-0005-0000-0000-0000A2320000}"/>
    <cellStyle name="Normal 5 2 5 4 5" xfId="12964" xr:uid="{00000000-0005-0000-0000-0000A3320000}"/>
    <cellStyle name="Normal 5 2 5 4 5 2" xfId="12965" xr:uid="{00000000-0005-0000-0000-0000A4320000}"/>
    <cellStyle name="Normal 5 2 5 4 5 3" xfId="12966" xr:uid="{00000000-0005-0000-0000-0000A5320000}"/>
    <cellStyle name="Normal 5 2 5 4 5 3 2" xfId="12967" xr:uid="{00000000-0005-0000-0000-0000A6320000}"/>
    <cellStyle name="Normal 5 2 5 4 5 4" xfId="12968" xr:uid="{00000000-0005-0000-0000-0000A7320000}"/>
    <cellStyle name="Normal 5 2 5 4 6" xfId="12969" xr:uid="{00000000-0005-0000-0000-0000A8320000}"/>
    <cellStyle name="Normal 5 2 5 4 7" xfId="12970" xr:uid="{00000000-0005-0000-0000-0000A9320000}"/>
    <cellStyle name="Normal 5 2 5 4 7 2" xfId="12971" xr:uid="{00000000-0005-0000-0000-0000AA320000}"/>
    <cellStyle name="Normal 5 2 5 4 8" xfId="12972" xr:uid="{00000000-0005-0000-0000-0000AB320000}"/>
    <cellStyle name="Normal 5 2 5 5" xfId="12973" xr:uid="{00000000-0005-0000-0000-0000AC320000}"/>
    <cellStyle name="Normal 5 2 5 5 2" xfId="12974" xr:uid="{00000000-0005-0000-0000-0000AD320000}"/>
    <cellStyle name="Normal 5 2 5 5 2 2" xfId="12975" xr:uid="{00000000-0005-0000-0000-0000AE320000}"/>
    <cellStyle name="Normal 5 2 5 5 2 3" xfId="12976" xr:uid="{00000000-0005-0000-0000-0000AF320000}"/>
    <cellStyle name="Normal 5 2 5 5 2 3 2" xfId="12977" xr:uid="{00000000-0005-0000-0000-0000B0320000}"/>
    <cellStyle name="Normal 5 2 5 5 2 4" xfId="12978" xr:uid="{00000000-0005-0000-0000-0000B1320000}"/>
    <cellStyle name="Normal 5 2 5 5 3" xfId="12979" xr:uid="{00000000-0005-0000-0000-0000B2320000}"/>
    <cellStyle name="Normal 5 2 5 5 3 2" xfId="12980" xr:uid="{00000000-0005-0000-0000-0000B3320000}"/>
    <cellStyle name="Normal 5 2 5 5 3 3" xfId="12981" xr:uid="{00000000-0005-0000-0000-0000B4320000}"/>
    <cellStyle name="Normal 5 2 5 5 3 3 2" xfId="12982" xr:uid="{00000000-0005-0000-0000-0000B5320000}"/>
    <cellStyle name="Normal 5 2 5 5 3 4" xfId="12983" xr:uid="{00000000-0005-0000-0000-0000B6320000}"/>
    <cellStyle name="Normal 5 2 5 5 4" xfId="12984" xr:uid="{00000000-0005-0000-0000-0000B7320000}"/>
    <cellStyle name="Normal 5 2 5 5 5" xfId="12985" xr:uid="{00000000-0005-0000-0000-0000B8320000}"/>
    <cellStyle name="Normal 5 2 5 5 5 2" xfId="12986" xr:uid="{00000000-0005-0000-0000-0000B9320000}"/>
    <cellStyle name="Normal 5 2 5 5 6" xfId="12987" xr:uid="{00000000-0005-0000-0000-0000BA320000}"/>
    <cellStyle name="Normal 5 2 5 6" xfId="12988" xr:uid="{00000000-0005-0000-0000-0000BB320000}"/>
    <cellStyle name="Normal 5 2 5 6 2" xfId="12989" xr:uid="{00000000-0005-0000-0000-0000BC320000}"/>
    <cellStyle name="Normal 5 2 5 6 2 2" xfId="12990" xr:uid="{00000000-0005-0000-0000-0000BD320000}"/>
    <cellStyle name="Normal 5 2 5 6 2 3" xfId="12991" xr:uid="{00000000-0005-0000-0000-0000BE320000}"/>
    <cellStyle name="Normal 5 2 5 6 2 3 2" xfId="12992" xr:uid="{00000000-0005-0000-0000-0000BF320000}"/>
    <cellStyle name="Normal 5 2 5 6 2 4" xfId="12993" xr:uid="{00000000-0005-0000-0000-0000C0320000}"/>
    <cellStyle name="Normal 5 2 5 6 3" xfId="12994" xr:uid="{00000000-0005-0000-0000-0000C1320000}"/>
    <cellStyle name="Normal 5 2 5 6 3 2" xfId="12995" xr:uid="{00000000-0005-0000-0000-0000C2320000}"/>
    <cellStyle name="Normal 5 2 5 6 3 3" xfId="12996" xr:uid="{00000000-0005-0000-0000-0000C3320000}"/>
    <cellStyle name="Normal 5 2 5 6 3 3 2" xfId="12997" xr:uid="{00000000-0005-0000-0000-0000C4320000}"/>
    <cellStyle name="Normal 5 2 5 6 3 4" xfId="12998" xr:uid="{00000000-0005-0000-0000-0000C5320000}"/>
    <cellStyle name="Normal 5 2 5 6 4" xfId="12999" xr:uid="{00000000-0005-0000-0000-0000C6320000}"/>
    <cellStyle name="Normal 5 2 5 6 5" xfId="13000" xr:uid="{00000000-0005-0000-0000-0000C7320000}"/>
    <cellStyle name="Normal 5 2 5 6 5 2" xfId="13001" xr:uid="{00000000-0005-0000-0000-0000C8320000}"/>
    <cellStyle name="Normal 5 2 5 6 6" xfId="13002" xr:uid="{00000000-0005-0000-0000-0000C9320000}"/>
    <cellStyle name="Normal 5 2 5 7" xfId="13003" xr:uid="{00000000-0005-0000-0000-0000CA320000}"/>
    <cellStyle name="Normal 5 2 5 7 2" xfId="13004" xr:uid="{00000000-0005-0000-0000-0000CB320000}"/>
    <cellStyle name="Normal 5 2 5 7 2 2" xfId="13005" xr:uid="{00000000-0005-0000-0000-0000CC320000}"/>
    <cellStyle name="Normal 5 2 5 7 2 3" xfId="13006" xr:uid="{00000000-0005-0000-0000-0000CD320000}"/>
    <cellStyle name="Normal 5 2 5 7 2 3 2" xfId="13007" xr:uid="{00000000-0005-0000-0000-0000CE320000}"/>
    <cellStyle name="Normal 5 2 5 7 2 4" xfId="13008" xr:uid="{00000000-0005-0000-0000-0000CF320000}"/>
    <cellStyle name="Normal 5 2 5 7 3" xfId="13009" xr:uid="{00000000-0005-0000-0000-0000D0320000}"/>
    <cellStyle name="Normal 5 2 5 7 4" xfId="13010" xr:uid="{00000000-0005-0000-0000-0000D1320000}"/>
    <cellStyle name="Normal 5 2 5 7 4 2" xfId="13011" xr:uid="{00000000-0005-0000-0000-0000D2320000}"/>
    <cellStyle name="Normal 5 2 5 7 5" xfId="13012" xr:uid="{00000000-0005-0000-0000-0000D3320000}"/>
    <cellStyle name="Normal 5 2 5 8" xfId="13013" xr:uid="{00000000-0005-0000-0000-0000D4320000}"/>
    <cellStyle name="Normal 5 2 5 8 2" xfId="13014" xr:uid="{00000000-0005-0000-0000-0000D5320000}"/>
    <cellStyle name="Normal 5 2 5 8 3" xfId="13015" xr:uid="{00000000-0005-0000-0000-0000D6320000}"/>
    <cellStyle name="Normal 5 2 5 8 3 2" xfId="13016" xr:uid="{00000000-0005-0000-0000-0000D7320000}"/>
    <cellStyle name="Normal 5 2 5 8 4" xfId="13017" xr:uid="{00000000-0005-0000-0000-0000D8320000}"/>
    <cellStyle name="Normal 5 2 5 9" xfId="13018" xr:uid="{00000000-0005-0000-0000-0000D9320000}"/>
    <cellStyle name="Normal 5 2 5 9 2" xfId="13019" xr:uid="{00000000-0005-0000-0000-0000DA320000}"/>
    <cellStyle name="Normal 5 2 5 9 3" xfId="13020" xr:uid="{00000000-0005-0000-0000-0000DB320000}"/>
    <cellStyle name="Normal 5 2 5 9 3 2" xfId="13021" xr:uid="{00000000-0005-0000-0000-0000DC320000}"/>
    <cellStyle name="Normal 5 2 5 9 4" xfId="13022" xr:uid="{00000000-0005-0000-0000-0000DD320000}"/>
    <cellStyle name="Normal 5 2 6" xfId="13023" xr:uid="{00000000-0005-0000-0000-0000DE320000}"/>
    <cellStyle name="Normal 5 2 6 10" xfId="13024" xr:uid="{00000000-0005-0000-0000-0000DF320000}"/>
    <cellStyle name="Normal 5 2 6 10 2" xfId="13025" xr:uid="{00000000-0005-0000-0000-0000E0320000}"/>
    <cellStyle name="Normal 5 2 6 10 3" xfId="13026" xr:uid="{00000000-0005-0000-0000-0000E1320000}"/>
    <cellStyle name="Normal 5 2 6 10 3 2" xfId="13027" xr:uid="{00000000-0005-0000-0000-0000E2320000}"/>
    <cellStyle name="Normal 5 2 6 10 4" xfId="13028" xr:uid="{00000000-0005-0000-0000-0000E3320000}"/>
    <cellStyle name="Normal 5 2 6 11" xfId="13029" xr:uid="{00000000-0005-0000-0000-0000E4320000}"/>
    <cellStyle name="Normal 5 2 6 11 2" xfId="13030" xr:uid="{00000000-0005-0000-0000-0000E5320000}"/>
    <cellStyle name="Normal 5 2 6 11 2 2" xfId="13031" xr:uid="{00000000-0005-0000-0000-0000E6320000}"/>
    <cellStyle name="Normal 5 2 6 11 3" xfId="13032" xr:uid="{00000000-0005-0000-0000-0000E7320000}"/>
    <cellStyle name="Normal 5 2 6 12" xfId="13033" xr:uid="{00000000-0005-0000-0000-0000E8320000}"/>
    <cellStyle name="Normal 5 2 6 12 2" xfId="13034" xr:uid="{00000000-0005-0000-0000-0000E9320000}"/>
    <cellStyle name="Normal 5 2 6 13" xfId="13035" xr:uid="{00000000-0005-0000-0000-0000EA320000}"/>
    <cellStyle name="Normal 5 2 6 2" xfId="13036" xr:uid="{00000000-0005-0000-0000-0000EB320000}"/>
    <cellStyle name="Normal 5 2 6 2 2" xfId="13037" xr:uid="{00000000-0005-0000-0000-0000EC320000}"/>
    <cellStyle name="Normal 5 2 6 2 2 2" xfId="13038" xr:uid="{00000000-0005-0000-0000-0000ED320000}"/>
    <cellStyle name="Normal 5 2 6 2 2 2 2" xfId="13039" xr:uid="{00000000-0005-0000-0000-0000EE320000}"/>
    <cellStyle name="Normal 5 2 6 2 2 2 2 2" xfId="13040" xr:uid="{00000000-0005-0000-0000-0000EF320000}"/>
    <cellStyle name="Normal 5 2 6 2 2 2 2 2 2" xfId="13041" xr:uid="{00000000-0005-0000-0000-0000F0320000}"/>
    <cellStyle name="Normal 5 2 6 2 2 2 2 3" xfId="13042" xr:uid="{00000000-0005-0000-0000-0000F1320000}"/>
    <cellStyle name="Normal 5 2 6 2 2 2 3" xfId="13043" xr:uid="{00000000-0005-0000-0000-0000F2320000}"/>
    <cellStyle name="Normal 5 2 6 2 2 2 3 2" xfId="13044" xr:uid="{00000000-0005-0000-0000-0000F3320000}"/>
    <cellStyle name="Normal 5 2 6 2 2 2 3 2 2" xfId="13045" xr:uid="{00000000-0005-0000-0000-0000F4320000}"/>
    <cellStyle name="Normal 5 2 6 2 2 2 3 3" xfId="13046" xr:uid="{00000000-0005-0000-0000-0000F5320000}"/>
    <cellStyle name="Normal 5 2 6 2 2 2 4" xfId="13047" xr:uid="{00000000-0005-0000-0000-0000F6320000}"/>
    <cellStyle name="Normal 5 2 6 2 2 2 4 2" xfId="13048" xr:uid="{00000000-0005-0000-0000-0000F7320000}"/>
    <cellStyle name="Normal 5 2 6 2 2 2 5" xfId="13049" xr:uid="{00000000-0005-0000-0000-0000F8320000}"/>
    <cellStyle name="Normal 5 2 6 2 2 3" xfId="13050" xr:uid="{00000000-0005-0000-0000-0000F9320000}"/>
    <cellStyle name="Normal 5 2 6 2 2 3 2" xfId="13051" xr:uid="{00000000-0005-0000-0000-0000FA320000}"/>
    <cellStyle name="Normal 5 2 6 2 2 3 2 2" xfId="13052" xr:uid="{00000000-0005-0000-0000-0000FB320000}"/>
    <cellStyle name="Normal 5 2 6 2 2 3 2 2 2" xfId="13053" xr:uid="{00000000-0005-0000-0000-0000FC320000}"/>
    <cellStyle name="Normal 5 2 6 2 2 3 2 3" xfId="13054" xr:uid="{00000000-0005-0000-0000-0000FD320000}"/>
    <cellStyle name="Normal 5 2 6 2 2 3 3" xfId="13055" xr:uid="{00000000-0005-0000-0000-0000FE320000}"/>
    <cellStyle name="Normal 5 2 6 2 2 3 3 2" xfId="13056" xr:uid="{00000000-0005-0000-0000-0000FF320000}"/>
    <cellStyle name="Normal 5 2 6 2 2 3 3 2 2" xfId="13057" xr:uid="{00000000-0005-0000-0000-000000330000}"/>
    <cellStyle name="Normal 5 2 6 2 2 3 3 3" xfId="13058" xr:uid="{00000000-0005-0000-0000-000001330000}"/>
    <cellStyle name="Normal 5 2 6 2 2 3 4" xfId="13059" xr:uid="{00000000-0005-0000-0000-000002330000}"/>
    <cellStyle name="Normal 5 2 6 2 2 3 4 2" xfId="13060" xr:uid="{00000000-0005-0000-0000-000003330000}"/>
    <cellStyle name="Normal 5 2 6 2 2 3 5" xfId="13061" xr:uid="{00000000-0005-0000-0000-000004330000}"/>
    <cellStyle name="Normal 5 2 6 2 2 4" xfId="13062" xr:uid="{00000000-0005-0000-0000-000005330000}"/>
    <cellStyle name="Normal 5 2 6 2 2 4 2" xfId="13063" xr:uid="{00000000-0005-0000-0000-000006330000}"/>
    <cellStyle name="Normal 5 2 6 2 2 4 2 2" xfId="13064" xr:uid="{00000000-0005-0000-0000-000007330000}"/>
    <cellStyle name="Normal 5 2 6 2 2 4 3" xfId="13065" xr:uid="{00000000-0005-0000-0000-000008330000}"/>
    <cellStyle name="Normal 5 2 6 2 2 5" xfId="13066" xr:uid="{00000000-0005-0000-0000-000009330000}"/>
    <cellStyle name="Normal 5 2 6 2 2 5 2" xfId="13067" xr:uid="{00000000-0005-0000-0000-00000A330000}"/>
    <cellStyle name="Normal 5 2 6 2 2 5 2 2" xfId="13068" xr:uid="{00000000-0005-0000-0000-00000B330000}"/>
    <cellStyle name="Normal 5 2 6 2 2 5 3" xfId="13069" xr:uid="{00000000-0005-0000-0000-00000C330000}"/>
    <cellStyle name="Normal 5 2 6 2 2 6" xfId="13070" xr:uid="{00000000-0005-0000-0000-00000D330000}"/>
    <cellStyle name="Normal 5 2 6 2 2 6 2" xfId="13071" xr:uid="{00000000-0005-0000-0000-00000E330000}"/>
    <cellStyle name="Normal 5 2 6 2 2 7" xfId="13072" xr:uid="{00000000-0005-0000-0000-00000F330000}"/>
    <cellStyle name="Normal 5 2 6 2 3" xfId="13073" xr:uid="{00000000-0005-0000-0000-000010330000}"/>
    <cellStyle name="Normal 5 2 6 2 3 2" xfId="13074" xr:uid="{00000000-0005-0000-0000-000011330000}"/>
    <cellStyle name="Normal 5 2 6 2 3 2 2" xfId="13075" xr:uid="{00000000-0005-0000-0000-000012330000}"/>
    <cellStyle name="Normal 5 2 6 2 3 2 2 2" xfId="13076" xr:uid="{00000000-0005-0000-0000-000013330000}"/>
    <cellStyle name="Normal 5 2 6 2 3 2 3" xfId="13077" xr:uid="{00000000-0005-0000-0000-000014330000}"/>
    <cellStyle name="Normal 5 2 6 2 3 3" xfId="13078" xr:uid="{00000000-0005-0000-0000-000015330000}"/>
    <cellStyle name="Normal 5 2 6 2 3 3 2" xfId="13079" xr:uid="{00000000-0005-0000-0000-000016330000}"/>
    <cellStyle name="Normal 5 2 6 2 3 3 2 2" xfId="13080" xr:uid="{00000000-0005-0000-0000-000017330000}"/>
    <cellStyle name="Normal 5 2 6 2 3 3 3" xfId="13081" xr:uid="{00000000-0005-0000-0000-000018330000}"/>
    <cellStyle name="Normal 5 2 6 2 3 4" xfId="13082" xr:uid="{00000000-0005-0000-0000-000019330000}"/>
    <cellStyle name="Normal 5 2 6 2 3 4 2" xfId="13083" xr:uid="{00000000-0005-0000-0000-00001A330000}"/>
    <cellStyle name="Normal 5 2 6 2 3 5" xfId="13084" xr:uid="{00000000-0005-0000-0000-00001B330000}"/>
    <cellStyle name="Normal 5 2 6 2 4" xfId="13085" xr:uid="{00000000-0005-0000-0000-00001C330000}"/>
    <cellStyle name="Normal 5 2 6 2 4 2" xfId="13086" xr:uid="{00000000-0005-0000-0000-00001D330000}"/>
    <cellStyle name="Normal 5 2 6 2 4 2 2" xfId="13087" xr:uid="{00000000-0005-0000-0000-00001E330000}"/>
    <cellStyle name="Normal 5 2 6 2 4 2 2 2" xfId="13088" xr:uid="{00000000-0005-0000-0000-00001F330000}"/>
    <cellStyle name="Normal 5 2 6 2 4 2 3" xfId="13089" xr:uid="{00000000-0005-0000-0000-000020330000}"/>
    <cellStyle name="Normal 5 2 6 2 4 3" xfId="13090" xr:uid="{00000000-0005-0000-0000-000021330000}"/>
    <cellStyle name="Normal 5 2 6 2 4 3 2" xfId="13091" xr:uid="{00000000-0005-0000-0000-000022330000}"/>
    <cellStyle name="Normal 5 2 6 2 4 3 2 2" xfId="13092" xr:uid="{00000000-0005-0000-0000-000023330000}"/>
    <cellStyle name="Normal 5 2 6 2 4 3 3" xfId="13093" xr:uid="{00000000-0005-0000-0000-000024330000}"/>
    <cellStyle name="Normal 5 2 6 2 4 4" xfId="13094" xr:uid="{00000000-0005-0000-0000-000025330000}"/>
    <cellStyle name="Normal 5 2 6 2 4 4 2" xfId="13095" xr:uid="{00000000-0005-0000-0000-000026330000}"/>
    <cellStyle name="Normal 5 2 6 2 4 5" xfId="13096" xr:uid="{00000000-0005-0000-0000-000027330000}"/>
    <cellStyle name="Normal 5 2 6 2 5" xfId="13097" xr:uid="{00000000-0005-0000-0000-000028330000}"/>
    <cellStyle name="Normal 5 2 6 2 5 2" xfId="13098" xr:uid="{00000000-0005-0000-0000-000029330000}"/>
    <cellStyle name="Normal 5 2 6 2 5 2 2" xfId="13099" xr:uid="{00000000-0005-0000-0000-00002A330000}"/>
    <cellStyle name="Normal 5 2 6 2 5 3" xfId="13100" xr:uid="{00000000-0005-0000-0000-00002B330000}"/>
    <cellStyle name="Normal 5 2 6 2 6" xfId="13101" xr:uid="{00000000-0005-0000-0000-00002C330000}"/>
    <cellStyle name="Normal 5 2 6 2 6 2" xfId="13102" xr:uid="{00000000-0005-0000-0000-00002D330000}"/>
    <cellStyle name="Normal 5 2 6 2 6 2 2" xfId="13103" xr:uid="{00000000-0005-0000-0000-00002E330000}"/>
    <cellStyle name="Normal 5 2 6 2 6 3" xfId="13104" xr:uid="{00000000-0005-0000-0000-00002F330000}"/>
    <cellStyle name="Normal 5 2 6 2 7" xfId="13105" xr:uid="{00000000-0005-0000-0000-000030330000}"/>
    <cellStyle name="Normal 5 2 6 2 7 2" xfId="13106" xr:uid="{00000000-0005-0000-0000-000031330000}"/>
    <cellStyle name="Normal 5 2 6 2 7 3" xfId="13107" xr:uid="{00000000-0005-0000-0000-000032330000}"/>
    <cellStyle name="Normal 5 2 6 2 7 3 2" xfId="13108" xr:uid="{00000000-0005-0000-0000-000033330000}"/>
    <cellStyle name="Normal 5 2 6 2 7 4" xfId="13109" xr:uid="{00000000-0005-0000-0000-000034330000}"/>
    <cellStyle name="Normal 5 2 6 2 8" xfId="13110" xr:uid="{00000000-0005-0000-0000-000035330000}"/>
    <cellStyle name="Normal 5 2 6 2 8 2" xfId="13111" xr:uid="{00000000-0005-0000-0000-000036330000}"/>
    <cellStyle name="Normal 5 2 6 2 9" xfId="13112" xr:uid="{00000000-0005-0000-0000-000037330000}"/>
    <cellStyle name="Normal 5 2 6 3" xfId="13113" xr:uid="{00000000-0005-0000-0000-000038330000}"/>
    <cellStyle name="Normal 5 2 6 3 2" xfId="13114" xr:uid="{00000000-0005-0000-0000-000039330000}"/>
    <cellStyle name="Normal 5 2 6 3 2 2" xfId="13115" xr:uid="{00000000-0005-0000-0000-00003A330000}"/>
    <cellStyle name="Normal 5 2 6 3 2 2 2" xfId="13116" xr:uid="{00000000-0005-0000-0000-00003B330000}"/>
    <cellStyle name="Normal 5 2 6 3 2 2 2 2" xfId="13117" xr:uid="{00000000-0005-0000-0000-00003C330000}"/>
    <cellStyle name="Normal 5 2 6 3 2 2 3" xfId="13118" xr:uid="{00000000-0005-0000-0000-00003D330000}"/>
    <cellStyle name="Normal 5 2 6 3 2 3" xfId="13119" xr:uid="{00000000-0005-0000-0000-00003E330000}"/>
    <cellStyle name="Normal 5 2 6 3 2 3 2" xfId="13120" xr:uid="{00000000-0005-0000-0000-00003F330000}"/>
    <cellStyle name="Normal 5 2 6 3 2 3 2 2" xfId="13121" xr:uid="{00000000-0005-0000-0000-000040330000}"/>
    <cellStyle name="Normal 5 2 6 3 2 3 3" xfId="13122" xr:uid="{00000000-0005-0000-0000-000041330000}"/>
    <cellStyle name="Normal 5 2 6 3 2 4" xfId="13123" xr:uid="{00000000-0005-0000-0000-000042330000}"/>
    <cellStyle name="Normal 5 2 6 3 2 4 2" xfId="13124" xr:uid="{00000000-0005-0000-0000-000043330000}"/>
    <cellStyle name="Normal 5 2 6 3 2 5" xfId="13125" xr:uid="{00000000-0005-0000-0000-000044330000}"/>
    <cellStyle name="Normal 5 2 6 3 3" xfId="13126" xr:uid="{00000000-0005-0000-0000-000045330000}"/>
    <cellStyle name="Normal 5 2 6 3 3 2" xfId="13127" xr:uid="{00000000-0005-0000-0000-000046330000}"/>
    <cellStyle name="Normal 5 2 6 3 3 2 2" xfId="13128" xr:uid="{00000000-0005-0000-0000-000047330000}"/>
    <cellStyle name="Normal 5 2 6 3 3 2 2 2" xfId="13129" xr:uid="{00000000-0005-0000-0000-000048330000}"/>
    <cellStyle name="Normal 5 2 6 3 3 2 3" xfId="13130" xr:uid="{00000000-0005-0000-0000-000049330000}"/>
    <cellStyle name="Normal 5 2 6 3 3 3" xfId="13131" xr:uid="{00000000-0005-0000-0000-00004A330000}"/>
    <cellStyle name="Normal 5 2 6 3 3 3 2" xfId="13132" xr:uid="{00000000-0005-0000-0000-00004B330000}"/>
    <cellStyle name="Normal 5 2 6 3 3 3 2 2" xfId="13133" xr:uid="{00000000-0005-0000-0000-00004C330000}"/>
    <cellStyle name="Normal 5 2 6 3 3 3 3" xfId="13134" xr:uid="{00000000-0005-0000-0000-00004D330000}"/>
    <cellStyle name="Normal 5 2 6 3 3 4" xfId="13135" xr:uid="{00000000-0005-0000-0000-00004E330000}"/>
    <cellStyle name="Normal 5 2 6 3 3 4 2" xfId="13136" xr:uid="{00000000-0005-0000-0000-00004F330000}"/>
    <cellStyle name="Normal 5 2 6 3 3 5" xfId="13137" xr:uid="{00000000-0005-0000-0000-000050330000}"/>
    <cellStyle name="Normal 5 2 6 3 4" xfId="13138" xr:uid="{00000000-0005-0000-0000-000051330000}"/>
    <cellStyle name="Normal 5 2 6 3 4 2" xfId="13139" xr:uid="{00000000-0005-0000-0000-000052330000}"/>
    <cellStyle name="Normal 5 2 6 3 4 2 2" xfId="13140" xr:uid="{00000000-0005-0000-0000-000053330000}"/>
    <cellStyle name="Normal 5 2 6 3 4 3" xfId="13141" xr:uid="{00000000-0005-0000-0000-000054330000}"/>
    <cellStyle name="Normal 5 2 6 3 5" xfId="13142" xr:uid="{00000000-0005-0000-0000-000055330000}"/>
    <cellStyle name="Normal 5 2 6 3 5 2" xfId="13143" xr:uid="{00000000-0005-0000-0000-000056330000}"/>
    <cellStyle name="Normal 5 2 6 3 5 2 2" xfId="13144" xr:uid="{00000000-0005-0000-0000-000057330000}"/>
    <cellStyle name="Normal 5 2 6 3 5 3" xfId="13145" xr:uid="{00000000-0005-0000-0000-000058330000}"/>
    <cellStyle name="Normal 5 2 6 3 6" xfId="13146" xr:uid="{00000000-0005-0000-0000-000059330000}"/>
    <cellStyle name="Normal 5 2 6 3 6 2" xfId="13147" xr:uid="{00000000-0005-0000-0000-00005A330000}"/>
    <cellStyle name="Normal 5 2 6 3 7" xfId="13148" xr:uid="{00000000-0005-0000-0000-00005B330000}"/>
    <cellStyle name="Normal 5 2 6 4" xfId="13149" xr:uid="{00000000-0005-0000-0000-00005C330000}"/>
    <cellStyle name="Normal 5 2 6 4 2" xfId="13150" xr:uid="{00000000-0005-0000-0000-00005D330000}"/>
    <cellStyle name="Normal 5 2 6 4 2 2" xfId="13151" xr:uid="{00000000-0005-0000-0000-00005E330000}"/>
    <cellStyle name="Normal 5 2 6 4 2 2 2" xfId="13152" xr:uid="{00000000-0005-0000-0000-00005F330000}"/>
    <cellStyle name="Normal 5 2 6 4 2 2 2 2" xfId="13153" xr:uid="{00000000-0005-0000-0000-000060330000}"/>
    <cellStyle name="Normal 5 2 6 4 2 2 3" xfId="13154" xr:uid="{00000000-0005-0000-0000-000061330000}"/>
    <cellStyle name="Normal 5 2 6 4 2 3" xfId="13155" xr:uid="{00000000-0005-0000-0000-000062330000}"/>
    <cellStyle name="Normal 5 2 6 4 2 3 2" xfId="13156" xr:uid="{00000000-0005-0000-0000-000063330000}"/>
    <cellStyle name="Normal 5 2 6 4 2 3 2 2" xfId="13157" xr:uid="{00000000-0005-0000-0000-000064330000}"/>
    <cellStyle name="Normal 5 2 6 4 2 3 3" xfId="13158" xr:uid="{00000000-0005-0000-0000-000065330000}"/>
    <cellStyle name="Normal 5 2 6 4 2 4" xfId="13159" xr:uid="{00000000-0005-0000-0000-000066330000}"/>
    <cellStyle name="Normal 5 2 6 4 2 4 2" xfId="13160" xr:uid="{00000000-0005-0000-0000-000067330000}"/>
    <cellStyle name="Normal 5 2 6 4 2 5" xfId="13161" xr:uid="{00000000-0005-0000-0000-000068330000}"/>
    <cellStyle name="Normal 5 2 6 4 3" xfId="13162" xr:uid="{00000000-0005-0000-0000-000069330000}"/>
    <cellStyle name="Normal 5 2 6 4 3 2" xfId="13163" xr:uid="{00000000-0005-0000-0000-00006A330000}"/>
    <cellStyle name="Normal 5 2 6 4 3 2 2" xfId="13164" xr:uid="{00000000-0005-0000-0000-00006B330000}"/>
    <cellStyle name="Normal 5 2 6 4 3 2 2 2" xfId="13165" xr:uid="{00000000-0005-0000-0000-00006C330000}"/>
    <cellStyle name="Normal 5 2 6 4 3 2 3" xfId="13166" xr:uid="{00000000-0005-0000-0000-00006D330000}"/>
    <cellStyle name="Normal 5 2 6 4 3 3" xfId="13167" xr:uid="{00000000-0005-0000-0000-00006E330000}"/>
    <cellStyle name="Normal 5 2 6 4 3 3 2" xfId="13168" xr:uid="{00000000-0005-0000-0000-00006F330000}"/>
    <cellStyle name="Normal 5 2 6 4 3 4" xfId="13169" xr:uid="{00000000-0005-0000-0000-000070330000}"/>
    <cellStyle name="Normal 5 2 6 4 4" xfId="13170" xr:uid="{00000000-0005-0000-0000-000071330000}"/>
    <cellStyle name="Normal 5 2 6 4 4 2" xfId="13171" xr:uid="{00000000-0005-0000-0000-000072330000}"/>
    <cellStyle name="Normal 5 2 6 4 4 2 2" xfId="13172" xr:uid="{00000000-0005-0000-0000-000073330000}"/>
    <cellStyle name="Normal 5 2 6 4 4 3" xfId="13173" xr:uid="{00000000-0005-0000-0000-000074330000}"/>
    <cellStyle name="Normal 5 2 6 4 5" xfId="13174" xr:uid="{00000000-0005-0000-0000-000075330000}"/>
    <cellStyle name="Normal 5 2 6 4 5 2" xfId="13175" xr:uid="{00000000-0005-0000-0000-000076330000}"/>
    <cellStyle name="Normal 5 2 6 4 5 2 2" xfId="13176" xr:uid="{00000000-0005-0000-0000-000077330000}"/>
    <cellStyle name="Normal 5 2 6 4 5 3" xfId="13177" xr:uid="{00000000-0005-0000-0000-000078330000}"/>
    <cellStyle name="Normal 5 2 6 4 6" xfId="13178" xr:uid="{00000000-0005-0000-0000-000079330000}"/>
    <cellStyle name="Normal 5 2 6 4 6 2" xfId="13179" xr:uid="{00000000-0005-0000-0000-00007A330000}"/>
    <cellStyle name="Normal 5 2 6 4 7" xfId="13180" xr:uid="{00000000-0005-0000-0000-00007B330000}"/>
    <cellStyle name="Normal 5 2 6 5" xfId="13181" xr:uid="{00000000-0005-0000-0000-00007C330000}"/>
    <cellStyle name="Normal 5 2 6 5 2" xfId="13182" xr:uid="{00000000-0005-0000-0000-00007D330000}"/>
    <cellStyle name="Normal 5 2 6 5 2 2" xfId="13183" xr:uid="{00000000-0005-0000-0000-00007E330000}"/>
    <cellStyle name="Normal 5 2 6 5 2 2 2" xfId="13184" xr:uid="{00000000-0005-0000-0000-00007F330000}"/>
    <cellStyle name="Normal 5 2 6 5 2 3" xfId="13185" xr:uid="{00000000-0005-0000-0000-000080330000}"/>
    <cellStyle name="Normal 5 2 6 5 3" xfId="13186" xr:uid="{00000000-0005-0000-0000-000081330000}"/>
    <cellStyle name="Normal 5 2 6 5 3 2" xfId="13187" xr:uid="{00000000-0005-0000-0000-000082330000}"/>
    <cellStyle name="Normal 5 2 6 5 3 2 2" xfId="13188" xr:uid="{00000000-0005-0000-0000-000083330000}"/>
    <cellStyle name="Normal 5 2 6 5 3 3" xfId="13189" xr:uid="{00000000-0005-0000-0000-000084330000}"/>
    <cellStyle name="Normal 5 2 6 5 4" xfId="13190" xr:uid="{00000000-0005-0000-0000-000085330000}"/>
    <cellStyle name="Normal 5 2 6 5 4 2" xfId="13191" xr:uid="{00000000-0005-0000-0000-000086330000}"/>
    <cellStyle name="Normal 5 2 6 5 5" xfId="13192" xr:uid="{00000000-0005-0000-0000-000087330000}"/>
    <cellStyle name="Normal 5 2 6 6" xfId="13193" xr:uid="{00000000-0005-0000-0000-000088330000}"/>
    <cellStyle name="Normal 5 2 6 6 2" xfId="13194" xr:uid="{00000000-0005-0000-0000-000089330000}"/>
    <cellStyle name="Normal 5 2 6 6 2 2" xfId="13195" xr:uid="{00000000-0005-0000-0000-00008A330000}"/>
    <cellStyle name="Normal 5 2 6 6 2 2 2" xfId="13196" xr:uid="{00000000-0005-0000-0000-00008B330000}"/>
    <cellStyle name="Normal 5 2 6 6 2 3" xfId="13197" xr:uid="{00000000-0005-0000-0000-00008C330000}"/>
    <cellStyle name="Normal 5 2 6 6 3" xfId="13198" xr:uid="{00000000-0005-0000-0000-00008D330000}"/>
    <cellStyle name="Normal 5 2 6 6 3 2" xfId="13199" xr:uid="{00000000-0005-0000-0000-00008E330000}"/>
    <cellStyle name="Normal 5 2 6 6 3 2 2" xfId="13200" xr:uid="{00000000-0005-0000-0000-00008F330000}"/>
    <cellStyle name="Normal 5 2 6 6 3 3" xfId="13201" xr:uid="{00000000-0005-0000-0000-000090330000}"/>
    <cellStyle name="Normal 5 2 6 6 4" xfId="13202" xr:uid="{00000000-0005-0000-0000-000091330000}"/>
    <cellStyle name="Normal 5 2 6 6 4 2" xfId="13203" xr:uid="{00000000-0005-0000-0000-000092330000}"/>
    <cellStyle name="Normal 5 2 6 6 5" xfId="13204" xr:uid="{00000000-0005-0000-0000-000093330000}"/>
    <cellStyle name="Normal 5 2 6 7" xfId="13205" xr:uid="{00000000-0005-0000-0000-000094330000}"/>
    <cellStyle name="Normal 5 2 6 7 2" xfId="13206" xr:uid="{00000000-0005-0000-0000-000095330000}"/>
    <cellStyle name="Normal 5 2 6 7 2 2" xfId="13207" xr:uid="{00000000-0005-0000-0000-000096330000}"/>
    <cellStyle name="Normal 5 2 6 7 2 2 2" xfId="13208" xr:uid="{00000000-0005-0000-0000-000097330000}"/>
    <cellStyle name="Normal 5 2 6 7 2 3" xfId="13209" xr:uid="{00000000-0005-0000-0000-000098330000}"/>
    <cellStyle name="Normal 5 2 6 7 3" xfId="13210" xr:uid="{00000000-0005-0000-0000-000099330000}"/>
    <cellStyle name="Normal 5 2 6 7 3 2" xfId="13211" xr:uid="{00000000-0005-0000-0000-00009A330000}"/>
    <cellStyle name="Normal 5 2 6 7 4" xfId="13212" xr:uid="{00000000-0005-0000-0000-00009B330000}"/>
    <cellStyle name="Normal 5 2 6 8" xfId="13213" xr:uid="{00000000-0005-0000-0000-00009C330000}"/>
    <cellStyle name="Normal 5 2 6 8 2" xfId="13214" xr:uid="{00000000-0005-0000-0000-00009D330000}"/>
    <cellStyle name="Normal 5 2 6 8 2 2" xfId="13215" xr:uid="{00000000-0005-0000-0000-00009E330000}"/>
    <cellStyle name="Normal 5 2 6 8 3" xfId="13216" xr:uid="{00000000-0005-0000-0000-00009F330000}"/>
    <cellStyle name="Normal 5 2 6 9" xfId="13217" xr:uid="{00000000-0005-0000-0000-0000A0330000}"/>
    <cellStyle name="Normal 5 2 6 9 2" xfId="13218" xr:uid="{00000000-0005-0000-0000-0000A1330000}"/>
    <cellStyle name="Normal 5 2 6 9 2 2" xfId="13219" xr:uid="{00000000-0005-0000-0000-0000A2330000}"/>
    <cellStyle name="Normal 5 2 6 9 3" xfId="13220" xr:uid="{00000000-0005-0000-0000-0000A3330000}"/>
    <cellStyle name="Normal 5 2 7" xfId="13221" xr:uid="{00000000-0005-0000-0000-0000A4330000}"/>
    <cellStyle name="Normal 5 2 7 2" xfId="13222" xr:uid="{00000000-0005-0000-0000-0000A5330000}"/>
    <cellStyle name="Normal 5 2 7 2 2" xfId="13223" xr:uid="{00000000-0005-0000-0000-0000A6330000}"/>
    <cellStyle name="Normal 5 2 7 2 2 2" xfId="13224" xr:uid="{00000000-0005-0000-0000-0000A7330000}"/>
    <cellStyle name="Normal 5 2 7 2 2 2 2" xfId="13225" xr:uid="{00000000-0005-0000-0000-0000A8330000}"/>
    <cellStyle name="Normal 5 2 7 2 2 2 2 2" xfId="13226" xr:uid="{00000000-0005-0000-0000-0000A9330000}"/>
    <cellStyle name="Normal 5 2 7 2 2 2 3" xfId="13227" xr:uid="{00000000-0005-0000-0000-0000AA330000}"/>
    <cellStyle name="Normal 5 2 7 2 2 3" xfId="13228" xr:uid="{00000000-0005-0000-0000-0000AB330000}"/>
    <cellStyle name="Normal 5 2 7 2 2 3 2" xfId="13229" xr:uid="{00000000-0005-0000-0000-0000AC330000}"/>
    <cellStyle name="Normal 5 2 7 2 2 3 2 2" xfId="13230" xr:uid="{00000000-0005-0000-0000-0000AD330000}"/>
    <cellStyle name="Normal 5 2 7 2 2 3 3" xfId="13231" xr:uid="{00000000-0005-0000-0000-0000AE330000}"/>
    <cellStyle name="Normal 5 2 7 2 2 4" xfId="13232" xr:uid="{00000000-0005-0000-0000-0000AF330000}"/>
    <cellStyle name="Normal 5 2 7 2 2 4 2" xfId="13233" xr:uid="{00000000-0005-0000-0000-0000B0330000}"/>
    <cellStyle name="Normal 5 2 7 2 2 5" xfId="13234" xr:uid="{00000000-0005-0000-0000-0000B1330000}"/>
    <cellStyle name="Normal 5 2 7 2 3" xfId="13235" xr:uid="{00000000-0005-0000-0000-0000B2330000}"/>
    <cellStyle name="Normal 5 2 7 2 3 2" xfId="13236" xr:uid="{00000000-0005-0000-0000-0000B3330000}"/>
    <cellStyle name="Normal 5 2 7 2 3 2 2" xfId="13237" xr:uid="{00000000-0005-0000-0000-0000B4330000}"/>
    <cellStyle name="Normal 5 2 7 2 3 2 3" xfId="13238" xr:uid="{00000000-0005-0000-0000-0000B5330000}"/>
    <cellStyle name="Normal 5 2 7 2 3 3" xfId="13239" xr:uid="{00000000-0005-0000-0000-0000B6330000}"/>
    <cellStyle name="Normal 5 2 7 2 3 3 2" xfId="13240" xr:uid="{00000000-0005-0000-0000-0000B7330000}"/>
    <cellStyle name="Normal 5 2 7 2 3 3 3" xfId="13241" xr:uid="{00000000-0005-0000-0000-0000B8330000}"/>
    <cellStyle name="Normal 5 2 7 2 3 4" xfId="13242" xr:uid="{00000000-0005-0000-0000-0000B9330000}"/>
    <cellStyle name="Normal 5 2 7 2 3 5" xfId="13243" xr:uid="{00000000-0005-0000-0000-0000BA330000}"/>
    <cellStyle name="Normal 5 2 7 2 4" xfId="13244" xr:uid="{00000000-0005-0000-0000-0000BB330000}"/>
    <cellStyle name="Normal 5 2 7 2 4 2" xfId="13245" xr:uid="{00000000-0005-0000-0000-0000BC330000}"/>
    <cellStyle name="Normal 5 2 7 2 4 3" xfId="13246" xr:uid="{00000000-0005-0000-0000-0000BD330000}"/>
    <cellStyle name="Normal 5 2 7 2 5" xfId="13247" xr:uid="{00000000-0005-0000-0000-0000BE330000}"/>
    <cellStyle name="Normal 5 2 7 2 5 2" xfId="13248" xr:uid="{00000000-0005-0000-0000-0000BF330000}"/>
    <cellStyle name="Normal 5 2 7 2 5 3" xfId="13249" xr:uid="{00000000-0005-0000-0000-0000C0330000}"/>
    <cellStyle name="Normal 5 2 7 2 6" xfId="13250" xr:uid="{00000000-0005-0000-0000-0000C1330000}"/>
    <cellStyle name="Normal 5 2 7 2 6 2" xfId="13251" xr:uid="{00000000-0005-0000-0000-0000C2330000}"/>
    <cellStyle name="Normal 5 2 7 2 7" xfId="13252" xr:uid="{00000000-0005-0000-0000-0000C3330000}"/>
    <cellStyle name="Normal 5 2 7 3" xfId="13253" xr:uid="{00000000-0005-0000-0000-0000C4330000}"/>
    <cellStyle name="Normal 5 2 7 3 2" xfId="13254" xr:uid="{00000000-0005-0000-0000-0000C5330000}"/>
    <cellStyle name="Normal 5 2 7 3 2 2" xfId="13255" xr:uid="{00000000-0005-0000-0000-0000C6330000}"/>
    <cellStyle name="Normal 5 2 7 3 2 3" xfId="13256" xr:uid="{00000000-0005-0000-0000-0000C7330000}"/>
    <cellStyle name="Normal 5 2 7 3 3" xfId="13257" xr:uid="{00000000-0005-0000-0000-0000C8330000}"/>
    <cellStyle name="Normal 5 2 7 3 3 2" xfId="13258" xr:uid="{00000000-0005-0000-0000-0000C9330000}"/>
    <cellStyle name="Normal 5 2 7 3 3 3" xfId="13259" xr:uid="{00000000-0005-0000-0000-0000CA330000}"/>
    <cellStyle name="Normal 5 2 7 3 4" xfId="13260" xr:uid="{00000000-0005-0000-0000-0000CB330000}"/>
    <cellStyle name="Normal 5 2 7 3 5" xfId="13261" xr:uid="{00000000-0005-0000-0000-0000CC330000}"/>
    <cellStyle name="Normal 5 2 7 4" xfId="13262" xr:uid="{00000000-0005-0000-0000-0000CD330000}"/>
    <cellStyle name="Normal 5 2 7 4 2" xfId="13263" xr:uid="{00000000-0005-0000-0000-0000CE330000}"/>
    <cellStyle name="Normal 5 2 7 4 2 2" xfId="13264" xr:uid="{00000000-0005-0000-0000-0000CF330000}"/>
    <cellStyle name="Normal 5 2 7 4 2 3" xfId="13265" xr:uid="{00000000-0005-0000-0000-0000D0330000}"/>
    <cellStyle name="Normal 5 2 7 4 3" xfId="13266" xr:uid="{00000000-0005-0000-0000-0000D1330000}"/>
    <cellStyle name="Normal 5 2 7 4 3 2" xfId="13267" xr:uid="{00000000-0005-0000-0000-0000D2330000}"/>
    <cellStyle name="Normal 5 2 7 4 3 3" xfId="13268" xr:uid="{00000000-0005-0000-0000-0000D3330000}"/>
    <cellStyle name="Normal 5 2 7 4 4" xfId="13269" xr:uid="{00000000-0005-0000-0000-0000D4330000}"/>
    <cellStyle name="Normal 5 2 7 4 5" xfId="13270" xr:uid="{00000000-0005-0000-0000-0000D5330000}"/>
    <cellStyle name="Normal 5 2 7 5" xfId="13271" xr:uid="{00000000-0005-0000-0000-0000D6330000}"/>
    <cellStyle name="Normal 5 2 7 5 2" xfId="13272" xr:uid="{00000000-0005-0000-0000-0000D7330000}"/>
    <cellStyle name="Normal 5 2 7 5 3" xfId="13273" xr:uid="{00000000-0005-0000-0000-0000D8330000}"/>
    <cellStyle name="Normal 5 2 7 6" xfId="13274" xr:uid="{00000000-0005-0000-0000-0000D9330000}"/>
    <cellStyle name="Normal 5 2 7 6 2" xfId="13275" xr:uid="{00000000-0005-0000-0000-0000DA330000}"/>
    <cellStyle name="Normal 5 2 7 6 3" xfId="13276" xr:uid="{00000000-0005-0000-0000-0000DB330000}"/>
    <cellStyle name="Normal 5 2 7 7" xfId="13277" xr:uid="{00000000-0005-0000-0000-0000DC330000}"/>
    <cellStyle name="Normal 5 2 7 7 2" xfId="13278" xr:uid="{00000000-0005-0000-0000-0000DD330000}"/>
    <cellStyle name="Normal 5 2 7 7 3" xfId="13279" xr:uid="{00000000-0005-0000-0000-0000DE330000}"/>
    <cellStyle name="Normal 5 2 7 7 3 2" xfId="13280" xr:uid="{00000000-0005-0000-0000-0000DF330000}"/>
    <cellStyle name="Normal 5 2 7 7 4" xfId="13281" xr:uid="{00000000-0005-0000-0000-0000E0330000}"/>
    <cellStyle name="Normal 5 2 7 8" xfId="13282" xr:uid="{00000000-0005-0000-0000-0000E1330000}"/>
    <cellStyle name="Normal 5 2 7 8 2" xfId="13283" xr:uid="{00000000-0005-0000-0000-0000E2330000}"/>
    <cellStyle name="Normal 5 2 7 9" xfId="13284" xr:uid="{00000000-0005-0000-0000-0000E3330000}"/>
    <cellStyle name="Normal 5 2 8" xfId="13285" xr:uid="{00000000-0005-0000-0000-0000E4330000}"/>
    <cellStyle name="Normal 5 2 8 2" xfId="13286" xr:uid="{00000000-0005-0000-0000-0000E5330000}"/>
    <cellStyle name="Normal 5 2 8 2 2" xfId="13287" xr:uid="{00000000-0005-0000-0000-0000E6330000}"/>
    <cellStyle name="Normal 5 2 8 2 2 2" xfId="13288" xr:uid="{00000000-0005-0000-0000-0000E7330000}"/>
    <cellStyle name="Normal 5 2 8 2 2 3" xfId="13289" xr:uid="{00000000-0005-0000-0000-0000E8330000}"/>
    <cellStyle name="Normal 5 2 8 2 3" xfId="13290" xr:uid="{00000000-0005-0000-0000-0000E9330000}"/>
    <cellStyle name="Normal 5 2 8 2 3 2" xfId="13291" xr:uid="{00000000-0005-0000-0000-0000EA330000}"/>
    <cellStyle name="Normal 5 2 8 2 3 3" xfId="13292" xr:uid="{00000000-0005-0000-0000-0000EB330000}"/>
    <cellStyle name="Normal 5 2 8 2 4" xfId="13293" xr:uid="{00000000-0005-0000-0000-0000EC330000}"/>
    <cellStyle name="Normal 5 2 8 2 5" xfId="13294" xr:uid="{00000000-0005-0000-0000-0000ED330000}"/>
    <cellStyle name="Normal 5 2 8 3" xfId="13295" xr:uid="{00000000-0005-0000-0000-0000EE330000}"/>
    <cellStyle name="Normal 5 2 8 3 2" xfId="13296" xr:uid="{00000000-0005-0000-0000-0000EF330000}"/>
    <cellStyle name="Normal 5 2 8 3 2 2" xfId="13297" xr:uid="{00000000-0005-0000-0000-0000F0330000}"/>
    <cellStyle name="Normal 5 2 8 3 2 3" xfId="13298" xr:uid="{00000000-0005-0000-0000-0000F1330000}"/>
    <cellStyle name="Normal 5 2 8 3 3" xfId="13299" xr:uid="{00000000-0005-0000-0000-0000F2330000}"/>
    <cellStyle name="Normal 5 2 8 3 3 2" xfId="13300" xr:uid="{00000000-0005-0000-0000-0000F3330000}"/>
    <cellStyle name="Normal 5 2 8 3 3 3" xfId="13301" xr:uid="{00000000-0005-0000-0000-0000F4330000}"/>
    <cellStyle name="Normal 5 2 8 3 4" xfId="13302" xr:uid="{00000000-0005-0000-0000-0000F5330000}"/>
    <cellStyle name="Normal 5 2 8 3 5" xfId="13303" xr:uid="{00000000-0005-0000-0000-0000F6330000}"/>
    <cellStyle name="Normal 5 2 8 4" xfId="13304" xr:uid="{00000000-0005-0000-0000-0000F7330000}"/>
    <cellStyle name="Normal 5 2 8 4 2" xfId="13305" xr:uid="{00000000-0005-0000-0000-0000F8330000}"/>
    <cellStyle name="Normal 5 2 8 4 3" xfId="13306" xr:uid="{00000000-0005-0000-0000-0000F9330000}"/>
    <cellStyle name="Normal 5 2 8 5" xfId="13307" xr:uid="{00000000-0005-0000-0000-0000FA330000}"/>
    <cellStyle name="Normal 5 2 8 5 2" xfId="13308" xr:uid="{00000000-0005-0000-0000-0000FB330000}"/>
    <cellStyle name="Normal 5 2 8 5 3" xfId="13309" xr:uid="{00000000-0005-0000-0000-0000FC330000}"/>
    <cellStyle name="Normal 5 2 8 6" xfId="13310" xr:uid="{00000000-0005-0000-0000-0000FD330000}"/>
    <cellStyle name="Normal 5 2 8 7" xfId="13311" xr:uid="{00000000-0005-0000-0000-0000FE330000}"/>
    <cellStyle name="Normal 5 2 9" xfId="13312" xr:uid="{00000000-0005-0000-0000-0000FF330000}"/>
    <cellStyle name="Normal 5 2 9 2" xfId="13313" xr:uid="{00000000-0005-0000-0000-000000340000}"/>
    <cellStyle name="Normal 5 2 9 2 2" xfId="13314" xr:uid="{00000000-0005-0000-0000-000001340000}"/>
    <cellStyle name="Normal 5 2 9 2 2 2" xfId="13315" xr:uid="{00000000-0005-0000-0000-000002340000}"/>
    <cellStyle name="Normal 5 2 9 2 2 3" xfId="13316" xr:uid="{00000000-0005-0000-0000-000003340000}"/>
    <cellStyle name="Normal 5 2 9 2 3" xfId="13317" xr:uid="{00000000-0005-0000-0000-000004340000}"/>
    <cellStyle name="Normal 5 2 9 2 3 2" xfId="13318" xr:uid="{00000000-0005-0000-0000-000005340000}"/>
    <cellStyle name="Normal 5 2 9 2 3 3" xfId="13319" xr:uid="{00000000-0005-0000-0000-000006340000}"/>
    <cellStyle name="Normal 5 2 9 2 4" xfId="13320" xr:uid="{00000000-0005-0000-0000-000007340000}"/>
    <cellStyle name="Normal 5 2 9 2 5" xfId="13321" xr:uid="{00000000-0005-0000-0000-000008340000}"/>
    <cellStyle name="Normal 5 2 9 3" xfId="13322" xr:uid="{00000000-0005-0000-0000-000009340000}"/>
    <cellStyle name="Normal 5 2 9 3 2" xfId="13323" xr:uid="{00000000-0005-0000-0000-00000A340000}"/>
    <cellStyle name="Normal 5 2 9 3 2 2" xfId="13324" xr:uid="{00000000-0005-0000-0000-00000B340000}"/>
    <cellStyle name="Normal 5 2 9 3 2 3" xfId="13325" xr:uid="{00000000-0005-0000-0000-00000C340000}"/>
    <cellStyle name="Normal 5 2 9 3 3" xfId="13326" xr:uid="{00000000-0005-0000-0000-00000D340000}"/>
    <cellStyle name="Normal 5 2 9 3 4" xfId="13327" xr:uid="{00000000-0005-0000-0000-00000E340000}"/>
    <cellStyle name="Normal 5 2 9 4" xfId="13328" xr:uid="{00000000-0005-0000-0000-00000F340000}"/>
    <cellStyle name="Normal 5 2 9 4 2" xfId="13329" xr:uid="{00000000-0005-0000-0000-000010340000}"/>
    <cellStyle name="Normal 5 2 9 4 3" xfId="13330" xr:uid="{00000000-0005-0000-0000-000011340000}"/>
    <cellStyle name="Normal 5 2 9 5" xfId="13331" xr:uid="{00000000-0005-0000-0000-000012340000}"/>
    <cellStyle name="Normal 5 2 9 5 2" xfId="13332" xr:uid="{00000000-0005-0000-0000-000013340000}"/>
    <cellStyle name="Normal 5 2 9 5 3" xfId="13333" xr:uid="{00000000-0005-0000-0000-000014340000}"/>
    <cellStyle name="Normal 5 2 9 6" xfId="13334" xr:uid="{00000000-0005-0000-0000-000015340000}"/>
    <cellStyle name="Normal 5 2 9 7" xfId="13335" xr:uid="{00000000-0005-0000-0000-000016340000}"/>
    <cellStyle name="Normal 5 3" xfId="13336" xr:uid="{00000000-0005-0000-0000-000017340000}"/>
    <cellStyle name="Normal 5 3 2" xfId="13337" xr:uid="{00000000-0005-0000-0000-000018340000}"/>
    <cellStyle name="Normal 5 3 2 2" xfId="13338" xr:uid="{00000000-0005-0000-0000-000019340000}"/>
    <cellStyle name="Normal 5 3 2 2 2" xfId="13339" xr:uid="{00000000-0005-0000-0000-00001A340000}"/>
    <cellStyle name="Normal 5 3 2 2 3" xfId="13340" xr:uid="{00000000-0005-0000-0000-00001B340000}"/>
    <cellStyle name="Normal 5 3 2 2 3 2" xfId="13341" xr:uid="{00000000-0005-0000-0000-00001C340000}"/>
    <cellStyle name="Normal 5 3 2 3" xfId="13342" xr:uid="{00000000-0005-0000-0000-00001D340000}"/>
    <cellStyle name="Normal 5 3 2 3 2" xfId="13343" xr:uid="{00000000-0005-0000-0000-00001E340000}"/>
    <cellStyle name="Normal 5 3 2 3 3" xfId="13344" xr:uid="{00000000-0005-0000-0000-00001F340000}"/>
    <cellStyle name="Normal 5 3 2 3 3 2" xfId="13345" xr:uid="{00000000-0005-0000-0000-000020340000}"/>
    <cellStyle name="Normal 5 3 2 4" xfId="13346" xr:uid="{00000000-0005-0000-0000-000021340000}"/>
    <cellStyle name="Normal 5 3 2 5" xfId="13347" xr:uid="{00000000-0005-0000-0000-000022340000}"/>
    <cellStyle name="Normal 5 3 3" xfId="13348" xr:uid="{00000000-0005-0000-0000-000023340000}"/>
    <cellStyle name="Normal 5 3 3 2" xfId="13349" xr:uid="{00000000-0005-0000-0000-000024340000}"/>
    <cellStyle name="Normal 5 3 3 2 2" xfId="13350" xr:uid="{00000000-0005-0000-0000-000025340000}"/>
    <cellStyle name="Normal 5 3 3 2 2 2" xfId="13351" xr:uid="{00000000-0005-0000-0000-000026340000}"/>
    <cellStyle name="Normal 5 3 3 2 2 3" xfId="13352" xr:uid="{00000000-0005-0000-0000-000027340000}"/>
    <cellStyle name="Normal 5 3 3 2 3" xfId="13353" xr:uid="{00000000-0005-0000-0000-000028340000}"/>
    <cellStyle name="Normal 5 3 3 2 3 2" xfId="13354" xr:uid="{00000000-0005-0000-0000-000029340000}"/>
    <cellStyle name="Normal 5 3 3 2 3 3" xfId="13355" xr:uid="{00000000-0005-0000-0000-00002A340000}"/>
    <cellStyle name="Normal 5 3 3 2 4" xfId="13356" xr:uid="{00000000-0005-0000-0000-00002B340000}"/>
    <cellStyle name="Normal 5 3 3 2 5" xfId="13357" xr:uid="{00000000-0005-0000-0000-00002C340000}"/>
    <cellStyle name="Normal 5 3 3 3" xfId="13358" xr:uid="{00000000-0005-0000-0000-00002D340000}"/>
    <cellStyle name="Normal 5 3 3 3 2" xfId="13359" xr:uid="{00000000-0005-0000-0000-00002E340000}"/>
    <cellStyle name="Normal 5 3 3 3 2 2" xfId="13360" xr:uid="{00000000-0005-0000-0000-00002F340000}"/>
    <cellStyle name="Normal 5 3 3 3 2 3" xfId="13361" xr:uid="{00000000-0005-0000-0000-000030340000}"/>
    <cellStyle name="Normal 5 3 3 3 3" xfId="13362" xr:uid="{00000000-0005-0000-0000-000031340000}"/>
    <cellStyle name="Normal 5 3 3 3 3 2" xfId="13363" xr:uid="{00000000-0005-0000-0000-000032340000}"/>
    <cellStyle name="Normal 5 3 3 3 3 3" xfId="13364" xr:uid="{00000000-0005-0000-0000-000033340000}"/>
    <cellStyle name="Normal 5 3 3 3 4" xfId="13365" xr:uid="{00000000-0005-0000-0000-000034340000}"/>
    <cellStyle name="Normal 5 3 3 3 5" xfId="13366" xr:uid="{00000000-0005-0000-0000-000035340000}"/>
    <cellStyle name="Normal 5 3 3 4" xfId="13367" xr:uid="{00000000-0005-0000-0000-000036340000}"/>
    <cellStyle name="Normal 5 3 3 4 2" xfId="13368" xr:uid="{00000000-0005-0000-0000-000037340000}"/>
    <cellStyle name="Normal 5 3 3 4 3" xfId="13369" xr:uid="{00000000-0005-0000-0000-000038340000}"/>
    <cellStyle name="Normal 5 3 3 5" xfId="13370" xr:uid="{00000000-0005-0000-0000-000039340000}"/>
    <cellStyle name="Normal 5 3 3 5 2" xfId="13371" xr:uid="{00000000-0005-0000-0000-00003A340000}"/>
    <cellStyle name="Normal 5 3 3 5 3" xfId="13372" xr:uid="{00000000-0005-0000-0000-00003B340000}"/>
    <cellStyle name="Normal 5 3 3 6" xfId="13373" xr:uid="{00000000-0005-0000-0000-00003C340000}"/>
    <cellStyle name="Normal 5 3 3 7" xfId="13374" xr:uid="{00000000-0005-0000-0000-00003D340000}"/>
    <cellStyle name="Normal 5 3 4" xfId="13375" xr:uid="{00000000-0005-0000-0000-00003E340000}"/>
    <cellStyle name="Normal 5 3 4 2" xfId="13376" xr:uid="{00000000-0005-0000-0000-00003F340000}"/>
    <cellStyle name="Normal 5 3 4 2 2" xfId="13377" xr:uid="{00000000-0005-0000-0000-000040340000}"/>
    <cellStyle name="Normal 5 3 4 2 2 2" xfId="13378" xr:uid="{00000000-0005-0000-0000-000041340000}"/>
    <cellStyle name="Normal 5 3 4 2 2 3" xfId="13379" xr:uid="{00000000-0005-0000-0000-000042340000}"/>
    <cellStyle name="Normal 5 3 4 2 3" xfId="13380" xr:uid="{00000000-0005-0000-0000-000043340000}"/>
    <cellStyle name="Normal 5 3 4 2 3 2" xfId="13381" xr:uid="{00000000-0005-0000-0000-000044340000}"/>
    <cellStyle name="Normal 5 3 4 2 3 3" xfId="13382" xr:uid="{00000000-0005-0000-0000-000045340000}"/>
    <cellStyle name="Normal 5 3 4 2 4" xfId="13383" xr:uid="{00000000-0005-0000-0000-000046340000}"/>
    <cellStyle name="Normal 5 3 4 2 5" xfId="13384" xr:uid="{00000000-0005-0000-0000-000047340000}"/>
    <cellStyle name="Normal 5 3 4 3" xfId="13385" xr:uid="{00000000-0005-0000-0000-000048340000}"/>
    <cellStyle name="Normal 5 3 4 3 2" xfId="13386" xr:uid="{00000000-0005-0000-0000-000049340000}"/>
    <cellStyle name="Normal 5 3 4 3 2 2" xfId="13387" xr:uid="{00000000-0005-0000-0000-00004A340000}"/>
    <cellStyle name="Normal 5 3 4 3 2 3" xfId="13388" xr:uid="{00000000-0005-0000-0000-00004B340000}"/>
    <cellStyle name="Normal 5 3 4 3 3" xfId="13389" xr:uid="{00000000-0005-0000-0000-00004C340000}"/>
    <cellStyle name="Normal 5 3 4 3 3 2" xfId="13390" xr:uid="{00000000-0005-0000-0000-00004D340000}"/>
    <cellStyle name="Normal 5 3 4 3 3 3" xfId="13391" xr:uid="{00000000-0005-0000-0000-00004E340000}"/>
    <cellStyle name="Normal 5 3 4 3 4" xfId="13392" xr:uid="{00000000-0005-0000-0000-00004F340000}"/>
    <cellStyle name="Normal 5 3 4 3 5" xfId="13393" xr:uid="{00000000-0005-0000-0000-000050340000}"/>
    <cellStyle name="Normal 5 3 4 4" xfId="13394" xr:uid="{00000000-0005-0000-0000-000051340000}"/>
    <cellStyle name="Normal 5 3 4 4 2" xfId="13395" xr:uid="{00000000-0005-0000-0000-000052340000}"/>
    <cellStyle name="Normal 5 3 4 4 3" xfId="13396" xr:uid="{00000000-0005-0000-0000-000053340000}"/>
    <cellStyle name="Normal 5 3 4 5" xfId="13397" xr:uid="{00000000-0005-0000-0000-000054340000}"/>
    <cellStyle name="Normal 5 3 4 5 2" xfId="13398" xr:uid="{00000000-0005-0000-0000-000055340000}"/>
    <cellStyle name="Normal 5 3 4 5 3" xfId="13399" xr:uid="{00000000-0005-0000-0000-000056340000}"/>
    <cellStyle name="Normal 5 3 4 6" xfId="13400" xr:uid="{00000000-0005-0000-0000-000057340000}"/>
    <cellStyle name="Normal 5 3 4 7" xfId="13401" xr:uid="{00000000-0005-0000-0000-000058340000}"/>
    <cellStyle name="Normal 5 3 5" xfId="13402" xr:uid="{00000000-0005-0000-0000-000059340000}"/>
    <cellStyle name="Normal 5 3 5 2" xfId="13403" xr:uid="{00000000-0005-0000-0000-00005A340000}"/>
    <cellStyle name="Normal 5 3 5 3" xfId="13404" xr:uid="{00000000-0005-0000-0000-00005B340000}"/>
    <cellStyle name="Normal 5 3 5 3 2" xfId="13405" xr:uid="{00000000-0005-0000-0000-00005C340000}"/>
    <cellStyle name="Normal 5 3 6" xfId="13406" xr:uid="{00000000-0005-0000-0000-00005D340000}"/>
    <cellStyle name="Normal 5 3 6 2" xfId="13407" xr:uid="{00000000-0005-0000-0000-00005E340000}"/>
    <cellStyle name="Normal 5 3 6 3" xfId="13408" xr:uid="{00000000-0005-0000-0000-00005F340000}"/>
    <cellStyle name="Normal 5 3 6 3 2" xfId="13409" xr:uid="{00000000-0005-0000-0000-000060340000}"/>
    <cellStyle name="Normal 5 3 7" xfId="13410" xr:uid="{00000000-0005-0000-0000-000061340000}"/>
    <cellStyle name="Normal 5 3 8" xfId="13411" xr:uid="{00000000-0005-0000-0000-000062340000}"/>
    <cellStyle name="Normal 5 4" xfId="13412" xr:uid="{00000000-0005-0000-0000-000063340000}"/>
    <cellStyle name="Normal 5 4 10" xfId="13413" xr:uid="{00000000-0005-0000-0000-000064340000}"/>
    <cellStyle name="Normal 5 4 10 2" xfId="13414" xr:uid="{00000000-0005-0000-0000-000065340000}"/>
    <cellStyle name="Normal 5 4 10 3" xfId="13415" xr:uid="{00000000-0005-0000-0000-000066340000}"/>
    <cellStyle name="Normal 5 4 11" xfId="13416" xr:uid="{00000000-0005-0000-0000-000067340000}"/>
    <cellStyle name="Normal 5 4 11 2" xfId="13417" xr:uid="{00000000-0005-0000-0000-000068340000}"/>
    <cellStyle name="Normal 5 4 11 3" xfId="13418" xr:uid="{00000000-0005-0000-0000-000069340000}"/>
    <cellStyle name="Normal 5 4 11 3 2" xfId="13419" xr:uid="{00000000-0005-0000-0000-00006A340000}"/>
    <cellStyle name="Normal 5 4 11 4" xfId="13420" xr:uid="{00000000-0005-0000-0000-00006B340000}"/>
    <cellStyle name="Normal 5 4 12" xfId="13421" xr:uid="{00000000-0005-0000-0000-00006C340000}"/>
    <cellStyle name="Normal 5 4 12 2" xfId="13422" xr:uid="{00000000-0005-0000-0000-00006D340000}"/>
    <cellStyle name="Normal 5 4 12 2 2" xfId="13423" xr:uid="{00000000-0005-0000-0000-00006E340000}"/>
    <cellStyle name="Normal 5 4 12 3" xfId="13424" xr:uid="{00000000-0005-0000-0000-00006F340000}"/>
    <cellStyle name="Normal 5 4 13" xfId="13425" xr:uid="{00000000-0005-0000-0000-000070340000}"/>
    <cellStyle name="Normal 5 4 14" xfId="13426" xr:uid="{00000000-0005-0000-0000-000071340000}"/>
    <cellStyle name="Normal 5 4 2" xfId="13427" xr:uid="{00000000-0005-0000-0000-000072340000}"/>
    <cellStyle name="Normal 5 4 2 10" xfId="13428" xr:uid="{00000000-0005-0000-0000-000073340000}"/>
    <cellStyle name="Normal 5 4 2 10 2" xfId="13429" xr:uid="{00000000-0005-0000-0000-000074340000}"/>
    <cellStyle name="Normal 5 4 2 10 3" xfId="13430" xr:uid="{00000000-0005-0000-0000-000075340000}"/>
    <cellStyle name="Normal 5 4 2 10 3 2" xfId="13431" xr:uid="{00000000-0005-0000-0000-000076340000}"/>
    <cellStyle name="Normal 5 4 2 10 4" xfId="13432" xr:uid="{00000000-0005-0000-0000-000077340000}"/>
    <cellStyle name="Normal 5 4 2 11" xfId="13433" xr:uid="{00000000-0005-0000-0000-000078340000}"/>
    <cellStyle name="Normal 5 4 2 11 2" xfId="13434" xr:uid="{00000000-0005-0000-0000-000079340000}"/>
    <cellStyle name="Normal 5 4 2 11 2 2" xfId="13435" xr:uid="{00000000-0005-0000-0000-00007A340000}"/>
    <cellStyle name="Normal 5 4 2 11 3" xfId="13436" xr:uid="{00000000-0005-0000-0000-00007B340000}"/>
    <cellStyle name="Normal 5 4 2 12" xfId="13437" xr:uid="{00000000-0005-0000-0000-00007C340000}"/>
    <cellStyle name="Normal 5 4 2 13" xfId="13438" xr:uid="{00000000-0005-0000-0000-00007D340000}"/>
    <cellStyle name="Normal 5 4 2 2" xfId="13439" xr:uid="{00000000-0005-0000-0000-00007E340000}"/>
    <cellStyle name="Normal 5 4 2 2 2" xfId="13440" xr:uid="{00000000-0005-0000-0000-00007F340000}"/>
    <cellStyle name="Normal 5 4 2 2 2 2" xfId="13441" xr:uid="{00000000-0005-0000-0000-000080340000}"/>
    <cellStyle name="Normal 5 4 2 2 2 2 2" xfId="13442" xr:uid="{00000000-0005-0000-0000-000081340000}"/>
    <cellStyle name="Normal 5 4 2 2 2 2 2 2" xfId="13443" xr:uid="{00000000-0005-0000-0000-000082340000}"/>
    <cellStyle name="Normal 5 4 2 2 2 2 2 3" xfId="13444" xr:uid="{00000000-0005-0000-0000-000083340000}"/>
    <cellStyle name="Normal 5 4 2 2 2 2 3" xfId="13445" xr:uid="{00000000-0005-0000-0000-000084340000}"/>
    <cellStyle name="Normal 5 4 2 2 2 2 3 2" xfId="13446" xr:uid="{00000000-0005-0000-0000-000085340000}"/>
    <cellStyle name="Normal 5 4 2 2 2 2 3 3" xfId="13447" xr:uid="{00000000-0005-0000-0000-000086340000}"/>
    <cellStyle name="Normal 5 4 2 2 2 2 4" xfId="13448" xr:uid="{00000000-0005-0000-0000-000087340000}"/>
    <cellStyle name="Normal 5 4 2 2 2 2 5" xfId="13449" xr:uid="{00000000-0005-0000-0000-000088340000}"/>
    <cellStyle name="Normal 5 4 2 2 2 3" xfId="13450" xr:uid="{00000000-0005-0000-0000-000089340000}"/>
    <cellStyle name="Normal 5 4 2 2 2 3 2" xfId="13451" xr:uid="{00000000-0005-0000-0000-00008A340000}"/>
    <cellStyle name="Normal 5 4 2 2 2 3 2 2" xfId="13452" xr:uid="{00000000-0005-0000-0000-00008B340000}"/>
    <cellStyle name="Normal 5 4 2 2 2 3 2 3" xfId="13453" xr:uid="{00000000-0005-0000-0000-00008C340000}"/>
    <cellStyle name="Normal 5 4 2 2 2 3 3" xfId="13454" xr:uid="{00000000-0005-0000-0000-00008D340000}"/>
    <cellStyle name="Normal 5 4 2 2 2 3 3 2" xfId="13455" xr:uid="{00000000-0005-0000-0000-00008E340000}"/>
    <cellStyle name="Normal 5 4 2 2 2 3 3 3" xfId="13456" xr:uid="{00000000-0005-0000-0000-00008F340000}"/>
    <cellStyle name="Normal 5 4 2 2 2 3 4" xfId="13457" xr:uid="{00000000-0005-0000-0000-000090340000}"/>
    <cellStyle name="Normal 5 4 2 2 2 3 5" xfId="13458" xr:uid="{00000000-0005-0000-0000-000091340000}"/>
    <cellStyle name="Normal 5 4 2 2 2 4" xfId="13459" xr:uid="{00000000-0005-0000-0000-000092340000}"/>
    <cellStyle name="Normal 5 4 2 2 2 4 2" xfId="13460" xr:uid="{00000000-0005-0000-0000-000093340000}"/>
    <cellStyle name="Normal 5 4 2 2 2 4 3" xfId="13461" xr:uid="{00000000-0005-0000-0000-000094340000}"/>
    <cellStyle name="Normal 5 4 2 2 2 5" xfId="13462" xr:uid="{00000000-0005-0000-0000-000095340000}"/>
    <cellStyle name="Normal 5 4 2 2 2 5 2" xfId="13463" xr:uid="{00000000-0005-0000-0000-000096340000}"/>
    <cellStyle name="Normal 5 4 2 2 2 5 3" xfId="13464" xr:uid="{00000000-0005-0000-0000-000097340000}"/>
    <cellStyle name="Normal 5 4 2 2 2 6" xfId="13465" xr:uid="{00000000-0005-0000-0000-000098340000}"/>
    <cellStyle name="Normal 5 4 2 2 2 7" xfId="13466" xr:uid="{00000000-0005-0000-0000-000099340000}"/>
    <cellStyle name="Normal 5 4 2 2 3" xfId="13467" xr:uid="{00000000-0005-0000-0000-00009A340000}"/>
    <cellStyle name="Normal 5 4 2 2 3 2" xfId="13468" xr:uid="{00000000-0005-0000-0000-00009B340000}"/>
    <cellStyle name="Normal 5 4 2 2 3 2 2" xfId="13469" xr:uid="{00000000-0005-0000-0000-00009C340000}"/>
    <cellStyle name="Normal 5 4 2 2 3 2 3" xfId="13470" xr:uid="{00000000-0005-0000-0000-00009D340000}"/>
    <cellStyle name="Normal 5 4 2 2 3 3" xfId="13471" xr:uid="{00000000-0005-0000-0000-00009E340000}"/>
    <cellStyle name="Normal 5 4 2 2 3 3 2" xfId="13472" xr:uid="{00000000-0005-0000-0000-00009F340000}"/>
    <cellStyle name="Normal 5 4 2 2 3 3 3" xfId="13473" xr:uid="{00000000-0005-0000-0000-0000A0340000}"/>
    <cellStyle name="Normal 5 4 2 2 3 4" xfId="13474" xr:uid="{00000000-0005-0000-0000-0000A1340000}"/>
    <cellStyle name="Normal 5 4 2 2 3 5" xfId="13475" xr:uid="{00000000-0005-0000-0000-0000A2340000}"/>
    <cellStyle name="Normal 5 4 2 2 4" xfId="13476" xr:uid="{00000000-0005-0000-0000-0000A3340000}"/>
    <cellStyle name="Normal 5 4 2 2 4 2" xfId="13477" xr:uid="{00000000-0005-0000-0000-0000A4340000}"/>
    <cellStyle name="Normal 5 4 2 2 4 2 2" xfId="13478" xr:uid="{00000000-0005-0000-0000-0000A5340000}"/>
    <cellStyle name="Normal 5 4 2 2 4 2 3" xfId="13479" xr:uid="{00000000-0005-0000-0000-0000A6340000}"/>
    <cellStyle name="Normal 5 4 2 2 4 3" xfId="13480" xr:uid="{00000000-0005-0000-0000-0000A7340000}"/>
    <cellStyle name="Normal 5 4 2 2 4 3 2" xfId="13481" xr:uid="{00000000-0005-0000-0000-0000A8340000}"/>
    <cellStyle name="Normal 5 4 2 2 4 3 3" xfId="13482" xr:uid="{00000000-0005-0000-0000-0000A9340000}"/>
    <cellStyle name="Normal 5 4 2 2 4 4" xfId="13483" xr:uid="{00000000-0005-0000-0000-0000AA340000}"/>
    <cellStyle name="Normal 5 4 2 2 4 5" xfId="13484" xr:uid="{00000000-0005-0000-0000-0000AB340000}"/>
    <cellStyle name="Normal 5 4 2 2 5" xfId="13485" xr:uid="{00000000-0005-0000-0000-0000AC340000}"/>
    <cellStyle name="Normal 5 4 2 2 5 2" xfId="13486" xr:uid="{00000000-0005-0000-0000-0000AD340000}"/>
    <cellStyle name="Normal 5 4 2 2 5 3" xfId="13487" xr:uid="{00000000-0005-0000-0000-0000AE340000}"/>
    <cellStyle name="Normal 5 4 2 2 6" xfId="13488" xr:uid="{00000000-0005-0000-0000-0000AF340000}"/>
    <cellStyle name="Normal 5 4 2 2 6 2" xfId="13489" xr:uid="{00000000-0005-0000-0000-0000B0340000}"/>
    <cellStyle name="Normal 5 4 2 2 6 3" xfId="13490" xr:uid="{00000000-0005-0000-0000-0000B1340000}"/>
    <cellStyle name="Normal 5 4 2 2 7" xfId="13491" xr:uid="{00000000-0005-0000-0000-0000B2340000}"/>
    <cellStyle name="Normal 5 4 2 2 7 2" xfId="13492" xr:uid="{00000000-0005-0000-0000-0000B3340000}"/>
    <cellStyle name="Normal 5 4 2 2 7 3" xfId="13493" xr:uid="{00000000-0005-0000-0000-0000B4340000}"/>
    <cellStyle name="Normal 5 4 2 2 7 3 2" xfId="13494" xr:uid="{00000000-0005-0000-0000-0000B5340000}"/>
    <cellStyle name="Normal 5 4 2 2 7 4" xfId="13495" xr:uid="{00000000-0005-0000-0000-0000B6340000}"/>
    <cellStyle name="Normal 5 4 2 2 8" xfId="13496" xr:uid="{00000000-0005-0000-0000-0000B7340000}"/>
    <cellStyle name="Normal 5 4 2 2 9" xfId="13497" xr:uid="{00000000-0005-0000-0000-0000B8340000}"/>
    <cellStyle name="Normal 5 4 2 3" xfId="13498" xr:uid="{00000000-0005-0000-0000-0000B9340000}"/>
    <cellStyle name="Normal 5 4 2 3 2" xfId="13499" xr:uid="{00000000-0005-0000-0000-0000BA340000}"/>
    <cellStyle name="Normal 5 4 2 3 2 2" xfId="13500" xr:uid="{00000000-0005-0000-0000-0000BB340000}"/>
    <cellStyle name="Normal 5 4 2 3 2 2 2" xfId="13501" xr:uid="{00000000-0005-0000-0000-0000BC340000}"/>
    <cellStyle name="Normal 5 4 2 3 2 2 3" xfId="13502" xr:uid="{00000000-0005-0000-0000-0000BD340000}"/>
    <cellStyle name="Normal 5 4 2 3 2 3" xfId="13503" xr:uid="{00000000-0005-0000-0000-0000BE340000}"/>
    <cellStyle name="Normal 5 4 2 3 2 3 2" xfId="13504" xr:uid="{00000000-0005-0000-0000-0000BF340000}"/>
    <cellStyle name="Normal 5 4 2 3 2 3 3" xfId="13505" xr:uid="{00000000-0005-0000-0000-0000C0340000}"/>
    <cellStyle name="Normal 5 4 2 3 2 4" xfId="13506" xr:uid="{00000000-0005-0000-0000-0000C1340000}"/>
    <cellStyle name="Normal 5 4 2 3 2 5" xfId="13507" xr:uid="{00000000-0005-0000-0000-0000C2340000}"/>
    <cellStyle name="Normal 5 4 2 3 3" xfId="13508" xr:uid="{00000000-0005-0000-0000-0000C3340000}"/>
    <cellStyle name="Normal 5 4 2 3 3 2" xfId="13509" xr:uid="{00000000-0005-0000-0000-0000C4340000}"/>
    <cellStyle name="Normal 5 4 2 3 3 2 2" xfId="13510" xr:uid="{00000000-0005-0000-0000-0000C5340000}"/>
    <cellStyle name="Normal 5 4 2 3 3 2 3" xfId="13511" xr:uid="{00000000-0005-0000-0000-0000C6340000}"/>
    <cellStyle name="Normal 5 4 2 3 3 3" xfId="13512" xr:uid="{00000000-0005-0000-0000-0000C7340000}"/>
    <cellStyle name="Normal 5 4 2 3 3 3 2" xfId="13513" xr:uid="{00000000-0005-0000-0000-0000C8340000}"/>
    <cellStyle name="Normal 5 4 2 3 3 3 3" xfId="13514" xr:uid="{00000000-0005-0000-0000-0000C9340000}"/>
    <cellStyle name="Normal 5 4 2 3 3 4" xfId="13515" xr:uid="{00000000-0005-0000-0000-0000CA340000}"/>
    <cellStyle name="Normal 5 4 2 3 3 5" xfId="13516" xr:uid="{00000000-0005-0000-0000-0000CB340000}"/>
    <cellStyle name="Normal 5 4 2 3 4" xfId="13517" xr:uid="{00000000-0005-0000-0000-0000CC340000}"/>
    <cellStyle name="Normal 5 4 2 3 4 2" xfId="13518" xr:uid="{00000000-0005-0000-0000-0000CD340000}"/>
    <cellStyle name="Normal 5 4 2 3 4 3" xfId="13519" xr:uid="{00000000-0005-0000-0000-0000CE340000}"/>
    <cellStyle name="Normal 5 4 2 3 5" xfId="13520" xr:uid="{00000000-0005-0000-0000-0000CF340000}"/>
    <cellStyle name="Normal 5 4 2 3 5 2" xfId="13521" xr:uid="{00000000-0005-0000-0000-0000D0340000}"/>
    <cellStyle name="Normal 5 4 2 3 5 3" xfId="13522" xr:uid="{00000000-0005-0000-0000-0000D1340000}"/>
    <cellStyle name="Normal 5 4 2 3 6" xfId="13523" xr:uid="{00000000-0005-0000-0000-0000D2340000}"/>
    <cellStyle name="Normal 5 4 2 3 7" xfId="13524" xr:uid="{00000000-0005-0000-0000-0000D3340000}"/>
    <cellStyle name="Normal 5 4 2 4" xfId="13525" xr:uid="{00000000-0005-0000-0000-0000D4340000}"/>
    <cellStyle name="Normal 5 4 2 4 2" xfId="13526" xr:uid="{00000000-0005-0000-0000-0000D5340000}"/>
    <cellStyle name="Normal 5 4 2 4 2 2" xfId="13527" xr:uid="{00000000-0005-0000-0000-0000D6340000}"/>
    <cellStyle name="Normal 5 4 2 4 2 2 2" xfId="13528" xr:uid="{00000000-0005-0000-0000-0000D7340000}"/>
    <cellStyle name="Normal 5 4 2 4 2 2 3" xfId="13529" xr:uid="{00000000-0005-0000-0000-0000D8340000}"/>
    <cellStyle name="Normal 5 4 2 4 2 3" xfId="13530" xr:uid="{00000000-0005-0000-0000-0000D9340000}"/>
    <cellStyle name="Normal 5 4 2 4 2 3 2" xfId="13531" xr:uid="{00000000-0005-0000-0000-0000DA340000}"/>
    <cellStyle name="Normal 5 4 2 4 2 3 3" xfId="13532" xr:uid="{00000000-0005-0000-0000-0000DB340000}"/>
    <cellStyle name="Normal 5 4 2 4 2 4" xfId="13533" xr:uid="{00000000-0005-0000-0000-0000DC340000}"/>
    <cellStyle name="Normal 5 4 2 4 2 5" xfId="13534" xr:uid="{00000000-0005-0000-0000-0000DD340000}"/>
    <cellStyle name="Normal 5 4 2 4 3" xfId="13535" xr:uid="{00000000-0005-0000-0000-0000DE340000}"/>
    <cellStyle name="Normal 5 4 2 4 3 2" xfId="13536" xr:uid="{00000000-0005-0000-0000-0000DF340000}"/>
    <cellStyle name="Normal 5 4 2 4 3 2 2" xfId="13537" xr:uid="{00000000-0005-0000-0000-0000E0340000}"/>
    <cellStyle name="Normal 5 4 2 4 3 2 3" xfId="13538" xr:uid="{00000000-0005-0000-0000-0000E1340000}"/>
    <cellStyle name="Normal 5 4 2 4 3 3" xfId="13539" xr:uid="{00000000-0005-0000-0000-0000E2340000}"/>
    <cellStyle name="Normal 5 4 2 4 3 4" xfId="13540" xr:uid="{00000000-0005-0000-0000-0000E3340000}"/>
    <cellStyle name="Normal 5 4 2 4 4" xfId="13541" xr:uid="{00000000-0005-0000-0000-0000E4340000}"/>
    <cellStyle name="Normal 5 4 2 4 4 2" xfId="13542" xr:uid="{00000000-0005-0000-0000-0000E5340000}"/>
    <cellStyle name="Normal 5 4 2 4 4 3" xfId="13543" xr:uid="{00000000-0005-0000-0000-0000E6340000}"/>
    <cellStyle name="Normal 5 4 2 4 5" xfId="13544" xr:uid="{00000000-0005-0000-0000-0000E7340000}"/>
    <cellStyle name="Normal 5 4 2 4 5 2" xfId="13545" xr:uid="{00000000-0005-0000-0000-0000E8340000}"/>
    <cellStyle name="Normal 5 4 2 4 5 3" xfId="13546" xr:uid="{00000000-0005-0000-0000-0000E9340000}"/>
    <cellStyle name="Normal 5 4 2 4 6" xfId="13547" xr:uid="{00000000-0005-0000-0000-0000EA340000}"/>
    <cellStyle name="Normal 5 4 2 4 7" xfId="13548" xr:uid="{00000000-0005-0000-0000-0000EB340000}"/>
    <cellStyle name="Normal 5 4 2 5" xfId="13549" xr:uid="{00000000-0005-0000-0000-0000EC340000}"/>
    <cellStyle name="Normal 5 4 2 5 2" xfId="13550" xr:uid="{00000000-0005-0000-0000-0000ED340000}"/>
    <cellStyle name="Normal 5 4 2 5 2 2" xfId="13551" xr:uid="{00000000-0005-0000-0000-0000EE340000}"/>
    <cellStyle name="Normal 5 4 2 5 2 3" xfId="13552" xr:uid="{00000000-0005-0000-0000-0000EF340000}"/>
    <cellStyle name="Normal 5 4 2 5 3" xfId="13553" xr:uid="{00000000-0005-0000-0000-0000F0340000}"/>
    <cellStyle name="Normal 5 4 2 5 3 2" xfId="13554" xr:uid="{00000000-0005-0000-0000-0000F1340000}"/>
    <cellStyle name="Normal 5 4 2 5 3 3" xfId="13555" xr:uid="{00000000-0005-0000-0000-0000F2340000}"/>
    <cellStyle name="Normal 5 4 2 5 4" xfId="13556" xr:uid="{00000000-0005-0000-0000-0000F3340000}"/>
    <cellStyle name="Normal 5 4 2 5 5" xfId="13557" xr:uid="{00000000-0005-0000-0000-0000F4340000}"/>
    <cellStyle name="Normal 5 4 2 6" xfId="13558" xr:uid="{00000000-0005-0000-0000-0000F5340000}"/>
    <cellStyle name="Normal 5 4 2 6 2" xfId="13559" xr:uid="{00000000-0005-0000-0000-0000F6340000}"/>
    <cellStyle name="Normal 5 4 2 6 2 2" xfId="13560" xr:uid="{00000000-0005-0000-0000-0000F7340000}"/>
    <cellStyle name="Normal 5 4 2 6 2 3" xfId="13561" xr:uid="{00000000-0005-0000-0000-0000F8340000}"/>
    <cellStyle name="Normal 5 4 2 6 3" xfId="13562" xr:uid="{00000000-0005-0000-0000-0000F9340000}"/>
    <cellStyle name="Normal 5 4 2 6 3 2" xfId="13563" xr:uid="{00000000-0005-0000-0000-0000FA340000}"/>
    <cellStyle name="Normal 5 4 2 6 3 3" xfId="13564" xr:uid="{00000000-0005-0000-0000-0000FB340000}"/>
    <cellStyle name="Normal 5 4 2 6 4" xfId="13565" xr:uid="{00000000-0005-0000-0000-0000FC340000}"/>
    <cellStyle name="Normal 5 4 2 6 5" xfId="13566" xr:uid="{00000000-0005-0000-0000-0000FD340000}"/>
    <cellStyle name="Normal 5 4 2 7" xfId="13567" xr:uid="{00000000-0005-0000-0000-0000FE340000}"/>
    <cellStyle name="Normal 5 4 2 7 2" xfId="13568" xr:uid="{00000000-0005-0000-0000-0000FF340000}"/>
    <cellStyle name="Normal 5 4 2 7 2 2" xfId="13569" xr:uid="{00000000-0005-0000-0000-000000350000}"/>
    <cellStyle name="Normal 5 4 2 7 2 3" xfId="13570" xr:uid="{00000000-0005-0000-0000-000001350000}"/>
    <cellStyle name="Normal 5 4 2 7 3" xfId="13571" xr:uid="{00000000-0005-0000-0000-000002350000}"/>
    <cellStyle name="Normal 5 4 2 7 4" xfId="13572" xr:uid="{00000000-0005-0000-0000-000003350000}"/>
    <cellStyle name="Normal 5 4 2 8" xfId="13573" xr:uid="{00000000-0005-0000-0000-000004350000}"/>
    <cellStyle name="Normal 5 4 2 8 2" xfId="13574" xr:uid="{00000000-0005-0000-0000-000005350000}"/>
    <cellStyle name="Normal 5 4 2 8 3" xfId="13575" xr:uid="{00000000-0005-0000-0000-000006350000}"/>
    <cellStyle name="Normal 5 4 2 9" xfId="13576" xr:uid="{00000000-0005-0000-0000-000007350000}"/>
    <cellStyle name="Normal 5 4 2 9 2" xfId="13577" xr:uid="{00000000-0005-0000-0000-000008350000}"/>
    <cellStyle name="Normal 5 4 2 9 3" xfId="13578" xr:uid="{00000000-0005-0000-0000-000009350000}"/>
    <cellStyle name="Normal 5 4 3" xfId="13579" xr:uid="{00000000-0005-0000-0000-00000A350000}"/>
    <cellStyle name="Normal 5 4 3 2" xfId="13580" xr:uid="{00000000-0005-0000-0000-00000B350000}"/>
    <cellStyle name="Normal 5 4 3 2 2" xfId="13581" xr:uid="{00000000-0005-0000-0000-00000C350000}"/>
    <cellStyle name="Normal 5 4 3 2 2 2" xfId="13582" xr:uid="{00000000-0005-0000-0000-00000D350000}"/>
    <cellStyle name="Normal 5 4 3 2 2 2 2" xfId="13583" xr:uid="{00000000-0005-0000-0000-00000E350000}"/>
    <cellStyle name="Normal 5 4 3 2 2 2 3" xfId="13584" xr:uid="{00000000-0005-0000-0000-00000F350000}"/>
    <cellStyle name="Normal 5 4 3 2 2 3" xfId="13585" xr:uid="{00000000-0005-0000-0000-000010350000}"/>
    <cellStyle name="Normal 5 4 3 2 2 3 2" xfId="13586" xr:uid="{00000000-0005-0000-0000-000011350000}"/>
    <cellStyle name="Normal 5 4 3 2 2 3 3" xfId="13587" xr:uid="{00000000-0005-0000-0000-000012350000}"/>
    <cellStyle name="Normal 5 4 3 2 2 4" xfId="13588" xr:uid="{00000000-0005-0000-0000-000013350000}"/>
    <cellStyle name="Normal 5 4 3 2 2 5" xfId="13589" xr:uid="{00000000-0005-0000-0000-000014350000}"/>
    <cellStyle name="Normal 5 4 3 2 3" xfId="13590" xr:uid="{00000000-0005-0000-0000-000015350000}"/>
    <cellStyle name="Normal 5 4 3 2 3 2" xfId="13591" xr:uid="{00000000-0005-0000-0000-000016350000}"/>
    <cellStyle name="Normal 5 4 3 2 3 2 2" xfId="13592" xr:uid="{00000000-0005-0000-0000-000017350000}"/>
    <cellStyle name="Normal 5 4 3 2 3 2 3" xfId="13593" xr:uid="{00000000-0005-0000-0000-000018350000}"/>
    <cellStyle name="Normal 5 4 3 2 3 3" xfId="13594" xr:uid="{00000000-0005-0000-0000-000019350000}"/>
    <cellStyle name="Normal 5 4 3 2 3 3 2" xfId="13595" xr:uid="{00000000-0005-0000-0000-00001A350000}"/>
    <cellStyle name="Normal 5 4 3 2 3 3 3" xfId="13596" xr:uid="{00000000-0005-0000-0000-00001B350000}"/>
    <cellStyle name="Normal 5 4 3 2 3 4" xfId="13597" xr:uid="{00000000-0005-0000-0000-00001C350000}"/>
    <cellStyle name="Normal 5 4 3 2 3 5" xfId="13598" xr:uid="{00000000-0005-0000-0000-00001D350000}"/>
    <cellStyle name="Normal 5 4 3 2 4" xfId="13599" xr:uid="{00000000-0005-0000-0000-00001E350000}"/>
    <cellStyle name="Normal 5 4 3 2 4 2" xfId="13600" xr:uid="{00000000-0005-0000-0000-00001F350000}"/>
    <cellStyle name="Normal 5 4 3 2 4 3" xfId="13601" xr:uid="{00000000-0005-0000-0000-000020350000}"/>
    <cellStyle name="Normal 5 4 3 2 5" xfId="13602" xr:uid="{00000000-0005-0000-0000-000021350000}"/>
    <cellStyle name="Normal 5 4 3 2 5 2" xfId="13603" xr:uid="{00000000-0005-0000-0000-000022350000}"/>
    <cellStyle name="Normal 5 4 3 2 5 3" xfId="13604" xr:uid="{00000000-0005-0000-0000-000023350000}"/>
    <cellStyle name="Normal 5 4 3 2 6" xfId="13605" xr:uid="{00000000-0005-0000-0000-000024350000}"/>
    <cellStyle name="Normal 5 4 3 2 7" xfId="13606" xr:uid="{00000000-0005-0000-0000-000025350000}"/>
    <cellStyle name="Normal 5 4 3 3" xfId="13607" xr:uid="{00000000-0005-0000-0000-000026350000}"/>
    <cellStyle name="Normal 5 4 3 3 2" xfId="13608" xr:uid="{00000000-0005-0000-0000-000027350000}"/>
    <cellStyle name="Normal 5 4 3 3 2 2" xfId="13609" xr:uid="{00000000-0005-0000-0000-000028350000}"/>
    <cellStyle name="Normal 5 4 3 3 2 3" xfId="13610" xr:uid="{00000000-0005-0000-0000-000029350000}"/>
    <cellStyle name="Normal 5 4 3 3 3" xfId="13611" xr:uid="{00000000-0005-0000-0000-00002A350000}"/>
    <cellStyle name="Normal 5 4 3 3 3 2" xfId="13612" xr:uid="{00000000-0005-0000-0000-00002B350000}"/>
    <cellStyle name="Normal 5 4 3 3 3 3" xfId="13613" xr:uid="{00000000-0005-0000-0000-00002C350000}"/>
    <cellStyle name="Normal 5 4 3 3 4" xfId="13614" xr:uid="{00000000-0005-0000-0000-00002D350000}"/>
    <cellStyle name="Normal 5 4 3 3 5" xfId="13615" xr:uid="{00000000-0005-0000-0000-00002E350000}"/>
    <cellStyle name="Normal 5 4 3 4" xfId="13616" xr:uid="{00000000-0005-0000-0000-00002F350000}"/>
    <cellStyle name="Normal 5 4 3 4 2" xfId="13617" xr:uid="{00000000-0005-0000-0000-000030350000}"/>
    <cellStyle name="Normal 5 4 3 4 2 2" xfId="13618" xr:uid="{00000000-0005-0000-0000-000031350000}"/>
    <cellStyle name="Normal 5 4 3 4 2 3" xfId="13619" xr:uid="{00000000-0005-0000-0000-000032350000}"/>
    <cellStyle name="Normal 5 4 3 4 3" xfId="13620" xr:uid="{00000000-0005-0000-0000-000033350000}"/>
    <cellStyle name="Normal 5 4 3 4 3 2" xfId="13621" xr:uid="{00000000-0005-0000-0000-000034350000}"/>
    <cellStyle name="Normal 5 4 3 4 3 3" xfId="13622" xr:uid="{00000000-0005-0000-0000-000035350000}"/>
    <cellStyle name="Normal 5 4 3 4 4" xfId="13623" xr:uid="{00000000-0005-0000-0000-000036350000}"/>
    <cellStyle name="Normal 5 4 3 4 5" xfId="13624" xr:uid="{00000000-0005-0000-0000-000037350000}"/>
    <cellStyle name="Normal 5 4 3 5" xfId="13625" xr:uid="{00000000-0005-0000-0000-000038350000}"/>
    <cellStyle name="Normal 5 4 3 5 2" xfId="13626" xr:uid="{00000000-0005-0000-0000-000039350000}"/>
    <cellStyle name="Normal 5 4 3 5 3" xfId="13627" xr:uid="{00000000-0005-0000-0000-00003A350000}"/>
    <cellStyle name="Normal 5 4 3 6" xfId="13628" xr:uid="{00000000-0005-0000-0000-00003B350000}"/>
    <cellStyle name="Normal 5 4 3 6 2" xfId="13629" xr:uid="{00000000-0005-0000-0000-00003C350000}"/>
    <cellStyle name="Normal 5 4 3 6 3" xfId="13630" xr:uid="{00000000-0005-0000-0000-00003D350000}"/>
    <cellStyle name="Normal 5 4 3 7" xfId="13631" xr:uid="{00000000-0005-0000-0000-00003E350000}"/>
    <cellStyle name="Normal 5 4 3 7 2" xfId="13632" xr:uid="{00000000-0005-0000-0000-00003F350000}"/>
    <cellStyle name="Normal 5 4 3 7 3" xfId="13633" xr:uid="{00000000-0005-0000-0000-000040350000}"/>
    <cellStyle name="Normal 5 4 3 7 3 2" xfId="13634" xr:uid="{00000000-0005-0000-0000-000041350000}"/>
    <cellStyle name="Normal 5 4 3 7 4" xfId="13635" xr:uid="{00000000-0005-0000-0000-000042350000}"/>
    <cellStyle name="Normal 5 4 3 8" xfId="13636" xr:uid="{00000000-0005-0000-0000-000043350000}"/>
    <cellStyle name="Normal 5 4 3 9" xfId="13637" xr:uid="{00000000-0005-0000-0000-000044350000}"/>
    <cellStyle name="Normal 5 4 4" xfId="13638" xr:uid="{00000000-0005-0000-0000-000045350000}"/>
    <cellStyle name="Normal 5 4 4 2" xfId="13639" xr:uid="{00000000-0005-0000-0000-000046350000}"/>
    <cellStyle name="Normal 5 4 4 2 2" xfId="13640" xr:uid="{00000000-0005-0000-0000-000047350000}"/>
    <cellStyle name="Normal 5 4 4 2 2 2" xfId="13641" xr:uid="{00000000-0005-0000-0000-000048350000}"/>
    <cellStyle name="Normal 5 4 4 2 2 3" xfId="13642" xr:uid="{00000000-0005-0000-0000-000049350000}"/>
    <cellStyle name="Normal 5 4 4 2 3" xfId="13643" xr:uid="{00000000-0005-0000-0000-00004A350000}"/>
    <cellStyle name="Normal 5 4 4 2 3 2" xfId="13644" xr:uid="{00000000-0005-0000-0000-00004B350000}"/>
    <cellStyle name="Normal 5 4 4 2 3 3" xfId="13645" xr:uid="{00000000-0005-0000-0000-00004C350000}"/>
    <cellStyle name="Normal 5 4 4 2 4" xfId="13646" xr:uid="{00000000-0005-0000-0000-00004D350000}"/>
    <cellStyle name="Normal 5 4 4 2 5" xfId="13647" xr:uid="{00000000-0005-0000-0000-00004E350000}"/>
    <cellStyle name="Normal 5 4 4 3" xfId="13648" xr:uid="{00000000-0005-0000-0000-00004F350000}"/>
    <cellStyle name="Normal 5 4 4 3 2" xfId="13649" xr:uid="{00000000-0005-0000-0000-000050350000}"/>
    <cellStyle name="Normal 5 4 4 3 2 2" xfId="13650" xr:uid="{00000000-0005-0000-0000-000051350000}"/>
    <cellStyle name="Normal 5 4 4 3 2 3" xfId="13651" xr:uid="{00000000-0005-0000-0000-000052350000}"/>
    <cellStyle name="Normal 5 4 4 3 3" xfId="13652" xr:uid="{00000000-0005-0000-0000-000053350000}"/>
    <cellStyle name="Normal 5 4 4 3 3 2" xfId="13653" xr:uid="{00000000-0005-0000-0000-000054350000}"/>
    <cellStyle name="Normal 5 4 4 3 3 3" xfId="13654" xr:uid="{00000000-0005-0000-0000-000055350000}"/>
    <cellStyle name="Normal 5 4 4 3 4" xfId="13655" xr:uid="{00000000-0005-0000-0000-000056350000}"/>
    <cellStyle name="Normal 5 4 4 3 5" xfId="13656" xr:uid="{00000000-0005-0000-0000-000057350000}"/>
    <cellStyle name="Normal 5 4 4 4" xfId="13657" xr:uid="{00000000-0005-0000-0000-000058350000}"/>
    <cellStyle name="Normal 5 4 4 4 2" xfId="13658" xr:uid="{00000000-0005-0000-0000-000059350000}"/>
    <cellStyle name="Normal 5 4 4 4 3" xfId="13659" xr:uid="{00000000-0005-0000-0000-00005A350000}"/>
    <cellStyle name="Normal 5 4 4 5" xfId="13660" xr:uid="{00000000-0005-0000-0000-00005B350000}"/>
    <cellStyle name="Normal 5 4 4 5 2" xfId="13661" xr:uid="{00000000-0005-0000-0000-00005C350000}"/>
    <cellStyle name="Normal 5 4 4 5 3" xfId="13662" xr:uid="{00000000-0005-0000-0000-00005D350000}"/>
    <cellStyle name="Normal 5 4 4 6" xfId="13663" xr:uid="{00000000-0005-0000-0000-00005E350000}"/>
    <cellStyle name="Normal 5 4 4 7" xfId="13664" xr:uid="{00000000-0005-0000-0000-00005F350000}"/>
    <cellStyle name="Normal 5 4 5" xfId="13665" xr:uid="{00000000-0005-0000-0000-000060350000}"/>
    <cellStyle name="Normal 5 4 5 2" xfId="13666" xr:uid="{00000000-0005-0000-0000-000061350000}"/>
    <cellStyle name="Normal 5 4 5 2 2" xfId="13667" xr:uid="{00000000-0005-0000-0000-000062350000}"/>
    <cellStyle name="Normal 5 4 5 2 2 2" xfId="13668" xr:uid="{00000000-0005-0000-0000-000063350000}"/>
    <cellStyle name="Normal 5 4 5 2 2 3" xfId="13669" xr:uid="{00000000-0005-0000-0000-000064350000}"/>
    <cellStyle name="Normal 5 4 5 2 3" xfId="13670" xr:uid="{00000000-0005-0000-0000-000065350000}"/>
    <cellStyle name="Normal 5 4 5 2 3 2" xfId="13671" xr:uid="{00000000-0005-0000-0000-000066350000}"/>
    <cellStyle name="Normal 5 4 5 2 3 3" xfId="13672" xr:uid="{00000000-0005-0000-0000-000067350000}"/>
    <cellStyle name="Normal 5 4 5 2 4" xfId="13673" xr:uid="{00000000-0005-0000-0000-000068350000}"/>
    <cellStyle name="Normal 5 4 5 2 5" xfId="13674" xr:uid="{00000000-0005-0000-0000-000069350000}"/>
    <cellStyle name="Normal 5 4 5 3" xfId="13675" xr:uid="{00000000-0005-0000-0000-00006A350000}"/>
    <cellStyle name="Normal 5 4 5 3 2" xfId="13676" xr:uid="{00000000-0005-0000-0000-00006B350000}"/>
    <cellStyle name="Normal 5 4 5 3 2 2" xfId="13677" xr:uid="{00000000-0005-0000-0000-00006C350000}"/>
    <cellStyle name="Normal 5 4 5 3 2 3" xfId="13678" xr:uid="{00000000-0005-0000-0000-00006D350000}"/>
    <cellStyle name="Normal 5 4 5 3 3" xfId="13679" xr:uid="{00000000-0005-0000-0000-00006E350000}"/>
    <cellStyle name="Normal 5 4 5 3 4" xfId="13680" xr:uid="{00000000-0005-0000-0000-00006F350000}"/>
    <cellStyle name="Normal 5 4 5 4" xfId="13681" xr:uid="{00000000-0005-0000-0000-000070350000}"/>
    <cellStyle name="Normal 5 4 5 4 2" xfId="13682" xr:uid="{00000000-0005-0000-0000-000071350000}"/>
    <cellStyle name="Normal 5 4 5 4 3" xfId="13683" xr:uid="{00000000-0005-0000-0000-000072350000}"/>
    <cellStyle name="Normal 5 4 5 5" xfId="13684" xr:uid="{00000000-0005-0000-0000-000073350000}"/>
    <cellStyle name="Normal 5 4 5 5 2" xfId="13685" xr:uid="{00000000-0005-0000-0000-000074350000}"/>
    <cellStyle name="Normal 5 4 5 5 3" xfId="13686" xr:uid="{00000000-0005-0000-0000-000075350000}"/>
    <cellStyle name="Normal 5 4 5 6" xfId="13687" xr:uid="{00000000-0005-0000-0000-000076350000}"/>
    <cellStyle name="Normal 5 4 5 7" xfId="13688" xr:uid="{00000000-0005-0000-0000-000077350000}"/>
    <cellStyle name="Normal 5 4 6" xfId="13689" xr:uid="{00000000-0005-0000-0000-000078350000}"/>
    <cellStyle name="Normal 5 4 6 2" xfId="13690" xr:uid="{00000000-0005-0000-0000-000079350000}"/>
    <cellStyle name="Normal 5 4 6 2 2" xfId="13691" xr:uid="{00000000-0005-0000-0000-00007A350000}"/>
    <cellStyle name="Normal 5 4 6 2 3" xfId="13692" xr:uid="{00000000-0005-0000-0000-00007B350000}"/>
    <cellStyle name="Normal 5 4 6 3" xfId="13693" xr:uid="{00000000-0005-0000-0000-00007C350000}"/>
    <cellStyle name="Normal 5 4 6 3 2" xfId="13694" xr:uid="{00000000-0005-0000-0000-00007D350000}"/>
    <cellStyle name="Normal 5 4 6 3 3" xfId="13695" xr:uid="{00000000-0005-0000-0000-00007E350000}"/>
    <cellStyle name="Normal 5 4 6 4" xfId="13696" xr:uid="{00000000-0005-0000-0000-00007F350000}"/>
    <cellStyle name="Normal 5 4 6 5" xfId="13697" xr:uid="{00000000-0005-0000-0000-000080350000}"/>
    <cellStyle name="Normal 5 4 7" xfId="13698" xr:uid="{00000000-0005-0000-0000-000081350000}"/>
    <cellStyle name="Normal 5 4 7 2" xfId="13699" xr:uid="{00000000-0005-0000-0000-000082350000}"/>
    <cellStyle name="Normal 5 4 7 2 2" xfId="13700" xr:uid="{00000000-0005-0000-0000-000083350000}"/>
    <cellStyle name="Normal 5 4 7 2 3" xfId="13701" xr:uid="{00000000-0005-0000-0000-000084350000}"/>
    <cellStyle name="Normal 5 4 7 3" xfId="13702" xr:uid="{00000000-0005-0000-0000-000085350000}"/>
    <cellStyle name="Normal 5 4 7 3 2" xfId="13703" xr:uid="{00000000-0005-0000-0000-000086350000}"/>
    <cellStyle name="Normal 5 4 7 3 3" xfId="13704" xr:uid="{00000000-0005-0000-0000-000087350000}"/>
    <cellStyle name="Normal 5 4 7 4" xfId="13705" xr:uid="{00000000-0005-0000-0000-000088350000}"/>
    <cellStyle name="Normal 5 4 7 5" xfId="13706" xr:uid="{00000000-0005-0000-0000-000089350000}"/>
    <cellStyle name="Normal 5 4 8" xfId="13707" xr:uid="{00000000-0005-0000-0000-00008A350000}"/>
    <cellStyle name="Normal 5 4 8 2" xfId="13708" xr:uid="{00000000-0005-0000-0000-00008B350000}"/>
    <cellStyle name="Normal 5 4 8 2 2" xfId="13709" xr:uid="{00000000-0005-0000-0000-00008C350000}"/>
    <cellStyle name="Normal 5 4 8 2 3" xfId="13710" xr:uid="{00000000-0005-0000-0000-00008D350000}"/>
    <cellStyle name="Normal 5 4 8 3" xfId="13711" xr:uid="{00000000-0005-0000-0000-00008E350000}"/>
    <cellStyle name="Normal 5 4 8 4" xfId="13712" xr:uid="{00000000-0005-0000-0000-00008F350000}"/>
    <cellStyle name="Normal 5 4 9" xfId="13713" xr:uid="{00000000-0005-0000-0000-000090350000}"/>
    <cellStyle name="Normal 5 4 9 2" xfId="13714" xr:uid="{00000000-0005-0000-0000-000091350000}"/>
    <cellStyle name="Normal 5 4 9 3" xfId="13715" xr:uid="{00000000-0005-0000-0000-000092350000}"/>
    <cellStyle name="Normal 5 5" xfId="13716" xr:uid="{00000000-0005-0000-0000-000093350000}"/>
    <cellStyle name="Normal 5 5 10" xfId="13717" xr:uid="{00000000-0005-0000-0000-000094350000}"/>
    <cellStyle name="Normal 5 5 10 2" xfId="13718" xr:uid="{00000000-0005-0000-0000-000095350000}"/>
    <cellStyle name="Normal 5 5 10 3" xfId="13719" xr:uid="{00000000-0005-0000-0000-000096350000}"/>
    <cellStyle name="Normal 5 5 10 3 2" xfId="13720" xr:uid="{00000000-0005-0000-0000-000097350000}"/>
    <cellStyle name="Normal 5 5 10 4" xfId="13721" xr:uid="{00000000-0005-0000-0000-000098350000}"/>
    <cellStyle name="Normal 5 5 11" xfId="13722" xr:uid="{00000000-0005-0000-0000-000099350000}"/>
    <cellStyle name="Normal 5 5 11 2" xfId="13723" xr:uid="{00000000-0005-0000-0000-00009A350000}"/>
    <cellStyle name="Normal 5 5 11 2 2" xfId="13724" xr:uid="{00000000-0005-0000-0000-00009B350000}"/>
    <cellStyle name="Normal 5 5 11 3" xfId="13725" xr:uid="{00000000-0005-0000-0000-00009C350000}"/>
    <cellStyle name="Normal 5 5 12" xfId="13726" xr:uid="{00000000-0005-0000-0000-00009D350000}"/>
    <cellStyle name="Normal 5 5 13" xfId="13727" xr:uid="{00000000-0005-0000-0000-00009E350000}"/>
    <cellStyle name="Normal 5 5 2" xfId="13728" xr:uid="{00000000-0005-0000-0000-00009F350000}"/>
    <cellStyle name="Normal 5 5 2 2" xfId="13729" xr:uid="{00000000-0005-0000-0000-0000A0350000}"/>
    <cellStyle name="Normal 5 5 2 2 2" xfId="13730" xr:uid="{00000000-0005-0000-0000-0000A1350000}"/>
    <cellStyle name="Normal 5 5 2 2 2 2" xfId="13731" xr:uid="{00000000-0005-0000-0000-0000A2350000}"/>
    <cellStyle name="Normal 5 5 2 2 2 2 2" xfId="13732" xr:uid="{00000000-0005-0000-0000-0000A3350000}"/>
    <cellStyle name="Normal 5 5 2 2 2 2 3" xfId="13733" xr:uid="{00000000-0005-0000-0000-0000A4350000}"/>
    <cellStyle name="Normal 5 5 2 2 2 3" xfId="13734" xr:uid="{00000000-0005-0000-0000-0000A5350000}"/>
    <cellStyle name="Normal 5 5 2 2 2 3 2" xfId="13735" xr:uid="{00000000-0005-0000-0000-0000A6350000}"/>
    <cellStyle name="Normal 5 5 2 2 2 3 3" xfId="13736" xr:uid="{00000000-0005-0000-0000-0000A7350000}"/>
    <cellStyle name="Normal 5 5 2 2 2 4" xfId="13737" xr:uid="{00000000-0005-0000-0000-0000A8350000}"/>
    <cellStyle name="Normal 5 5 2 2 2 5" xfId="13738" xr:uid="{00000000-0005-0000-0000-0000A9350000}"/>
    <cellStyle name="Normal 5 5 2 2 3" xfId="13739" xr:uid="{00000000-0005-0000-0000-0000AA350000}"/>
    <cellStyle name="Normal 5 5 2 2 3 2" xfId="13740" xr:uid="{00000000-0005-0000-0000-0000AB350000}"/>
    <cellStyle name="Normal 5 5 2 2 3 2 2" xfId="13741" xr:uid="{00000000-0005-0000-0000-0000AC350000}"/>
    <cellStyle name="Normal 5 5 2 2 3 2 3" xfId="13742" xr:uid="{00000000-0005-0000-0000-0000AD350000}"/>
    <cellStyle name="Normal 5 5 2 2 3 3" xfId="13743" xr:uid="{00000000-0005-0000-0000-0000AE350000}"/>
    <cellStyle name="Normal 5 5 2 2 3 3 2" xfId="13744" xr:uid="{00000000-0005-0000-0000-0000AF350000}"/>
    <cellStyle name="Normal 5 5 2 2 3 3 3" xfId="13745" xr:uid="{00000000-0005-0000-0000-0000B0350000}"/>
    <cellStyle name="Normal 5 5 2 2 3 4" xfId="13746" xr:uid="{00000000-0005-0000-0000-0000B1350000}"/>
    <cellStyle name="Normal 5 5 2 2 3 5" xfId="13747" xr:uid="{00000000-0005-0000-0000-0000B2350000}"/>
    <cellStyle name="Normal 5 5 2 2 4" xfId="13748" xr:uid="{00000000-0005-0000-0000-0000B3350000}"/>
    <cellStyle name="Normal 5 5 2 2 4 2" xfId="13749" xr:uid="{00000000-0005-0000-0000-0000B4350000}"/>
    <cellStyle name="Normal 5 5 2 2 4 3" xfId="13750" xr:uid="{00000000-0005-0000-0000-0000B5350000}"/>
    <cellStyle name="Normal 5 5 2 2 5" xfId="13751" xr:uid="{00000000-0005-0000-0000-0000B6350000}"/>
    <cellStyle name="Normal 5 5 2 2 5 2" xfId="13752" xr:uid="{00000000-0005-0000-0000-0000B7350000}"/>
    <cellStyle name="Normal 5 5 2 2 5 3" xfId="13753" xr:uid="{00000000-0005-0000-0000-0000B8350000}"/>
    <cellStyle name="Normal 5 5 2 2 6" xfId="13754" xr:uid="{00000000-0005-0000-0000-0000B9350000}"/>
    <cellStyle name="Normal 5 5 2 2 7" xfId="13755" xr:uid="{00000000-0005-0000-0000-0000BA350000}"/>
    <cellStyle name="Normal 5 5 2 3" xfId="13756" xr:uid="{00000000-0005-0000-0000-0000BB350000}"/>
    <cellStyle name="Normal 5 5 2 3 2" xfId="13757" xr:uid="{00000000-0005-0000-0000-0000BC350000}"/>
    <cellStyle name="Normal 5 5 2 3 2 2" xfId="13758" xr:uid="{00000000-0005-0000-0000-0000BD350000}"/>
    <cellStyle name="Normal 5 5 2 3 2 3" xfId="13759" xr:uid="{00000000-0005-0000-0000-0000BE350000}"/>
    <cellStyle name="Normal 5 5 2 3 3" xfId="13760" xr:uid="{00000000-0005-0000-0000-0000BF350000}"/>
    <cellStyle name="Normal 5 5 2 3 3 2" xfId="13761" xr:uid="{00000000-0005-0000-0000-0000C0350000}"/>
    <cellStyle name="Normal 5 5 2 3 3 3" xfId="13762" xr:uid="{00000000-0005-0000-0000-0000C1350000}"/>
    <cellStyle name="Normal 5 5 2 3 4" xfId="13763" xr:uid="{00000000-0005-0000-0000-0000C2350000}"/>
    <cellStyle name="Normal 5 5 2 3 5" xfId="13764" xr:uid="{00000000-0005-0000-0000-0000C3350000}"/>
    <cellStyle name="Normal 5 5 2 4" xfId="13765" xr:uid="{00000000-0005-0000-0000-0000C4350000}"/>
    <cellStyle name="Normal 5 5 2 4 2" xfId="13766" xr:uid="{00000000-0005-0000-0000-0000C5350000}"/>
    <cellStyle name="Normal 5 5 2 4 2 2" xfId="13767" xr:uid="{00000000-0005-0000-0000-0000C6350000}"/>
    <cellStyle name="Normal 5 5 2 4 2 3" xfId="13768" xr:uid="{00000000-0005-0000-0000-0000C7350000}"/>
    <cellStyle name="Normal 5 5 2 4 3" xfId="13769" xr:uid="{00000000-0005-0000-0000-0000C8350000}"/>
    <cellStyle name="Normal 5 5 2 4 3 2" xfId="13770" xr:uid="{00000000-0005-0000-0000-0000C9350000}"/>
    <cellStyle name="Normal 5 5 2 4 3 3" xfId="13771" xr:uid="{00000000-0005-0000-0000-0000CA350000}"/>
    <cellStyle name="Normal 5 5 2 4 4" xfId="13772" xr:uid="{00000000-0005-0000-0000-0000CB350000}"/>
    <cellStyle name="Normal 5 5 2 4 5" xfId="13773" xr:uid="{00000000-0005-0000-0000-0000CC350000}"/>
    <cellStyle name="Normal 5 5 2 5" xfId="13774" xr:uid="{00000000-0005-0000-0000-0000CD350000}"/>
    <cellStyle name="Normal 5 5 2 5 2" xfId="13775" xr:uid="{00000000-0005-0000-0000-0000CE350000}"/>
    <cellStyle name="Normal 5 5 2 5 3" xfId="13776" xr:uid="{00000000-0005-0000-0000-0000CF350000}"/>
    <cellStyle name="Normal 5 5 2 6" xfId="13777" xr:uid="{00000000-0005-0000-0000-0000D0350000}"/>
    <cellStyle name="Normal 5 5 2 6 2" xfId="13778" xr:uid="{00000000-0005-0000-0000-0000D1350000}"/>
    <cellStyle name="Normal 5 5 2 6 3" xfId="13779" xr:uid="{00000000-0005-0000-0000-0000D2350000}"/>
    <cellStyle name="Normal 5 5 2 7" xfId="13780" xr:uid="{00000000-0005-0000-0000-0000D3350000}"/>
    <cellStyle name="Normal 5 5 2 7 2" xfId="13781" xr:uid="{00000000-0005-0000-0000-0000D4350000}"/>
    <cellStyle name="Normal 5 5 2 7 3" xfId="13782" xr:uid="{00000000-0005-0000-0000-0000D5350000}"/>
    <cellStyle name="Normal 5 5 2 7 3 2" xfId="13783" xr:uid="{00000000-0005-0000-0000-0000D6350000}"/>
    <cellStyle name="Normal 5 5 2 7 4" xfId="13784" xr:uid="{00000000-0005-0000-0000-0000D7350000}"/>
    <cellStyle name="Normal 5 5 2 8" xfId="13785" xr:uid="{00000000-0005-0000-0000-0000D8350000}"/>
    <cellStyle name="Normal 5 5 2 9" xfId="13786" xr:uid="{00000000-0005-0000-0000-0000D9350000}"/>
    <cellStyle name="Normal 5 5 3" xfId="13787" xr:uid="{00000000-0005-0000-0000-0000DA350000}"/>
    <cellStyle name="Normal 5 5 3 2" xfId="13788" xr:uid="{00000000-0005-0000-0000-0000DB350000}"/>
    <cellStyle name="Normal 5 5 3 2 2" xfId="13789" xr:uid="{00000000-0005-0000-0000-0000DC350000}"/>
    <cellStyle name="Normal 5 5 3 2 2 2" xfId="13790" xr:uid="{00000000-0005-0000-0000-0000DD350000}"/>
    <cellStyle name="Normal 5 5 3 2 2 3" xfId="13791" xr:uid="{00000000-0005-0000-0000-0000DE350000}"/>
    <cellStyle name="Normal 5 5 3 2 3" xfId="13792" xr:uid="{00000000-0005-0000-0000-0000DF350000}"/>
    <cellStyle name="Normal 5 5 3 2 3 2" xfId="13793" xr:uid="{00000000-0005-0000-0000-0000E0350000}"/>
    <cellStyle name="Normal 5 5 3 2 3 3" xfId="13794" xr:uid="{00000000-0005-0000-0000-0000E1350000}"/>
    <cellStyle name="Normal 5 5 3 2 4" xfId="13795" xr:uid="{00000000-0005-0000-0000-0000E2350000}"/>
    <cellStyle name="Normal 5 5 3 2 5" xfId="13796" xr:uid="{00000000-0005-0000-0000-0000E3350000}"/>
    <cellStyle name="Normal 5 5 3 3" xfId="13797" xr:uid="{00000000-0005-0000-0000-0000E4350000}"/>
    <cellStyle name="Normal 5 5 3 3 2" xfId="13798" xr:uid="{00000000-0005-0000-0000-0000E5350000}"/>
    <cellStyle name="Normal 5 5 3 3 2 2" xfId="13799" xr:uid="{00000000-0005-0000-0000-0000E6350000}"/>
    <cellStyle name="Normal 5 5 3 3 2 3" xfId="13800" xr:uid="{00000000-0005-0000-0000-0000E7350000}"/>
    <cellStyle name="Normal 5 5 3 3 3" xfId="13801" xr:uid="{00000000-0005-0000-0000-0000E8350000}"/>
    <cellStyle name="Normal 5 5 3 3 3 2" xfId="13802" xr:uid="{00000000-0005-0000-0000-0000E9350000}"/>
    <cellStyle name="Normal 5 5 3 3 3 3" xfId="13803" xr:uid="{00000000-0005-0000-0000-0000EA350000}"/>
    <cellStyle name="Normal 5 5 3 3 4" xfId="13804" xr:uid="{00000000-0005-0000-0000-0000EB350000}"/>
    <cellStyle name="Normal 5 5 3 3 5" xfId="13805" xr:uid="{00000000-0005-0000-0000-0000EC350000}"/>
    <cellStyle name="Normal 5 5 3 4" xfId="13806" xr:uid="{00000000-0005-0000-0000-0000ED350000}"/>
    <cellStyle name="Normal 5 5 3 4 2" xfId="13807" xr:uid="{00000000-0005-0000-0000-0000EE350000}"/>
    <cellStyle name="Normal 5 5 3 4 3" xfId="13808" xr:uid="{00000000-0005-0000-0000-0000EF350000}"/>
    <cellStyle name="Normal 5 5 3 5" xfId="13809" xr:uid="{00000000-0005-0000-0000-0000F0350000}"/>
    <cellStyle name="Normal 5 5 3 5 2" xfId="13810" xr:uid="{00000000-0005-0000-0000-0000F1350000}"/>
    <cellStyle name="Normal 5 5 3 5 3" xfId="13811" xr:uid="{00000000-0005-0000-0000-0000F2350000}"/>
    <cellStyle name="Normal 5 5 3 6" xfId="13812" xr:uid="{00000000-0005-0000-0000-0000F3350000}"/>
    <cellStyle name="Normal 5 5 3 7" xfId="13813" xr:uid="{00000000-0005-0000-0000-0000F4350000}"/>
    <cellStyle name="Normal 5 5 4" xfId="13814" xr:uid="{00000000-0005-0000-0000-0000F5350000}"/>
    <cellStyle name="Normal 5 5 4 2" xfId="13815" xr:uid="{00000000-0005-0000-0000-0000F6350000}"/>
    <cellStyle name="Normal 5 5 4 2 2" xfId="13816" xr:uid="{00000000-0005-0000-0000-0000F7350000}"/>
    <cellStyle name="Normal 5 5 4 2 2 2" xfId="13817" xr:uid="{00000000-0005-0000-0000-0000F8350000}"/>
    <cellStyle name="Normal 5 5 4 2 2 3" xfId="13818" xr:uid="{00000000-0005-0000-0000-0000F9350000}"/>
    <cellStyle name="Normal 5 5 4 2 3" xfId="13819" xr:uid="{00000000-0005-0000-0000-0000FA350000}"/>
    <cellStyle name="Normal 5 5 4 2 3 2" xfId="13820" xr:uid="{00000000-0005-0000-0000-0000FB350000}"/>
    <cellStyle name="Normal 5 5 4 2 3 3" xfId="13821" xr:uid="{00000000-0005-0000-0000-0000FC350000}"/>
    <cellStyle name="Normal 5 5 4 2 4" xfId="13822" xr:uid="{00000000-0005-0000-0000-0000FD350000}"/>
    <cellStyle name="Normal 5 5 4 2 5" xfId="13823" xr:uid="{00000000-0005-0000-0000-0000FE350000}"/>
    <cellStyle name="Normal 5 5 4 3" xfId="13824" xr:uid="{00000000-0005-0000-0000-0000FF350000}"/>
    <cellStyle name="Normal 5 5 4 3 2" xfId="13825" xr:uid="{00000000-0005-0000-0000-000000360000}"/>
    <cellStyle name="Normal 5 5 4 3 2 2" xfId="13826" xr:uid="{00000000-0005-0000-0000-000001360000}"/>
    <cellStyle name="Normal 5 5 4 3 2 3" xfId="13827" xr:uid="{00000000-0005-0000-0000-000002360000}"/>
    <cellStyle name="Normal 5 5 4 3 3" xfId="13828" xr:uid="{00000000-0005-0000-0000-000003360000}"/>
    <cellStyle name="Normal 5 5 4 3 4" xfId="13829" xr:uid="{00000000-0005-0000-0000-000004360000}"/>
    <cellStyle name="Normal 5 5 4 4" xfId="13830" xr:uid="{00000000-0005-0000-0000-000005360000}"/>
    <cellStyle name="Normal 5 5 4 4 2" xfId="13831" xr:uid="{00000000-0005-0000-0000-000006360000}"/>
    <cellStyle name="Normal 5 5 4 4 3" xfId="13832" xr:uid="{00000000-0005-0000-0000-000007360000}"/>
    <cellStyle name="Normal 5 5 4 5" xfId="13833" xr:uid="{00000000-0005-0000-0000-000008360000}"/>
    <cellStyle name="Normal 5 5 4 5 2" xfId="13834" xr:uid="{00000000-0005-0000-0000-000009360000}"/>
    <cellStyle name="Normal 5 5 4 5 3" xfId="13835" xr:uid="{00000000-0005-0000-0000-00000A360000}"/>
    <cellStyle name="Normal 5 5 4 6" xfId="13836" xr:uid="{00000000-0005-0000-0000-00000B360000}"/>
    <cellStyle name="Normal 5 5 4 7" xfId="13837" xr:uid="{00000000-0005-0000-0000-00000C360000}"/>
    <cellStyle name="Normal 5 5 5" xfId="13838" xr:uid="{00000000-0005-0000-0000-00000D360000}"/>
    <cellStyle name="Normal 5 5 5 2" xfId="13839" xr:uid="{00000000-0005-0000-0000-00000E360000}"/>
    <cellStyle name="Normal 5 5 5 2 2" xfId="13840" xr:uid="{00000000-0005-0000-0000-00000F360000}"/>
    <cellStyle name="Normal 5 5 5 2 3" xfId="13841" xr:uid="{00000000-0005-0000-0000-000010360000}"/>
    <cellStyle name="Normal 5 5 5 3" xfId="13842" xr:uid="{00000000-0005-0000-0000-000011360000}"/>
    <cellStyle name="Normal 5 5 5 3 2" xfId="13843" xr:uid="{00000000-0005-0000-0000-000012360000}"/>
    <cellStyle name="Normal 5 5 5 3 3" xfId="13844" xr:uid="{00000000-0005-0000-0000-000013360000}"/>
    <cellStyle name="Normal 5 5 5 4" xfId="13845" xr:uid="{00000000-0005-0000-0000-000014360000}"/>
    <cellStyle name="Normal 5 5 5 5" xfId="13846" xr:uid="{00000000-0005-0000-0000-000015360000}"/>
    <cellStyle name="Normal 5 5 6" xfId="13847" xr:uid="{00000000-0005-0000-0000-000016360000}"/>
    <cellStyle name="Normal 5 5 6 2" xfId="13848" xr:uid="{00000000-0005-0000-0000-000017360000}"/>
    <cellStyle name="Normal 5 5 6 2 2" xfId="13849" xr:uid="{00000000-0005-0000-0000-000018360000}"/>
    <cellStyle name="Normal 5 5 6 2 3" xfId="13850" xr:uid="{00000000-0005-0000-0000-000019360000}"/>
    <cellStyle name="Normal 5 5 6 3" xfId="13851" xr:uid="{00000000-0005-0000-0000-00001A360000}"/>
    <cellStyle name="Normal 5 5 6 3 2" xfId="13852" xr:uid="{00000000-0005-0000-0000-00001B360000}"/>
    <cellStyle name="Normal 5 5 6 3 3" xfId="13853" xr:uid="{00000000-0005-0000-0000-00001C360000}"/>
    <cellStyle name="Normal 5 5 6 4" xfId="13854" xr:uid="{00000000-0005-0000-0000-00001D360000}"/>
    <cellStyle name="Normal 5 5 6 5" xfId="13855" xr:uid="{00000000-0005-0000-0000-00001E360000}"/>
    <cellStyle name="Normal 5 5 7" xfId="13856" xr:uid="{00000000-0005-0000-0000-00001F360000}"/>
    <cellStyle name="Normal 5 5 7 2" xfId="13857" xr:uid="{00000000-0005-0000-0000-000020360000}"/>
    <cellStyle name="Normal 5 5 7 2 2" xfId="13858" xr:uid="{00000000-0005-0000-0000-000021360000}"/>
    <cellStyle name="Normal 5 5 7 2 3" xfId="13859" xr:uid="{00000000-0005-0000-0000-000022360000}"/>
    <cellStyle name="Normal 5 5 7 3" xfId="13860" xr:uid="{00000000-0005-0000-0000-000023360000}"/>
    <cellStyle name="Normal 5 5 7 4" xfId="13861" xr:uid="{00000000-0005-0000-0000-000024360000}"/>
    <cellStyle name="Normal 5 5 8" xfId="13862" xr:uid="{00000000-0005-0000-0000-000025360000}"/>
    <cellStyle name="Normal 5 5 8 2" xfId="13863" xr:uid="{00000000-0005-0000-0000-000026360000}"/>
    <cellStyle name="Normal 5 5 8 3" xfId="13864" xr:uid="{00000000-0005-0000-0000-000027360000}"/>
    <cellStyle name="Normal 5 5 9" xfId="13865" xr:uid="{00000000-0005-0000-0000-000028360000}"/>
    <cellStyle name="Normal 5 5 9 2" xfId="13866" xr:uid="{00000000-0005-0000-0000-000029360000}"/>
    <cellStyle name="Normal 5 5 9 3" xfId="13867" xr:uid="{00000000-0005-0000-0000-00002A360000}"/>
    <cellStyle name="Normal 5 6" xfId="13868" xr:uid="{00000000-0005-0000-0000-00002B360000}"/>
    <cellStyle name="Normal 5 6 10" xfId="13869" xr:uid="{00000000-0005-0000-0000-00002C360000}"/>
    <cellStyle name="Normal 5 6 10 2" xfId="13870" xr:uid="{00000000-0005-0000-0000-00002D360000}"/>
    <cellStyle name="Normal 5 6 10 3" xfId="13871" xr:uid="{00000000-0005-0000-0000-00002E360000}"/>
    <cellStyle name="Normal 5 6 10 3 2" xfId="13872" xr:uid="{00000000-0005-0000-0000-00002F360000}"/>
    <cellStyle name="Normal 5 6 10 4" xfId="13873" xr:uid="{00000000-0005-0000-0000-000030360000}"/>
    <cellStyle name="Normal 5 6 11" xfId="13874" xr:uid="{00000000-0005-0000-0000-000031360000}"/>
    <cellStyle name="Normal 5 6 11 2" xfId="13875" xr:uid="{00000000-0005-0000-0000-000032360000}"/>
    <cellStyle name="Normal 5 6 11 3" xfId="13876" xr:uid="{00000000-0005-0000-0000-000033360000}"/>
    <cellStyle name="Normal 5 6 11 3 2" xfId="13877" xr:uid="{00000000-0005-0000-0000-000034360000}"/>
    <cellStyle name="Normal 5 6 11 4" xfId="13878" xr:uid="{00000000-0005-0000-0000-000035360000}"/>
    <cellStyle name="Normal 5 6 12" xfId="13879" xr:uid="{00000000-0005-0000-0000-000036360000}"/>
    <cellStyle name="Normal 5 6 13" xfId="13880" xr:uid="{00000000-0005-0000-0000-000037360000}"/>
    <cellStyle name="Normal 5 6 2" xfId="13881" xr:uid="{00000000-0005-0000-0000-000038360000}"/>
    <cellStyle name="Normal 5 6 2 2" xfId="13882" xr:uid="{00000000-0005-0000-0000-000039360000}"/>
    <cellStyle name="Normal 5 6 2 2 2" xfId="13883" xr:uid="{00000000-0005-0000-0000-00003A360000}"/>
    <cellStyle name="Normal 5 6 2 2 2 2" xfId="13884" xr:uid="{00000000-0005-0000-0000-00003B360000}"/>
    <cellStyle name="Normal 5 6 2 2 2 2 2" xfId="13885" xr:uid="{00000000-0005-0000-0000-00003C360000}"/>
    <cellStyle name="Normal 5 6 2 2 2 2 3" xfId="13886" xr:uid="{00000000-0005-0000-0000-00003D360000}"/>
    <cellStyle name="Normal 5 6 2 2 2 3" xfId="13887" xr:uid="{00000000-0005-0000-0000-00003E360000}"/>
    <cellStyle name="Normal 5 6 2 2 2 3 2" xfId="13888" xr:uid="{00000000-0005-0000-0000-00003F360000}"/>
    <cellStyle name="Normal 5 6 2 2 2 3 3" xfId="13889" xr:uid="{00000000-0005-0000-0000-000040360000}"/>
    <cellStyle name="Normal 5 6 2 2 2 4" xfId="13890" xr:uid="{00000000-0005-0000-0000-000041360000}"/>
    <cellStyle name="Normal 5 6 2 2 2 5" xfId="13891" xr:uid="{00000000-0005-0000-0000-000042360000}"/>
    <cellStyle name="Normal 5 6 2 2 3" xfId="13892" xr:uid="{00000000-0005-0000-0000-000043360000}"/>
    <cellStyle name="Normal 5 6 2 2 3 2" xfId="13893" xr:uid="{00000000-0005-0000-0000-000044360000}"/>
    <cellStyle name="Normal 5 6 2 2 3 2 2" xfId="13894" xr:uid="{00000000-0005-0000-0000-000045360000}"/>
    <cellStyle name="Normal 5 6 2 2 3 2 3" xfId="13895" xr:uid="{00000000-0005-0000-0000-000046360000}"/>
    <cellStyle name="Normal 5 6 2 2 3 3" xfId="13896" xr:uid="{00000000-0005-0000-0000-000047360000}"/>
    <cellStyle name="Normal 5 6 2 2 3 3 2" xfId="13897" xr:uid="{00000000-0005-0000-0000-000048360000}"/>
    <cellStyle name="Normal 5 6 2 2 3 3 3" xfId="13898" xr:uid="{00000000-0005-0000-0000-000049360000}"/>
    <cellStyle name="Normal 5 6 2 2 3 4" xfId="13899" xr:uid="{00000000-0005-0000-0000-00004A360000}"/>
    <cellStyle name="Normal 5 6 2 2 3 5" xfId="13900" xr:uid="{00000000-0005-0000-0000-00004B360000}"/>
    <cellStyle name="Normal 5 6 2 2 4" xfId="13901" xr:uid="{00000000-0005-0000-0000-00004C360000}"/>
    <cellStyle name="Normal 5 6 2 2 4 2" xfId="13902" xr:uid="{00000000-0005-0000-0000-00004D360000}"/>
    <cellStyle name="Normal 5 6 2 2 4 3" xfId="13903" xr:uid="{00000000-0005-0000-0000-00004E360000}"/>
    <cellStyle name="Normal 5 6 2 2 5" xfId="13904" xr:uid="{00000000-0005-0000-0000-00004F360000}"/>
    <cellStyle name="Normal 5 6 2 2 5 2" xfId="13905" xr:uid="{00000000-0005-0000-0000-000050360000}"/>
    <cellStyle name="Normal 5 6 2 2 5 3" xfId="13906" xr:uid="{00000000-0005-0000-0000-000051360000}"/>
    <cellStyle name="Normal 5 6 2 2 6" xfId="13907" xr:uid="{00000000-0005-0000-0000-000052360000}"/>
    <cellStyle name="Normal 5 6 2 2 7" xfId="13908" xr:uid="{00000000-0005-0000-0000-000053360000}"/>
    <cellStyle name="Normal 5 6 2 3" xfId="13909" xr:uid="{00000000-0005-0000-0000-000054360000}"/>
    <cellStyle name="Normal 5 6 2 3 2" xfId="13910" xr:uid="{00000000-0005-0000-0000-000055360000}"/>
    <cellStyle name="Normal 5 6 2 3 2 2" xfId="13911" xr:uid="{00000000-0005-0000-0000-000056360000}"/>
    <cellStyle name="Normal 5 6 2 3 2 3" xfId="13912" xr:uid="{00000000-0005-0000-0000-000057360000}"/>
    <cellStyle name="Normal 5 6 2 3 3" xfId="13913" xr:uid="{00000000-0005-0000-0000-000058360000}"/>
    <cellStyle name="Normal 5 6 2 3 3 2" xfId="13914" xr:uid="{00000000-0005-0000-0000-000059360000}"/>
    <cellStyle name="Normal 5 6 2 3 3 3" xfId="13915" xr:uid="{00000000-0005-0000-0000-00005A360000}"/>
    <cellStyle name="Normal 5 6 2 3 4" xfId="13916" xr:uid="{00000000-0005-0000-0000-00005B360000}"/>
    <cellStyle name="Normal 5 6 2 3 5" xfId="13917" xr:uid="{00000000-0005-0000-0000-00005C360000}"/>
    <cellStyle name="Normal 5 6 2 4" xfId="13918" xr:uid="{00000000-0005-0000-0000-00005D360000}"/>
    <cellStyle name="Normal 5 6 2 4 2" xfId="13919" xr:uid="{00000000-0005-0000-0000-00005E360000}"/>
    <cellStyle name="Normal 5 6 2 4 2 2" xfId="13920" xr:uid="{00000000-0005-0000-0000-00005F360000}"/>
    <cellStyle name="Normal 5 6 2 4 2 3" xfId="13921" xr:uid="{00000000-0005-0000-0000-000060360000}"/>
    <cellStyle name="Normal 5 6 2 4 3" xfId="13922" xr:uid="{00000000-0005-0000-0000-000061360000}"/>
    <cellStyle name="Normal 5 6 2 4 3 2" xfId="13923" xr:uid="{00000000-0005-0000-0000-000062360000}"/>
    <cellStyle name="Normal 5 6 2 4 3 3" xfId="13924" xr:uid="{00000000-0005-0000-0000-000063360000}"/>
    <cellStyle name="Normal 5 6 2 4 4" xfId="13925" xr:uid="{00000000-0005-0000-0000-000064360000}"/>
    <cellStyle name="Normal 5 6 2 4 5" xfId="13926" xr:uid="{00000000-0005-0000-0000-000065360000}"/>
    <cellStyle name="Normal 5 6 2 5" xfId="13927" xr:uid="{00000000-0005-0000-0000-000066360000}"/>
    <cellStyle name="Normal 5 6 2 5 2" xfId="13928" xr:uid="{00000000-0005-0000-0000-000067360000}"/>
    <cellStyle name="Normal 5 6 2 5 3" xfId="13929" xr:uid="{00000000-0005-0000-0000-000068360000}"/>
    <cellStyle name="Normal 5 6 2 6" xfId="13930" xr:uid="{00000000-0005-0000-0000-000069360000}"/>
    <cellStyle name="Normal 5 6 2 6 2" xfId="13931" xr:uid="{00000000-0005-0000-0000-00006A360000}"/>
    <cellStyle name="Normal 5 6 2 6 3" xfId="13932" xr:uid="{00000000-0005-0000-0000-00006B360000}"/>
    <cellStyle name="Normal 5 6 2 7" xfId="13933" xr:uid="{00000000-0005-0000-0000-00006C360000}"/>
    <cellStyle name="Normal 5 6 2 7 2" xfId="13934" xr:uid="{00000000-0005-0000-0000-00006D360000}"/>
    <cellStyle name="Normal 5 6 2 7 3" xfId="13935" xr:uid="{00000000-0005-0000-0000-00006E360000}"/>
    <cellStyle name="Normal 5 6 2 7 3 2" xfId="13936" xr:uid="{00000000-0005-0000-0000-00006F360000}"/>
    <cellStyle name="Normal 5 6 2 7 4" xfId="13937" xr:uid="{00000000-0005-0000-0000-000070360000}"/>
    <cellStyle name="Normal 5 6 2 8" xfId="13938" xr:uid="{00000000-0005-0000-0000-000071360000}"/>
    <cellStyle name="Normal 5 6 2 9" xfId="13939" xr:uid="{00000000-0005-0000-0000-000072360000}"/>
    <cellStyle name="Normal 5 6 3" xfId="13940" xr:uid="{00000000-0005-0000-0000-000073360000}"/>
    <cellStyle name="Normal 5 6 3 2" xfId="13941" xr:uid="{00000000-0005-0000-0000-000074360000}"/>
    <cellStyle name="Normal 5 6 3 2 2" xfId="13942" xr:uid="{00000000-0005-0000-0000-000075360000}"/>
    <cellStyle name="Normal 5 6 3 2 2 2" xfId="13943" xr:uid="{00000000-0005-0000-0000-000076360000}"/>
    <cellStyle name="Normal 5 6 3 2 2 3" xfId="13944" xr:uid="{00000000-0005-0000-0000-000077360000}"/>
    <cellStyle name="Normal 5 6 3 2 3" xfId="13945" xr:uid="{00000000-0005-0000-0000-000078360000}"/>
    <cellStyle name="Normal 5 6 3 2 3 2" xfId="13946" xr:uid="{00000000-0005-0000-0000-000079360000}"/>
    <cellStyle name="Normal 5 6 3 2 3 3" xfId="13947" xr:uid="{00000000-0005-0000-0000-00007A360000}"/>
    <cellStyle name="Normal 5 6 3 2 4" xfId="13948" xr:uid="{00000000-0005-0000-0000-00007B360000}"/>
    <cellStyle name="Normal 5 6 3 2 5" xfId="13949" xr:uid="{00000000-0005-0000-0000-00007C360000}"/>
    <cellStyle name="Normal 5 6 3 3" xfId="13950" xr:uid="{00000000-0005-0000-0000-00007D360000}"/>
    <cellStyle name="Normal 5 6 3 3 2" xfId="13951" xr:uid="{00000000-0005-0000-0000-00007E360000}"/>
    <cellStyle name="Normal 5 6 3 3 2 2" xfId="13952" xr:uid="{00000000-0005-0000-0000-00007F360000}"/>
    <cellStyle name="Normal 5 6 3 3 2 3" xfId="13953" xr:uid="{00000000-0005-0000-0000-000080360000}"/>
    <cellStyle name="Normal 5 6 3 3 3" xfId="13954" xr:uid="{00000000-0005-0000-0000-000081360000}"/>
    <cellStyle name="Normal 5 6 3 3 3 2" xfId="13955" xr:uid="{00000000-0005-0000-0000-000082360000}"/>
    <cellStyle name="Normal 5 6 3 3 3 3" xfId="13956" xr:uid="{00000000-0005-0000-0000-000083360000}"/>
    <cellStyle name="Normal 5 6 3 3 4" xfId="13957" xr:uid="{00000000-0005-0000-0000-000084360000}"/>
    <cellStyle name="Normal 5 6 3 3 5" xfId="13958" xr:uid="{00000000-0005-0000-0000-000085360000}"/>
    <cellStyle name="Normal 5 6 3 4" xfId="13959" xr:uid="{00000000-0005-0000-0000-000086360000}"/>
    <cellStyle name="Normal 5 6 3 4 2" xfId="13960" xr:uid="{00000000-0005-0000-0000-000087360000}"/>
    <cellStyle name="Normal 5 6 3 4 3" xfId="13961" xr:uid="{00000000-0005-0000-0000-000088360000}"/>
    <cellStyle name="Normal 5 6 3 5" xfId="13962" xr:uid="{00000000-0005-0000-0000-000089360000}"/>
    <cellStyle name="Normal 5 6 3 5 2" xfId="13963" xr:uid="{00000000-0005-0000-0000-00008A360000}"/>
    <cellStyle name="Normal 5 6 3 5 3" xfId="13964" xr:uid="{00000000-0005-0000-0000-00008B360000}"/>
    <cellStyle name="Normal 5 6 3 6" xfId="13965" xr:uid="{00000000-0005-0000-0000-00008C360000}"/>
    <cellStyle name="Normal 5 6 3 7" xfId="13966" xr:uid="{00000000-0005-0000-0000-00008D360000}"/>
    <cellStyle name="Normal 5 6 4" xfId="13967" xr:uid="{00000000-0005-0000-0000-00008E360000}"/>
    <cellStyle name="Normal 5 6 4 2" xfId="13968" xr:uid="{00000000-0005-0000-0000-00008F360000}"/>
    <cellStyle name="Normal 5 6 4 2 2" xfId="13969" xr:uid="{00000000-0005-0000-0000-000090360000}"/>
    <cellStyle name="Normal 5 6 4 2 2 2" xfId="13970" xr:uid="{00000000-0005-0000-0000-000091360000}"/>
    <cellStyle name="Normal 5 6 4 2 2 3" xfId="13971" xr:uid="{00000000-0005-0000-0000-000092360000}"/>
    <cellStyle name="Normal 5 6 4 2 3" xfId="13972" xr:uid="{00000000-0005-0000-0000-000093360000}"/>
    <cellStyle name="Normal 5 6 4 2 3 2" xfId="13973" xr:uid="{00000000-0005-0000-0000-000094360000}"/>
    <cellStyle name="Normal 5 6 4 2 3 3" xfId="13974" xr:uid="{00000000-0005-0000-0000-000095360000}"/>
    <cellStyle name="Normal 5 6 4 2 4" xfId="13975" xr:uid="{00000000-0005-0000-0000-000096360000}"/>
    <cellStyle name="Normal 5 6 4 2 5" xfId="13976" xr:uid="{00000000-0005-0000-0000-000097360000}"/>
    <cellStyle name="Normal 5 6 4 3" xfId="13977" xr:uid="{00000000-0005-0000-0000-000098360000}"/>
    <cellStyle name="Normal 5 6 4 3 2" xfId="13978" xr:uid="{00000000-0005-0000-0000-000099360000}"/>
    <cellStyle name="Normal 5 6 4 3 2 2" xfId="13979" xr:uid="{00000000-0005-0000-0000-00009A360000}"/>
    <cellStyle name="Normal 5 6 4 3 2 3" xfId="13980" xr:uid="{00000000-0005-0000-0000-00009B360000}"/>
    <cellStyle name="Normal 5 6 4 3 3" xfId="13981" xr:uid="{00000000-0005-0000-0000-00009C360000}"/>
    <cellStyle name="Normal 5 6 4 3 4" xfId="13982" xr:uid="{00000000-0005-0000-0000-00009D360000}"/>
    <cellStyle name="Normal 5 6 4 4" xfId="13983" xr:uid="{00000000-0005-0000-0000-00009E360000}"/>
    <cellStyle name="Normal 5 6 4 4 2" xfId="13984" xr:uid="{00000000-0005-0000-0000-00009F360000}"/>
    <cellStyle name="Normal 5 6 4 4 3" xfId="13985" xr:uid="{00000000-0005-0000-0000-0000A0360000}"/>
    <cellStyle name="Normal 5 6 4 5" xfId="13986" xr:uid="{00000000-0005-0000-0000-0000A1360000}"/>
    <cellStyle name="Normal 5 6 4 5 2" xfId="13987" xr:uid="{00000000-0005-0000-0000-0000A2360000}"/>
    <cellStyle name="Normal 5 6 4 5 3" xfId="13988" xr:uid="{00000000-0005-0000-0000-0000A3360000}"/>
    <cellStyle name="Normal 5 6 4 6" xfId="13989" xr:uid="{00000000-0005-0000-0000-0000A4360000}"/>
    <cellStyle name="Normal 5 6 4 7" xfId="13990" xr:uid="{00000000-0005-0000-0000-0000A5360000}"/>
    <cellStyle name="Normal 5 6 5" xfId="13991" xr:uid="{00000000-0005-0000-0000-0000A6360000}"/>
    <cellStyle name="Normal 5 6 5 2" xfId="13992" xr:uid="{00000000-0005-0000-0000-0000A7360000}"/>
    <cellStyle name="Normal 5 6 5 2 2" xfId="13993" xr:uid="{00000000-0005-0000-0000-0000A8360000}"/>
    <cellStyle name="Normal 5 6 5 2 3" xfId="13994" xr:uid="{00000000-0005-0000-0000-0000A9360000}"/>
    <cellStyle name="Normal 5 6 5 3" xfId="13995" xr:uid="{00000000-0005-0000-0000-0000AA360000}"/>
    <cellStyle name="Normal 5 6 5 3 2" xfId="13996" xr:uid="{00000000-0005-0000-0000-0000AB360000}"/>
    <cellStyle name="Normal 5 6 5 3 3" xfId="13997" xr:uid="{00000000-0005-0000-0000-0000AC360000}"/>
    <cellStyle name="Normal 5 6 5 4" xfId="13998" xr:uid="{00000000-0005-0000-0000-0000AD360000}"/>
    <cellStyle name="Normal 5 6 5 5" xfId="13999" xr:uid="{00000000-0005-0000-0000-0000AE360000}"/>
    <cellStyle name="Normal 5 6 6" xfId="14000" xr:uid="{00000000-0005-0000-0000-0000AF360000}"/>
    <cellStyle name="Normal 5 6 6 2" xfId="14001" xr:uid="{00000000-0005-0000-0000-0000B0360000}"/>
    <cellStyle name="Normal 5 6 6 2 2" xfId="14002" xr:uid="{00000000-0005-0000-0000-0000B1360000}"/>
    <cellStyle name="Normal 5 6 6 2 3" xfId="14003" xr:uid="{00000000-0005-0000-0000-0000B2360000}"/>
    <cellStyle name="Normal 5 6 6 3" xfId="14004" xr:uid="{00000000-0005-0000-0000-0000B3360000}"/>
    <cellStyle name="Normal 5 6 6 3 2" xfId="14005" xr:uid="{00000000-0005-0000-0000-0000B4360000}"/>
    <cellStyle name="Normal 5 6 6 3 3" xfId="14006" xr:uid="{00000000-0005-0000-0000-0000B5360000}"/>
    <cellStyle name="Normal 5 6 6 4" xfId="14007" xr:uid="{00000000-0005-0000-0000-0000B6360000}"/>
    <cellStyle name="Normal 5 6 6 5" xfId="14008" xr:uid="{00000000-0005-0000-0000-0000B7360000}"/>
    <cellStyle name="Normal 5 6 7" xfId="14009" xr:uid="{00000000-0005-0000-0000-0000B8360000}"/>
    <cellStyle name="Normal 5 6 7 2" xfId="14010" xr:uid="{00000000-0005-0000-0000-0000B9360000}"/>
    <cellStyle name="Normal 5 6 7 2 2" xfId="14011" xr:uid="{00000000-0005-0000-0000-0000BA360000}"/>
    <cellStyle name="Normal 5 6 7 2 3" xfId="14012" xr:uid="{00000000-0005-0000-0000-0000BB360000}"/>
    <cellStyle name="Normal 5 6 7 3" xfId="14013" xr:uid="{00000000-0005-0000-0000-0000BC360000}"/>
    <cellStyle name="Normal 5 6 7 4" xfId="14014" xr:uid="{00000000-0005-0000-0000-0000BD360000}"/>
    <cellStyle name="Normal 5 6 8" xfId="14015" xr:uid="{00000000-0005-0000-0000-0000BE360000}"/>
    <cellStyle name="Normal 5 6 8 2" xfId="14016" xr:uid="{00000000-0005-0000-0000-0000BF360000}"/>
    <cellStyle name="Normal 5 6 8 3" xfId="14017" xr:uid="{00000000-0005-0000-0000-0000C0360000}"/>
    <cellStyle name="Normal 5 6 9" xfId="14018" xr:uid="{00000000-0005-0000-0000-0000C1360000}"/>
    <cellStyle name="Normal 5 6 9 2" xfId="14019" xr:uid="{00000000-0005-0000-0000-0000C2360000}"/>
    <cellStyle name="Normal 5 6 9 3" xfId="14020" xr:uid="{00000000-0005-0000-0000-0000C3360000}"/>
    <cellStyle name="Normal 5 7" xfId="14021" xr:uid="{00000000-0005-0000-0000-0000C4360000}"/>
    <cellStyle name="Normal 5 7 10" xfId="14022" xr:uid="{00000000-0005-0000-0000-0000C5360000}"/>
    <cellStyle name="Normal 5 7 10 2" xfId="14023" xr:uid="{00000000-0005-0000-0000-0000C6360000}"/>
    <cellStyle name="Normal 5 7 10 3" xfId="14024" xr:uid="{00000000-0005-0000-0000-0000C7360000}"/>
    <cellStyle name="Normal 5 7 10 3 2" xfId="14025" xr:uid="{00000000-0005-0000-0000-0000C8360000}"/>
    <cellStyle name="Normal 5 7 10 4" xfId="14026" xr:uid="{00000000-0005-0000-0000-0000C9360000}"/>
    <cellStyle name="Normal 5 7 11" xfId="14027" xr:uid="{00000000-0005-0000-0000-0000CA360000}"/>
    <cellStyle name="Normal 5 7 11 2" xfId="14028" xr:uid="{00000000-0005-0000-0000-0000CB360000}"/>
    <cellStyle name="Normal 5 7 11 2 2" xfId="14029" xr:uid="{00000000-0005-0000-0000-0000CC360000}"/>
    <cellStyle name="Normal 5 7 11 3" xfId="14030" xr:uid="{00000000-0005-0000-0000-0000CD360000}"/>
    <cellStyle name="Normal 5 7 12" xfId="14031" xr:uid="{00000000-0005-0000-0000-0000CE360000}"/>
    <cellStyle name="Normal 5 7 13" xfId="14032" xr:uid="{00000000-0005-0000-0000-0000CF360000}"/>
    <cellStyle name="Normal 5 7 2" xfId="14033" xr:uid="{00000000-0005-0000-0000-0000D0360000}"/>
    <cellStyle name="Normal 5 7 2 2" xfId="14034" xr:uid="{00000000-0005-0000-0000-0000D1360000}"/>
    <cellStyle name="Normal 5 7 2 2 2" xfId="14035" xr:uid="{00000000-0005-0000-0000-0000D2360000}"/>
    <cellStyle name="Normal 5 7 2 2 2 2" xfId="14036" xr:uid="{00000000-0005-0000-0000-0000D3360000}"/>
    <cellStyle name="Normal 5 7 2 2 2 2 2" xfId="14037" xr:uid="{00000000-0005-0000-0000-0000D4360000}"/>
    <cellStyle name="Normal 5 7 2 2 2 2 3" xfId="14038" xr:uid="{00000000-0005-0000-0000-0000D5360000}"/>
    <cellStyle name="Normal 5 7 2 2 2 3" xfId="14039" xr:uid="{00000000-0005-0000-0000-0000D6360000}"/>
    <cellStyle name="Normal 5 7 2 2 2 3 2" xfId="14040" xr:uid="{00000000-0005-0000-0000-0000D7360000}"/>
    <cellStyle name="Normal 5 7 2 2 2 3 3" xfId="14041" xr:uid="{00000000-0005-0000-0000-0000D8360000}"/>
    <cellStyle name="Normal 5 7 2 2 2 4" xfId="14042" xr:uid="{00000000-0005-0000-0000-0000D9360000}"/>
    <cellStyle name="Normal 5 7 2 2 2 5" xfId="14043" xr:uid="{00000000-0005-0000-0000-0000DA360000}"/>
    <cellStyle name="Normal 5 7 2 2 3" xfId="14044" xr:uid="{00000000-0005-0000-0000-0000DB360000}"/>
    <cellStyle name="Normal 5 7 2 2 3 2" xfId="14045" xr:uid="{00000000-0005-0000-0000-0000DC360000}"/>
    <cellStyle name="Normal 5 7 2 2 3 2 2" xfId="14046" xr:uid="{00000000-0005-0000-0000-0000DD360000}"/>
    <cellStyle name="Normal 5 7 2 2 3 2 3" xfId="14047" xr:uid="{00000000-0005-0000-0000-0000DE360000}"/>
    <cellStyle name="Normal 5 7 2 2 3 3" xfId="14048" xr:uid="{00000000-0005-0000-0000-0000DF360000}"/>
    <cellStyle name="Normal 5 7 2 2 3 3 2" xfId="14049" xr:uid="{00000000-0005-0000-0000-0000E0360000}"/>
    <cellStyle name="Normal 5 7 2 2 3 3 3" xfId="14050" xr:uid="{00000000-0005-0000-0000-0000E1360000}"/>
    <cellStyle name="Normal 5 7 2 2 3 4" xfId="14051" xr:uid="{00000000-0005-0000-0000-0000E2360000}"/>
    <cellStyle name="Normal 5 7 2 2 3 5" xfId="14052" xr:uid="{00000000-0005-0000-0000-0000E3360000}"/>
    <cellStyle name="Normal 5 7 2 2 4" xfId="14053" xr:uid="{00000000-0005-0000-0000-0000E4360000}"/>
    <cellStyle name="Normal 5 7 2 2 4 2" xfId="14054" xr:uid="{00000000-0005-0000-0000-0000E5360000}"/>
    <cellStyle name="Normal 5 7 2 2 4 3" xfId="14055" xr:uid="{00000000-0005-0000-0000-0000E6360000}"/>
    <cellStyle name="Normal 5 7 2 2 5" xfId="14056" xr:uid="{00000000-0005-0000-0000-0000E7360000}"/>
    <cellStyle name="Normal 5 7 2 2 5 2" xfId="14057" xr:uid="{00000000-0005-0000-0000-0000E8360000}"/>
    <cellStyle name="Normal 5 7 2 2 5 3" xfId="14058" xr:uid="{00000000-0005-0000-0000-0000E9360000}"/>
    <cellStyle name="Normal 5 7 2 2 6" xfId="14059" xr:uid="{00000000-0005-0000-0000-0000EA360000}"/>
    <cellStyle name="Normal 5 7 2 2 7" xfId="14060" xr:uid="{00000000-0005-0000-0000-0000EB360000}"/>
    <cellStyle name="Normal 5 7 2 3" xfId="14061" xr:uid="{00000000-0005-0000-0000-0000EC360000}"/>
    <cellStyle name="Normal 5 7 2 3 2" xfId="14062" xr:uid="{00000000-0005-0000-0000-0000ED360000}"/>
    <cellStyle name="Normal 5 7 2 3 2 2" xfId="14063" xr:uid="{00000000-0005-0000-0000-0000EE360000}"/>
    <cellStyle name="Normal 5 7 2 3 2 3" xfId="14064" xr:uid="{00000000-0005-0000-0000-0000EF360000}"/>
    <cellStyle name="Normal 5 7 2 3 3" xfId="14065" xr:uid="{00000000-0005-0000-0000-0000F0360000}"/>
    <cellStyle name="Normal 5 7 2 3 3 2" xfId="14066" xr:uid="{00000000-0005-0000-0000-0000F1360000}"/>
    <cellStyle name="Normal 5 7 2 3 3 3" xfId="14067" xr:uid="{00000000-0005-0000-0000-0000F2360000}"/>
    <cellStyle name="Normal 5 7 2 3 4" xfId="14068" xr:uid="{00000000-0005-0000-0000-0000F3360000}"/>
    <cellStyle name="Normal 5 7 2 3 5" xfId="14069" xr:uid="{00000000-0005-0000-0000-0000F4360000}"/>
    <cellStyle name="Normal 5 7 2 4" xfId="14070" xr:uid="{00000000-0005-0000-0000-0000F5360000}"/>
    <cellStyle name="Normal 5 7 2 4 2" xfId="14071" xr:uid="{00000000-0005-0000-0000-0000F6360000}"/>
    <cellStyle name="Normal 5 7 2 4 2 2" xfId="14072" xr:uid="{00000000-0005-0000-0000-0000F7360000}"/>
    <cellStyle name="Normal 5 7 2 4 2 3" xfId="14073" xr:uid="{00000000-0005-0000-0000-0000F8360000}"/>
    <cellStyle name="Normal 5 7 2 4 3" xfId="14074" xr:uid="{00000000-0005-0000-0000-0000F9360000}"/>
    <cellStyle name="Normal 5 7 2 4 3 2" xfId="14075" xr:uid="{00000000-0005-0000-0000-0000FA360000}"/>
    <cellStyle name="Normal 5 7 2 4 3 3" xfId="14076" xr:uid="{00000000-0005-0000-0000-0000FB360000}"/>
    <cellStyle name="Normal 5 7 2 4 4" xfId="14077" xr:uid="{00000000-0005-0000-0000-0000FC360000}"/>
    <cellStyle name="Normal 5 7 2 4 5" xfId="14078" xr:uid="{00000000-0005-0000-0000-0000FD360000}"/>
    <cellStyle name="Normal 5 7 2 5" xfId="14079" xr:uid="{00000000-0005-0000-0000-0000FE360000}"/>
    <cellStyle name="Normal 5 7 2 5 2" xfId="14080" xr:uid="{00000000-0005-0000-0000-0000FF360000}"/>
    <cellStyle name="Normal 5 7 2 5 3" xfId="14081" xr:uid="{00000000-0005-0000-0000-000000370000}"/>
    <cellStyle name="Normal 5 7 2 6" xfId="14082" xr:uid="{00000000-0005-0000-0000-000001370000}"/>
    <cellStyle name="Normal 5 7 2 6 2" xfId="14083" xr:uid="{00000000-0005-0000-0000-000002370000}"/>
    <cellStyle name="Normal 5 7 2 6 3" xfId="14084" xr:uid="{00000000-0005-0000-0000-000003370000}"/>
    <cellStyle name="Normal 5 7 2 7" xfId="14085" xr:uid="{00000000-0005-0000-0000-000004370000}"/>
    <cellStyle name="Normal 5 7 2 7 2" xfId="14086" xr:uid="{00000000-0005-0000-0000-000005370000}"/>
    <cellStyle name="Normal 5 7 2 7 3" xfId="14087" xr:uid="{00000000-0005-0000-0000-000006370000}"/>
    <cellStyle name="Normal 5 7 2 7 3 2" xfId="14088" xr:uid="{00000000-0005-0000-0000-000007370000}"/>
    <cellStyle name="Normal 5 7 2 7 4" xfId="14089" xr:uid="{00000000-0005-0000-0000-000008370000}"/>
    <cellStyle name="Normal 5 7 2 8" xfId="14090" xr:uid="{00000000-0005-0000-0000-000009370000}"/>
    <cellStyle name="Normal 5 7 2 9" xfId="14091" xr:uid="{00000000-0005-0000-0000-00000A370000}"/>
    <cellStyle name="Normal 5 7 3" xfId="14092" xr:uid="{00000000-0005-0000-0000-00000B370000}"/>
    <cellStyle name="Normal 5 7 3 2" xfId="14093" xr:uid="{00000000-0005-0000-0000-00000C370000}"/>
    <cellStyle name="Normal 5 7 3 2 2" xfId="14094" xr:uid="{00000000-0005-0000-0000-00000D370000}"/>
    <cellStyle name="Normal 5 7 3 2 2 2" xfId="14095" xr:uid="{00000000-0005-0000-0000-00000E370000}"/>
    <cellStyle name="Normal 5 7 3 2 2 3" xfId="14096" xr:uid="{00000000-0005-0000-0000-00000F370000}"/>
    <cellStyle name="Normal 5 7 3 2 3" xfId="14097" xr:uid="{00000000-0005-0000-0000-000010370000}"/>
    <cellStyle name="Normal 5 7 3 2 3 2" xfId="14098" xr:uid="{00000000-0005-0000-0000-000011370000}"/>
    <cellStyle name="Normal 5 7 3 2 3 3" xfId="14099" xr:uid="{00000000-0005-0000-0000-000012370000}"/>
    <cellStyle name="Normal 5 7 3 2 4" xfId="14100" xr:uid="{00000000-0005-0000-0000-000013370000}"/>
    <cellStyle name="Normal 5 7 3 2 5" xfId="14101" xr:uid="{00000000-0005-0000-0000-000014370000}"/>
    <cellStyle name="Normal 5 7 3 3" xfId="14102" xr:uid="{00000000-0005-0000-0000-000015370000}"/>
    <cellStyle name="Normal 5 7 3 3 2" xfId="14103" xr:uid="{00000000-0005-0000-0000-000016370000}"/>
    <cellStyle name="Normal 5 7 3 3 2 2" xfId="14104" xr:uid="{00000000-0005-0000-0000-000017370000}"/>
    <cellStyle name="Normal 5 7 3 3 2 3" xfId="14105" xr:uid="{00000000-0005-0000-0000-000018370000}"/>
    <cellStyle name="Normal 5 7 3 3 3" xfId="14106" xr:uid="{00000000-0005-0000-0000-000019370000}"/>
    <cellStyle name="Normal 5 7 3 3 3 2" xfId="14107" xr:uid="{00000000-0005-0000-0000-00001A370000}"/>
    <cellStyle name="Normal 5 7 3 3 3 3" xfId="14108" xr:uid="{00000000-0005-0000-0000-00001B370000}"/>
    <cellStyle name="Normal 5 7 3 3 4" xfId="14109" xr:uid="{00000000-0005-0000-0000-00001C370000}"/>
    <cellStyle name="Normal 5 7 3 3 5" xfId="14110" xr:uid="{00000000-0005-0000-0000-00001D370000}"/>
    <cellStyle name="Normal 5 7 3 4" xfId="14111" xr:uid="{00000000-0005-0000-0000-00001E370000}"/>
    <cellStyle name="Normal 5 7 3 4 2" xfId="14112" xr:uid="{00000000-0005-0000-0000-00001F370000}"/>
    <cellStyle name="Normal 5 7 3 4 3" xfId="14113" xr:uid="{00000000-0005-0000-0000-000020370000}"/>
    <cellStyle name="Normal 5 7 3 5" xfId="14114" xr:uid="{00000000-0005-0000-0000-000021370000}"/>
    <cellStyle name="Normal 5 7 3 5 2" xfId="14115" xr:uid="{00000000-0005-0000-0000-000022370000}"/>
    <cellStyle name="Normal 5 7 3 5 3" xfId="14116" xr:uid="{00000000-0005-0000-0000-000023370000}"/>
    <cellStyle name="Normal 5 7 3 6" xfId="14117" xr:uid="{00000000-0005-0000-0000-000024370000}"/>
    <cellStyle name="Normal 5 7 3 7" xfId="14118" xr:uid="{00000000-0005-0000-0000-000025370000}"/>
    <cellStyle name="Normal 5 7 4" xfId="14119" xr:uid="{00000000-0005-0000-0000-000026370000}"/>
    <cellStyle name="Normal 5 7 4 2" xfId="14120" xr:uid="{00000000-0005-0000-0000-000027370000}"/>
    <cellStyle name="Normal 5 7 4 2 2" xfId="14121" xr:uid="{00000000-0005-0000-0000-000028370000}"/>
    <cellStyle name="Normal 5 7 4 2 2 2" xfId="14122" xr:uid="{00000000-0005-0000-0000-000029370000}"/>
    <cellStyle name="Normal 5 7 4 2 2 3" xfId="14123" xr:uid="{00000000-0005-0000-0000-00002A370000}"/>
    <cellStyle name="Normal 5 7 4 2 3" xfId="14124" xr:uid="{00000000-0005-0000-0000-00002B370000}"/>
    <cellStyle name="Normal 5 7 4 2 3 2" xfId="14125" xr:uid="{00000000-0005-0000-0000-00002C370000}"/>
    <cellStyle name="Normal 5 7 4 2 3 3" xfId="14126" xr:uid="{00000000-0005-0000-0000-00002D370000}"/>
    <cellStyle name="Normal 5 7 4 2 4" xfId="14127" xr:uid="{00000000-0005-0000-0000-00002E370000}"/>
    <cellStyle name="Normal 5 7 4 2 5" xfId="14128" xr:uid="{00000000-0005-0000-0000-00002F370000}"/>
    <cellStyle name="Normal 5 7 4 3" xfId="14129" xr:uid="{00000000-0005-0000-0000-000030370000}"/>
    <cellStyle name="Normal 5 7 4 3 2" xfId="14130" xr:uid="{00000000-0005-0000-0000-000031370000}"/>
    <cellStyle name="Normal 5 7 4 3 2 2" xfId="14131" xr:uid="{00000000-0005-0000-0000-000032370000}"/>
    <cellStyle name="Normal 5 7 4 3 2 3" xfId="14132" xr:uid="{00000000-0005-0000-0000-000033370000}"/>
    <cellStyle name="Normal 5 7 4 3 3" xfId="14133" xr:uid="{00000000-0005-0000-0000-000034370000}"/>
    <cellStyle name="Normal 5 7 4 3 4" xfId="14134" xr:uid="{00000000-0005-0000-0000-000035370000}"/>
    <cellStyle name="Normal 5 7 4 4" xfId="14135" xr:uid="{00000000-0005-0000-0000-000036370000}"/>
    <cellStyle name="Normal 5 7 4 4 2" xfId="14136" xr:uid="{00000000-0005-0000-0000-000037370000}"/>
    <cellStyle name="Normal 5 7 4 4 3" xfId="14137" xr:uid="{00000000-0005-0000-0000-000038370000}"/>
    <cellStyle name="Normal 5 7 4 5" xfId="14138" xr:uid="{00000000-0005-0000-0000-000039370000}"/>
    <cellStyle name="Normal 5 7 4 5 2" xfId="14139" xr:uid="{00000000-0005-0000-0000-00003A370000}"/>
    <cellStyle name="Normal 5 7 4 5 3" xfId="14140" xr:uid="{00000000-0005-0000-0000-00003B370000}"/>
    <cellStyle name="Normal 5 7 4 6" xfId="14141" xr:uid="{00000000-0005-0000-0000-00003C370000}"/>
    <cellStyle name="Normal 5 7 4 7" xfId="14142" xr:uid="{00000000-0005-0000-0000-00003D370000}"/>
    <cellStyle name="Normal 5 7 5" xfId="14143" xr:uid="{00000000-0005-0000-0000-00003E370000}"/>
    <cellStyle name="Normal 5 7 5 2" xfId="14144" xr:uid="{00000000-0005-0000-0000-00003F370000}"/>
    <cellStyle name="Normal 5 7 5 2 2" xfId="14145" xr:uid="{00000000-0005-0000-0000-000040370000}"/>
    <cellStyle name="Normal 5 7 5 2 3" xfId="14146" xr:uid="{00000000-0005-0000-0000-000041370000}"/>
    <cellStyle name="Normal 5 7 5 3" xfId="14147" xr:uid="{00000000-0005-0000-0000-000042370000}"/>
    <cellStyle name="Normal 5 7 5 3 2" xfId="14148" xr:uid="{00000000-0005-0000-0000-000043370000}"/>
    <cellStyle name="Normal 5 7 5 3 3" xfId="14149" xr:uid="{00000000-0005-0000-0000-000044370000}"/>
    <cellStyle name="Normal 5 7 5 4" xfId="14150" xr:uid="{00000000-0005-0000-0000-000045370000}"/>
    <cellStyle name="Normal 5 7 5 5" xfId="14151" xr:uid="{00000000-0005-0000-0000-000046370000}"/>
    <cellStyle name="Normal 5 7 6" xfId="14152" xr:uid="{00000000-0005-0000-0000-000047370000}"/>
    <cellStyle name="Normal 5 7 6 2" xfId="14153" xr:uid="{00000000-0005-0000-0000-000048370000}"/>
    <cellStyle name="Normal 5 7 6 2 2" xfId="14154" xr:uid="{00000000-0005-0000-0000-000049370000}"/>
    <cellStyle name="Normal 5 7 6 2 3" xfId="14155" xr:uid="{00000000-0005-0000-0000-00004A370000}"/>
    <cellStyle name="Normal 5 7 6 3" xfId="14156" xr:uid="{00000000-0005-0000-0000-00004B370000}"/>
    <cellStyle name="Normal 5 7 6 3 2" xfId="14157" xr:uid="{00000000-0005-0000-0000-00004C370000}"/>
    <cellStyle name="Normal 5 7 6 3 3" xfId="14158" xr:uid="{00000000-0005-0000-0000-00004D370000}"/>
    <cellStyle name="Normal 5 7 6 4" xfId="14159" xr:uid="{00000000-0005-0000-0000-00004E370000}"/>
    <cellStyle name="Normal 5 7 6 5" xfId="14160" xr:uid="{00000000-0005-0000-0000-00004F370000}"/>
    <cellStyle name="Normal 5 7 7" xfId="14161" xr:uid="{00000000-0005-0000-0000-000050370000}"/>
    <cellStyle name="Normal 5 7 7 2" xfId="14162" xr:uid="{00000000-0005-0000-0000-000051370000}"/>
    <cellStyle name="Normal 5 7 7 2 2" xfId="14163" xr:uid="{00000000-0005-0000-0000-000052370000}"/>
    <cellStyle name="Normal 5 7 7 2 3" xfId="14164" xr:uid="{00000000-0005-0000-0000-000053370000}"/>
    <cellStyle name="Normal 5 7 7 3" xfId="14165" xr:uid="{00000000-0005-0000-0000-000054370000}"/>
    <cellStyle name="Normal 5 7 7 4" xfId="14166" xr:uid="{00000000-0005-0000-0000-000055370000}"/>
    <cellStyle name="Normal 5 7 8" xfId="14167" xr:uid="{00000000-0005-0000-0000-000056370000}"/>
    <cellStyle name="Normal 5 7 8 2" xfId="14168" xr:uid="{00000000-0005-0000-0000-000057370000}"/>
    <cellStyle name="Normal 5 7 8 3" xfId="14169" xr:uid="{00000000-0005-0000-0000-000058370000}"/>
    <cellStyle name="Normal 5 7 9" xfId="14170" xr:uid="{00000000-0005-0000-0000-000059370000}"/>
    <cellStyle name="Normal 5 7 9 2" xfId="14171" xr:uid="{00000000-0005-0000-0000-00005A370000}"/>
    <cellStyle name="Normal 5 7 9 3" xfId="14172" xr:uid="{00000000-0005-0000-0000-00005B370000}"/>
    <cellStyle name="Normal 5 8" xfId="14173" xr:uid="{00000000-0005-0000-0000-00005C370000}"/>
    <cellStyle name="Normal 5 8 2" xfId="14174" xr:uid="{00000000-0005-0000-0000-00005D370000}"/>
    <cellStyle name="Normal 5 8 2 2" xfId="14175" xr:uid="{00000000-0005-0000-0000-00005E370000}"/>
    <cellStyle name="Normal 5 8 2 2 2" xfId="14176" xr:uid="{00000000-0005-0000-0000-00005F370000}"/>
    <cellStyle name="Normal 5 8 2 2 2 2" xfId="14177" xr:uid="{00000000-0005-0000-0000-000060370000}"/>
    <cellStyle name="Normal 5 8 2 2 2 3" xfId="14178" xr:uid="{00000000-0005-0000-0000-000061370000}"/>
    <cellStyle name="Normal 5 8 2 2 3" xfId="14179" xr:uid="{00000000-0005-0000-0000-000062370000}"/>
    <cellStyle name="Normal 5 8 2 2 3 2" xfId="14180" xr:uid="{00000000-0005-0000-0000-000063370000}"/>
    <cellStyle name="Normal 5 8 2 2 3 3" xfId="14181" xr:uid="{00000000-0005-0000-0000-000064370000}"/>
    <cellStyle name="Normal 5 8 2 2 4" xfId="14182" xr:uid="{00000000-0005-0000-0000-000065370000}"/>
    <cellStyle name="Normal 5 8 2 2 5" xfId="14183" xr:uid="{00000000-0005-0000-0000-000066370000}"/>
    <cellStyle name="Normal 5 8 2 3" xfId="14184" xr:uid="{00000000-0005-0000-0000-000067370000}"/>
    <cellStyle name="Normal 5 8 2 3 2" xfId="14185" xr:uid="{00000000-0005-0000-0000-000068370000}"/>
    <cellStyle name="Normal 5 8 2 3 2 2" xfId="14186" xr:uid="{00000000-0005-0000-0000-000069370000}"/>
    <cellStyle name="Normal 5 8 2 3 2 3" xfId="14187" xr:uid="{00000000-0005-0000-0000-00006A370000}"/>
    <cellStyle name="Normal 5 8 2 3 3" xfId="14188" xr:uid="{00000000-0005-0000-0000-00006B370000}"/>
    <cellStyle name="Normal 5 8 2 3 3 2" xfId="14189" xr:uid="{00000000-0005-0000-0000-00006C370000}"/>
    <cellStyle name="Normal 5 8 2 3 3 3" xfId="14190" xr:uid="{00000000-0005-0000-0000-00006D370000}"/>
    <cellStyle name="Normal 5 8 2 3 4" xfId="14191" xr:uid="{00000000-0005-0000-0000-00006E370000}"/>
    <cellStyle name="Normal 5 8 2 3 5" xfId="14192" xr:uid="{00000000-0005-0000-0000-00006F370000}"/>
    <cellStyle name="Normal 5 8 2 4" xfId="14193" xr:uid="{00000000-0005-0000-0000-000070370000}"/>
    <cellStyle name="Normal 5 8 2 4 2" xfId="14194" xr:uid="{00000000-0005-0000-0000-000071370000}"/>
    <cellStyle name="Normal 5 8 2 4 3" xfId="14195" xr:uid="{00000000-0005-0000-0000-000072370000}"/>
    <cellStyle name="Normal 5 8 2 5" xfId="14196" xr:uid="{00000000-0005-0000-0000-000073370000}"/>
    <cellStyle name="Normal 5 8 2 5 2" xfId="14197" xr:uid="{00000000-0005-0000-0000-000074370000}"/>
    <cellStyle name="Normal 5 8 2 5 3" xfId="14198" xr:uid="{00000000-0005-0000-0000-000075370000}"/>
    <cellStyle name="Normal 5 8 2 6" xfId="14199" xr:uid="{00000000-0005-0000-0000-000076370000}"/>
    <cellStyle name="Normal 5 8 2 7" xfId="14200" xr:uid="{00000000-0005-0000-0000-000077370000}"/>
    <cellStyle name="Normal 5 8 3" xfId="14201" xr:uid="{00000000-0005-0000-0000-000078370000}"/>
    <cellStyle name="Normal 5 8 3 2" xfId="14202" xr:uid="{00000000-0005-0000-0000-000079370000}"/>
    <cellStyle name="Normal 5 8 3 2 2" xfId="14203" xr:uid="{00000000-0005-0000-0000-00007A370000}"/>
    <cellStyle name="Normal 5 8 3 2 3" xfId="14204" xr:uid="{00000000-0005-0000-0000-00007B370000}"/>
    <cellStyle name="Normal 5 8 3 3" xfId="14205" xr:uid="{00000000-0005-0000-0000-00007C370000}"/>
    <cellStyle name="Normal 5 8 3 3 2" xfId="14206" xr:uid="{00000000-0005-0000-0000-00007D370000}"/>
    <cellStyle name="Normal 5 8 3 3 3" xfId="14207" xr:uid="{00000000-0005-0000-0000-00007E370000}"/>
    <cellStyle name="Normal 5 8 3 4" xfId="14208" xr:uid="{00000000-0005-0000-0000-00007F370000}"/>
    <cellStyle name="Normal 5 8 3 5" xfId="14209" xr:uid="{00000000-0005-0000-0000-000080370000}"/>
    <cellStyle name="Normal 5 8 4" xfId="14210" xr:uid="{00000000-0005-0000-0000-000081370000}"/>
    <cellStyle name="Normal 5 8 4 2" xfId="14211" xr:uid="{00000000-0005-0000-0000-000082370000}"/>
    <cellStyle name="Normal 5 8 4 2 2" xfId="14212" xr:uid="{00000000-0005-0000-0000-000083370000}"/>
    <cellStyle name="Normal 5 8 4 2 3" xfId="14213" xr:uid="{00000000-0005-0000-0000-000084370000}"/>
    <cellStyle name="Normal 5 8 4 3" xfId="14214" xr:uid="{00000000-0005-0000-0000-000085370000}"/>
    <cellStyle name="Normal 5 8 4 3 2" xfId="14215" xr:uid="{00000000-0005-0000-0000-000086370000}"/>
    <cellStyle name="Normal 5 8 4 3 3" xfId="14216" xr:uid="{00000000-0005-0000-0000-000087370000}"/>
    <cellStyle name="Normal 5 8 4 4" xfId="14217" xr:uid="{00000000-0005-0000-0000-000088370000}"/>
    <cellStyle name="Normal 5 8 4 5" xfId="14218" xr:uid="{00000000-0005-0000-0000-000089370000}"/>
    <cellStyle name="Normal 5 8 5" xfId="14219" xr:uid="{00000000-0005-0000-0000-00008A370000}"/>
    <cellStyle name="Normal 5 8 5 2" xfId="14220" xr:uid="{00000000-0005-0000-0000-00008B370000}"/>
    <cellStyle name="Normal 5 8 5 3" xfId="14221" xr:uid="{00000000-0005-0000-0000-00008C370000}"/>
    <cellStyle name="Normal 5 8 6" xfId="14222" xr:uid="{00000000-0005-0000-0000-00008D370000}"/>
    <cellStyle name="Normal 5 8 6 2" xfId="14223" xr:uid="{00000000-0005-0000-0000-00008E370000}"/>
    <cellStyle name="Normal 5 8 6 3" xfId="14224" xr:uid="{00000000-0005-0000-0000-00008F370000}"/>
    <cellStyle name="Normal 5 8 7" xfId="14225" xr:uid="{00000000-0005-0000-0000-000090370000}"/>
    <cellStyle name="Normal 5 8 7 2" xfId="14226" xr:uid="{00000000-0005-0000-0000-000091370000}"/>
    <cellStyle name="Normal 5 8 7 3" xfId="14227" xr:uid="{00000000-0005-0000-0000-000092370000}"/>
    <cellStyle name="Normal 5 8 7 3 2" xfId="14228" xr:uid="{00000000-0005-0000-0000-000093370000}"/>
    <cellStyle name="Normal 5 8 7 4" xfId="14229" xr:uid="{00000000-0005-0000-0000-000094370000}"/>
    <cellStyle name="Normal 5 8 8" xfId="14230" xr:uid="{00000000-0005-0000-0000-000095370000}"/>
    <cellStyle name="Normal 5 8 9" xfId="14231" xr:uid="{00000000-0005-0000-0000-000096370000}"/>
    <cellStyle name="Normal 5 9" xfId="14232" xr:uid="{00000000-0005-0000-0000-000097370000}"/>
    <cellStyle name="Normal 5 9 2" xfId="14233" xr:uid="{00000000-0005-0000-0000-000098370000}"/>
    <cellStyle name="Normal 5 9 2 2" xfId="14234" xr:uid="{00000000-0005-0000-0000-000099370000}"/>
    <cellStyle name="Normal 5 9 2 2 2" xfId="14235" xr:uid="{00000000-0005-0000-0000-00009A370000}"/>
    <cellStyle name="Normal 5 9 2 2 3" xfId="14236" xr:uid="{00000000-0005-0000-0000-00009B370000}"/>
    <cellStyle name="Normal 5 9 2 3" xfId="14237" xr:uid="{00000000-0005-0000-0000-00009C370000}"/>
    <cellStyle name="Normal 5 9 2 3 2" xfId="14238" xr:uid="{00000000-0005-0000-0000-00009D370000}"/>
    <cellStyle name="Normal 5 9 2 3 3" xfId="14239" xr:uid="{00000000-0005-0000-0000-00009E370000}"/>
    <cellStyle name="Normal 5 9 2 4" xfId="14240" xr:uid="{00000000-0005-0000-0000-00009F370000}"/>
    <cellStyle name="Normal 5 9 2 5" xfId="14241" xr:uid="{00000000-0005-0000-0000-0000A0370000}"/>
    <cellStyle name="Normal 5 9 3" xfId="14242" xr:uid="{00000000-0005-0000-0000-0000A1370000}"/>
    <cellStyle name="Normal 5 9 3 2" xfId="14243" xr:uid="{00000000-0005-0000-0000-0000A2370000}"/>
    <cellStyle name="Normal 5 9 3 2 2" xfId="14244" xr:uid="{00000000-0005-0000-0000-0000A3370000}"/>
    <cellStyle name="Normal 5 9 3 2 3" xfId="14245" xr:uid="{00000000-0005-0000-0000-0000A4370000}"/>
    <cellStyle name="Normal 5 9 3 3" xfId="14246" xr:uid="{00000000-0005-0000-0000-0000A5370000}"/>
    <cellStyle name="Normal 5 9 3 3 2" xfId="14247" xr:uid="{00000000-0005-0000-0000-0000A6370000}"/>
    <cellStyle name="Normal 5 9 3 3 3" xfId="14248" xr:uid="{00000000-0005-0000-0000-0000A7370000}"/>
    <cellStyle name="Normal 5 9 3 4" xfId="14249" xr:uid="{00000000-0005-0000-0000-0000A8370000}"/>
    <cellStyle name="Normal 5 9 3 5" xfId="14250" xr:uid="{00000000-0005-0000-0000-0000A9370000}"/>
    <cellStyle name="Normal 5 9 4" xfId="14251" xr:uid="{00000000-0005-0000-0000-0000AA370000}"/>
    <cellStyle name="Normal 5 9 4 2" xfId="14252" xr:uid="{00000000-0005-0000-0000-0000AB370000}"/>
    <cellStyle name="Normal 5 9 4 3" xfId="14253" xr:uid="{00000000-0005-0000-0000-0000AC370000}"/>
    <cellStyle name="Normal 5 9 5" xfId="14254" xr:uid="{00000000-0005-0000-0000-0000AD370000}"/>
    <cellStyle name="Normal 5 9 5 2" xfId="14255" xr:uid="{00000000-0005-0000-0000-0000AE370000}"/>
    <cellStyle name="Normal 5 9 5 3" xfId="14256" xr:uid="{00000000-0005-0000-0000-0000AF370000}"/>
    <cellStyle name="Normal 5 9 6" xfId="14257" xr:uid="{00000000-0005-0000-0000-0000B0370000}"/>
    <cellStyle name="Normal 5 9 7" xfId="14258" xr:uid="{00000000-0005-0000-0000-0000B1370000}"/>
    <cellStyle name="Normal 50" xfId="14259" xr:uid="{00000000-0005-0000-0000-0000B2370000}"/>
    <cellStyle name="Normal 50 2" xfId="14260" xr:uid="{00000000-0005-0000-0000-0000B3370000}"/>
    <cellStyle name="Normal 50 3" xfId="14261" xr:uid="{00000000-0005-0000-0000-0000B4370000}"/>
    <cellStyle name="Normal 51" xfId="14262" xr:uid="{00000000-0005-0000-0000-0000B5370000}"/>
    <cellStyle name="Normal 51 2" xfId="14263" xr:uid="{00000000-0005-0000-0000-0000B6370000}"/>
    <cellStyle name="Normal 51 3" xfId="14264" xr:uid="{00000000-0005-0000-0000-0000B7370000}"/>
    <cellStyle name="Normal 52" xfId="14265" xr:uid="{00000000-0005-0000-0000-0000B8370000}"/>
    <cellStyle name="Normal 52 2" xfId="14266" xr:uid="{00000000-0005-0000-0000-0000B9370000}"/>
    <cellStyle name="Normal 52 3" xfId="14267" xr:uid="{00000000-0005-0000-0000-0000BA370000}"/>
    <cellStyle name="Normal 53" xfId="14268" xr:uid="{00000000-0005-0000-0000-0000BB370000}"/>
    <cellStyle name="Normal 53 2" xfId="14269" xr:uid="{00000000-0005-0000-0000-0000BC370000}"/>
    <cellStyle name="Normal 53 3" xfId="14270" xr:uid="{00000000-0005-0000-0000-0000BD370000}"/>
    <cellStyle name="Normal 54" xfId="14271" xr:uid="{00000000-0005-0000-0000-0000BE370000}"/>
    <cellStyle name="Normal 54 2" xfId="14272" xr:uid="{00000000-0005-0000-0000-0000BF370000}"/>
    <cellStyle name="Normal 54 3" xfId="14273" xr:uid="{00000000-0005-0000-0000-0000C0370000}"/>
    <cellStyle name="Normal 55" xfId="14274" xr:uid="{00000000-0005-0000-0000-0000C1370000}"/>
    <cellStyle name="Normal 55 2" xfId="14275" xr:uid="{00000000-0005-0000-0000-0000C2370000}"/>
    <cellStyle name="Normal 55 3" xfId="14276" xr:uid="{00000000-0005-0000-0000-0000C3370000}"/>
    <cellStyle name="Normal 56" xfId="14277" xr:uid="{00000000-0005-0000-0000-0000C4370000}"/>
    <cellStyle name="Normal 56 2" xfId="14278" xr:uid="{00000000-0005-0000-0000-0000C5370000}"/>
    <cellStyle name="Normal 56 3" xfId="14279" xr:uid="{00000000-0005-0000-0000-0000C6370000}"/>
    <cellStyle name="Normal 57" xfId="14280" xr:uid="{00000000-0005-0000-0000-0000C7370000}"/>
    <cellStyle name="Normal 57 2" xfId="14281" xr:uid="{00000000-0005-0000-0000-0000C8370000}"/>
    <cellStyle name="Normal 57 3" xfId="14282" xr:uid="{00000000-0005-0000-0000-0000C9370000}"/>
    <cellStyle name="Normal 58" xfId="14283" xr:uid="{00000000-0005-0000-0000-0000CA370000}"/>
    <cellStyle name="Normal 58 2" xfId="14284" xr:uid="{00000000-0005-0000-0000-0000CB370000}"/>
    <cellStyle name="Normal 58 3" xfId="14285" xr:uid="{00000000-0005-0000-0000-0000CC370000}"/>
    <cellStyle name="Normal 59" xfId="14286" xr:uid="{00000000-0005-0000-0000-0000CD370000}"/>
    <cellStyle name="Normal 59 2" xfId="14287" xr:uid="{00000000-0005-0000-0000-0000CE370000}"/>
    <cellStyle name="Normal 59 3" xfId="14288" xr:uid="{00000000-0005-0000-0000-0000CF370000}"/>
    <cellStyle name="Normal 6" xfId="14289" xr:uid="{00000000-0005-0000-0000-0000D0370000}"/>
    <cellStyle name="Normal 6 10" xfId="14290" xr:uid="{00000000-0005-0000-0000-0000D1370000}"/>
    <cellStyle name="Normal 6 10 2" xfId="14291" xr:uid="{00000000-0005-0000-0000-0000D2370000}"/>
    <cellStyle name="Normal 6 10 2 2" xfId="14292" xr:uid="{00000000-0005-0000-0000-0000D3370000}"/>
    <cellStyle name="Normal 6 10 2 2 2" xfId="14293" xr:uid="{00000000-0005-0000-0000-0000D4370000}"/>
    <cellStyle name="Normal 6 10 2 2 3" xfId="14294" xr:uid="{00000000-0005-0000-0000-0000D5370000}"/>
    <cellStyle name="Normal 6 10 2 3" xfId="14295" xr:uid="{00000000-0005-0000-0000-0000D6370000}"/>
    <cellStyle name="Normal 6 10 2 3 2" xfId="14296" xr:uid="{00000000-0005-0000-0000-0000D7370000}"/>
    <cellStyle name="Normal 6 10 2 3 3" xfId="14297" xr:uid="{00000000-0005-0000-0000-0000D8370000}"/>
    <cellStyle name="Normal 6 10 2 4" xfId="14298" xr:uid="{00000000-0005-0000-0000-0000D9370000}"/>
    <cellStyle name="Normal 6 10 2 5" xfId="14299" xr:uid="{00000000-0005-0000-0000-0000DA370000}"/>
    <cellStyle name="Normal 6 10 3" xfId="14300" xr:uid="{00000000-0005-0000-0000-0000DB370000}"/>
    <cellStyle name="Normal 6 10 3 2" xfId="14301" xr:uid="{00000000-0005-0000-0000-0000DC370000}"/>
    <cellStyle name="Normal 6 10 3 2 2" xfId="14302" xr:uid="{00000000-0005-0000-0000-0000DD370000}"/>
    <cellStyle name="Normal 6 10 3 2 3" xfId="14303" xr:uid="{00000000-0005-0000-0000-0000DE370000}"/>
    <cellStyle name="Normal 6 10 3 3" xfId="14304" xr:uid="{00000000-0005-0000-0000-0000DF370000}"/>
    <cellStyle name="Normal 6 10 3 4" xfId="14305" xr:uid="{00000000-0005-0000-0000-0000E0370000}"/>
    <cellStyle name="Normal 6 10 4" xfId="14306" xr:uid="{00000000-0005-0000-0000-0000E1370000}"/>
    <cellStyle name="Normal 6 10 4 2" xfId="14307" xr:uid="{00000000-0005-0000-0000-0000E2370000}"/>
    <cellStyle name="Normal 6 10 4 3" xfId="14308" xr:uid="{00000000-0005-0000-0000-0000E3370000}"/>
    <cellStyle name="Normal 6 10 5" xfId="14309" xr:uid="{00000000-0005-0000-0000-0000E4370000}"/>
    <cellStyle name="Normal 6 10 5 2" xfId="14310" xr:uid="{00000000-0005-0000-0000-0000E5370000}"/>
    <cellStyle name="Normal 6 10 5 3" xfId="14311" xr:uid="{00000000-0005-0000-0000-0000E6370000}"/>
    <cellStyle name="Normal 6 10 6" xfId="14312" xr:uid="{00000000-0005-0000-0000-0000E7370000}"/>
    <cellStyle name="Normal 6 10 7" xfId="14313" xr:uid="{00000000-0005-0000-0000-0000E8370000}"/>
    <cellStyle name="Normal 6 11" xfId="14314" xr:uid="{00000000-0005-0000-0000-0000E9370000}"/>
    <cellStyle name="Normal 6 11 2" xfId="14315" xr:uid="{00000000-0005-0000-0000-0000EA370000}"/>
    <cellStyle name="Normal 6 11 2 2" xfId="14316" xr:uid="{00000000-0005-0000-0000-0000EB370000}"/>
    <cellStyle name="Normal 6 11 2 3" xfId="14317" xr:uid="{00000000-0005-0000-0000-0000EC370000}"/>
    <cellStyle name="Normal 6 11 3" xfId="14318" xr:uid="{00000000-0005-0000-0000-0000ED370000}"/>
    <cellStyle name="Normal 6 11 3 2" xfId="14319" xr:uid="{00000000-0005-0000-0000-0000EE370000}"/>
    <cellStyle name="Normal 6 11 3 3" xfId="14320" xr:uid="{00000000-0005-0000-0000-0000EF370000}"/>
    <cellStyle name="Normal 6 11 4" xfId="14321" xr:uid="{00000000-0005-0000-0000-0000F0370000}"/>
    <cellStyle name="Normal 6 11 5" xfId="14322" xr:uid="{00000000-0005-0000-0000-0000F1370000}"/>
    <cellStyle name="Normal 6 12" xfId="14323" xr:uid="{00000000-0005-0000-0000-0000F2370000}"/>
    <cellStyle name="Normal 6 12 2" xfId="14324" xr:uid="{00000000-0005-0000-0000-0000F3370000}"/>
    <cellStyle name="Normal 6 12 2 2" xfId="14325" xr:uid="{00000000-0005-0000-0000-0000F4370000}"/>
    <cellStyle name="Normal 6 12 2 3" xfId="14326" xr:uid="{00000000-0005-0000-0000-0000F5370000}"/>
    <cellStyle name="Normal 6 12 3" xfId="14327" xr:uid="{00000000-0005-0000-0000-0000F6370000}"/>
    <cellStyle name="Normal 6 12 3 2" xfId="14328" xr:uid="{00000000-0005-0000-0000-0000F7370000}"/>
    <cellStyle name="Normal 6 12 3 3" xfId="14329" xr:uid="{00000000-0005-0000-0000-0000F8370000}"/>
    <cellStyle name="Normal 6 12 4" xfId="14330" xr:uid="{00000000-0005-0000-0000-0000F9370000}"/>
    <cellStyle name="Normal 6 12 5" xfId="14331" xr:uid="{00000000-0005-0000-0000-0000FA370000}"/>
    <cellStyle name="Normal 6 13" xfId="14332" xr:uid="{00000000-0005-0000-0000-0000FB370000}"/>
    <cellStyle name="Normal 6 13 2" xfId="14333" xr:uid="{00000000-0005-0000-0000-0000FC370000}"/>
    <cellStyle name="Normal 6 13 2 2" xfId="14334" xr:uid="{00000000-0005-0000-0000-0000FD370000}"/>
    <cellStyle name="Normal 6 13 2 3" xfId="14335" xr:uid="{00000000-0005-0000-0000-0000FE370000}"/>
    <cellStyle name="Normal 6 13 3" xfId="14336" xr:uid="{00000000-0005-0000-0000-0000FF370000}"/>
    <cellStyle name="Normal 6 13 4" xfId="14337" xr:uid="{00000000-0005-0000-0000-000000380000}"/>
    <cellStyle name="Normal 6 14" xfId="14338" xr:uid="{00000000-0005-0000-0000-000001380000}"/>
    <cellStyle name="Normal 6 14 2" xfId="14339" xr:uid="{00000000-0005-0000-0000-000002380000}"/>
    <cellStyle name="Normal 6 14 3" xfId="14340" xr:uid="{00000000-0005-0000-0000-000003380000}"/>
    <cellStyle name="Normal 6 15" xfId="14341" xr:uid="{00000000-0005-0000-0000-000004380000}"/>
    <cellStyle name="Normal 6 15 2" xfId="14342" xr:uid="{00000000-0005-0000-0000-000005380000}"/>
    <cellStyle name="Normal 6 15 3" xfId="14343" xr:uid="{00000000-0005-0000-0000-000006380000}"/>
    <cellStyle name="Normal 6 16" xfId="14344" xr:uid="{00000000-0005-0000-0000-000007380000}"/>
    <cellStyle name="Normal 6 16 2" xfId="14345" xr:uid="{00000000-0005-0000-0000-000008380000}"/>
    <cellStyle name="Normal 6 16 3" xfId="14346" xr:uid="{00000000-0005-0000-0000-000009380000}"/>
    <cellStyle name="Normal 6 16 3 2" xfId="14347" xr:uid="{00000000-0005-0000-0000-00000A380000}"/>
    <cellStyle name="Normal 6 16 4" xfId="14348" xr:uid="{00000000-0005-0000-0000-00000B380000}"/>
    <cellStyle name="Normal 6 17" xfId="14349" xr:uid="{00000000-0005-0000-0000-00000C380000}"/>
    <cellStyle name="Normal 6 17 2" xfId="14350" xr:uid="{00000000-0005-0000-0000-00000D380000}"/>
    <cellStyle name="Normal 6 17 2 2" xfId="14351" xr:uid="{00000000-0005-0000-0000-00000E380000}"/>
    <cellStyle name="Normal 6 17 3" xfId="14352" xr:uid="{00000000-0005-0000-0000-00000F380000}"/>
    <cellStyle name="Normal 6 18" xfId="14353" xr:uid="{00000000-0005-0000-0000-000010380000}"/>
    <cellStyle name="Normal 6 19" xfId="14354" xr:uid="{00000000-0005-0000-0000-000011380000}"/>
    <cellStyle name="Normal 6 2" xfId="14355" xr:uid="{00000000-0005-0000-0000-000012380000}"/>
    <cellStyle name="Normal 6 2 10" xfId="14356" xr:uid="{00000000-0005-0000-0000-000013380000}"/>
    <cellStyle name="Normal 6 2 10 2" xfId="14357" xr:uid="{00000000-0005-0000-0000-000014380000}"/>
    <cellStyle name="Normal 6 2 10 2 2" xfId="14358" xr:uid="{00000000-0005-0000-0000-000015380000}"/>
    <cellStyle name="Normal 6 2 10 2 3" xfId="14359" xr:uid="{00000000-0005-0000-0000-000016380000}"/>
    <cellStyle name="Normal 6 2 10 3" xfId="14360" xr:uid="{00000000-0005-0000-0000-000017380000}"/>
    <cellStyle name="Normal 6 2 10 3 2" xfId="14361" xr:uid="{00000000-0005-0000-0000-000018380000}"/>
    <cellStyle name="Normal 6 2 10 3 3" xfId="14362" xr:uid="{00000000-0005-0000-0000-000019380000}"/>
    <cellStyle name="Normal 6 2 10 4" xfId="14363" xr:uid="{00000000-0005-0000-0000-00001A380000}"/>
    <cellStyle name="Normal 6 2 10 5" xfId="14364" xr:uid="{00000000-0005-0000-0000-00001B380000}"/>
    <cellStyle name="Normal 6 2 11" xfId="14365" xr:uid="{00000000-0005-0000-0000-00001C380000}"/>
    <cellStyle name="Normal 6 2 11 2" xfId="14366" xr:uid="{00000000-0005-0000-0000-00001D380000}"/>
    <cellStyle name="Normal 6 2 11 2 2" xfId="14367" xr:uid="{00000000-0005-0000-0000-00001E380000}"/>
    <cellStyle name="Normal 6 2 11 2 3" xfId="14368" xr:uid="{00000000-0005-0000-0000-00001F380000}"/>
    <cellStyle name="Normal 6 2 11 3" xfId="14369" xr:uid="{00000000-0005-0000-0000-000020380000}"/>
    <cellStyle name="Normal 6 2 11 3 2" xfId="14370" xr:uid="{00000000-0005-0000-0000-000021380000}"/>
    <cellStyle name="Normal 6 2 11 3 3" xfId="14371" xr:uid="{00000000-0005-0000-0000-000022380000}"/>
    <cellStyle name="Normal 6 2 11 4" xfId="14372" xr:uid="{00000000-0005-0000-0000-000023380000}"/>
    <cellStyle name="Normal 6 2 11 5" xfId="14373" xr:uid="{00000000-0005-0000-0000-000024380000}"/>
    <cellStyle name="Normal 6 2 12" xfId="14374" xr:uid="{00000000-0005-0000-0000-000025380000}"/>
    <cellStyle name="Normal 6 2 12 2" xfId="14375" xr:uid="{00000000-0005-0000-0000-000026380000}"/>
    <cellStyle name="Normal 6 2 12 2 2" xfId="14376" xr:uid="{00000000-0005-0000-0000-000027380000}"/>
    <cellStyle name="Normal 6 2 12 2 3" xfId="14377" xr:uid="{00000000-0005-0000-0000-000028380000}"/>
    <cellStyle name="Normal 6 2 12 3" xfId="14378" xr:uid="{00000000-0005-0000-0000-000029380000}"/>
    <cellStyle name="Normal 6 2 12 4" xfId="14379" xr:uid="{00000000-0005-0000-0000-00002A380000}"/>
    <cellStyle name="Normal 6 2 13" xfId="14380" xr:uid="{00000000-0005-0000-0000-00002B380000}"/>
    <cellStyle name="Normal 6 2 13 2" xfId="14381" xr:uid="{00000000-0005-0000-0000-00002C380000}"/>
    <cellStyle name="Normal 6 2 13 3" xfId="14382" xr:uid="{00000000-0005-0000-0000-00002D380000}"/>
    <cellStyle name="Normal 6 2 14" xfId="14383" xr:uid="{00000000-0005-0000-0000-00002E380000}"/>
    <cellStyle name="Normal 6 2 14 2" xfId="14384" xr:uid="{00000000-0005-0000-0000-00002F380000}"/>
    <cellStyle name="Normal 6 2 14 3" xfId="14385" xr:uid="{00000000-0005-0000-0000-000030380000}"/>
    <cellStyle name="Normal 6 2 15" xfId="14386" xr:uid="{00000000-0005-0000-0000-000031380000}"/>
    <cellStyle name="Normal 6 2 15 2" xfId="14387" xr:uid="{00000000-0005-0000-0000-000032380000}"/>
    <cellStyle name="Normal 6 2 15 3" xfId="14388" xr:uid="{00000000-0005-0000-0000-000033380000}"/>
    <cellStyle name="Normal 6 2 15 3 2" xfId="14389" xr:uid="{00000000-0005-0000-0000-000034380000}"/>
    <cellStyle name="Normal 6 2 15 4" xfId="14390" xr:uid="{00000000-0005-0000-0000-000035380000}"/>
    <cellStyle name="Normal 6 2 16" xfId="14391" xr:uid="{00000000-0005-0000-0000-000036380000}"/>
    <cellStyle name="Normal 6 2 16 2" xfId="14392" xr:uid="{00000000-0005-0000-0000-000037380000}"/>
    <cellStyle name="Normal 6 2 16 2 2" xfId="14393" xr:uid="{00000000-0005-0000-0000-000038380000}"/>
    <cellStyle name="Normal 6 2 16 3" xfId="14394" xr:uid="{00000000-0005-0000-0000-000039380000}"/>
    <cellStyle name="Normal 6 2 17" xfId="14395" xr:uid="{00000000-0005-0000-0000-00003A380000}"/>
    <cellStyle name="Normal 6 2 18" xfId="14396" xr:uid="{00000000-0005-0000-0000-00003B380000}"/>
    <cellStyle name="Normal 6 2 2" xfId="14397" xr:uid="{00000000-0005-0000-0000-00003C380000}"/>
    <cellStyle name="Normal 6 2 2 2" xfId="14398" xr:uid="{00000000-0005-0000-0000-00003D380000}"/>
    <cellStyle name="Normal 6 2 2 2 2" xfId="14399" xr:uid="{00000000-0005-0000-0000-00003E380000}"/>
    <cellStyle name="Normal 6 2 2 2 2 2" xfId="14400" xr:uid="{00000000-0005-0000-0000-00003F380000}"/>
    <cellStyle name="Normal 6 2 2 2 2 3" xfId="14401" xr:uid="{00000000-0005-0000-0000-000040380000}"/>
    <cellStyle name="Normal 6 2 2 2 2 3 2" xfId="14402" xr:uid="{00000000-0005-0000-0000-000041380000}"/>
    <cellStyle name="Normal 6 2 2 2 3" xfId="14403" xr:uid="{00000000-0005-0000-0000-000042380000}"/>
    <cellStyle name="Normal 6 2 2 2 3 2" xfId="14404" xr:uid="{00000000-0005-0000-0000-000043380000}"/>
    <cellStyle name="Normal 6 2 2 2 3 3" xfId="14405" xr:uid="{00000000-0005-0000-0000-000044380000}"/>
    <cellStyle name="Normal 6 2 2 2 3 3 2" xfId="14406" xr:uid="{00000000-0005-0000-0000-000045380000}"/>
    <cellStyle name="Normal 6 2 2 2 4" xfId="14407" xr:uid="{00000000-0005-0000-0000-000046380000}"/>
    <cellStyle name="Normal 6 2 2 2 5" xfId="14408" xr:uid="{00000000-0005-0000-0000-000047380000}"/>
    <cellStyle name="Normal 6 2 2 3" xfId="14409" xr:uid="{00000000-0005-0000-0000-000048380000}"/>
    <cellStyle name="Normal 6 2 2 3 2" xfId="14410" xr:uid="{00000000-0005-0000-0000-000049380000}"/>
    <cellStyle name="Normal 6 2 2 3 2 2" xfId="14411" xr:uid="{00000000-0005-0000-0000-00004A380000}"/>
    <cellStyle name="Normal 6 2 2 3 2 2 2" xfId="14412" xr:uid="{00000000-0005-0000-0000-00004B380000}"/>
    <cellStyle name="Normal 6 2 2 3 2 2 3" xfId="14413" xr:uid="{00000000-0005-0000-0000-00004C380000}"/>
    <cellStyle name="Normal 6 2 2 3 2 3" xfId="14414" xr:uid="{00000000-0005-0000-0000-00004D380000}"/>
    <cellStyle name="Normal 6 2 2 3 2 3 2" xfId="14415" xr:uid="{00000000-0005-0000-0000-00004E380000}"/>
    <cellStyle name="Normal 6 2 2 3 2 3 3" xfId="14416" xr:uid="{00000000-0005-0000-0000-00004F380000}"/>
    <cellStyle name="Normal 6 2 2 3 2 4" xfId="14417" xr:uid="{00000000-0005-0000-0000-000050380000}"/>
    <cellStyle name="Normal 6 2 2 3 2 5" xfId="14418" xr:uid="{00000000-0005-0000-0000-000051380000}"/>
    <cellStyle name="Normal 6 2 2 3 3" xfId="14419" xr:uid="{00000000-0005-0000-0000-000052380000}"/>
    <cellStyle name="Normal 6 2 2 3 3 2" xfId="14420" xr:uid="{00000000-0005-0000-0000-000053380000}"/>
    <cellStyle name="Normal 6 2 2 3 3 2 2" xfId="14421" xr:uid="{00000000-0005-0000-0000-000054380000}"/>
    <cellStyle name="Normal 6 2 2 3 3 2 3" xfId="14422" xr:uid="{00000000-0005-0000-0000-000055380000}"/>
    <cellStyle name="Normal 6 2 2 3 3 3" xfId="14423" xr:uid="{00000000-0005-0000-0000-000056380000}"/>
    <cellStyle name="Normal 6 2 2 3 3 3 2" xfId="14424" xr:uid="{00000000-0005-0000-0000-000057380000}"/>
    <cellStyle name="Normal 6 2 2 3 3 3 3" xfId="14425" xr:uid="{00000000-0005-0000-0000-000058380000}"/>
    <cellStyle name="Normal 6 2 2 3 3 4" xfId="14426" xr:uid="{00000000-0005-0000-0000-000059380000}"/>
    <cellStyle name="Normal 6 2 2 3 3 5" xfId="14427" xr:uid="{00000000-0005-0000-0000-00005A380000}"/>
    <cellStyle name="Normal 6 2 2 3 4" xfId="14428" xr:uid="{00000000-0005-0000-0000-00005B380000}"/>
    <cellStyle name="Normal 6 2 2 3 4 2" xfId="14429" xr:uid="{00000000-0005-0000-0000-00005C380000}"/>
    <cellStyle name="Normal 6 2 2 3 4 3" xfId="14430" xr:uid="{00000000-0005-0000-0000-00005D380000}"/>
    <cellStyle name="Normal 6 2 2 3 5" xfId="14431" xr:uid="{00000000-0005-0000-0000-00005E380000}"/>
    <cellStyle name="Normal 6 2 2 3 5 2" xfId="14432" xr:uid="{00000000-0005-0000-0000-00005F380000}"/>
    <cellStyle name="Normal 6 2 2 3 5 3" xfId="14433" xr:uid="{00000000-0005-0000-0000-000060380000}"/>
    <cellStyle name="Normal 6 2 2 3 6" xfId="14434" xr:uid="{00000000-0005-0000-0000-000061380000}"/>
    <cellStyle name="Normal 6 2 2 3 7" xfId="14435" xr:uid="{00000000-0005-0000-0000-000062380000}"/>
    <cellStyle name="Normal 6 2 2 4" xfId="14436" xr:uid="{00000000-0005-0000-0000-000063380000}"/>
    <cellStyle name="Normal 6 2 2 4 2" xfId="14437" xr:uid="{00000000-0005-0000-0000-000064380000}"/>
    <cellStyle name="Normal 6 2 2 4 2 2" xfId="14438" xr:uid="{00000000-0005-0000-0000-000065380000}"/>
    <cellStyle name="Normal 6 2 2 4 2 2 2" xfId="14439" xr:uid="{00000000-0005-0000-0000-000066380000}"/>
    <cellStyle name="Normal 6 2 2 4 2 2 3" xfId="14440" xr:uid="{00000000-0005-0000-0000-000067380000}"/>
    <cellStyle name="Normal 6 2 2 4 2 3" xfId="14441" xr:uid="{00000000-0005-0000-0000-000068380000}"/>
    <cellStyle name="Normal 6 2 2 4 2 3 2" xfId="14442" xr:uid="{00000000-0005-0000-0000-000069380000}"/>
    <cellStyle name="Normal 6 2 2 4 2 3 3" xfId="14443" xr:uid="{00000000-0005-0000-0000-00006A380000}"/>
    <cellStyle name="Normal 6 2 2 4 2 4" xfId="14444" xr:uid="{00000000-0005-0000-0000-00006B380000}"/>
    <cellStyle name="Normal 6 2 2 4 2 5" xfId="14445" xr:uid="{00000000-0005-0000-0000-00006C380000}"/>
    <cellStyle name="Normal 6 2 2 4 3" xfId="14446" xr:uid="{00000000-0005-0000-0000-00006D380000}"/>
    <cellStyle name="Normal 6 2 2 4 3 2" xfId="14447" xr:uid="{00000000-0005-0000-0000-00006E380000}"/>
    <cellStyle name="Normal 6 2 2 4 3 2 2" xfId="14448" xr:uid="{00000000-0005-0000-0000-00006F380000}"/>
    <cellStyle name="Normal 6 2 2 4 3 2 3" xfId="14449" xr:uid="{00000000-0005-0000-0000-000070380000}"/>
    <cellStyle name="Normal 6 2 2 4 3 3" xfId="14450" xr:uid="{00000000-0005-0000-0000-000071380000}"/>
    <cellStyle name="Normal 6 2 2 4 3 3 2" xfId="14451" xr:uid="{00000000-0005-0000-0000-000072380000}"/>
    <cellStyle name="Normal 6 2 2 4 3 3 3" xfId="14452" xr:uid="{00000000-0005-0000-0000-000073380000}"/>
    <cellStyle name="Normal 6 2 2 4 3 4" xfId="14453" xr:uid="{00000000-0005-0000-0000-000074380000}"/>
    <cellStyle name="Normal 6 2 2 4 3 5" xfId="14454" xr:uid="{00000000-0005-0000-0000-000075380000}"/>
    <cellStyle name="Normal 6 2 2 4 4" xfId="14455" xr:uid="{00000000-0005-0000-0000-000076380000}"/>
    <cellStyle name="Normal 6 2 2 4 4 2" xfId="14456" xr:uid="{00000000-0005-0000-0000-000077380000}"/>
    <cellStyle name="Normal 6 2 2 4 4 3" xfId="14457" xr:uid="{00000000-0005-0000-0000-000078380000}"/>
    <cellStyle name="Normal 6 2 2 4 5" xfId="14458" xr:uid="{00000000-0005-0000-0000-000079380000}"/>
    <cellStyle name="Normal 6 2 2 4 5 2" xfId="14459" xr:uid="{00000000-0005-0000-0000-00007A380000}"/>
    <cellStyle name="Normal 6 2 2 4 5 3" xfId="14460" xr:uid="{00000000-0005-0000-0000-00007B380000}"/>
    <cellStyle name="Normal 6 2 2 4 6" xfId="14461" xr:uid="{00000000-0005-0000-0000-00007C380000}"/>
    <cellStyle name="Normal 6 2 2 4 7" xfId="14462" xr:uid="{00000000-0005-0000-0000-00007D380000}"/>
    <cellStyle name="Normal 6 2 2 5" xfId="14463" xr:uid="{00000000-0005-0000-0000-00007E380000}"/>
    <cellStyle name="Normal 6 2 2 5 2" xfId="14464" xr:uid="{00000000-0005-0000-0000-00007F380000}"/>
    <cellStyle name="Normal 6 2 2 5 3" xfId="14465" xr:uid="{00000000-0005-0000-0000-000080380000}"/>
    <cellStyle name="Normal 6 2 2 5 3 2" xfId="14466" xr:uid="{00000000-0005-0000-0000-000081380000}"/>
    <cellStyle name="Normal 6 2 2 6" xfId="14467" xr:uid="{00000000-0005-0000-0000-000082380000}"/>
    <cellStyle name="Normal 6 2 2 6 2" xfId="14468" xr:uid="{00000000-0005-0000-0000-000083380000}"/>
    <cellStyle name="Normal 6 2 2 6 3" xfId="14469" xr:uid="{00000000-0005-0000-0000-000084380000}"/>
    <cellStyle name="Normal 6 2 2 6 3 2" xfId="14470" xr:uid="{00000000-0005-0000-0000-000085380000}"/>
    <cellStyle name="Normal 6 2 2 7" xfId="14471" xr:uid="{00000000-0005-0000-0000-000086380000}"/>
    <cellStyle name="Normal 6 2 2 8" xfId="14472" xr:uid="{00000000-0005-0000-0000-000087380000}"/>
    <cellStyle name="Normal 6 2 3" xfId="14473" xr:uid="{00000000-0005-0000-0000-000088380000}"/>
    <cellStyle name="Normal 6 2 3 10" xfId="14474" xr:uid="{00000000-0005-0000-0000-000089380000}"/>
    <cellStyle name="Normal 6 2 3 10 2" xfId="14475" xr:uid="{00000000-0005-0000-0000-00008A380000}"/>
    <cellStyle name="Normal 6 2 3 10 3" xfId="14476" xr:uid="{00000000-0005-0000-0000-00008B380000}"/>
    <cellStyle name="Normal 6 2 3 11" xfId="14477" xr:uid="{00000000-0005-0000-0000-00008C380000}"/>
    <cellStyle name="Normal 6 2 3 11 2" xfId="14478" xr:uid="{00000000-0005-0000-0000-00008D380000}"/>
    <cellStyle name="Normal 6 2 3 11 3" xfId="14479" xr:uid="{00000000-0005-0000-0000-00008E380000}"/>
    <cellStyle name="Normal 6 2 3 11 3 2" xfId="14480" xr:uid="{00000000-0005-0000-0000-00008F380000}"/>
    <cellStyle name="Normal 6 2 3 11 4" xfId="14481" xr:uid="{00000000-0005-0000-0000-000090380000}"/>
    <cellStyle name="Normal 6 2 3 12" xfId="14482" xr:uid="{00000000-0005-0000-0000-000091380000}"/>
    <cellStyle name="Normal 6 2 3 12 2" xfId="14483" xr:uid="{00000000-0005-0000-0000-000092380000}"/>
    <cellStyle name="Normal 6 2 3 12 2 2" xfId="14484" xr:uid="{00000000-0005-0000-0000-000093380000}"/>
    <cellStyle name="Normal 6 2 3 12 3" xfId="14485" xr:uid="{00000000-0005-0000-0000-000094380000}"/>
    <cellStyle name="Normal 6 2 3 13" xfId="14486" xr:uid="{00000000-0005-0000-0000-000095380000}"/>
    <cellStyle name="Normal 6 2 3 14" xfId="14487" xr:uid="{00000000-0005-0000-0000-000096380000}"/>
    <cellStyle name="Normal 6 2 3 2" xfId="14488" xr:uid="{00000000-0005-0000-0000-000097380000}"/>
    <cellStyle name="Normal 6 2 3 2 10" xfId="14489" xr:uid="{00000000-0005-0000-0000-000098380000}"/>
    <cellStyle name="Normal 6 2 3 2 10 2" xfId="14490" xr:uid="{00000000-0005-0000-0000-000099380000}"/>
    <cellStyle name="Normal 6 2 3 2 10 3" xfId="14491" xr:uid="{00000000-0005-0000-0000-00009A380000}"/>
    <cellStyle name="Normal 6 2 3 2 10 3 2" xfId="14492" xr:uid="{00000000-0005-0000-0000-00009B380000}"/>
    <cellStyle name="Normal 6 2 3 2 10 4" xfId="14493" xr:uid="{00000000-0005-0000-0000-00009C380000}"/>
    <cellStyle name="Normal 6 2 3 2 11" xfId="14494" xr:uid="{00000000-0005-0000-0000-00009D380000}"/>
    <cellStyle name="Normal 6 2 3 2 11 2" xfId="14495" xr:uid="{00000000-0005-0000-0000-00009E380000}"/>
    <cellStyle name="Normal 6 2 3 2 11 2 2" xfId="14496" xr:uid="{00000000-0005-0000-0000-00009F380000}"/>
    <cellStyle name="Normal 6 2 3 2 11 3" xfId="14497" xr:uid="{00000000-0005-0000-0000-0000A0380000}"/>
    <cellStyle name="Normal 6 2 3 2 12" xfId="14498" xr:uid="{00000000-0005-0000-0000-0000A1380000}"/>
    <cellStyle name="Normal 6 2 3 2 13" xfId="14499" xr:uid="{00000000-0005-0000-0000-0000A2380000}"/>
    <cellStyle name="Normal 6 2 3 2 2" xfId="14500" xr:uid="{00000000-0005-0000-0000-0000A3380000}"/>
    <cellStyle name="Normal 6 2 3 2 2 2" xfId="14501" xr:uid="{00000000-0005-0000-0000-0000A4380000}"/>
    <cellStyle name="Normal 6 2 3 2 2 2 2" xfId="14502" xr:uid="{00000000-0005-0000-0000-0000A5380000}"/>
    <cellStyle name="Normal 6 2 3 2 2 2 2 2" xfId="14503" xr:uid="{00000000-0005-0000-0000-0000A6380000}"/>
    <cellStyle name="Normal 6 2 3 2 2 2 2 2 2" xfId="14504" xr:uid="{00000000-0005-0000-0000-0000A7380000}"/>
    <cellStyle name="Normal 6 2 3 2 2 2 2 2 3" xfId="14505" xr:uid="{00000000-0005-0000-0000-0000A8380000}"/>
    <cellStyle name="Normal 6 2 3 2 2 2 2 3" xfId="14506" xr:uid="{00000000-0005-0000-0000-0000A9380000}"/>
    <cellStyle name="Normal 6 2 3 2 2 2 2 3 2" xfId="14507" xr:uid="{00000000-0005-0000-0000-0000AA380000}"/>
    <cellStyle name="Normal 6 2 3 2 2 2 2 3 3" xfId="14508" xr:uid="{00000000-0005-0000-0000-0000AB380000}"/>
    <cellStyle name="Normal 6 2 3 2 2 2 2 4" xfId="14509" xr:uid="{00000000-0005-0000-0000-0000AC380000}"/>
    <cellStyle name="Normal 6 2 3 2 2 2 2 5" xfId="14510" xr:uid="{00000000-0005-0000-0000-0000AD380000}"/>
    <cellStyle name="Normal 6 2 3 2 2 2 3" xfId="14511" xr:uid="{00000000-0005-0000-0000-0000AE380000}"/>
    <cellStyle name="Normal 6 2 3 2 2 2 3 2" xfId="14512" xr:uid="{00000000-0005-0000-0000-0000AF380000}"/>
    <cellStyle name="Normal 6 2 3 2 2 2 3 2 2" xfId="14513" xr:uid="{00000000-0005-0000-0000-0000B0380000}"/>
    <cellStyle name="Normal 6 2 3 2 2 2 3 2 3" xfId="14514" xr:uid="{00000000-0005-0000-0000-0000B1380000}"/>
    <cellStyle name="Normal 6 2 3 2 2 2 3 3" xfId="14515" xr:uid="{00000000-0005-0000-0000-0000B2380000}"/>
    <cellStyle name="Normal 6 2 3 2 2 2 3 3 2" xfId="14516" xr:uid="{00000000-0005-0000-0000-0000B3380000}"/>
    <cellStyle name="Normal 6 2 3 2 2 2 3 3 3" xfId="14517" xr:uid="{00000000-0005-0000-0000-0000B4380000}"/>
    <cellStyle name="Normal 6 2 3 2 2 2 3 4" xfId="14518" xr:uid="{00000000-0005-0000-0000-0000B5380000}"/>
    <cellStyle name="Normal 6 2 3 2 2 2 3 5" xfId="14519" xr:uid="{00000000-0005-0000-0000-0000B6380000}"/>
    <cellStyle name="Normal 6 2 3 2 2 2 4" xfId="14520" xr:uid="{00000000-0005-0000-0000-0000B7380000}"/>
    <cellStyle name="Normal 6 2 3 2 2 2 4 2" xfId="14521" xr:uid="{00000000-0005-0000-0000-0000B8380000}"/>
    <cellStyle name="Normal 6 2 3 2 2 2 4 3" xfId="14522" xr:uid="{00000000-0005-0000-0000-0000B9380000}"/>
    <cellStyle name="Normal 6 2 3 2 2 2 5" xfId="14523" xr:uid="{00000000-0005-0000-0000-0000BA380000}"/>
    <cellStyle name="Normal 6 2 3 2 2 2 5 2" xfId="14524" xr:uid="{00000000-0005-0000-0000-0000BB380000}"/>
    <cellStyle name="Normal 6 2 3 2 2 2 5 3" xfId="14525" xr:uid="{00000000-0005-0000-0000-0000BC380000}"/>
    <cellStyle name="Normal 6 2 3 2 2 2 6" xfId="14526" xr:uid="{00000000-0005-0000-0000-0000BD380000}"/>
    <cellStyle name="Normal 6 2 3 2 2 2 7" xfId="14527" xr:uid="{00000000-0005-0000-0000-0000BE380000}"/>
    <cellStyle name="Normal 6 2 3 2 2 3" xfId="14528" xr:uid="{00000000-0005-0000-0000-0000BF380000}"/>
    <cellStyle name="Normal 6 2 3 2 2 3 2" xfId="14529" xr:uid="{00000000-0005-0000-0000-0000C0380000}"/>
    <cellStyle name="Normal 6 2 3 2 2 3 2 2" xfId="14530" xr:uid="{00000000-0005-0000-0000-0000C1380000}"/>
    <cellStyle name="Normal 6 2 3 2 2 3 2 3" xfId="14531" xr:uid="{00000000-0005-0000-0000-0000C2380000}"/>
    <cellStyle name="Normal 6 2 3 2 2 3 3" xfId="14532" xr:uid="{00000000-0005-0000-0000-0000C3380000}"/>
    <cellStyle name="Normal 6 2 3 2 2 3 3 2" xfId="14533" xr:uid="{00000000-0005-0000-0000-0000C4380000}"/>
    <cellStyle name="Normal 6 2 3 2 2 3 3 3" xfId="14534" xr:uid="{00000000-0005-0000-0000-0000C5380000}"/>
    <cellStyle name="Normal 6 2 3 2 2 3 4" xfId="14535" xr:uid="{00000000-0005-0000-0000-0000C6380000}"/>
    <cellStyle name="Normal 6 2 3 2 2 3 5" xfId="14536" xr:uid="{00000000-0005-0000-0000-0000C7380000}"/>
    <cellStyle name="Normal 6 2 3 2 2 4" xfId="14537" xr:uid="{00000000-0005-0000-0000-0000C8380000}"/>
    <cellStyle name="Normal 6 2 3 2 2 4 2" xfId="14538" xr:uid="{00000000-0005-0000-0000-0000C9380000}"/>
    <cellStyle name="Normal 6 2 3 2 2 4 2 2" xfId="14539" xr:uid="{00000000-0005-0000-0000-0000CA380000}"/>
    <cellStyle name="Normal 6 2 3 2 2 4 2 3" xfId="14540" xr:uid="{00000000-0005-0000-0000-0000CB380000}"/>
    <cellStyle name="Normal 6 2 3 2 2 4 3" xfId="14541" xr:uid="{00000000-0005-0000-0000-0000CC380000}"/>
    <cellStyle name="Normal 6 2 3 2 2 4 3 2" xfId="14542" xr:uid="{00000000-0005-0000-0000-0000CD380000}"/>
    <cellStyle name="Normal 6 2 3 2 2 4 3 3" xfId="14543" xr:uid="{00000000-0005-0000-0000-0000CE380000}"/>
    <cellStyle name="Normal 6 2 3 2 2 4 4" xfId="14544" xr:uid="{00000000-0005-0000-0000-0000CF380000}"/>
    <cellStyle name="Normal 6 2 3 2 2 4 5" xfId="14545" xr:uid="{00000000-0005-0000-0000-0000D0380000}"/>
    <cellStyle name="Normal 6 2 3 2 2 5" xfId="14546" xr:uid="{00000000-0005-0000-0000-0000D1380000}"/>
    <cellStyle name="Normal 6 2 3 2 2 5 2" xfId="14547" xr:uid="{00000000-0005-0000-0000-0000D2380000}"/>
    <cellStyle name="Normal 6 2 3 2 2 5 3" xfId="14548" xr:uid="{00000000-0005-0000-0000-0000D3380000}"/>
    <cellStyle name="Normal 6 2 3 2 2 6" xfId="14549" xr:uid="{00000000-0005-0000-0000-0000D4380000}"/>
    <cellStyle name="Normal 6 2 3 2 2 6 2" xfId="14550" xr:uid="{00000000-0005-0000-0000-0000D5380000}"/>
    <cellStyle name="Normal 6 2 3 2 2 6 3" xfId="14551" xr:uid="{00000000-0005-0000-0000-0000D6380000}"/>
    <cellStyle name="Normal 6 2 3 2 2 7" xfId="14552" xr:uid="{00000000-0005-0000-0000-0000D7380000}"/>
    <cellStyle name="Normal 6 2 3 2 2 7 2" xfId="14553" xr:uid="{00000000-0005-0000-0000-0000D8380000}"/>
    <cellStyle name="Normal 6 2 3 2 2 7 3" xfId="14554" xr:uid="{00000000-0005-0000-0000-0000D9380000}"/>
    <cellStyle name="Normal 6 2 3 2 2 7 3 2" xfId="14555" xr:uid="{00000000-0005-0000-0000-0000DA380000}"/>
    <cellStyle name="Normal 6 2 3 2 2 7 4" xfId="14556" xr:uid="{00000000-0005-0000-0000-0000DB380000}"/>
    <cellStyle name="Normal 6 2 3 2 2 8" xfId="14557" xr:uid="{00000000-0005-0000-0000-0000DC380000}"/>
    <cellStyle name="Normal 6 2 3 2 2 9" xfId="14558" xr:uid="{00000000-0005-0000-0000-0000DD380000}"/>
    <cellStyle name="Normal 6 2 3 2 3" xfId="14559" xr:uid="{00000000-0005-0000-0000-0000DE380000}"/>
    <cellStyle name="Normal 6 2 3 2 3 2" xfId="14560" xr:uid="{00000000-0005-0000-0000-0000DF380000}"/>
    <cellStyle name="Normal 6 2 3 2 3 2 2" xfId="14561" xr:uid="{00000000-0005-0000-0000-0000E0380000}"/>
    <cellStyle name="Normal 6 2 3 2 3 2 2 2" xfId="14562" xr:uid="{00000000-0005-0000-0000-0000E1380000}"/>
    <cellStyle name="Normal 6 2 3 2 3 2 2 3" xfId="14563" xr:uid="{00000000-0005-0000-0000-0000E2380000}"/>
    <cellStyle name="Normal 6 2 3 2 3 2 3" xfId="14564" xr:uid="{00000000-0005-0000-0000-0000E3380000}"/>
    <cellStyle name="Normal 6 2 3 2 3 2 3 2" xfId="14565" xr:uid="{00000000-0005-0000-0000-0000E4380000}"/>
    <cellStyle name="Normal 6 2 3 2 3 2 3 3" xfId="14566" xr:uid="{00000000-0005-0000-0000-0000E5380000}"/>
    <cellStyle name="Normal 6 2 3 2 3 2 4" xfId="14567" xr:uid="{00000000-0005-0000-0000-0000E6380000}"/>
    <cellStyle name="Normal 6 2 3 2 3 2 5" xfId="14568" xr:uid="{00000000-0005-0000-0000-0000E7380000}"/>
    <cellStyle name="Normal 6 2 3 2 3 3" xfId="14569" xr:uid="{00000000-0005-0000-0000-0000E8380000}"/>
    <cellStyle name="Normal 6 2 3 2 3 3 2" xfId="14570" xr:uid="{00000000-0005-0000-0000-0000E9380000}"/>
    <cellStyle name="Normal 6 2 3 2 3 3 2 2" xfId="14571" xr:uid="{00000000-0005-0000-0000-0000EA380000}"/>
    <cellStyle name="Normal 6 2 3 2 3 3 2 3" xfId="14572" xr:uid="{00000000-0005-0000-0000-0000EB380000}"/>
    <cellStyle name="Normal 6 2 3 2 3 3 3" xfId="14573" xr:uid="{00000000-0005-0000-0000-0000EC380000}"/>
    <cellStyle name="Normal 6 2 3 2 3 3 3 2" xfId="14574" xr:uid="{00000000-0005-0000-0000-0000ED380000}"/>
    <cellStyle name="Normal 6 2 3 2 3 3 3 3" xfId="14575" xr:uid="{00000000-0005-0000-0000-0000EE380000}"/>
    <cellStyle name="Normal 6 2 3 2 3 3 4" xfId="14576" xr:uid="{00000000-0005-0000-0000-0000EF380000}"/>
    <cellStyle name="Normal 6 2 3 2 3 3 5" xfId="14577" xr:uid="{00000000-0005-0000-0000-0000F0380000}"/>
    <cellStyle name="Normal 6 2 3 2 3 4" xfId="14578" xr:uid="{00000000-0005-0000-0000-0000F1380000}"/>
    <cellStyle name="Normal 6 2 3 2 3 4 2" xfId="14579" xr:uid="{00000000-0005-0000-0000-0000F2380000}"/>
    <cellStyle name="Normal 6 2 3 2 3 4 3" xfId="14580" xr:uid="{00000000-0005-0000-0000-0000F3380000}"/>
    <cellStyle name="Normal 6 2 3 2 3 5" xfId="14581" xr:uid="{00000000-0005-0000-0000-0000F4380000}"/>
    <cellStyle name="Normal 6 2 3 2 3 5 2" xfId="14582" xr:uid="{00000000-0005-0000-0000-0000F5380000}"/>
    <cellStyle name="Normal 6 2 3 2 3 5 3" xfId="14583" xr:uid="{00000000-0005-0000-0000-0000F6380000}"/>
    <cellStyle name="Normal 6 2 3 2 3 6" xfId="14584" xr:uid="{00000000-0005-0000-0000-0000F7380000}"/>
    <cellStyle name="Normal 6 2 3 2 3 7" xfId="14585" xr:uid="{00000000-0005-0000-0000-0000F8380000}"/>
    <cellStyle name="Normal 6 2 3 2 4" xfId="14586" xr:uid="{00000000-0005-0000-0000-0000F9380000}"/>
    <cellStyle name="Normal 6 2 3 2 4 2" xfId="14587" xr:uid="{00000000-0005-0000-0000-0000FA380000}"/>
    <cellStyle name="Normal 6 2 3 2 4 2 2" xfId="14588" xr:uid="{00000000-0005-0000-0000-0000FB380000}"/>
    <cellStyle name="Normal 6 2 3 2 4 2 2 2" xfId="14589" xr:uid="{00000000-0005-0000-0000-0000FC380000}"/>
    <cellStyle name="Normal 6 2 3 2 4 2 2 3" xfId="14590" xr:uid="{00000000-0005-0000-0000-0000FD380000}"/>
    <cellStyle name="Normal 6 2 3 2 4 2 3" xfId="14591" xr:uid="{00000000-0005-0000-0000-0000FE380000}"/>
    <cellStyle name="Normal 6 2 3 2 4 2 3 2" xfId="14592" xr:uid="{00000000-0005-0000-0000-0000FF380000}"/>
    <cellStyle name="Normal 6 2 3 2 4 2 3 3" xfId="14593" xr:uid="{00000000-0005-0000-0000-000000390000}"/>
    <cellStyle name="Normal 6 2 3 2 4 2 4" xfId="14594" xr:uid="{00000000-0005-0000-0000-000001390000}"/>
    <cellStyle name="Normal 6 2 3 2 4 2 5" xfId="14595" xr:uid="{00000000-0005-0000-0000-000002390000}"/>
    <cellStyle name="Normal 6 2 3 2 4 3" xfId="14596" xr:uid="{00000000-0005-0000-0000-000003390000}"/>
    <cellStyle name="Normal 6 2 3 2 4 3 2" xfId="14597" xr:uid="{00000000-0005-0000-0000-000004390000}"/>
    <cellStyle name="Normal 6 2 3 2 4 3 2 2" xfId="14598" xr:uid="{00000000-0005-0000-0000-000005390000}"/>
    <cellStyle name="Normal 6 2 3 2 4 3 2 3" xfId="14599" xr:uid="{00000000-0005-0000-0000-000006390000}"/>
    <cellStyle name="Normal 6 2 3 2 4 3 3" xfId="14600" xr:uid="{00000000-0005-0000-0000-000007390000}"/>
    <cellStyle name="Normal 6 2 3 2 4 3 4" xfId="14601" xr:uid="{00000000-0005-0000-0000-000008390000}"/>
    <cellStyle name="Normal 6 2 3 2 4 4" xfId="14602" xr:uid="{00000000-0005-0000-0000-000009390000}"/>
    <cellStyle name="Normal 6 2 3 2 4 4 2" xfId="14603" xr:uid="{00000000-0005-0000-0000-00000A390000}"/>
    <cellStyle name="Normal 6 2 3 2 4 4 3" xfId="14604" xr:uid="{00000000-0005-0000-0000-00000B390000}"/>
    <cellStyle name="Normal 6 2 3 2 4 5" xfId="14605" xr:uid="{00000000-0005-0000-0000-00000C390000}"/>
    <cellStyle name="Normal 6 2 3 2 4 5 2" xfId="14606" xr:uid="{00000000-0005-0000-0000-00000D390000}"/>
    <cellStyle name="Normal 6 2 3 2 4 5 3" xfId="14607" xr:uid="{00000000-0005-0000-0000-00000E390000}"/>
    <cellStyle name="Normal 6 2 3 2 4 6" xfId="14608" xr:uid="{00000000-0005-0000-0000-00000F390000}"/>
    <cellStyle name="Normal 6 2 3 2 4 7" xfId="14609" xr:uid="{00000000-0005-0000-0000-000010390000}"/>
    <cellStyle name="Normal 6 2 3 2 5" xfId="14610" xr:uid="{00000000-0005-0000-0000-000011390000}"/>
    <cellStyle name="Normal 6 2 3 2 5 2" xfId="14611" xr:uid="{00000000-0005-0000-0000-000012390000}"/>
    <cellStyle name="Normal 6 2 3 2 5 2 2" xfId="14612" xr:uid="{00000000-0005-0000-0000-000013390000}"/>
    <cellStyle name="Normal 6 2 3 2 5 2 3" xfId="14613" xr:uid="{00000000-0005-0000-0000-000014390000}"/>
    <cellStyle name="Normal 6 2 3 2 5 3" xfId="14614" xr:uid="{00000000-0005-0000-0000-000015390000}"/>
    <cellStyle name="Normal 6 2 3 2 5 3 2" xfId="14615" xr:uid="{00000000-0005-0000-0000-000016390000}"/>
    <cellStyle name="Normal 6 2 3 2 5 3 3" xfId="14616" xr:uid="{00000000-0005-0000-0000-000017390000}"/>
    <cellStyle name="Normal 6 2 3 2 5 4" xfId="14617" xr:uid="{00000000-0005-0000-0000-000018390000}"/>
    <cellStyle name="Normal 6 2 3 2 5 5" xfId="14618" xr:uid="{00000000-0005-0000-0000-000019390000}"/>
    <cellStyle name="Normal 6 2 3 2 6" xfId="14619" xr:uid="{00000000-0005-0000-0000-00001A390000}"/>
    <cellStyle name="Normal 6 2 3 2 6 2" xfId="14620" xr:uid="{00000000-0005-0000-0000-00001B390000}"/>
    <cellStyle name="Normal 6 2 3 2 6 2 2" xfId="14621" xr:uid="{00000000-0005-0000-0000-00001C390000}"/>
    <cellStyle name="Normal 6 2 3 2 6 2 3" xfId="14622" xr:uid="{00000000-0005-0000-0000-00001D390000}"/>
    <cellStyle name="Normal 6 2 3 2 6 3" xfId="14623" xr:uid="{00000000-0005-0000-0000-00001E390000}"/>
    <cellStyle name="Normal 6 2 3 2 6 3 2" xfId="14624" xr:uid="{00000000-0005-0000-0000-00001F390000}"/>
    <cellStyle name="Normal 6 2 3 2 6 3 3" xfId="14625" xr:uid="{00000000-0005-0000-0000-000020390000}"/>
    <cellStyle name="Normal 6 2 3 2 6 4" xfId="14626" xr:uid="{00000000-0005-0000-0000-000021390000}"/>
    <cellStyle name="Normal 6 2 3 2 6 5" xfId="14627" xr:uid="{00000000-0005-0000-0000-000022390000}"/>
    <cellStyle name="Normal 6 2 3 2 7" xfId="14628" xr:uid="{00000000-0005-0000-0000-000023390000}"/>
    <cellStyle name="Normal 6 2 3 2 7 2" xfId="14629" xr:uid="{00000000-0005-0000-0000-000024390000}"/>
    <cellStyle name="Normal 6 2 3 2 7 2 2" xfId="14630" xr:uid="{00000000-0005-0000-0000-000025390000}"/>
    <cellStyle name="Normal 6 2 3 2 7 2 3" xfId="14631" xr:uid="{00000000-0005-0000-0000-000026390000}"/>
    <cellStyle name="Normal 6 2 3 2 7 3" xfId="14632" xr:uid="{00000000-0005-0000-0000-000027390000}"/>
    <cellStyle name="Normal 6 2 3 2 7 4" xfId="14633" xr:uid="{00000000-0005-0000-0000-000028390000}"/>
    <cellStyle name="Normal 6 2 3 2 8" xfId="14634" xr:uid="{00000000-0005-0000-0000-000029390000}"/>
    <cellStyle name="Normal 6 2 3 2 8 2" xfId="14635" xr:uid="{00000000-0005-0000-0000-00002A390000}"/>
    <cellStyle name="Normal 6 2 3 2 8 3" xfId="14636" xr:uid="{00000000-0005-0000-0000-00002B390000}"/>
    <cellStyle name="Normal 6 2 3 2 9" xfId="14637" xr:uid="{00000000-0005-0000-0000-00002C390000}"/>
    <cellStyle name="Normal 6 2 3 2 9 2" xfId="14638" xr:uid="{00000000-0005-0000-0000-00002D390000}"/>
    <cellStyle name="Normal 6 2 3 2 9 3" xfId="14639" xr:uid="{00000000-0005-0000-0000-00002E390000}"/>
    <cellStyle name="Normal 6 2 3 3" xfId="14640" xr:uid="{00000000-0005-0000-0000-00002F390000}"/>
    <cellStyle name="Normal 6 2 3 3 2" xfId="14641" xr:uid="{00000000-0005-0000-0000-000030390000}"/>
    <cellStyle name="Normal 6 2 3 3 2 2" xfId="14642" xr:uid="{00000000-0005-0000-0000-000031390000}"/>
    <cellStyle name="Normal 6 2 3 3 2 2 2" xfId="14643" xr:uid="{00000000-0005-0000-0000-000032390000}"/>
    <cellStyle name="Normal 6 2 3 3 2 2 2 2" xfId="14644" xr:uid="{00000000-0005-0000-0000-000033390000}"/>
    <cellStyle name="Normal 6 2 3 3 2 2 2 3" xfId="14645" xr:uid="{00000000-0005-0000-0000-000034390000}"/>
    <cellStyle name="Normal 6 2 3 3 2 2 3" xfId="14646" xr:uid="{00000000-0005-0000-0000-000035390000}"/>
    <cellStyle name="Normal 6 2 3 3 2 2 3 2" xfId="14647" xr:uid="{00000000-0005-0000-0000-000036390000}"/>
    <cellStyle name="Normal 6 2 3 3 2 2 3 3" xfId="14648" xr:uid="{00000000-0005-0000-0000-000037390000}"/>
    <cellStyle name="Normal 6 2 3 3 2 2 4" xfId="14649" xr:uid="{00000000-0005-0000-0000-000038390000}"/>
    <cellStyle name="Normal 6 2 3 3 2 2 5" xfId="14650" xr:uid="{00000000-0005-0000-0000-000039390000}"/>
    <cellStyle name="Normal 6 2 3 3 2 3" xfId="14651" xr:uid="{00000000-0005-0000-0000-00003A390000}"/>
    <cellStyle name="Normal 6 2 3 3 2 3 2" xfId="14652" xr:uid="{00000000-0005-0000-0000-00003B390000}"/>
    <cellStyle name="Normal 6 2 3 3 2 3 2 2" xfId="14653" xr:uid="{00000000-0005-0000-0000-00003C390000}"/>
    <cellStyle name="Normal 6 2 3 3 2 3 2 3" xfId="14654" xr:uid="{00000000-0005-0000-0000-00003D390000}"/>
    <cellStyle name="Normal 6 2 3 3 2 3 3" xfId="14655" xr:uid="{00000000-0005-0000-0000-00003E390000}"/>
    <cellStyle name="Normal 6 2 3 3 2 3 3 2" xfId="14656" xr:uid="{00000000-0005-0000-0000-00003F390000}"/>
    <cellStyle name="Normal 6 2 3 3 2 3 3 3" xfId="14657" xr:uid="{00000000-0005-0000-0000-000040390000}"/>
    <cellStyle name="Normal 6 2 3 3 2 3 4" xfId="14658" xr:uid="{00000000-0005-0000-0000-000041390000}"/>
    <cellStyle name="Normal 6 2 3 3 2 3 5" xfId="14659" xr:uid="{00000000-0005-0000-0000-000042390000}"/>
    <cellStyle name="Normal 6 2 3 3 2 4" xfId="14660" xr:uid="{00000000-0005-0000-0000-000043390000}"/>
    <cellStyle name="Normal 6 2 3 3 2 4 2" xfId="14661" xr:uid="{00000000-0005-0000-0000-000044390000}"/>
    <cellStyle name="Normal 6 2 3 3 2 4 3" xfId="14662" xr:uid="{00000000-0005-0000-0000-000045390000}"/>
    <cellStyle name="Normal 6 2 3 3 2 5" xfId="14663" xr:uid="{00000000-0005-0000-0000-000046390000}"/>
    <cellStyle name="Normal 6 2 3 3 2 5 2" xfId="14664" xr:uid="{00000000-0005-0000-0000-000047390000}"/>
    <cellStyle name="Normal 6 2 3 3 2 5 3" xfId="14665" xr:uid="{00000000-0005-0000-0000-000048390000}"/>
    <cellStyle name="Normal 6 2 3 3 2 6" xfId="14666" xr:uid="{00000000-0005-0000-0000-000049390000}"/>
    <cellStyle name="Normal 6 2 3 3 2 7" xfId="14667" xr:uid="{00000000-0005-0000-0000-00004A390000}"/>
    <cellStyle name="Normal 6 2 3 3 3" xfId="14668" xr:uid="{00000000-0005-0000-0000-00004B390000}"/>
    <cellStyle name="Normal 6 2 3 3 3 2" xfId="14669" xr:uid="{00000000-0005-0000-0000-00004C390000}"/>
    <cellStyle name="Normal 6 2 3 3 3 2 2" xfId="14670" xr:uid="{00000000-0005-0000-0000-00004D390000}"/>
    <cellStyle name="Normal 6 2 3 3 3 2 3" xfId="14671" xr:uid="{00000000-0005-0000-0000-00004E390000}"/>
    <cellStyle name="Normal 6 2 3 3 3 3" xfId="14672" xr:uid="{00000000-0005-0000-0000-00004F390000}"/>
    <cellStyle name="Normal 6 2 3 3 3 3 2" xfId="14673" xr:uid="{00000000-0005-0000-0000-000050390000}"/>
    <cellStyle name="Normal 6 2 3 3 3 3 3" xfId="14674" xr:uid="{00000000-0005-0000-0000-000051390000}"/>
    <cellStyle name="Normal 6 2 3 3 3 4" xfId="14675" xr:uid="{00000000-0005-0000-0000-000052390000}"/>
    <cellStyle name="Normal 6 2 3 3 3 5" xfId="14676" xr:uid="{00000000-0005-0000-0000-000053390000}"/>
    <cellStyle name="Normal 6 2 3 3 4" xfId="14677" xr:uid="{00000000-0005-0000-0000-000054390000}"/>
    <cellStyle name="Normal 6 2 3 3 4 2" xfId="14678" xr:uid="{00000000-0005-0000-0000-000055390000}"/>
    <cellStyle name="Normal 6 2 3 3 4 2 2" xfId="14679" xr:uid="{00000000-0005-0000-0000-000056390000}"/>
    <cellStyle name="Normal 6 2 3 3 4 2 3" xfId="14680" xr:uid="{00000000-0005-0000-0000-000057390000}"/>
    <cellStyle name="Normal 6 2 3 3 4 3" xfId="14681" xr:uid="{00000000-0005-0000-0000-000058390000}"/>
    <cellStyle name="Normal 6 2 3 3 4 3 2" xfId="14682" xr:uid="{00000000-0005-0000-0000-000059390000}"/>
    <cellStyle name="Normal 6 2 3 3 4 3 3" xfId="14683" xr:uid="{00000000-0005-0000-0000-00005A390000}"/>
    <cellStyle name="Normal 6 2 3 3 4 4" xfId="14684" xr:uid="{00000000-0005-0000-0000-00005B390000}"/>
    <cellStyle name="Normal 6 2 3 3 4 5" xfId="14685" xr:uid="{00000000-0005-0000-0000-00005C390000}"/>
    <cellStyle name="Normal 6 2 3 3 5" xfId="14686" xr:uid="{00000000-0005-0000-0000-00005D390000}"/>
    <cellStyle name="Normal 6 2 3 3 5 2" xfId="14687" xr:uid="{00000000-0005-0000-0000-00005E390000}"/>
    <cellStyle name="Normal 6 2 3 3 5 3" xfId="14688" xr:uid="{00000000-0005-0000-0000-00005F390000}"/>
    <cellStyle name="Normal 6 2 3 3 6" xfId="14689" xr:uid="{00000000-0005-0000-0000-000060390000}"/>
    <cellStyle name="Normal 6 2 3 3 6 2" xfId="14690" xr:uid="{00000000-0005-0000-0000-000061390000}"/>
    <cellStyle name="Normal 6 2 3 3 6 3" xfId="14691" xr:uid="{00000000-0005-0000-0000-000062390000}"/>
    <cellStyle name="Normal 6 2 3 3 7" xfId="14692" xr:uid="{00000000-0005-0000-0000-000063390000}"/>
    <cellStyle name="Normal 6 2 3 3 7 2" xfId="14693" xr:uid="{00000000-0005-0000-0000-000064390000}"/>
    <cellStyle name="Normal 6 2 3 3 7 3" xfId="14694" xr:uid="{00000000-0005-0000-0000-000065390000}"/>
    <cellStyle name="Normal 6 2 3 3 7 3 2" xfId="14695" xr:uid="{00000000-0005-0000-0000-000066390000}"/>
    <cellStyle name="Normal 6 2 3 3 7 4" xfId="14696" xr:uid="{00000000-0005-0000-0000-000067390000}"/>
    <cellStyle name="Normal 6 2 3 3 8" xfId="14697" xr:uid="{00000000-0005-0000-0000-000068390000}"/>
    <cellStyle name="Normal 6 2 3 3 9" xfId="14698" xr:uid="{00000000-0005-0000-0000-000069390000}"/>
    <cellStyle name="Normal 6 2 3 4" xfId="14699" xr:uid="{00000000-0005-0000-0000-00006A390000}"/>
    <cellStyle name="Normal 6 2 3 4 2" xfId="14700" xr:uid="{00000000-0005-0000-0000-00006B390000}"/>
    <cellStyle name="Normal 6 2 3 4 2 2" xfId="14701" xr:uid="{00000000-0005-0000-0000-00006C390000}"/>
    <cellStyle name="Normal 6 2 3 4 2 2 2" xfId="14702" xr:uid="{00000000-0005-0000-0000-00006D390000}"/>
    <cellStyle name="Normal 6 2 3 4 2 2 3" xfId="14703" xr:uid="{00000000-0005-0000-0000-00006E390000}"/>
    <cellStyle name="Normal 6 2 3 4 2 3" xfId="14704" xr:uid="{00000000-0005-0000-0000-00006F390000}"/>
    <cellStyle name="Normal 6 2 3 4 2 3 2" xfId="14705" xr:uid="{00000000-0005-0000-0000-000070390000}"/>
    <cellStyle name="Normal 6 2 3 4 2 3 3" xfId="14706" xr:uid="{00000000-0005-0000-0000-000071390000}"/>
    <cellStyle name="Normal 6 2 3 4 2 4" xfId="14707" xr:uid="{00000000-0005-0000-0000-000072390000}"/>
    <cellStyle name="Normal 6 2 3 4 2 5" xfId="14708" xr:uid="{00000000-0005-0000-0000-000073390000}"/>
    <cellStyle name="Normal 6 2 3 4 3" xfId="14709" xr:uid="{00000000-0005-0000-0000-000074390000}"/>
    <cellStyle name="Normal 6 2 3 4 3 2" xfId="14710" xr:uid="{00000000-0005-0000-0000-000075390000}"/>
    <cellStyle name="Normal 6 2 3 4 3 2 2" xfId="14711" xr:uid="{00000000-0005-0000-0000-000076390000}"/>
    <cellStyle name="Normal 6 2 3 4 3 2 3" xfId="14712" xr:uid="{00000000-0005-0000-0000-000077390000}"/>
    <cellStyle name="Normal 6 2 3 4 3 3" xfId="14713" xr:uid="{00000000-0005-0000-0000-000078390000}"/>
    <cellStyle name="Normal 6 2 3 4 3 3 2" xfId="14714" xr:uid="{00000000-0005-0000-0000-000079390000}"/>
    <cellStyle name="Normal 6 2 3 4 3 3 3" xfId="14715" xr:uid="{00000000-0005-0000-0000-00007A390000}"/>
    <cellStyle name="Normal 6 2 3 4 3 4" xfId="14716" xr:uid="{00000000-0005-0000-0000-00007B390000}"/>
    <cellStyle name="Normal 6 2 3 4 3 5" xfId="14717" xr:uid="{00000000-0005-0000-0000-00007C390000}"/>
    <cellStyle name="Normal 6 2 3 4 4" xfId="14718" xr:uid="{00000000-0005-0000-0000-00007D390000}"/>
    <cellStyle name="Normal 6 2 3 4 4 2" xfId="14719" xr:uid="{00000000-0005-0000-0000-00007E390000}"/>
    <cellStyle name="Normal 6 2 3 4 4 3" xfId="14720" xr:uid="{00000000-0005-0000-0000-00007F390000}"/>
    <cellStyle name="Normal 6 2 3 4 5" xfId="14721" xr:uid="{00000000-0005-0000-0000-000080390000}"/>
    <cellStyle name="Normal 6 2 3 4 5 2" xfId="14722" xr:uid="{00000000-0005-0000-0000-000081390000}"/>
    <cellStyle name="Normal 6 2 3 4 5 3" xfId="14723" xr:uid="{00000000-0005-0000-0000-000082390000}"/>
    <cellStyle name="Normal 6 2 3 4 6" xfId="14724" xr:uid="{00000000-0005-0000-0000-000083390000}"/>
    <cellStyle name="Normal 6 2 3 4 7" xfId="14725" xr:uid="{00000000-0005-0000-0000-000084390000}"/>
    <cellStyle name="Normal 6 2 3 5" xfId="14726" xr:uid="{00000000-0005-0000-0000-000085390000}"/>
    <cellStyle name="Normal 6 2 3 5 2" xfId="14727" xr:uid="{00000000-0005-0000-0000-000086390000}"/>
    <cellStyle name="Normal 6 2 3 5 2 2" xfId="14728" xr:uid="{00000000-0005-0000-0000-000087390000}"/>
    <cellStyle name="Normal 6 2 3 5 2 2 2" xfId="14729" xr:uid="{00000000-0005-0000-0000-000088390000}"/>
    <cellStyle name="Normal 6 2 3 5 2 2 3" xfId="14730" xr:uid="{00000000-0005-0000-0000-000089390000}"/>
    <cellStyle name="Normal 6 2 3 5 2 3" xfId="14731" xr:uid="{00000000-0005-0000-0000-00008A390000}"/>
    <cellStyle name="Normal 6 2 3 5 2 3 2" xfId="14732" xr:uid="{00000000-0005-0000-0000-00008B390000}"/>
    <cellStyle name="Normal 6 2 3 5 2 3 3" xfId="14733" xr:uid="{00000000-0005-0000-0000-00008C390000}"/>
    <cellStyle name="Normal 6 2 3 5 2 4" xfId="14734" xr:uid="{00000000-0005-0000-0000-00008D390000}"/>
    <cellStyle name="Normal 6 2 3 5 2 5" xfId="14735" xr:uid="{00000000-0005-0000-0000-00008E390000}"/>
    <cellStyle name="Normal 6 2 3 5 3" xfId="14736" xr:uid="{00000000-0005-0000-0000-00008F390000}"/>
    <cellStyle name="Normal 6 2 3 5 3 2" xfId="14737" xr:uid="{00000000-0005-0000-0000-000090390000}"/>
    <cellStyle name="Normal 6 2 3 5 3 2 2" xfId="14738" xr:uid="{00000000-0005-0000-0000-000091390000}"/>
    <cellStyle name="Normal 6 2 3 5 3 2 3" xfId="14739" xr:uid="{00000000-0005-0000-0000-000092390000}"/>
    <cellStyle name="Normal 6 2 3 5 3 3" xfId="14740" xr:uid="{00000000-0005-0000-0000-000093390000}"/>
    <cellStyle name="Normal 6 2 3 5 3 4" xfId="14741" xr:uid="{00000000-0005-0000-0000-000094390000}"/>
    <cellStyle name="Normal 6 2 3 5 4" xfId="14742" xr:uid="{00000000-0005-0000-0000-000095390000}"/>
    <cellStyle name="Normal 6 2 3 5 4 2" xfId="14743" xr:uid="{00000000-0005-0000-0000-000096390000}"/>
    <cellStyle name="Normal 6 2 3 5 4 3" xfId="14744" xr:uid="{00000000-0005-0000-0000-000097390000}"/>
    <cellStyle name="Normal 6 2 3 5 5" xfId="14745" xr:uid="{00000000-0005-0000-0000-000098390000}"/>
    <cellStyle name="Normal 6 2 3 5 5 2" xfId="14746" xr:uid="{00000000-0005-0000-0000-000099390000}"/>
    <cellStyle name="Normal 6 2 3 5 5 3" xfId="14747" xr:uid="{00000000-0005-0000-0000-00009A390000}"/>
    <cellStyle name="Normal 6 2 3 5 6" xfId="14748" xr:uid="{00000000-0005-0000-0000-00009B390000}"/>
    <cellStyle name="Normal 6 2 3 5 7" xfId="14749" xr:uid="{00000000-0005-0000-0000-00009C390000}"/>
    <cellStyle name="Normal 6 2 3 6" xfId="14750" xr:uid="{00000000-0005-0000-0000-00009D390000}"/>
    <cellStyle name="Normal 6 2 3 6 2" xfId="14751" xr:uid="{00000000-0005-0000-0000-00009E390000}"/>
    <cellStyle name="Normal 6 2 3 6 2 2" xfId="14752" xr:uid="{00000000-0005-0000-0000-00009F390000}"/>
    <cellStyle name="Normal 6 2 3 6 2 3" xfId="14753" xr:uid="{00000000-0005-0000-0000-0000A0390000}"/>
    <cellStyle name="Normal 6 2 3 6 3" xfId="14754" xr:uid="{00000000-0005-0000-0000-0000A1390000}"/>
    <cellStyle name="Normal 6 2 3 6 3 2" xfId="14755" xr:uid="{00000000-0005-0000-0000-0000A2390000}"/>
    <cellStyle name="Normal 6 2 3 6 3 3" xfId="14756" xr:uid="{00000000-0005-0000-0000-0000A3390000}"/>
    <cellStyle name="Normal 6 2 3 6 4" xfId="14757" xr:uid="{00000000-0005-0000-0000-0000A4390000}"/>
    <cellStyle name="Normal 6 2 3 6 5" xfId="14758" xr:uid="{00000000-0005-0000-0000-0000A5390000}"/>
    <cellStyle name="Normal 6 2 3 7" xfId="14759" xr:uid="{00000000-0005-0000-0000-0000A6390000}"/>
    <cellStyle name="Normal 6 2 3 7 2" xfId="14760" xr:uid="{00000000-0005-0000-0000-0000A7390000}"/>
    <cellStyle name="Normal 6 2 3 7 2 2" xfId="14761" xr:uid="{00000000-0005-0000-0000-0000A8390000}"/>
    <cellStyle name="Normal 6 2 3 7 2 3" xfId="14762" xr:uid="{00000000-0005-0000-0000-0000A9390000}"/>
    <cellStyle name="Normal 6 2 3 7 3" xfId="14763" xr:uid="{00000000-0005-0000-0000-0000AA390000}"/>
    <cellStyle name="Normal 6 2 3 7 3 2" xfId="14764" xr:uid="{00000000-0005-0000-0000-0000AB390000}"/>
    <cellStyle name="Normal 6 2 3 7 3 3" xfId="14765" xr:uid="{00000000-0005-0000-0000-0000AC390000}"/>
    <cellStyle name="Normal 6 2 3 7 4" xfId="14766" xr:uid="{00000000-0005-0000-0000-0000AD390000}"/>
    <cellStyle name="Normal 6 2 3 7 5" xfId="14767" xr:uid="{00000000-0005-0000-0000-0000AE390000}"/>
    <cellStyle name="Normal 6 2 3 8" xfId="14768" xr:uid="{00000000-0005-0000-0000-0000AF390000}"/>
    <cellStyle name="Normal 6 2 3 8 2" xfId="14769" xr:uid="{00000000-0005-0000-0000-0000B0390000}"/>
    <cellStyle name="Normal 6 2 3 8 2 2" xfId="14770" xr:uid="{00000000-0005-0000-0000-0000B1390000}"/>
    <cellStyle name="Normal 6 2 3 8 2 3" xfId="14771" xr:uid="{00000000-0005-0000-0000-0000B2390000}"/>
    <cellStyle name="Normal 6 2 3 8 3" xfId="14772" xr:uid="{00000000-0005-0000-0000-0000B3390000}"/>
    <cellStyle name="Normal 6 2 3 8 4" xfId="14773" xr:uid="{00000000-0005-0000-0000-0000B4390000}"/>
    <cellStyle name="Normal 6 2 3 9" xfId="14774" xr:uid="{00000000-0005-0000-0000-0000B5390000}"/>
    <cellStyle name="Normal 6 2 3 9 2" xfId="14775" xr:uid="{00000000-0005-0000-0000-0000B6390000}"/>
    <cellStyle name="Normal 6 2 3 9 3" xfId="14776" xr:uid="{00000000-0005-0000-0000-0000B7390000}"/>
    <cellStyle name="Normal 6 2 4" xfId="14777" xr:uid="{00000000-0005-0000-0000-0000B8390000}"/>
    <cellStyle name="Normal 6 2 4 10" xfId="14778" xr:uid="{00000000-0005-0000-0000-0000B9390000}"/>
    <cellStyle name="Normal 6 2 4 10 2" xfId="14779" xr:uid="{00000000-0005-0000-0000-0000BA390000}"/>
    <cellStyle name="Normal 6 2 4 10 3" xfId="14780" xr:uid="{00000000-0005-0000-0000-0000BB390000}"/>
    <cellStyle name="Normal 6 2 4 10 3 2" xfId="14781" xr:uid="{00000000-0005-0000-0000-0000BC390000}"/>
    <cellStyle name="Normal 6 2 4 10 4" xfId="14782" xr:uid="{00000000-0005-0000-0000-0000BD390000}"/>
    <cellStyle name="Normal 6 2 4 11" xfId="14783" xr:uid="{00000000-0005-0000-0000-0000BE390000}"/>
    <cellStyle name="Normal 6 2 4 11 2" xfId="14784" xr:uid="{00000000-0005-0000-0000-0000BF390000}"/>
    <cellStyle name="Normal 6 2 4 11 2 2" xfId="14785" xr:uid="{00000000-0005-0000-0000-0000C0390000}"/>
    <cellStyle name="Normal 6 2 4 11 3" xfId="14786" xr:uid="{00000000-0005-0000-0000-0000C1390000}"/>
    <cellStyle name="Normal 6 2 4 12" xfId="14787" xr:uid="{00000000-0005-0000-0000-0000C2390000}"/>
    <cellStyle name="Normal 6 2 4 13" xfId="14788" xr:uid="{00000000-0005-0000-0000-0000C3390000}"/>
    <cellStyle name="Normal 6 2 4 2" xfId="14789" xr:uid="{00000000-0005-0000-0000-0000C4390000}"/>
    <cellStyle name="Normal 6 2 4 2 2" xfId="14790" xr:uid="{00000000-0005-0000-0000-0000C5390000}"/>
    <cellStyle name="Normal 6 2 4 2 2 2" xfId="14791" xr:uid="{00000000-0005-0000-0000-0000C6390000}"/>
    <cellStyle name="Normal 6 2 4 2 2 2 2" xfId="14792" xr:uid="{00000000-0005-0000-0000-0000C7390000}"/>
    <cellStyle name="Normal 6 2 4 2 2 2 2 2" xfId="14793" xr:uid="{00000000-0005-0000-0000-0000C8390000}"/>
    <cellStyle name="Normal 6 2 4 2 2 2 2 3" xfId="14794" xr:uid="{00000000-0005-0000-0000-0000C9390000}"/>
    <cellStyle name="Normal 6 2 4 2 2 2 3" xfId="14795" xr:uid="{00000000-0005-0000-0000-0000CA390000}"/>
    <cellStyle name="Normal 6 2 4 2 2 2 3 2" xfId="14796" xr:uid="{00000000-0005-0000-0000-0000CB390000}"/>
    <cellStyle name="Normal 6 2 4 2 2 2 3 3" xfId="14797" xr:uid="{00000000-0005-0000-0000-0000CC390000}"/>
    <cellStyle name="Normal 6 2 4 2 2 2 4" xfId="14798" xr:uid="{00000000-0005-0000-0000-0000CD390000}"/>
    <cellStyle name="Normal 6 2 4 2 2 2 5" xfId="14799" xr:uid="{00000000-0005-0000-0000-0000CE390000}"/>
    <cellStyle name="Normal 6 2 4 2 2 3" xfId="14800" xr:uid="{00000000-0005-0000-0000-0000CF390000}"/>
    <cellStyle name="Normal 6 2 4 2 2 3 2" xfId="14801" xr:uid="{00000000-0005-0000-0000-0000D0390000}"/>
    <cellStyle name="Normal 6 2 4 2 2 3 2 2" xfId="14802" xr:uid="{00000000-0005-0000-0000-0000D1390000}"/>
    <cellStyle name="Normal 6 2 4 2 2 3 2 3" xfId="14803" xr:uid="{00000000-0005-0000-0000-0000D2390000}"/>
    <cellStyle name="Normal 6 2 4 2 2 3 3" xfId="14804" xr:uid="{00000000-0005-0000-0000-0000D3390000}"/>
    <cellStyle name="Normal 6 2 4 2 2 3 3 2" xfId="14805" xr:uid="{00000000-0005-0000-0000-0000D4390000}"/>
    <cellStyle name="Normal 6 2 4 2 2 3 3 3" xfId="14806" xr:uid="{00000000-0005-0000-0000-0000D5390000}"/>
    <cellStyle name="Normal 6 2 4 2 2 3 4" xfId="14807" xr:uid="{00000000-0005-0000-0000-0000D6390000}"/>
    <cellStyle name="Normal 6 2 4 2 2 3 5" xfId="14808" xr:uid="{00000000-0005-0000-0000-0000D7390000}"/>
    <cellStyle name="Normal 6 2 4 2 2 4" xfId="14809" xr:uid="{00000000-0005-0000-0000-0000D8390000}"/>
    <cellStyle name="Normal 6 2 4 2 2 4 2" xfId="14810" xr:uid="{00000000-0005-0000-0000-0000D9390000}"/>
    <cellStyle name="Normal 6 2 4 2 2 4 3" xfId="14811" xr:uid="{00000000-0005-0000-0000-0000DA390000}"/>
    <cellStyle name="Normal 6 2 4 2 2 5" xfId="14812" xr:uid="{00000000-0005-0000-0000-0000DB390000}"/>
    <cellStyle name="Normal 6 2 4 2 2 5 2" xfId="14813" xr:uid="{00000000-0005-0000-0000-0000DC390000}"/>
    <cellStyle name="Normal 6 2 4 2 2 5 3" xfId="14814" xr:uid="{00000000-0005-0000-0000-0000DD390000}"/>
    <cellStyle name="Normal 6 2 4 2 2 6" xfId="14815" xr:uid="{00000000-0005-0000-0000-0000DE390000}"/>
    <cellStyle name="Normal 6 2 4 2 2 7" xfId="14816" xr:uid="{00000000-0005-0000-0000-0000DF390000}"/>
    <cellStyle name="Normal 6 2 4 2 3" xfId="14817" xr:uid="{00000000-0005-0000-0000-0000E0390000}"/>
    <cellStyle name="Normal 6 2 4 2 3 2" xfId="14818" xr:uid="{00000000-0005-0000-0000-0000E1390000}"/>
    <cellStyle name="Normal 6 2 4 2 3 2 2" xfId="14819" xr:uid="{00000000-0005-0000-0000-0000E2390000}"/>
    <cellStyle name="Normal 6 2 4 2 3 2 3" xfId="14820" xr:uid="{00000000-0005-0000-0000-0000E3390000}"/>
    <cellStyle name="Normal 6 2 4 2 3 3" xfId="14821" xr:uid="{00000000-0005-0000-0000-0000E4390000}"/>
    <cellStyle name="Normal 6 2 4 2 3 3 2" xfId="14822" xr:uid="{00000000-0005-0000-0000-0000E5390000}"/>
    <cellStyle name="Normal 6 2 4 2 3 3 3" xfId="14823" xr:uid="{00000000-0005-0000-0000-0000E6390000}"/>
    <cellStyle name="Normal 6 2 4 2 3 4" xfId="14824" xr:uid="{00000000-0005-0000-0000-0000E7390000}"/>
    <cellStyle name="Normal 6 2 4 2 3 5" xfId="14825" xr:uid="{00000000-0005-0000-0000-0000E8390000}"/>
    <cellStyle name="Normal 6 2 4 2 4" xfId="14826" xr:uid="{00000000-0005-0000-0000-0000E9390000}"/>
    <cellStyle name="Normal 6 2 4 2 4 2" xfId="14827" xr:uid="{00000000-0005-0000-0000-0000EA390000}"/>
    <cellStyle name="Normal 6 2 4 2 4 2 2" xfId="14828" xr:uid="{00000000-0005-0000-0000-0000EB390000}"/>
    <cellStyle name="Normal 6 2 4 2 4 2 3" xfId="14829" xr:uid="{00000000-0005-0000-0000-0000EC390000}"/>
    <cellStyle name="Normal 6 2 4 2 4 3" xfId="14830" xr:uid="{00000000-0005-0000-0000-0000ED390000}"/>
    <cellStyle name="Normal 6 2 4 2 4 3 2" xfId="14831" xr:uid="{00000000-0005-0000-0000-0000EE390000}"/>
    <cellStyle name="Normal 6 2 4 2 4 3 3" xfId="14832" xr:uid="{00000000-0005-0000-0000-0000EF390000}"/>
    <cellStyle name="Normal 6 2 4 2 4 4" xfId="14833" xr:uid="{00000000-0005-0000-0000-0000F0390000}"/>
    <cellStyle name="Normal 6 2 4 2 4 5" xfId="14834" xr:uid="{00000000-0005-0000-0000-0000F1390000}"/>
    <cellStyle name="Normal 6 2 4 2 5" xfId="14835" xr:uid="{00000000-0005-0000-0000-0000F2390000}"/>
    <cellStyle name="Normal 6 2 4 2 5 2" xfId="14836" xr:uid="{00000000-0005-0000-0000-0000F3390000}"/>
    <cellStyle name="Normal 6 2 4 2 5 3" xfId="14837" xr:uid="{00000000-0005-0000-0000-0000F4390000}"/>
    <cellStyle name="Normal 6 2 4 2 6" xfId="14838" xr:uid="{00000000-0005-0000-0000-0000F5390000}"/>
    <cellStyle name="Normal 6 2 4 2 6 2" xfId="14839" xr:uid="{00000000-0005-0000-0000-0000F6390000}"/>
    <cellStyle name="Normal 6 2 4 2 6 3" xfId="14840" xr:uid="{00000000-0005-0000-0000-0000F7390000}"/>
    <cellStyle name="Normal 6 2 4 2 7" xfId="14841" xr:uid="{00000000-0005-0000-0000-0000F8390000}"/>
    <cellStyle name="Normal 6 2 4 2 7 2" xfId="14842" xr:uid="{00000000-0005-0000-0000-0000F9390000}"/>
    <cellStyle name="Normal 6 2 4 2 7 3" xfId="14843" xr:uid="{00000000-0005-0000-0000-0000FA390000}"/>
    <cellStyle name="Normal 6 2 4 2 7 3 2" xfId="14844" xr:uid="{00000000-0005-0000-0000-0000FB390000}"/>
    <cellStyle name="Normal 6 2 4 2 7 4" xfId="14845" xr:uid="{00000000-0005-0000-0000-0000FC390000}"/>
    <cellStyle name="Normal 6 2 4 2 8" xfId="14846" xr:uid="{00000000-0005-0000-0000-0000FD390000}"/>
    <cellStyle name="Normal 6 2 4 2 9" xfId="14847" xr:uid="{00000000-0005-0000-0000-0000FE390000}"/>
    <cellStyle name="Normal 6 2 4 3" xfId="14848" xr:uid="{00000000-0005-0000-0000-0000FF390000}"/>
    <cellStyle name="Normal 6 2 4 3 2" xfId="14849" xr:uid="{00000000-0005-0000-0000-0000003A0000}"/>
    <cellStyle name="Normal 6 2 4 3 2 2" xfId="14850" xr:uid="{00000000-0005-0000-0000-0000013A0000}"/>
    <cellStyle name="Normal 6 2 4 3 2 2 2" xfId="14851" xr:uid="{00000000-0005-0000-0000-0000023A0000}"/>
    <cellStyle name="Normal 6 2 4 3 2 2 3" xfId="14852" xr:uid="{00000000-0005-0000-0000-0000033A0000}"/>
    <cellStyle name="Normal 6 2 4 3 2 3" xfId="14853" xr:uid="{00000000-0005-0000-0000-0000043A0000}"/>
    <cellStyle name="Normal 6 2 4 3 2 3 2" xfId="14854" xr:uid="{00000000-0005-0000-0000-0000053A0000}"/>
    <cellStyle name="Normal 6 2 4 3 2 3 3" xfId="14855" xr:uid="{00000000-0005-0000-0000-0000063A0000}"/>
    <cellStyle name="Normal 6 2 4 3 2 4" xfId="14856" xr:uid="{00000000-0005-0000-0000-0000073A0000}"/>
    <cellStyle name="Normal 6 2 4 3 2 5" xfId="14857" xr:uid="{00000000-0005-0000-0000-0000083A0000}"/>
    <cellStyle name="Normal 6 2 4 3 3" xfId="14858" xr:uid="{00000000-0005-0000-0000-0000093A0000}"/>
    <cellStyle name="Normal 6 2 4 3 3 2" xfId="14859" xr:uid="{00000000-0005-0000-0000-00000A3A0000}"/>
    <cellStyle name="Normal 6 2 4 3 3 2 2" xfId="14860" xr:uid="{00000000-0005-0000-0000-00000B3A0000}"/>
    <cellStyle name="Normal 6 2 4 3 3 2 3" xfId="14861" xr:uid="{00000000-0005-0000-0000-00000C3A0000}"/>
    <cellStyle name="Normal 6 2 4 3 3 3" xfId="14862" xr:uid="{00000000-0005-0000-0000-00000D3A0000}"/>
    <cellStyle name="Normal 6 2 4 3 3 3 2" xfId="14863" xr:uid="{00000000-0005-0000-0000-00000E3A0000}"/>
    <cellStyle name="Normal 6 2 4 3 3 3 3" xfId="14864" xr:uid="{00000000-0005-0000-0000-00000F3A0000}"/>
    <cellStyle name="Normal 6 2 4 3 3 4" xfId="14865" xr:uid="{00000000-0005-0000-0000-0000103A0000}"/>
    <cellStyle name="Normal 6 2 4 3 3 5" xfId="14866" xr:uid="{00000000-0005-0000-0000-0000113A0000}"/>
    <cellStyle name="Normal 6 2 4 3 4" xfId="14867" xr:uid="{00000000-0005-0000-0000-0000123A0000}"/>
    <cellStyle name="Normal 6 2 4 3 4 2" xfId="14868" xr:uid="{00000000-0005-0000-0000-0000133A0000}"/>
    <cellStyle name="Normal 6 2 4 3 4 3" xfId="14869" xr:uid="{00000000-0005-0000-0000-0000143A0000}"/>
    <cellStyle name="Normal 6 2 4 3 5" xfId="14870" xr:uid="{00000000-0005-0000-0000-0000153A0000}"/>
    <cellStyle name="Normal 6 2 4 3 5 2" xfId="14871" xr:uid="{00000000-0005-0000-0000-0000163A0000}"/>
    <cellStyle name="Normal 6 2 4 3 5 3" xfId="14872" xr:uid="{00000000-0005-0000-0000-0000173A0000}"/>
    <cellStyle name="Normal 6 2 4 3 6" xfId="14873" xr:uid="{00000000-0005-0000-0000-0000183A0000}"/>
    <cellStyle name="Normal 6 2 4 3 7" xfId="14874" xr:uid="{00000000-0005-0000-0000-0000193A0000}"/>
    <cellStyle name="Normal 6 2 4 4" xfId="14875" xr:uid="{00000000-0005-0000-0000-00001A3A0000}"/>
    <cellStyle name="Normal 6 2 4 4 2" xfId="14876" xr:uid="{00000000-0005-0000-0000-00001B3A0000}"/>
    <cellStyle name="Normal 6 2 4 4 2 2" xfId="14877" xr:uid="{00000000-0005-0000-0000-00001C3A0000}"/>
    <cellStyle name="Normal 6 2 4 4 2 2 2" xfId="14878" xr:uid="{00000000-0005-0000-0000-00001D3A0000}"/>
    <cellStyle name="Normal 6 2 4 4 2 2 3" xfId="14879" xr:uid="{00000000-0005-0000-0000-00001E3A0000}"/>
    <cellStyle name="Normal 6 2 4 4 2 3" xfId="14880" xr:uid="{00000000-0005-0000-0000-00001F3A0000}"/>
    <cellStyle name="Normal 6 2 4 4 2 3 2" xfId="14881" xr:uid="{00000000-0005-0000-0000-0000203A0000}"/>
    <cellStyle name="Normal 6 2 4 4 2 3 3" xfId="14882" xr:uid="{00000000-0005-0000-0000-0000213A0000}"/>
    <cellStyle name="Normal 6 2 4 4 2 4" xfId="14883" xr:uid="{00000000-0005-0000-0000-0000223A0000}"/>
    <cellStyle name="Normal 6 2 4 4 2 5" xfId="14884" xr:uid="{00000000-0005-0000-0000-0000233A0000}"/>
    <cellStyle name="Normal 6 2 4 4 3" xfId="14885" xr:uid="{00000000-0005-0000-0000-0000243A0000}"/>
    <cellStyle name="Normal 6 2 4 4 3 2" xfId="14886" xr:uid="{00000000-0005-0000-0000-0000253A0000}"/>
    <cellStyle name="Normal 6 2 4 4 3 2 2" xfId="14887" xr:uid="{00000000-0005-0000-0000-0000263A0000}"/>
    <cellStyle name="Normal 6 2 4 4 3 2 3" xfId="14888" xr:uid="{00000000-0005-0000-0000-0000273A0000}"/>
    <cellStyle name="Normal 6 2 4 4 3 3" xfId="14889" xr:uid="{00000000-0005-0000-0000-0000283A0000}"/>
    <cellStyle name="Normal 6 2 4 4 3 4" xfId="14890" xr:uid="{00000000-0005-0000-0000-0000293A0000}"/>
    <cellStyle name="Normal 6 2 4 4 4" xfId="14891" xr:uid="{00000000-0005-0000-0000-00002A3A0000}"/>
    <cellStyle name="Normal 6 2 4 4 4 2" xfId="14892" xr:uid="{00000000-0005-0000-0000-00002B3A0000}"/>
    <cellStyle name="Normal 6 2 4 4 4 3" xfId="14893" xr:uid="{00000000-0005-0000-0000-00002C3A0000}"/>
    <cellStyle name="Normal 6 2 4 4 5" xfId="14894" xr:uid="{00000000-0005-0000-0000-00002D3A0000}"/>
    <cellStyle name="Normal 6 2 4 4 5 2" xfId="14895" xr:uid="{00000000-0005-0000-0000-00002E3A0000}"/>
    <cellStyle name="Normal 6 2 4 4 5 3" xfId="14896" xr:uid="{00000000-0005-0000-0000-00002F3A0000}"/>
    <cellStyle name="Normal 6 2 4 4 6" xfId="14897" xr:uid="{00000000-0005-0000-0000-0000303A0000}"/>
    <cellStyle name="Normal 6 2 4 4 7" xfId="14898" xr:uid="{00000000-0005-0000-0000-0000313A0000}"/>
    <cellStyle name="Normal 6 2 4 5" xfId="14899" xr:uid="{00000000-0005-0000-0000-0000323A0000}"/>
    <cellStyle name="Normal 6 2 4 5 2" xfId="14900" xr:uid="{00000000-0005-0000-0000-0000333A0000}"/>
    <cellStyle name="Normal 6 2 4 5 2 2" xfId="14901" xr:uid="{00000000-0005-0000-0000-0000343A0000}"/>
    <cellStyle name="Normal 6 2 4 5 2 3" xfId="14902" xr:uid="{00000000-0005-0000-0000-0000353A0000}"/>
    <cellStyle name="Normal 6 2 4 5 3" xfId="14903" xr:uid="{00000000-0005-0000-0000-0000363A0000}"/>
    <cellStyle name="Normal 6 2 4 5 3 2" xfId="14904" xr:uid="{00000000-0005-0000-0000-0000373A0000}"/>
    <cellStyle name="Normal 6 2 4 5 3 3" xfId="14905" xr:uid="{00000000-0005-0000-0000-0000383A0000}"/>
    <cellStyle name="Normal 6 2 4 5 4" xfId="14906" xr:uid="{00000000-0005-0000-0000-0000393A0000}"/>
    <cellStyle name="Normal 6 2 4 5 5" xfId="14907" xr:uid="{00000000-0005-0000-0000-00003A3A0000}"/>
    <cellStyle name="Normal 6 2 4 6" xfId="14908" xr:uid="{00000000-0005-0000-0000-00003B3A0000}"/>
    <cellStyle name="Normal 6 2 4 6 2" xfId="14909" xr:uid="{00000000-0005-0000-0000-00003C3A0000}"/>
    <cellStyle name="Normal 6 2 4 6 2 2" xfId="14910" xr:uid="{00000000-0005-0000-0000-00003D3A0000}"/>
    <cellStyle name="Normal 6 2 4 6 2 3" xfId="14911" xr:uid="{00000000-0005-0000-0000-00003E3A0000}"/>
    <cellStyle name="Normal 6 2 4 6 3" xfId="14912" xr:uid="{00000000-0005-0000-0000-00003F3A0000}"/>
    <cellStyle name="Normal 6 2 4 6 3 2" xfId="14913" xr:uid="{00000000-0005-0000-0000-0000403A0000}"/>
    <cellStyle name="Normal 6 2 4 6 3 3" xfId="14914" xr:uid="{00000000-0005-0000-0000-0000413A0000}"/>
    <cellStyle name="Normal 6 2 4 6 4" xfId="14915" xr:uid="{00000000-0005-0000-0000-0000423A0000}"/>
    <cellStyle name="Normal 6 2 4 6 5" xfId="14916" xr:uid="{00000000-0005-0000-0000-0000433A0000}"/>
    <cellStyle name="Normal 6 2 4 7" xfId="14917" xr:uid="{00000000-0005-0000-0000-0000443A0000}"/>
    <cellStyle name="Normal 6 2 4 7 2" xfId="14918" xr:uid="{00000000-0005-0000-0000-0000453A0000}"/>
    <cellStyle name="Normal 6 2 4 7 2 2" xfId="14919" xr:uid="{00000000-0005-0000-0000-0000463A0000}"/>
    <cellStyle name="Normal 6 2 4 7 2 3" xfId="14920" xr:uid="{00000000-0005-0000-0000-0000473A0000}"/>
    <cellStyle name="Normal 6 2 4 7 3" xfId="14921" xr:uid="{00000000-0005-0000-0000-0000483A0000}"/>
    <cellStyle name="Normal 6 2 4 7 4" xfId="14922" xr:uid="{00000000-0005-0000-0000-0000493A0000}"/>
    <cellStyle name="Normal 6 2 4 8" xfId="14923" xr:uid="{00000000-0005-0000-0000-00004A3A0000}"/>
    <cellStyle name="Normal 6 2 4 8 2" xfId="14924" xr:uid="{00000000-0005-0000-0000-00004B3A0000}"/>
    <cellStyle name="Normal 6 2 4 8 3" xfId="14925" xr:uid="{00000000-0005-0000-0000-00004C3A0000}"/>
    <cellStyle name="Normal 6 2 4 9" xfId="14926" xr:uid="{00000000-0005-0000-0000-00004D3A0000}"/>
    <cellStyle name="Normal 6 2 4 9 2" xfId="14927" xr:uid="{00000000-0005-0000-0000-00004E3A0000}"/>
    <cellStyle name="Normal 6 2 4 9 3" xfId="14928" xr:uid="{00000000-0005-0000-0000-00004F3A0000}"/>
    <cellStyle name="Normal 6 2 5" xfId="14929" xr:uid="{00000000-0005-0000-0000-0000503A0000}"/>
    <cellStyle name="Normal 6 2 5 10" xfId="14930" xr:uid="{00000000-0005-0000-0000-0000513A0000}"/>
    <cellStyle name="Normal 6 2 5 10 2" xfId="14931" xr:uid="{00000000-0005-0000-0000-0000523A0000}"/>
    <cellStyle name="Normal 6 2 5 10 3" xfId="14932" xr:uid="{00000000-0005-0000-0000-0000533A0000}"/>
    <cellStyle name="Normal 6 2 5 10 3 2" xfId="14933" xr:uid="{00000000-0005-0000-0000-0000543A0000}"/>
    <cellStyle name="Normal 6 2 5 10 4" xfId="14934" xr:uid="{00000000-0005-0000-0000-0000553A0000}"/>
    <cellStyle name="Normal 6 2 5 11" xfId="14935" xr:uid="{00000000-0005-0000-0000-0000563A0000}"/>
    <cellStyle name="Normal 6 2 5 11 2" xfId="14936" xr:uid="{00000000-0005-0000-0000-0000573A0000}"/>
    <cellStyle name="Normal 6 2 5 11 3" xfId="14937" xr:uid="{00000000-0005-0000-0000-0000583A0000}"/>
    <cellStyle name="Normal 6 2 5 11 3 2" xfId="14938" xr:uid="{00000000-0005-0000-0000-0000593A0000}"/>
    <cellStyle name="Normal 6 2 5 11 4" xfId="14939" xr:uid="{00000000-0005-0000-0000-00005A3A0000}"/>
    <cellStyle name="Normal 6 2 5 12" xfId="14940" xr:uid="{00000000-0005-0000-0000-00005B3A0000}"/>
    <cellStyle name="Normal 6 2 5 13" xfId="14941" xr:uid="{00000000-0005-0000-0000-00005C3A0000}"/>
    <cellStyle name="Normal 6 2 5 2" xfId="14942" xr:uid="{00000000-0005-0000-0000-00005D3A0000}"/>
    <cellStyle name="Normal 6 2 5 2 2" xfId="14943" xr:uid="{00000000-0005-0000-0000-00005E3A0000}"/>
    <cellStyle name="Normal 6 2 5 2 2 2" xfId="14944" xr:uid="{00000000-0005-0000-0000-00005F3A0000}"/>
    <cellStyle name="Normal 6 2 5 2 2 2 2" xfId="14945" xr:uid="{00000000-0005-0000-0000-0000603A0000}"/>
    <cellStyle name="Normal 6 2 5 2 2 2 2 2" xfId="14946" xr:uid="{00000000-0005-0000-0000-0000613A0000}"/>
    <cellStyle name="Normal 6 2 5 2 2 2 2 3" xfId="14947" xr:uid="{00000000-0005-0000-0000-0000623A0000}"/>
    <cellStyle name="Normal 6 2 5 2 2 2 3" xfId="14948" xr:uid="{00000000-0005-0000-0000-0000633A0000}"/>
    <cellStyle name="Normal 6 2 5 2 2 2 3 2" xfId="14949" xr:uid="{00000000-0005-0000-0000-0000643A0000}"/>
    <cellStyle name="Normal 6 2 5 2 2 2 3 3" xfId="14950" xr:uid="{00000000-0005-0000-0000-0000653A0000}"/>
    <cellStyle name="Normal 6 2 5 2 2 2 4" xfId="14951" xr:uid="{00000000-0005-0000-0000-0000663A0000}"/>
    <cellStyle name="Normal 6 2 5 2 2 2 5" xfId="14952" xr:uid="{00000000-0005-0000-0000-0000673A0000}"/>
    <cellStyle name="Normal 6 2 5 2 2 3" xfId="14953" xr:uid="{00000000-0005-0000-0000-0000683A0000}"/>
    <cellStyle name="Normal 6 2 5 2 2 3 2" xfId="14954" xr:uid="{00000000-0005-0000-0000-0000693A0000}"/>
    <cellStyle name="Normal 6 2 5 2 2 3 2 2" xfId="14955" xr:uid="{00000000-0005-0000-0000-00006A3A0000}"/>
    <cellStyle name="Normal 6 2 5 2 2 3 2 3" xfId="14956" xr:uid="{00000000-0005-0000-0000-00006B3A0000}"/>
    <cellStyle name="Normal 6 2 5 2 2 3 3" xfId="14957" xr:uid="{00000000-0005-0000-0000-00006C3A0000}"/>
    <cellStyle name="Normal 6 2 5 2 2 3 3 2" xfId="14958" xr:uid="{00000000-0005-0000-0000-00006D3A0000}"/>
    <cellStyle name="Normal 6 2 5 2 2 3 3 3" xfId="14959" xr:uid="{00000000-0005-0000-0000-00006E3A0000}"/>
    <cellStyle name="Normal 6 2 5 2 2 3 4" xfId="14960" xr:uid="{00000000-0005-0000-0000-00006F3A0000}"/>
    <cellStyle name="Normal 6 2 5 2 2 3 5" xfId="14961" xr:uid="{00000000-0005-0000-0000-0000703A0000}"/>
    <cellStyle name="Normal 6 2 5 2 2 4" xfId="14962" xr:uid="{00000000-0005-0000-0000-0000713A0000}"/>
    <cellStyle name="Normal 6 2 5 2 2 4 2" xfId="14963" xr:uid="{00000000-0005-0000-0000-0000723A0000}"/>
    <cellStyle name="Normal 6 2 5 2 2 4 3" xfId="14964" xr:uid="{00000000-0005-0000-0000-0000733A0000}"/>
    <cellStyle name="Normal 6 2 5 2 2 5" xfId="14965" xr:uid="{00000000-0005-0000-0000-0000743A0000}"/>
    <cellStyle name="Normal 6 2 5 2 2 5 2" xfId="14966" xr:uid="{00000000-0005-0000-0000-0000753A0000}"/>
    <cellStyle name="Normal 6 2 5 2 2 5 3" xfId="14967" xr:uid="{00000000-0005-0000-0000-0000763A0000}"/>
    <cellStyle name="Normal 6 2 5 2 2 6" xfId="14968" xr:uid="{00000000-0005-0000-0000-0000773A0000}"/>
    <cellStyle name="Normal 6 2 5 2 2 7" xfId="14969" xr:uid="{00000000-0005-0000-0000-0000783A0000}"/>
    <cellStyle name="Normal 6 2 5 2 3" xfId="14970" xr:uid="{00000000-0005-0000-0000-0000793A0000}"/>
    <cellStyle name="Normal 6 2 5 2 3 2" xfId="14971" xr:uid="{00000000-0005-0000-0000-00007A3A0000}"/>
    <cellStyle name="Normal 6 2 5 2 3 2 2" xfId="14972" xr:uid="{00000000-0005-0000-0000-00007B3A0000}"/>
    <cellStyle name="Normal 6 2 5 2 3 2 3" xfId="14973" xr:uid="{00000000-0005-0000-0000-00007C3A0000}"/>
    <cellStyle name="Normal 6 2 5 2 3 3" xfId="14974" xr:uid="{00000000-0005-0000-0000-00007D3A0000}"/>
    <cellStyle name="Normal 6 2 5 2 3 3 2" xfId="14975" xr:uid="{00000000-0005-0000-0000-00007E3A0000}"/>
    <cellStyle name="Normal 6 2 5 2 3 3 3" xfId="14976" xr:uid="{00000000-0005-0000-0000-00007F3A0000}"/>
    <cellStyle name="Normal 6 2 5 2 3 4" xfId="14977" xr:uid="{00000000-0005-0000-0000-0000803A0000}"/>
    <cellStyle name="Normal 6 2 5 2 3 5" xfId="14978" xr:uid="{00000000-0005-0000-0000-0000813A0000}"/>
    <cellStyle name="Normal 6 2 5 2 4" xfId="14979" xr:uid="{00000000-0005-0000-0000-0000823A0000}"/>
    <cellStyle name="Normal 6 2 5 2 4 2" xfId="14980" xr:uid="{00000000-0005-0000-0000-0000833A0000}"/>
    <cellStyle name="Normal 6 2 5 2 4 2 2" xfId="14981" xr:uid="{00000000-0005-0000-0000-0000843A0000}"/>
    <cellStyle name="Normal 6 2 5 2 4 2 3" xfId="14982" xr:uid="{00000000-0005-0000-0000-0000853A0000}"/>
    <cellStyle name="Normal 6 2 5 2 4 3" xfId="14983" xr:uid="{00000000-0005-0000-0000-0000863A0000}"/>
    <cellStyle name="Normal 6 2 5 2 4 3 2" xfId="14984" xr:uid="{00000000-0005-0000-0000-0000873A0000}"/>
    <cellStyle name="Normal 6 2 5 2 4 3 3" xfId="14985" xr:uid="{00000000-0005-0000-0000-0000883A0000}"/>
    <cellStyle name="Normal 6 2 5 2 4 4" xfId="14986" xr:uid="{00000000-0005-0000-0000-0000893A0000}"/>
    <cellStyle name="Normal 6 2 5 2 4 5" xfId="14987" xr:uid="{00000000-0005-0000-0000-00008A3A0000}"/>
    <cellStyle name="Normal 6 2 5 2 5" xfId="14988" xr:uid="{00000000-0005-0000-0000-00008B3A0000}"/>
    <cellStyle name="Normal 6 2 5 2 5 2" xfId="14989" xr:uid="{00000000-0005-0000-0000-00008C3A0000}"/>
    <cellStyle name="Normal 6 2 5 2 5 3" xfId="14990" xr:uid="{00000000-0005-0000-0000-00008D3A0000}"/>
    <cellStyle name="Normal 6 2 5 2 6" xfId="14991" xr:uid="{00000000-0005-0000-0000-00008E3A0000}"/>
    <cellStyle name="Normal 6 2 5 2 6 2" xfId="14992" xr:uid="{00000000-0005-0000-0000-00008F3A0000}"/>
    <cellStyle name="Normal 6 2 5 2 6 3" xfId="14993" xr:uid="{00000000-0005-0000-0000-0000903A0000}"/>
    <cellStyle name="Normal 6 2 5 2 7" xfId="14994" xr:uid="{00000000-0005-0000-0000-0000913A0000}"/>
    <cellStyle name="Normal 6 2 5 2 7 2" xfId="14995" xr:uid="{00000000-0005-0000-0000-0000923A0000}"/>
    <cellStyle name="Normal 6 2 5 2 7 3" xfId="14996" xr:uid="{00000000-0005-0000-0000-0000933A0000}"/>
    <cellStyle name="Normal 6 2 5 2 7 3 2" xfId="14997" xr:uid="{00000000-0005-0000-0000-0000943A0000}"/>
    <cellStyle name="Normal 6 2 5 2 7 4" xfId="14998" xr:uid="{00000000-0005-0000-0000-0000953A0000}"/>
    <cellStyle name="Normal 6 2 5 2 8" xfId="14999" xr:uid="{00000000-0005-0000-0000-0000963A0000}"/>
    <cellStyle name="Normal 6 2 5 2 9" xfId="15000" xr:uid="{00000000-0005-0000-0000-0000973A0000}"/>
    <cellStyle name="Normal 6 2 5 3" xfId="15001" xr:uid="{00000000-0005-0000-0000-0000983A0000}"/>
    <cellStyle name="Normal 6 2 5 3 2" xfId="15002" xr:uid="{00000000-0005-0000-0000-0000993A0000}"/>
    <cellStyle name="Normal 6 2 5 3 2 2" xfId="15003" xr:uid="{00000000-0005-0000-0000-00009A3A0000}"/>
    <cellStyle name="Normal 6 2 5 3 2 2 2" xfId="15004" xr:uid="{00000000-0005-0000-0000-00009B3A0000}"/>
    <cellStyle name="Normal 6 2 5 3 2 2 3" xfId="15005" xr:uid="{00000000-0005-0000-0000-00009C3A0000}"/>
    <cellStyle name="Normal 6 2 5 3 2 3" xfId="15006" xr:uid="{00000000-0005-0000-0000-00009D3A0000}"/>
    <cellStyle name="Normal 6 2 5 3 2 3 2" xfId="15007" xr:uid="{00000000-0005-0000-0000-00009E3A0000}"/>
    <cellStyle name="Normal 6 2 5 3 2 3 3" xfId="15008" xr:uid="{00000000-0005-0000-0000-00009F3A0000}"/>
    <cellStyle name="Normal 6 2 5 3 2 4" xfId="15009" xr:uid="{00000000-0005-0000-0000-0000A03A0000}"/>
    <cellStyle name="Normal 6 2 5 3 2 5" xfId="15010" xr:uid="{00000000-0005-0000-0000-0000A13A0000}"/>
    <cellStyle name="Normal 6 2 5 3 3" xfId="15011" xr:uid="{00000000-0005-0000-0000-0000A23A0000}"/>
    <cellStyle name="Normal 6 2 5 3 3 2" xfId="15012" xr:uid="{00000000-0005-0000-0000-0000A33A0000}"/>
    <cellStyle name="Normal 6 2 5 3 3 2 2" xfId="15013" xr:uid="{00000000-0005-0000-0000-0000A43A0000}"/>
    <cellStyle name="Normal 6 2 5 3 3 2 3" xfId="15014" xr:uid="{00000000-0005-0000-0000-0000A53A0000}"/>
    <cellStyle name="Normal 6 2 5 3 3 3" xfId="15015" xr:uid="{00000000-0005-0000-0000-0000A63A0000}"/>
    <cellStyle name="Normal 6 2 5 3 3 3 2" xfId="15016" xr:uid="{00000000-0005-0000-0000-0000A73A0000}"/>
    <cellStyle name="Normal 6 2 5 3 3 3 3" xfId="15017" xr:uid="{00000000-0005-0000-0000-0000A83A0000}"/>
    <cellStyle name="Normal 6 2 5 3 3 4" xfId="15018" xr:uid="{00000000-0005-0000-0000-0000A93A0000}"/>
    <cellStyle name="Normal 6 2 5 3 3 5" xfId="15019" xr:uid="{00000000-0005-0000-0000-0000AA3A0000}"/>
    <cellStyle name="Normal 6 2 5 3 4" xfId="15020" xr:uid="{00000000-0005-0000-0000-0000AB3A0000}"/>
    <cellStyle name="Normal 6 2 5 3 4 2" xfId="15021" xr:uid="{00000000-0005-0000-0000-0000AC3A0000}"/>
    <cellStyle name="Normal 6 2 5 3 4 3" xfId="15022" xr:uid="{00000000-0005-0000-0000-0000AD3A0000}"/>
    <cellStyle name="Normal 6 2 5 3 5" xfId="15023" xr:uid="{00000000-0005-0000-0000-0000AE3A0000}"/>
    <cellStyle name="Normal 6 2 5 3 5 2" xfId="15024" xr:uid="{00000000-0005-0000-0000-0000AF3A0000}"/>
    <cellStyle name="Normal 6 2 5 3 5 3" xfId="15025" xr:uid="{00000000-0005-0000-0000-0000B03A0000}"/>
    <cellStyle name="Normal 6 2 5 3 6" xfId="15026" xr:uid="{00000000-0005-0000-0000-0000B13A0000}"/>
    <cellStyle name="Normal 6 2 5 3 7" xfId="15027" xr:uid="{00000000-0005-0000-0000-0000B23A0000}"/>
    <cellStyle name="Normal 6 2 5 4" xfId="15028" xr:uid="{00000000-0005-0000-0000-0000B33A0000}"/>
    <cellStyle name="Normal 6 2 5 4 2" xfId="15029" xr:uid="{00000000-0005-0000-0000-0000B43A0000}"/>
    <cellStyle name="Normal 6 2 5 4 2 2" xfId="15030" xr:uid="{00000000-0005-0000-0000-0000B53A0000}"/>
    <cellStyle name="Normal 6 2 5 4 2 2 2" xfId="15031" xr:uid="{00000000-0005-0000-0000-0000B63A0000}"/>
    <cellStyle name="Normal 6 2 5 4 2 2 3" xfId="15032" xr:uid="{00000000-0005-0000-0000-0000B73A0000}"/>
    <cellStyle name="Normal 6 2 5 4 2 3" xfId="15033" xr:uid="{00000000-0005-0000-0000-0000B83A0000}"/>
    <cellStyle name="Normal 6 2 5 4 2 3 2" xfId="15034" xr:uid="{00000000-0005-0000-0000-0000B93A0000}"/>
    <cellStyle name="Normal 6 2 5 4 2 3 3" xfId="15035" xr:uid="{00000000-0005-0000-0000-0000BA3A0000}"/>
    <cellStyle name="Normal 6 2 5 4 2 4" xfId="15036" xr:uid="{00000000-0005-0000-0000-0000BB3A0000}"/>
    <cellStyle name="Normal 6 2 5 4 2 5" xfId="15037" xr:uid="{00000000-0005-0000-0000-0000BC3A0000}"/>
    <cellStyle name="Normal 6 2 5 4 3" xfId="15038" xr:uid="{00000000-0005-0000-0000-0000BD3A0000}"/>
    <cellStyle name="Normal 6 2 5 4 3 2" xfId="15039" xr:uid="{00000000-0005-0000-0000-0000BE3A0000}"/>
    <cellStyle name="Normal 6 2 5 4 3 2 2" xfId="15040" xr:uid="{00000000-0005-0000-0000-0000BF3A0000}"/>
    <cellStyle name="Normal 6 2 5 4 3 2 3" xfId="15041" xr:uid="{00000000-0005-0000-0000-0000C03A0000}"/>
    <cellStyle name="Normal 6 2 5 4 3 3" xfId="15042" xr:uid="{00000000-0005-0000-0000-0000C13A0000}"/>
    <cellStyle name="Normal 6 2 5 4 3 4" xfId="15043" xr:uid="{00000000-0005-0000-0000-0000C23A0000}"/>
    <cellStyle name="Normal 6 2 5 4 4" xfId="15044" xr:uid="{00000000-0005-0000-0000-0000C33A0000}"/>
    <cellStyle name="Normal 6 2 5 4 4 2" xfId="15045" xr:uid="{00000000-0005-0000-0000-0000C43A0000}"/>
    <cellStyle name="Normal 6 2 5 4 4 3" xfId="15046" xr:uid="{00000000-0005-0000-0000-0000C53A0000}"/>
    <cellStyle name="Normal 6 2 5 4 5" xfId="15047" xr:uid="{00000000-0005-0000-0000-0000C63A0000}"/>
    <cellStyle name="Normal 6 2 5 4 5 2" xfId="15048" xr:uid="{00000000-0005-0000-0000-0000C73A0000}"/>
    <cellStyle name="Normal 6 2 5 4 5 3" xfId="15049" xr:uid="{00000000-0005-0000-0000-0000C83A0000}"/>
    <cellStyle name="Normal 6 2 5 4 6" xfId="15050" xr:uid="{00000000-0005-0000-0000-0000C93A0000}"/>
    <cellStyle name="Normal 6 2 5 4 7" xfId="15051" xr:uid="{00000000-0005-0000-0000-0000CA3A0000}"/>
    <cellStyle name="Normal 6 2 5 5" xfId="15052" xr:uid="{00000000-0005-0000-0000-0000CB3A0000}"/>
    <cellStyle name="Normal 6 2 5 5 2" xfId="15053" xr:uid="{00000000-0005-0000-0000-0000CC3A0000}"/>
    <cellStyle name="Normal 6 2 5 5 2 2" xfId="15054" xr:uid="{00000000-0005-0000-0000-0000CD3A0000}"/>
    <cellStyle name="Normal 6 2 5 5 2 3" xfId="15055" xr:uid="{00000000-0005-0000-0000-0000CE3A0000}"/>
    <cellStyle name="Normal 6 2 5 5 3" xfId="15056" xr:uid="{00000000-0005-0000-0000-0000CF3A0000}"/>
    <cellStyle name="Normal 6 2 5 5 3 2" xfId="15057" xr:uid="{00000000-0005-0000-0000-0000D03A0000}"/>
    <cellStyle name="Normal 6 2 5 5 3 3" xfId="15058" xr:uid="{00000000-0005-0000-0000-0000D13A0000}"/>
    <cellStyle name="Normal 6 2 5 5 4" xfId="15059" xr:uid="{00000000-0005-0000-0000-0000D23A0000}"/>
    <cellStyle name="Normal 6 2 5 5 5" xfId="15060" xr:uid="{00000000-0005-0000-0000-0000D33A0000}"/>
    <cellStyle name="Normal 6 2 5 6" xfId="15061" xr:uid="{00000000-0005-0000-0000-0000D43A0000}"/>
    <cellStyle name="Normal 6 2 5 6 2" xfId="15062" xr:uid="{00000000-0005-0000-0000-0000D53A0000}"/>
    <cellStyle name="Normal 6 2 5 6 2 2" xfId="15063" xr:uid="{00000000-0005-0000-0000-0000D63A0000}"/>
    <cellStyle name="Normal 6 2 5 6 2 3" xfId="15064" xr:uid="{00000000-0005-0000-0000-0000D73A0000}"/>
    <cellStyle name="Normal 6 2 5 6 3" xfId="15065" xr:uid="{00000000-0005-0000-0000-0000D83A0000}"/>
    <cellStyle name="Normal 6 2 5 6 3 2" xfId="15066" xr:uid="{00000000-0005-0000-0000-0000D93A0000}"/>
    <cellStyle name="Normal 6 2 5 6 3 3" xfId="15067" xr:uid="{00000000-0005-0000-0000-0000DA3A0000}"/>
    <cellStyle name="Normal 6 2 5 6 4" xfId="15068" xr:uid="{00000000-0005-0000-0000-0000DB3A0000}"/>
    <cellStyle name="Normal 6 2 5 6 5" xfId="15069" xr:uid="{00000000-0005-0000-0000-0000DC3A0000}"/>
    <cellStyle name="Normal 6 2 5 7" xfId="15070" xr:uid="{00000000-0005-0000-0000-0000DD3A0000}"/>
    <cellStyle name="Normal 6 2 5 7 2" xfId="15071" xr:uid="{00000000-0005-0000-0000-0000DE3A0000}"/>
    <cellStyle name="Normal 6 2 5 7 2 2" xfId="15072" xr:uid="{00000000-0005-0000-0000-0000DF3A0000}"/>
    <cellStyle name="Normal 6 2 5 7 2 3" xfId="15073" xr:uid="{00000000-0005-0000-0000-0000E03A0000}"/>
    <cellStyle name="Normal 6 2 5 7 3" xfId="15074" xr:uid="{00000000-0005-0000-0000-0000E13A0000}"/>
    <cellStyle name="Normal 6 2 5 7 4" xfId="15075" xr:uid="{00000000-0005-0000-0000-0000E23A0000}"/>
    <cellStyle name="Normal 6 2 5 8" xfId="15076" xr:uid="{00000000-0005-0000-0000-0000E33A0000}"/>
    <cellStyle name="Normal 6 2 5 8 2" xfId="15077" xr:uid="{00000000-0005-0000-0000-0000E43A0000}"/>
    <cellStyle name="Normal 6 2 5 8 3" xfId="15078" xr:uid="{00000000-0005-0000-0000-0000E53A0000}"/>
    <cellStyle name="Normal 6 2 5 9" xfId="15079" xr:uid="{00000000-0005-0000-0000-0000E63A0000}"/>
    <cellStyle name="Normal 6 2 5 9 2" xfId="15080" xr:uid="{00000000-0005-0000-0000-0000E73A0000}"/>
    <cellStyle name="Normal 6 2 5 9 3" xfId="15081" xr:uid="{00000000-0005-0000-0000-0000E83A0000}"/>
    <cellStyle name="Normal 6 2 6" xfId="15082" xr:uid="{00000000-0005-0000-0000-0000E93A0000}"/>
    <cellStyle name="Normal 6 2 6 10" xfId="15083" xr:uid="{00000000-0005-0000-0000-0000EA3A0000}"/>
    <cellStyle name="Normal 6 2 6 10 2" xfId="15084" xr:uid="{00000000-0005-0000-0000-0000EB3A0000}"/>
    <cellStyle name="Normal 6 2 6 10 3" xfId="15085" xr:uid="{00000000-0005-0000-0000-0000EC3A0000}"/>
    <cellStyle name="Normal 6 2 6 10 3 2" xfId="15086" xr:uid="{00000000-0005-0000-0000-0000ED3A0000}"/>
    <cellStyle name="Normal 6 2 6 10 4" xfId="15087" xr:uid="{00000000-0005-0000-0000-0000EE3A0000}"/>
    <cellStyle name="Normal 6 2 6 11" xfId="15088" xr:uid="{00000000-0005-0000-0000-0000EF3A0000}"/>
    <cellStyle name="Normal 6 2 6 11 2" xfId="15089" xr:uid="{00000000-0005-0000-0000-0000F03A0000}"/>
    <cellStyle name="Normal 6 2 6 11 2 2" xfId="15090" xr:uid="{00000000-0005-0000-0000-0000F13A0000}"/>
    <cellStyle name="Normal 6 2 6 11 3" xfId="15091" xr:uid="{00000000-0005-0000-0000-0000F23A0000}"/>
    <cellStyle name="Normal 6 2 6 12" xfId="15092" xr:uid="{00000000-0005-0000-0000-0000F33A0000}"/>
    <cellStyle name="Normal 6 2 6 13" xfId="15093" xr:uid="{00000000-0005-0000-0000-0000F43A0000}"/>
    <cellStyle name="Normal 6 2 6 2" xfId="15094" xr:uid="{00000000-0005-0000-0000-0000F53A0000}"/>
    <cellStyle name="Normal 6 2 6 2 2" xfId="15095" xr:uid="{00000000-0005-0000-0000-0000F63A0000}"/>
    <cellStyle name="Normal 6 2 6 2 2 2" xfId="15096" xr:uid="{00000000-0005-0000-0000-0000F73A0000}"/>
    <cellStyle name="Normal 6 2 6 2 2 2 2" xfId="15097" xr:uid="{00000000-0005-0000-0000-0000F83A0000}"/>
    <cellStyle name="Normal 6 2 6 2 2 2 2 2" xfId="15098" xr:uid="{00000000-0005-0000-0000-0000F93A0000}"/>
    <cellStyle name="Normal 6 2 6 2 2 2 2 3" xfId="15099" xr:uid="{00000000-0005-0000-0000-0000FA3A0000}"/>
    <cellStyle name="Normal 6 2 6 2 2 2 3" xfId="15100" xr:uid="{00000000-0005-0000-0000-0000FB3A0000}"/>
    <cellStyle name="Normal 6 2 6 2 2 2 3 2" xfId="15101" xr:uid="{00000000-0005-0000-0000-0000FC3A0000}"/>
    <cellStyle name="Normal 6 2 6 2 2 2 3 3" xfId="15102" xr:uid="{00000000-0005-0000-0000-0000FD3A0000}"/>
    <cellStyle name="Normal 6 2 6 2 2 2 4" xfId="15103" xr:uid="{00000000-0005-0000-0000-0000FE3A0000}"/>
    <cellStyle name="Normal 6 2 6 2 2 2 5" xfId="15104" xr:uid="{00000000-0005-0000-0000-0000FF3A0000}"/>
    <cellStyle name="Normal 6 2 6 2 2 3" xfId="15105" xr:uid="{00000000-0005-0000-0000-0000003B0000}"/>
    <cellStyle name="Normal 6 2 6 2 2 3 2" xfId="15106" xr:uid="{00000000-0005-0000-0000-0000013B0000}"/>
    <cellStyle name="Normal 6 2 6 2 2 3 2 2" xfId="15107" xr:uid="{00000000-0005-0000-0000-0000023B0000}"/>
    <cellStyle name="Normal 6 2 6 2 2 3 2 3" xfId="15108" xr:uid="{00000000-0005-0000-0000-0000033B0000}"/>
    <cellStyle name="Normal 6 2 6 2 2 3 3" xfId="15109" xr:uid="{00000000-0005-0000-0000-0000043B0000}"/>
    <cellStyle name="Normal 6 2 6 2 2 3 3 2" xfId="15110" xr:uid="{00000000-0005-0000-0000-0000053B0000}"/>
    <cellStyle name="Normal 6 2 6 2 2 3 3 3" xfId="15111" xr:uid="{00000000-0005-0000-0000-0000063B0000}"/>
    <cellStyle name="Normal 6 2 6 2 2 3 4" xfId="15112" xr:uid="{00000000-0005-0000-0000-0000073B0000}"/>
    <cellStyle name="Normal 6 2 6 2 2 3 5" xfId="15113" xr:uid="{00000000-0005-0000-0000-0000083B0000}"/>
    <cellStyle name="Normal 6 2 6 2 2 4" xfId="15114" xr:uid="{00000000-0005-0000-0000-0000093B0000}"/>
    <cellStyle name="Normal 6 2 6 2 2 4 2" xfId="15115" xr:uid="{00000000-0005-0000-0000-00000A3B0000}"/>
    <cellStyle name="Normal 6 2 6 2 2 4 3" xfId="15116" xr:uid="{00000000-0005-0000-0000-00000B3B0000}"/>
    <cellStyle name="Normal 6 2 6 2 2 5" xfId="15117" xr:uid="{00000000-0005-0000-0000-00000C3B0000}"/>
    <cellStyle name="Normal 6 2 6 2 2 5 2" xfId="15118" xr:uid="{00000000-0005-0000-0000-00000D3B0000}"/>
    <cellStyle name="Normal 6 2 6 2 2 5 3" xfId="15119" xr:uid="{00000000-0005-0000-0000-00000E3B0000}"/>
    <cellStyle name="Normal 6 2 6 2 2 6" xfId="15120" xr:uid="{00000000-0005-0000-0000-00000F3B0000}"/>
    <cellStyle name="Normal 6 2 6 2 2 7" xfId="15121" xr:uid="{00000000-0005-0000-0000-0000103B0000}"/>
    <cellStyle name="Normal 6 2 6 2 3" xfId="15122" xr:uid="{00000000-0005-0000-0000-0000113B0000}"/>
    <cellStyle name="Normal 6 2 6 2 3 2" xfId="15123" xr:uid="{00000000-0005-0000-0000-0000123B0000}"/>
    <cellStyle name="Normal 6 2 6 2 3 2 2" xfId="15124" xr:uid="{00000000-0005-0000-0000-0000133B0000}"/>
    <cellStyle name="Normal 6 2 6 2 3 2 3" xfId="15125" xr:uid="{00000000-0005-0000-0000-0000143B0000}"/>
    <cellStyle name="Normal 6 2 6 2 3 3" xfId="15126" xr:uid="{00000000-0005-0000-0000-0000153B0000}"/>
    <cellStyle name="Normal 6 2 6 2 3 3 2" xfId="15127" xr:uid="{00000000-0005-0000-0000-0000163B0000}"/>
    <cellStyle name="Normal 6 2 6 2 3 3 3" xfId="15128" xr:uid="{00000000-0005-0000-0000-0000173B0000}"/>
    <cellStyle name="Normal 6 2 6 2 3 4" xfId="15129" xr:uid="{00000000-0005-0000-0000-0000183B0000}"/>
    <cellStyle name="Normal 6 2 6 2 3 5" xfId="15130" xr:uid="{00000000-0005-0000-0000-0000193B0000}"/>
    <cellStyle name="Normal 6 2 6 2 4" xfId="15131" xr:uid="{00000000-0005-0000-0000-00001A3B0000}"/>
    <cellStyle name="Normal 6 2 6 2 4 2" xfId="15132" xr:uid="{00000000-0005-0000-0000-00001B3B0000}"/>
    <cellStyle name="Normal 6 2 6 2 4 2 2" xfId="15133" xr:uid="{00000000-0005-0000-0000-00001C3B0000}"/>
    <cellStyle name="Normal 6 2 6 2 4 2 3" xfId="15134" xr:uid="{00000000-0005-0000-0000-00001D3B0000}"/>
    <cellStyle name="Normal 6 2 6 2 4 3" xfId="15135" xr:uid="{00000000-0005-0000-0000-00001E3B0000}"/>
    <cellStyle name="Normal 6 2 6 2 4 3 2" xfId="15136" xr:uid="{00000000-0005-0000-0000-00001F3B0000}"/>
    <cellStyle name="Normal 6 2 6 2 4 3 3" xfId="15137" xr:uid="{00000000-0005-0000-0000-0000203B0000}"/>
    <cellStyle name="Normal 6 2 6 2 4 4" xfId="15138" xr:uid="{00000000-0005-0000-0000-0000213B0000}"/>
    <cellStyle name="Normal 6 2 6 2 4 5" xfId="15139" xr:uid="{00000000-0005-0000-0000-0000223B0000}"/>
    <cellStyle name="Normal 6 2 6 2 5" xfId="15140" xr:uid="{00000000-0005-0000-0000-0000233B0000}"/>
    <cellStyle name="Normal 6 2 6 2 5 2" xfId="15141" xr:uid="{00000000-0005-0000-0000-0000243B0000}"/>
    <cellStyle name="Normal 6 2 6 2 5 3" xfId="15142" xr:uid="{00000000-0005-0000-0000-0000253B0000}"/>
    <cellStyle name="Normal 6 2 6 2 6" xfId="15143" xr:uid="{00000000-0005-0000-0000-0000263B0000}"/>
    <cellStyle name="Normal 6 2 6 2 6 2" xfId="15144" xr:uid="{00000000-0005-0000-0000-0000273B0000}"/>
    <cellStyle name="Normal 6 2 6 2 6 3" xfId="15145" xr:uid="{00000000-0005-0000-0000-0000283B0000}"/>
    <cellStyle name="Normal 6 2 6 2 7" xfId="15146" xr:uid="{00000000-0005-0000-0000-0000293B0000}"/>
    <cellStyle name="Normal 6 2 6 2 7 2" xfId="15147" xr:uid="{00000000-0005-0000-0000-00002A3B0000}"/>
    <cellStyle name="Normal 6 2 6 2 7 3" xfId="15148" xr:uid="{00000000-0005-0000-0000-00002B3B0000}"/>
    <cellStyle name="Normal 6 2 6 2 7 3 2" xfId="15149" xr:uid="{00000000-0005-0000-0000-00002C3B0000}"/>
    <cellStyle name="Normal 6 2 6 2 7 4" xfId="15150" xr:uid="{00000000-0005-0000-0000-00002D3B0000}"/>
    <cellStyle name="Normal 6 2 6 2 8" xfId="15151" xr:uid="{00000000-0005-0000-0000-00002E3B0000}"/>
    <cellStyle name="Normal 6 2 6 2 9" xfId="15152" xr:uid="{00000000-0005-0000-0000-00002F3B0000}"/>
    <cellStyle name="Normal 6 2 6 3" xfId="15153" xr:uid="{00000000-0005-0000-0000-0000303B0000}"/>
    <cellStyle name="Normal 6 2 6 3 2" xfId="15154" xr:uid="{00000000-0005-0000-0000-0000313B0000}"/>
    <cellStyle name="Normal 6 2 6 3 2 2" xfId="15155" xr:uid="{00000000-0005-0000-0000-0000323B0000}"/>
    <cellStyle name="Normal 6 2 6 3 2 2 2" xfId="15156" xr:uid="{00000000-0005-0000-0000-0000333B0000}"/>
    <cellStyle name="Normal 6 2 6 3 2 2 3" xfId="15157" xr:uid="{00000000-0005-0000-0000-0000343B0000}"/>
    <cellStyle name="Normal 6 2 6 3 2 3" xfId="15158" xr:uid="{00000000-0005-0000-0000-0000353B0000}"/>
    <cellStyle name="Normal 6 2 6 3 2 3 2" xfId="15159" xr:uid="{00000000-0005-0000-0000-0000363B0000}"/>
    <cellStyle name="Normal 6 2 6 3 2 3 3" xfId="15160" xr:uid="{00000000-0005-0000-0000-0000373B0000}"/>
    <cellStyle name="Normal 6 2 6 3 2 4" xfId="15161" xr:uid="{00000000-0005-0000-0000-0000383B0000}"/>
    <cellStyle name="Normal 6 2 6 3 2 5" xfId="15162" xr:uid="{00000000-0005-0000-0000-0000393B0000}"/>
    <cellStyle name="Normal 6 2 6 3 3" xfId="15163" xr:uid="{00000000-0005-0000-0000-00003A3B0000}"/>
    <cellStyle name="Normal 6 2 6 3 3 2" xfId="15164" xr:uid="{00000000-0005-0000-0000-00003B3B0000}"/>
    <cellStyle name="Normal 6 2 6 3 3 2 2" xfId="15165" xr:uid="{00000000-0005-0000-0000-00003C3B0000}"/>
    <cellStyle name="Normal 6 2 6 3 3 2 3" xfId="15166" xr:uid="{00000000-0005-0000-0000-00003D3B0000}"/>
    <cellStyle name="Normal 6 2 6 3 3 3" xfId="15167" xr:uid="{00000000-0005-0000-0000-00003E3B0000}"/>
    <cellStyle name="Normal 6 2 6 3 3 3 2" xfId="15168" xr:uid="{00000000-0005-0000-0000-00003F3B0000}"/>
    <cellStyle name="Normal 6 2 6 3 3 3 3" xfId="15169" xr:uid="{00000000-0005-0000-0000-0000403B0000}"/>
    <cellStyle name="Normal 6 2 6 3 3 4" xfId="15170" xr:uid="{00000000-0005-0000-0000-0000413B0000}"/>
    <cellStyle name="Normal 6 2 6 3 3 5" xfId="15171" xr:uid="{00000000-0005-0000-0000-0000423B0000}"/>
    <cellStyle name="Normal 6 2 6 3 4" xfId="15172" xr:uid="{00000000-0005-0000-0000-0000433B0000}"/>
    <cellStyle name="Normal 6 2 6 3 4 2" xfId="15173" xr:uid="{00000000-0005-0000-0000-0000443B0000}"/>
    <cellStyle name="Normal 6 2 6 3 4 3" xfId="15174" xr:uid="{00000000-0005-0000-0000-0000453B0000}"/>
    <cellStyle name="Normal 6 2 6 3 5" xfId="15175" xr:uid="{00000000-0005-0000-0000-0000463B0000}"/>
    <cellStyle name="Normal 6 2 6 3 5 2" xfId="15176" xr:uid="{00000000-0005-0000-0000-0000473B0000}"/>
    <cellStyle name="Normal 6 2 6 3 5 3" xfId="15177" xr:uid="{00000000-0005-0000-0000-0000483B0000}"/>
    <cellStyle name="Normal 6 2 6 3 6" xfId="15178" xr:uid="{00000000-0005-0000-0000-0000493B0000}"/>
    <cellStyle name="Normal 6 2 6 3 7" xfId="15179" xr:uid="{00000000-0005-0000-0000-00004A3B0000}"/>
    <cellStyle name="Normal 6 2 6 4" xfId="15180" xr:uid="{00000000-0005-0000-0000-00004B3B0000}"/>
    <cellStyle name="Normal 6 2 6 4 2" xfId="15181" xr:uid="{00000000-0005-0000-0000-00004C3B0000}"/>
    <cellStyle name="Normal 6 2 6 4 2 2" xfId="15182" xr:uid="{00000000-0005-0000-0000-00004D3B0000}"/>
    <cellStyle name="Normal 6 2 6 4 2 2 2" xfId="15183" xr:uid="{00000000-0005-0000-0000-00004E3B0000}"/>
    <cellStyle name="Normal 6 2 6 4 2 2 3" xfId="15184" xr:uid="{00000000-0005-0000-0000-00004F3B0000}"/>
    <cellStyle name="Normal 6 2 6 4 2 3" xfId="15185" xr:uid="{00000000-0005-0000-0000-0000503B0000}"/>
    <cellStyle name="Normal 6 2 6 4 2 3 2" xfId="15186" xr:uid="{00000000-0005-0000-0000-0000513B0000}"/>
    <cellStyle name="Normal 6 2 6 4 2 3 3" xfId="15187" xr:uid="{00000000-0005-0000-0000-0000523B0000}"/>
    <cellStyle name="Normal 6 2 6 4 2 4" xfId="15188" xr:uid="{00000000-0005-0000-0000-0000533B0000}"/>
    <cellStyle name="Normal 6 2 6 4 2 5" xfId="15189" xr:uid="{00000000-0005-0000-0000-0000543B0000}"/>
    <cellStyle name="Normal 6 2 6 4 3" xfId="15190" xr:uid="{00000000-0005-0000-0000-0000553B0000}"/>
    <cellStyle name="Normal 6 2 6 4 3 2" xfId="15191" xr:uid="{00000000-0005-0000-0000-0000563B0000}"/>
    <cellStyle name="Normal 6 2 6 4 3 2 2" xfId="15192" xr:uid="{00000000-0005-0000-0000-0000573B0000}"/>
    <cellStyle name="Normal 6 2 6 4 3 2 3" xfId="15193" xr:uid="{00000000-0005-0000-0000-0000583B0000}"/>
    <cellStyle name="Normal 6 2 6 4 3 3" xfId="15194" xr:uid="{00000000-0005-0000-0000-0000593B0000}"/>
    <cellStyle name="Normal 6 2 6 4 3 4" xfId="15195" xr:uid="{00000000-0005-0000-0000-00005A3B0000}"/>
    <cellStyle name="Normal 6 2 6 4 4" xfId="15196" xr:uid="{00000000-0005-0000-0000-00005B3B0000}"/>
    <cellStyle name="Normal 6 2 6 4 4 2" xfId="15197" xr:uid="{00000000-0005-0000-0000-00005C3B0000}"/>
    <cellStyle name="Normal 6 2 6 4 4 3" xfId="15198" xr:uid="{00000000-0005-0000-0000-00005D3B0000}"/>
    <cellStyle name="Normal 6 2 6 4 5" xfId="15199" xr:uid="{00000000-0005-0000-0000-00005E3B0000}"/>
    <cellStyle name="Normal 6 2 6 4 5 2" xfId="15200" xr:uid="{00000000-0005-0000-0000-00005F3B0000}"/>
    <cellStyle name="Normal 6 2 6 4 5 3" xfId="15201" xr:uid="{00000000-0005-0000-0000-0000603B0000}"/>
    <cellStyle name="Normal 6 2 6 4 6" xfId="15202" xr:uid="{00000000-0005-0000-0000-0000613B0000}"/>
    <cellStyle name="Normal 6 2 6 4 7" xfId="15203" xr:uid="{00000000-0005-0000-0000-0000623B0000}"/>
    <cellStyle name="Normal 6 2 6 5" xfId="15204" xr:uid="{00000000-0005-0000-0000-0000633B0000}"/>
    <cellStyle name="Normal 6 2 6 5 2" xfId="15205" xr:uid="{00000000-0005-0000-0000-0000643B0000}"/>
    <cellStyle name="Normal 6 2 6 5 2 2" xfId="15206" xr:uid="{00000000-0005-0000-0000-0000653B0000}"/>
    <cellStyle name="Normal 6 2 6 5 2 3" xfId="15207" xr:uid="{00000000-0005-0000-0000-0000663B0000}"/>
    <cellStyle name="Normal 6 2 6 5 3" xfId="15208" xr:uid="{00000000-0005-0000-0000-0000673B0000}"/>
    <cellStyle name="Normal 6 2 6 5 3 2" xfId="15209" xr:uid="{00000000-0005-0000-0000-0000683B0000}"/>
    <cellStyle name="Normal 6 2 6 5 3 3" xfId="15210" xr:uid="{00000000-0005-0000-0000-0000693B0000}"/>
    <cellStyle name="Normal 6 2 6 5 4" xfId="15211" xr:uid="{00000000-0005-0000-0000-00006A3B0000}"/>
    <cellStyle name="Normal 6 2 6 5 5" xfId="15212" xr:uid="{00000000-0005-0000-0000-00006B3B0000}"/>
    <cellStyle name="Normal 6 2 6 6" xfId="15213" xr:uid="{00000000-0005-0000-0000-00006C3B0000}"/>
    <cellStyle name="Normal 6 2 6 6 2" xfId="15214" xr:uid="{00000000-0005-0000-0000-00006D3B0000}"/>
    <cellStyle name="Normal 6 2 6 6 2 2" xfId="15215" xr:uid="{00000000-0005-0000-0000-00006E3B0000}"/>
    <cellStyle name="Normal 6 2 6 6 2 3" xfId="15216" xr:uid="{00000000-0005-0000-0000-00006F3B0000}"/>
    <cellStyle name="Normal 6 2 6 6 3" xfId="15217" xr:uid="{00000000-0005-0000-0000-0000703B0000}"/>
    <cellStyle name="Normal 6 2 6 6 3 2" xfId="15218" xr:uid="{00000000-0005-0000-0000-0000713B0000}"/>
    <cellStyle name="Normal 6 2 6 6 3 3" xfId="15219" xr:uid="{00000000-0005-0000-0000-0000723B0000}"/>
    <cellStyle name="Normal 6 2 6 6 4" xfId="15220" xr:uid="{00000000-0005-0000-0000-0000733B0000}"/>
    <cellStyle name="Normal 6 2 6 6 5" xfId="15221" xr:uid="{00000000-0005-0000-0000-0000743B0000}"/>
    <cellStyle name="Normal 6 2 6 7" xfId="15222" xr:uid="{00000000-0005-0000-0000-0000753B0000}"/>
    <cellStyle name="Normal 6 2 6 7 2" xfId="15223" xr:uid="{00000000-0005-0000-0000-0000763B0000}"/>
    <cellStyle name="Normal 6 2 6 7 2 2" xfId="15224" xr:uid="{00000000-0005-0000-0000-0000773B0000}"/>
    <cellStyle name="Normal 6 2 6 7 2 3" xfId="15225" xr:uid="{00000000-0005-0000-0000-0000783B0000}"/>
    <cellStyle name="Normal 6 2 6 7 3" xfId="15226" xr:uid="{00000000-0005-0000-0000-0000793B0000}"/>
    <cellStyle name="Normal 6 2 6 7 4" xfId="15227" xr:uid="{00000000-0005-0000-0000-00007A3B0000}"/>
    <cellStyle name="Normal 6 2 6 8" xfId="15228" xr:uid="{00000000-0005-0000-0000-00007B3B0000}"/>
    <cellStyle name="Normal 6 2 6 8 2" xfId="15229" xr:uid="{00000000-0005-0000-0000-00007C3B0000}"/>
    <cellStyle name="Normal 6 2 6 8 3" xfId="15230" xr:uid="{00000000-0005-0000-0000-00007D3B0000}"/>
    <cellStyle name="Normal 6 2 6 9" xfId="15231" xr:uid="{00000000-0005-0000-0000-00007E3B0000}"/>
    <cellStyle name="Normal 6 2 6 9 2" xfId="15232" xr:uid="{00000000-0005-0000-0000-00007F3B0000}"/>
    <cellStyle name="Normal 6 2 6 9 3" xfId="15233" xr:uid="{00000000-0005-0000-0000-0000803B0000}"/>
    <cellStyle name="Normal 6 2 7" xfId="15234" xr:uid="{00000000-0005-0000-0000-0000813B0000}"/>
    <cellStyle name="Normal 6 2 7 2" xfId="15235" xr:uid="{00000000-0005-0000-0000-0000823B0000}"/>
    <cellStyle name="Normal 6 2 7 2 2" xfId="15236" xr:uid="{00000000-0005-0000-0000-0000833B0000}"/>
    <cellStyle name="Normal 6 2 7 2 2 2" xfId="15237" xr:uid="{00000000-0005-0000-0000-0000843B0000}"/>
    <cellStyle name="Normal 6 2 7 2 2 2 2" xfId="15238" xr:uid="{00000000-0005-0000-0000-0000853B0000}"/>
    <cellStyle name="Normal 6 2 7 2 2 2 3" xfId="15239" xr:uid="{00000000-0005-0000-0000-0000863B0000}"/>
    <cellStyle name="Normal 6 2 7 2 2 3" xfId="15240" xr:uid="{00000000-0005-0000-0000-0000873B0000}"/>
    <cellStyle name="Normal 6 2 7 2 2 3 2" xfId="15241" xr:uid="{00000000-0005-0000-0000-0000883B0000}"/>
    <cellStyle name="Normal 6 2 7 2 2 3 3" xfId="15242" xr:uid="{00000000-0005-0000-0000-0000893B0000}"/>
    <cellStyle name="Normal 6 2 7 2 2 4" xfId="15243" xr:uid="{00000000-0005-0000-0000-00008A3B0000}"/>
    <cellStyle name="Normal 6 2 7 2 2 5" xfId="15244" xr:uid="{00000000-0005-0000-0000-00008B3B0000}"/>
    <cellStyle name="Normal 6 2 7 2 3" xfId="15245" xr:uid="{00000000-0005-0000-0000-00008C3B0000}"/>
    <cellStyle name="Normal 6 2 7 2 3 2" xfId="15246" xr:uid="{00000000-0005-0000-0000-00008D3B0000}"/>
    <cellStyle name="Normal 6 2 7 2 3 2 2" xfId="15247" xr:uid="{00000000-0005-0000-0000-00008E3B0000}"/>
    <cellStyle name="Normal 6 2 7 2 3 2 3" xfId="15248" xr:uid="{00000000-0005-0000-0000-00008F3B0000}"/>
    <cellStyle name="Normal 6 2 7 2 3 3" xfId="15249" xr:uid="{00000000-0005-0000-0000-0000903B0000}"/>
    <cellStyle name="Normal 6 2 7 2 3 3 2" xfId="15250" xr:uid="{00000000-0005-0000-0000-0000913B0000}"/>
    <cellStyle name="Normal 6 2 7 2 3 3 3" xfId="15251" xr:uid="{00000000-0005-0000-0000-0000923B0000}"/>
    <cellStyle name="Normal 6 2 7 2 3 4" xfId="15252" xr:uid="{00000000-0005-0000-0000-0000933B0000}"/>
    <cellStyle name="Normal 6 2 7 2 3 5" xfId="15253" xr:uid="{00000000-0005-0000-0000-0000943B0000}"/>
    <cellStyle name="Normal 6 2 7 2 4" xfId="15254" xr:uid="{00000000-0005-0000-0000-0000953B0000}"/>
    <cellStyle name="Normal 6 2 7 2 4 2" xfId="15255" xr:uid="{00000000-0005-0000-0000-0000963B0000}"/>
    <cellStyle name="Normal 6 2 7 2 4 3" xfId="15256" xr:uid="{00000000-0005-0000-0000-0000973B0000}"/>
    <cellStyle name="Normal 6 2 7 2 5" xfId="15257" xr:uid="{00000000-0005-0000-0000-0000983B0000}"/>
    <cellStyle name="Normal 6 2 7 2 5 2" xfId="15258" xr:uid="{00000000-0005-0000-0000-0000993B0000}"/>
    <cellStyle name="Normal 6 2 7 2 5 3" xfId="15259" xr:uid="{00000000-0005-0000-0000-00009A3B0000}"/>
    <cellStyle name="Normal 6 2 7 2 6" xfId="15260" xr:uid="{00000000-0005-0000-0000-00009B3B0000}"/>
    <cellStyle name="Normal 6 2 7 2 7" xfId="15261" xr:uid="{00000000-0005-0000-0000-00009C3B0000}"/>
    <cellStyle name="Normal 6 2 7 3" xfId="15262" xr:uid="{00000000-0005-0000-0000-00009D3B0000}"/>
    <cellStyle name="Normal 6 2 7 3 2" xfId="15263" xr:uid="{00000000-0005-0000-0000-00009E3B0000}"/>
    <cellStyle name="Normal 6 2 7 3 2 2" xfId="15264" xr:uid="{00000000-0005-0000-0000-00009F3B0000}"/>
    <cellStyle name="Normal 6 2 7 3 2 3" xfId="15265" xr:uid="{00000000-0005-0000-0000-0000A03B0000}"/>
    <cellStyle name="Normal 6 2 7 3 3" xfId="15266" xr:uid="{00000000-0005-0000-0000-0000A13B0000}"/>
    <cellStyle name="Normal 6 2 7 3 3 2" xfId="15267" xr:uid="{00000000-0005-0000-0000-0000A23B0000}"/>
    <cellStyle name="Normal 6 2 7 3 3 3" xfId="15268" xr:uid="{00000000-0005-0000-0000-0000A33B0000}"/>
    <cellStyle name="Normal 6 2 7 3 4" xfId="15269" xr:uid="{00000000-0005-0000-0000-0000A43B0000}"/>
    <cellStyle name="Normal 6 2 7 3 5" xfId="15270" xr:uid="{00000000-0005-0000-0000-0000A53B0000}"/>
    <cellStyle name="Normal 6 2 7 4" xfId="15271" xr:uid="{00000000-0005-0000-0000-0000A63B0000}"/>
    <cellStyle name="Normal 6 2 7 4 2" xfId="15272" xr:uid="{00000000-0005-0000-0000-0000A73B0000}"/>
    <cellStyle name="Normal 6 2 7 4 2 2" xfId="15273" xr:uid="{00000000-0005-0000-0000-0000A83B0000}"/>
    <cellStyle name="Normal 6 2 7 4 2 3" xfId="15274" xr:uid="{00000000-0005-0000-0000-0000A93B0000}"/>
    <cellStyle name="Normal 6 2 7 4 3" xfId="15275" xr:uid="{00000000-0005-0000-0000-0000AA3B0000}"/>
    <cellStyle name="Normal 6 2 7 4 3 2" xfId="15276" xr:uid="{00000000-0005-0000-0000-0000AB3B0000}"/>
    <cellStyle name="Normal 6 2 7 4 3 3" xfId="15277" xr:uid="{00000000-0005-0000-0000-0000AC3B0000}"/>
    <cellStyle name="Normal 6 2 7 4 4" xfId="15278" xr:uid="{00000000-0005-0000-0000-0000AD3B0000}"/>
    <cellStyle name="Normal 6 2 7 4 5" xfId="15279" xr:uid="{00000000-0005-0000-0000-0000AE3B0000}"/>
    <cellStyle name="Normal 6 2 7 5" xfId="15280" xr:uid="{00000000-0005-0000-0000-0000AF3B0000}"/>
    <cellStyle name="Normal 6 2 7 5 2" xfId="15281" xr:uid="{00000000-0005-0000-0000-0000B03B0000}"/>
    <cellStyle name="Normal 6 2 7 5 3" xfId="15282" xr:uid="{00000000-0005-0000-0000-0000B13B0000}"/>
    <cellStyle name="Normal 6 2 7 6" xfId="15283" xr:uid="{00000000-0005-0000-0000-0000B23B0000}"/>
    <cellStyle name="Normal 6 2 7 6 2" xfId="15284" xr:uid="{00000000-0005-0000-0000-0000B33B0000}"/>
    <cellStyle name="Normal 6 2 7 6 3" xfId="15285" xr:uid="{00000000-0005-0000-0000-0000B43B0000}"/>
    <cellStyle name="Normal 6 2 7 7" xfId="15286" xr:uid="{00000000-0005-0000-0000-0000B53B0000}"/>
    <cellStyle name="Normal 6 2 7 7 2" xfId="15287" xr:uid="{00000000-0005-0000-0000-0000B63B0000}"/>
    <cellStyle name="Normal 6 2 7 7 3" xfId="15288" xr:uid="{00000000-0005-0000-0000-0000B73B0000}"/>
    <cellStyle name="Normal 6 2 7 7 3 2" xfId="15289" xr:uid="{00000000-0005-0000-0000-0000B83B0000}"/>
    <cellStyle name="Normal 6 2 7 7 4" xfId="15290" xr:uid="{00000000-0005-0000-0000-0000B93B0000}"/>
    <cellStyle name="Normal 6 2 7 8" xfId="15291" xr:uid="{00000000-0005-0000-0000-0000BA3B0000}"/>
    <cellStyle name="Normal 6 2 7 9" xfId="15292" xr:uid="{00000000-0005-0000-0000-0000BB3B0000}"/>
    <cellStyle name="Normal 6 2 8" xfId="15293" xr:uid="{00000000-0005-0000-0000-0000BC3B0000}"/>
    <cellStyle name="Normal 6 2 8 2" xfId="15294" xr:uid="{00000000-0005-0000-0000-0000BD3B0000}"/>
    <cellStyle name="Normal 6 2 8 2 2" xfId="15295" xr:uid="{00000000-0005-0000-0000-0000BE3B0000}"/>
    <cellStyle name="Normal 6 2 8 2 2 2" xfId="15296" xr:uid="{00000000-0005-0000-0000-0000BF3B0000}"/>
    <cellStyle name="Normal 6 2 8 2 2 3" xfId="15297" xr:uid="{00000000-0005-0000-0000-0000C03B0000}"/>
    <cellStyle name="Normal 6 2 8 2 3" xfId="15298" xr:uid="{00000000-0005-0000-0000-0000C13B0000}"/>
    <cellStyle name="Normal 6 2 8 2 3 2" xfId="15299" xr:uid="{00000000-0005-0000-0000-0000C23B0000}"/>
    <cellStyle name="Normal 6 2 8 2 3 3" xfId="15300" xr:uid="{00000000-0005-0000-0000-0000C33B0000}"/>
    <cellStyle name="Normal 6 2 8 2 4" xfId="15301" xr:uid="{00000000-0005-0000-0000-0000C43B0000}"/>
    <cellStyle name="Normal 6 2 8 2 5" xfId="15302" xr:uid="{00000000-0005-0000-0000-0000C53B0000}"/>
    <cellStyle name="Normal 6 2 8 3" xfId="15303" xr:uid="{00000000-0005-0000-0000-0000C63B0000}"/>
    <cellStyle name="Normal 6 2 8 3 2" xfId="15304" xr:uid="{00000000-0005-0000-0000-0000C73B0000}"/>
    <cellStyle name="Normal 6 2 8 3 2 2" xfId="15305" xr:uid="{00000000-0005-0000-0000-0000C83B0000}"/>
    <cellStyle name="Normal 6 2 8 3 2 3" xfId="15306" xr:uid="{00000000-0005-0000-0000-0000C93B0000}"/>
    <cellStyle name="Normal 6 2 8 3 3" xfId="15307" xr:uid="{00000000-0005-0000-0000-0000CA3B0000}"/>
    <cellStyle name="Normal 6 2 8 3 3 2" xfId="15308" xr:uid="{00000000-0005-0000-0000-0000CB3B0000}"/>
    <cellStyle name="Normal 6 2 8 3 3 3" xfId="15309" xr:uid="{00000000-0005-0000-0000-0000CC3B0000}"/>
    <cellStyle name="Normal 6 2 8 3 4" xfId="15310" xr:uid="{00000000-0005-0000-0000-0000CD3B0000}"/>
    <cellStyle name="Normal 6 2 8 3 5" xfId="15311" xr:uid="{00000000-0005-0000-0000-0000CE3B0000}"/>
    <cellStyle name="Normal 6 2 8 4" xfId="15312" xr:uid="{00000000-0005-0000-0000-0000CF3B0000}"/>
    <cellStyle name="Normal 6 2 8 4 2" xfId="15313" xr:uid="{00000000-0005-0000-0000-0000D03B0000}"/>
    <cellStyle name="Normal 6 2 8 4 3" xfId="15314" xr:uid="{00000000-0005-0000-0000-0000D13B0000}"/>
    <cellStyle name="Normal 6 2 8 5" xfId="15315" xr:uid="{00000000-0005-0000-0000-0000D23B0000}"/>
    <cellStyle name="Normal 6 2 8 5 2" xfId="15316" xr:uid="{00000000-0005-0000-0000-0000D33B0000}"/>
    <cellStyle name="Normal 6 2 8 5 3" xfId="15317" xr:uid="{00000000-0005-0000-0000-0000D43B0000}"/>
    <cellStyle name="Normal 6 2 8 6" xfId="15318" xr:uid="{00000000-0005-0000-0000-0000D53B0000}"/>
    <cellStyle name="Normal 6 2 8 7" xfId="15319" xr:uid="{00000000-0005-0000-0000-0000D63B0000}"/>
    <cellStyle name="Normal 6 2 9" xfId="15320" xr:uid="{00000000-0005-0000-0000-0000D73B0000}"/>
    <cellStyle name="Normal 6 2 9 2" xfId="15321" xr:uid="{00000000-0005-0000-0000-0000D83B0000}"/>
    <cellStyle name="Normal 6 2 9 2 2" xfId="15322" xr:uid="{00000000-0005-0000-0000-0000D93B0000}"/>
    <cellStyle name="Normal 6 2 9 2 2 2" xfId="15323" xr:uid="{00000000-0005-0000-0000-0000DA3B0000}"/>
    <cellStyle name="Normal 6 2 9 2 2 3" xfId="15324" xr:uid="{00000000-0005-0000-0000-0000DB3B0000}"/>
    <cellStyle name="Normal 6 2 9 2 3" xfId="15325" xr:uid="{00000000-0005-0000-0000-0000DC3B0000}"/>
    <cellStyle name="Normal 6 2 9 2 3 2" xfId="15326" xr:uid="{00000000-0005-0000-0000-0000DD3B0000}"/>
    <cellStyle name="Normal 6 2 9 2 3 3" xfId="15327" xr:uid="{00000000-0005-0000-0000-0000DE3B0000}"/>
    <cellStyle name="Normal 6 2 9 2 4" xfId="15328" xr:uid="{00000000-0005-0000-0000-0000DF3B0000}"/>
    <cellStyle name="Normal 6 2 9 2 5" xfId="15329" xr:uid="{00000000-0005-0000-0000-0000E03B0000}"/>
    <cellStyle name="Normal 6 2 9 3" xfId="15330" xr:uid="{00000000-0005-0000-0000-0000E13B0000}"/>
    <cellStyle name="Normal 6 2 9 3 2" xfId="15331" xr:uid="{00000000-0005-0000-0000-0000E23B0000}"/>
    <cellStyle name="Normal 6 2 9 3 2 2" xfId="15332" xr:uid="{00000000-0005-0000-0000-0000E33B0000}"/>
    <cellStyle name="Normal 6 2 9 3 2 3" xfId="15333" xr:uid="{00000000-0005-0000-0000-0000E43B0000}"/>
    <cellStyle name="Normal 6 2 9 3 3" xfId="15334" xr:uid="{00000000-0005-0000-0000-0000E53B0000}"/>
    <cellStyle name="Normal 6 2 9 3 4" xfId="15335" xr:uid="{00000000-0005-0000-0000-0000E63B0000}"/>
    <cellStyle name="Normal 6 2 9 4" xfId="15336" xr:uid="{00000000-0005-0000-0000-0000E73B0000}"/>
    <cellStyle name="Normal 6 2 9 4 2" xfId="15337" xr:uid="{00000000-0005-0000-0000-0000E83B0000}"/>
    <cellStyle name="Normal 6 2 9 4 3" xfId="15338" xr:uid="{00000000-0005-0000-0000-0000E93B0000}"/>
    <cellStyle name="Normal 6 2 9 5" xfId="15339" xr:uid="{00000000-0005-0000-0000-0000EA3B0000}"/>
    <cellStyle name="Normal 6 2 9 5 2" xfId="15340" xr:uid="{00000000-0005-0000-0000-0000EB3B0000}"/>
    <cellStyle name="Normal 6 2 9 5 3" xfId="15341" xr:uid="{00000000-0005-0000-0000-0000EC3B0000}"/>
    <cellStyle name="Normal 6 2 9 6" xfId="15342" xr:uid="{00000000-0005-0000-0000-0000ED3B0000}"/>
    <cellStyle name="Normal 6 2 9 7" xfId="15343" xr:uid="{00000000-0005-0000-0000-0000EE3B0000}"/>
    <cellStyle name="Normal 6 3" xfId="15344" xr:uid="{00000000-0005-0000-0000-0000EF3B0000}"/>
    <cellStyle name="Normal 6 3 2" xfId="15345" xr:uid="{00000000-0005-0000-0000-0000F03B0000}"/>
    <cellStyle name="Normal 6 3 2 2" xfId="15346" xr:uid="{00000000-0005-0000-0000-0000F13B0000}"/>
    <cellStyle name="Normal 6 3 2 2 2" xfId="15347" xr:uid="{00000000-0005-0000-0000-0000F23B0000}"/>
    <cellStyle name="Normal 6 3 2 2 3" xfId="15348" xr:uid="{00000000-0005-0000-0000-0000F33B0000}"/>
    <cellStyle name="Normal 6 3 2 2 3 2" xfId="15349" xr:uid="{00000000-0005-0000-0000-0000F43B0000}"/>
    <cellStyle name="Normal 6 3 2 3" xfId="15350" xr:uid="{00000000-0005-0000-0000-0000F53B0000}"/>
    <cellStyle name="Normal 6 3 2 3 2" xfId="15351" xr:uid="{00000000-0005-0000-0000-0000F63B0000}"/>
    <cellStyle name="Normal 6 3 2 3 3" xfId="15352" xr:uid="{00000000-0005-0000-0000-0000F73B0000}"/>
    <cellStyle name="Normal 6 3 2 3 3 2" xfId="15353" xr:uid="{00000000-0005-0000-0000-0000F83B0000}"/>
    <cellStyle name="Normal 6 3 2 4" xfId="15354" xr:uid="{00000000-0005-0000-0000-0000F93B0000}"/>
    <cellStyle name="Normal 6 3 2 5" xfId="15355" xr:uid="{00000000-0005-0000-0000-0000FA3B0000}"/>
    <cellStyle name="Normal 6 3 3" xfId="15356" xr:uid="{00000000-0005-0000-0000-0000FB3B0000}"/>
    <cellStyle name="Normal 6 3 3 2" xfId="15357" xr:uid="{00000000-0005-0000-0000-0000FC3B0000}"/>
    <cellStyle name="Normal 6 3 3 2 2" xfId="15358" xr:uid="{00000000-0005-0000-0000-0000FD3B0000}"/>
    <cellStyle name="Normal 6 3 3 2 2 2" xfId="15359" xr:uid="{00000000-0005-0000-0000-0000FE3B0000}"/>
    <cellStyle name="Normal 6 3 3 2 2 3" xfId="15360" xr:uid="{00000000-0005-0000-0000-0000FF3B0000}"/>
    <cellStyle name="Normal 6 3 3 2 3" xfId="15361" xr:uid="{00000000-0005-0000-0000-0000003C0000}"/>
    <cellStyle name="Normal 6 3 3 2 3 2" xfId="15362" xr:uid="{00000000-0005-0000-0000-0000013C0000}"/>
    <cellStyle name="Normal 6 3 3 2 3 3" xfId="15363" xr:uid="{00000000-0005-0000-0000-0000023C0000}"/>
    <cellStyle name="Normal 6 3 3 2 4" xfId="15364" xr:uid="{00000000-0005-0000-0000-0000033C0000}"/>
    <cellStyle name="Normal 6 3 3 2 5" xfId="15365" xr:uid="{00000000-0005-0000-0000-0000043C0000}"/>
    <cellStyle name="Normal 6 3 3 3" xfId="15366" xr:uid="{00000000-0005-0000-0000-0000053C0000}"/>
    <cellStyle name="Normal 6 3 3 3 2" xfId="15367" xr:uid="{00000000-0005-0000-0000-0000063C0000}"/>
    <cellStyle name="Normal 6 3 3 3 2 2" xfId="15368" xr:uid="{00000000-0005-0000-0000-0000073C0000}"/>
    <cellStyle name="Normal 6 3 3 3 2 3" xfId="15369" xr:uid="{00000000-0005-0000-0000-0000083C0000}"/>
    <cellStyle name="Normal 6 3 3 3 3" xfId="15370" xr:uid="{00000000-0005-0000-0000-0000093C0000}"/>
    <cellStyle name="Normal 6 3 3 3 3 2" xfId="15371" xr:uid="{00000000-0005-0000-0000-00000A3C0000}"/>
    <cellStyle name="Normal 6 3 3 3 3 3" xfId="15372" xr:uid="{00000000-0005-0000-0000-00000B3C0000}"/>
    <cellStyle name="Normal 6 3 3 3 4" xfId="15373" xr:uid="{00000000-0005-0000-0000-00000C3C0000}"/>
    <cellStyle name="Normal 6 3 3 3 5" xfId="15374" xr:uid="{00000000-0005-0000-0000-00000D3C0000}"/>
    <cellStyle name="Normal 6 3 3 4" xfId="15375" xr:uid="{00000000-0005-0000-0000-00000E3C0000}"/>
    <cellStyle name="Normal 6 3 3 4 2" xfId="15376" xr:uid="{00000000-0005-0000-0000-00000F3C0000}"/>
    <cellStyle name="Normal 6 3 3 4 3" xfId="15377" xr:uid="{00000000-0005-0000-0000-0000103C0000}"/>
    <cellStyle name="Normal 6 3 3 5" xfId="15378" xr:uid="{00000000-0005-0000-0000-0000113C0000}"/>
    <cellStyle name="Normal 6 3 3 5 2" xfId="15379" xr:uid="{00000000-0005-0000-0000-0000123C0000}"/>
    <cellStyle name="Normal 6 3 3 5 3" xfId="15380" xr:uid="{00000000-0005-0000-0000-0000133C0000}"/>
    <cellStyle name="Normal 6 3 3 6" xfId="15381" xr:uid="{00000000-0005-0000-0000-0000143C0000}"/>
    <cellStyle name="Normal 6 3 3 7" xfId="15382" xr:uid="{00000000-0005-0000-0000-0000153C0000}"/>
    <cellStyle name="Normal 6 3 4" xfId="15383" xr:uid="{00000000-0005-0000-0000-0000163C0000}"/>
    <cellStyle name="Normal 6 3 4 2" xfId="15384" xr:uid="{00000000-0005-0000-0000-0000173C0000}"/>
    <cellStyle name="Normal 6 3 4 2 2" xfId="15385" xr:uid="{00000000-0005-0000-0000-0000183C0000}"/>
    <cellStyle name="Normal 6 3 4 2 2 2" xfId="15386" xr:uid="{00000000-0005-0000-0000-0000193C0000}"/>
    <cellStyle name="Normal 6 3 4 2 2 3" xfId="15387" xr:uid="{00000000-0005-0000-0000-00001A3C0000}"/>
    <cellStyle name="Normal 6 3 4 2 3" xfId="15388" xr:uid="{00000000-0005-0000-0000-00001B3C0000}"/>
    <cellStyle name="Normal 6 3 4 2 3 2" xfId="15389" xr:uid="{00000000-0005-0000-0000-00001C3C0000}"/>
    <cellStyle name="Normal 6 3 4 2 3 3" xfId="15390" xr:uid="{00000000-0005-0000-0000-00001D3C0000}"/>
    <cellStyle name="Normal 6 3 4 2 4" xfId="15391" xr:uid="{00000000-0005-0000-0000-00001E3C0000}"/>
    <cellStyle name="Normal 6 3 4 2 5" xfId="15392" xr:uid="{00000000-0005-0000-0000-00001F3C0000}"/>
    <cellStyle name="Normal 6 3 4 3" xfId="15393" xr:uid="{00000000-0005-0000-0000-0000203C0000}"/>
    <cellStyle name="Normal 6 3 4 3 2" xfId="15394" xr:uid="{00000000-0005-0000-0000-0000213C0000}"/>
    <cellStyle name="Normal 6 3 4 3 2 2" xfId="15395" xr:uid="{00000000-0005-0000-0000-0000223C0000}"/>
    <cellStyle name="Normal 6 3 4 3 2 3" xfId="15396" xr:uid="{00000000-0005-0000-0000-0000233C0000}"/>
    <cellStyle name="Normal 6 3 4 3 3" xfId="15397" xr:uid="{00000000-0005-0000-0000-0000243C0000}"/>
    <cellStyle name="Normal 6 3 4 3 3 2" xfId="15398" xr:uid="{00000000-0005-0000-0000-0000253C0000}"/>
    <cellStyle name="Normal 6 3 4 3 3 3" xfId="15399" xr:uid="{00000000-0005-0000-0000-0000263C0000}"/>
    <cellStyle name="Normal 6 3 4 3 4" xfId="15400" xr:uid="{00000000-0005-0000-0000-0000273C0000}"/>
    <cellStyle name="Normal 6 3 4 3 5" xfId="15401" xr:uid="{00000000-0005-0000-0000-0000283C0000}"/>
    <cellStyle name="Normal 6 3 4 4" xfId="15402" xr:uid="{00000000-0005-0000-0000-0000293C0000}"/>
    <cellStyle name="Normal 6 3 4 4 2" xfId="15403" xr:uid="{00000000-0005-0000-0000-00002A3C0000}"/>
    <cellStyle name="Normal 6 3 4 4 3" xfId="15404" xr:uid="{00000000-0005-0000-0000-00002B3C0000}"/>
    <cellStyle name="Normal 6 3 4 5" xfId="15405" xr:uid="{00000000-0005-0000-0000-00002C3C0000}"/>
    <cellStyle name="Normal 6 3 4 5 2" xfId="15406" xr:uid="{00000000-0005-0000-0000-00002D3C0000}"/>
    <cellStyle name="Normal 6 3 4 5 3" xfId="15407" xr:uid="{00000000-0005-0000-0000-00002E3C0000}"/>
    <cellStyle name="Normal 6 3 4 6" xfId="15408" xr:uid="{00000000-0005-0000-0000-00002F3C0000}"/>
    <cellStyle name="Normal 6 3 4 7" xfId="15409" xr:uid="{00000000-0005-0000-0000-0000303C0000}"/>
    <cellStyle name="Normal 6 3 5" xfId="15410" xr:uid="{00000000-0005-0000-0000-0000313C0000}"/>
    <cellStyle name="Normal 6 3 5 2" xfId="15411" xr:uid="{00000000-0005-0000-0000-0000323C0000}"/>
    <cellStyle name="Normal 6 3 5 3" xfId="15412" xr:uid="{00000000-0005-0000-0000-0000333C0000}"/>
    <cellStyle name="Normal 6 3 5 3 2" xfId="15413" xr:uid="{00000000-0005-0000-0000-0000343C0000}"/>
    <cellStyle name="Normal 6 3 6" xfId="15414" xr:uid="{00000000-0005-0000-0000-0000353C0000}"/>
    <cellStyle name="Normal 6 3 6 2" xfId="15415" xr:uid="{00000000-0005-0000-0000-0000363C0000}"/>
    <cellStyle name="Normal 6 3 6 3" xfId="15416" xr:uid="{00000000-0005-0000-0000-0000373C0000}"/>
    <cellStyle name="Normal 6 3 6 3 2" xfId="15417" xr:uid="{00000000-0005-0000-0000-0000383C0000}"/>
    <cellStyle name="Normal 6 3 7" xfId="15418" xr:uid="{00000000-0005-0000-0000-0000393C0000}"/>
    <cellStyle name="Normal 6 3 8" xfId="15419" xr:uid="{00000000-0005-0000-0000-00003A3C0000}"/>
    <cellStyle name="Normal 6 4" xfId="15420" xr:uid="{00000000-0005-0000-0000-00003B3C0000}"/>
    <cellStyle name="Normal 6 4 10" xfId="15421" xr:uid="{00000000-0005-0000-0000-00003C3C0000}"/>
    <cellStyle name="Normal 6 4 10 2" xfId="15422" xr:uid="{00000000-0005-0000-0000-00003D3C0000}"/>
    <cellStyle name="Normal 6 4 10 3" xfId="15423" xr:uid="{00000000-0005-0000-0000-00003E3C0000}"/>
    <cellStyle name="Normal 6 4 11" xfId="15424" xr:uid="{00000000-0005-0000-0000-00003F3C0000}"/>
    <cellStyle name="Normal 6 4 11 2" xfId="15425" xr:uid="{00000000-0005-0000-0000-0000403C0000}"/>
    <cellStyle name="Normal 6 4 11 3" xfId="15426" xr:uid="{00000000-0005-0000-0000-0000413C0000}"/>
    <cellStyle name="Normal 6 4 11 3 2" xfId="15427" xr:uid="{00000000-0005-0000-0000-0000423C0000}"/>
    <cellStyle name="Normal 6 4 11 4" xfId="15428" xr:uid="{00000000-0005-0000-0000-0000433C0000}"/>
    <cellStyle name="Normal 6 4 12" xfId="15429" xr:uid="{00000000-0005-0000-0000-0000443C0000}"/>
    <cellStyle name="Normal 6 4 12 2" xfId="15430" xr:uid="{00000000-0005-0000-0000-0000453C0000}"/>
    <cellStyle name="Normal 6 4 12 2 2" xfId="15431" xr:uid="{00000000-0005-0000-0000-0000463C0000}"/>
    <cellStyle name="Normal 6 4 12 3" xfId="15432" xr:uid="{00000000-0005-0000-0000-0000473C0000}"/>
    <cellStyle name="Normal 6 4 13" xfId="15433" xr:uid="{00000000-0005-0000-0000-0000483C0000}"/>
    <cellStyle name="Normal 6 4 14" xfId="15434" xr:uid="{00000000-0005-0000-0000-0000493C0000}"/>
    <cellStyle name="Normal 6 4 2" xfId="15435" xr:uid="{00000000-0005-0000-0000-00004A3C0000}"/>
    <cellStyle name="Normal 6 4 2 10" xfId="15436" xr:uid="{00000000-0005-0000-0000-00004B3C0000}"/>
    <cellStyle name="Normal 6 4 2 10 2" xfId="15437" xr:uid="{00000000-0005-0000-0000-00004C3C0000}"/>
    <cellStyle name="Normal 6 4 2 10 3" xfId="15438" xr:uid="{00000000-0005-0000-0000-00004D3C0000}"/>
    <cellStyle name="Normal 6 4 2 10 3 2" xfId="15439" xr:uid="{00000000-0005-0000-0000-00004E3C0000}"/>
    <cellStyle name="Normal 6 4 2 10 4" xfId="15440" xr:uid="{00000000-0005-0000-0000-00004F3C0000}"/>
    <cellStyle name="Normal 6 4 2 11" xfId="15441" xr:uid="{00000000-0005-0000-0000-0000503C0000}"/>
    <cellStyle name="Normal 6 4 2 11 2" xfId="15442" xr:uid="{00000000-0005-0000-0000-0000513C0000}"/>
    <cellStyle name="Normal 6 4 2 11 2 2" xfId="15443" xr:uid="{00000000-0005-0000-0000-0000523C0000}"/>
    <cellStyle name="Normal 6 4 2 11 3" xfId="15444" xr:uid="{00000000-0005-0000-0000-0000533C0000}"/>
    <cellStyle name="Normal 6 4 2 12" xfId="15445" xr:uid="{00000000-0005-0000-0000-0000543C0000}"/>
    <cellStyle name="Normal 6 4 2 13" xfId="15446" xr:uid="{00000000-0005-0000-0000-0000553C0000}"/>
    <cellStyle name="Normal 6 4 2 2" xfId="15447" xr:uid="{00000000-0005-0000-0000-0000563C0000}"/>
    <cellStyle name="Normal 6 4 2 2 2" xfId="15448" xr:uid="{00000000-0005-0000-0000-0000573C0000}"/>
    <cellStyle name="Normal 6 4 2 2 2 2" xfId="15449" xr:uid="{00000000-0005-0000-0000-0000583C0000}"/>
    <cellStyle name="Normal 6 4 2 2 2 2 2" xfId="15450" xr:uid="{00000000-0005-0000-0000-0000593C0000}"/>
    <cellStyle name="Normal 6 4 2 2 2 2 2 2" xfId="15451" xr:uid="{00000000-0005-0000-0000-00005A3C0000}"/>
    <cellStyle name="Normal 6 4 2 2 2 2 2 3" xfId="15452" xr:uid="{00000000-0005-0000-0000-00005B3C0000}"/>
    <cellStyle name="Normal 6 4 2 2 2 2 3" xfId="15453" xr:uid="{00000000-0005-0000-0000-00005C3C0000}"/>
    <cellStyle name="Normal 6 4 2 2 2 2 3 2" xfId="15454" xr:uid="{00000000-0005-0000-0000-00005D3C0000}"/>
    <cellStyle name="Normal 6 4 2 2 2 2 3 3" xfId="15455" xr:uid="{00000000-0005-0000-0000-00005E3C0000}"/>
    <cellStyle name="Normal 6 4 2 2 2 2 4" xfId="15456" xr:uid="{00000000-0005-0000-0000-00005F3C0000}"/>
    <cellStyle name="Normal 6 4 2 2 2 2 5" xfId="15457" xr:uid="{00000000-0005-0000-0000-0000603C0000}"/>
    <cellStyle name="Normal 6 4 2 2 2 3" xfId="15458" xr:uid="{00000000-0005-0000-0000-0000613C0000}"/>
    <cellStyle name="Normal 6 4 2 2 2 3 2" xfId="15459" xr:uid="{00000000-0005-0000-0000-0000623C0000}"/>
    <cellStyle name="Normal 6 4 2 2 2 3 2 2" xfId="15460" xr:uid="{00000000-0005-0000-0000-0000633C0000}"/>
    <cellStyle name="Normal 6 4 2 2 2 3 2 3" xfId="15461" xr:uid="{00000000-0005-0000-0000-0000643C0000}"/>
    <cellStyle name="Normal 6 4 2 2 2 3 3" xfId="15462" xr:uid="{00000000-0005-0000-0000-0000653C0000}"/>
    <cellStyle name="Normal 6 4 2 2 2 3 3 2" xfId="15463" xr:uid="{00000000-0005-0000-0000-0000663C0000}"/>
    <cellStyle name="Normal 6 4 2 2 2 3 3 3" xfId="15464" xr:uid="{00000000-0005-0000-0000-0000673C0000}"/>
    <cellStyle name="Normal 6 4 2 2 2 3 4" xfId="15465" xr:uid="{00000000-0005-0000-0000-0000683C0000}"/>
    <cellStyle name="Normal 6 4 2 2 2 3 5" xfId="15466" xr:uid="{00000000-0005-0000-0000-0000693C0000}"/>
    <cellStyle name="Normal 6 4 2 2 2 4" xfId="15467" xr:uid="{00000000-0005-0000-0000-00006A3C0000}"/>
    <cellStyle name="Normal 6 4 2 2 2 4 2" xfId="15468" xr:uid="{00000000-0005-0000-0000-00006B3C0000}"/>
    <cellStyle name="Normal 6 4 2 2 2 4 3" xfId="15469" xr:uid="{00000000-0005-0000-0000-00006C3C0000}"/>
    <cellStyle name="Normal 6 4 2 2 2 5" xfId="15470" xr:uid="{00000000-0005-0000-0000-00006D3C0000}"/>
    <cellStyle name="Normal 6 4 2 2 2 5 2" xfId="15471" xr:uid="{00000000-0005-0000-0000-00006E3C0000}"/>
    <cellStyle name="Normal 6 4 2 2 2 5 3" xfId="15472" xr:uid="{00000000-0005-0000-0000-00006F3C0000}"/>
    <cellStyle name="Normal 6 4 2 2 2 6" xfId="15473" xr:uid="{00000000-0005-0000-0000-0000703C0000}"/>
    <cellStyle name="Normal 6 4 2 2 2 7" xfId="15474" xr:uid="{00000000-0005-0000-0000-0000713C0000}"/>
    <cellStyle name="Normal 6 4 2 2 3" xfId="15475" xr:uid="{00000000-0005-0000-0000-0000723C0000}"/>
    <cellStyle name="Normal 6 4 2 2 3 2" xfId="15476" xr:uid="{00000000-0005-0000-0000-0000733C0000}"/>
    <cellStyle name="Normal 6 4 2 2 3 2 2" xfId="15477" xr:uid="{00000000-0005-0000-0000-0000743C0000}"/>
    <cellStyle name="Normal 6 4 2 2 3 2 3" xfId="15478" xr:uid="{00000000-0005-0000-0000-0000753C0000}"/>
    <cellStyle name="Normal 6 4 2 2 3 3" xfId="15479" xr:uid="{00000000-0005-0000-0000-0000763C0000}"/>
    <cellStyle name="Normal 6 4 2 2 3 3 2" xfId="15480" xr:uid="{00000000-0005-0000-0000-0000773C0000}"/>
    <cellStyle name="Normal 6 4 2 2 3 3 3" xfId="15481" xr:uid="{00000000-0005-0000-0000-0000783C0000}"/>
    <cellStyle name="Normal 6 4 2 2 3 4" xfId="15482" xr:uid="{00000000-0005-0000-0000-0000793C0000}"/>
    <cellStyle name="Normal 6 4 2 2 3 5" xfId="15483" xr:uid="{00000000-0005-0000-0000-00007A3C0000}"/>
    <cellStyle name="Normal 6 4 2 2 4" xfId="15484" xr:uid="{00000000-0005-0000-0000-00007B3C0000}"/>
    <cellStyle name="Normal 6 4 2 2 4 2" xfId="15485" xr:uid="{00000000-0005-0000-0000-00007C3C0000}"/>
    <cellStyle name="Normal 6 4 2 2 4 2 2" xfId="15486" xr:uid="{00000000-0005-0000-0000-00007D3C0000}"/>
    <cellStyle name="Normal 6 4 2 2 4 2 3" xfId="15487" xr:uid="{00000000-0005-0000-0000-00007E3C0000}"/>
    <cellStyle name="Normal 6 4 2 2 4 3" xfId="15488" xr:uid="{00000000-0005-0000-0000-00007F3C0000}"/>
    <cellStyle name="Normal 6 4 2 2 4 3 2" xfId="15489" xr:uid="{00000000-0005-0000-0000-0000803C0000}"/>
    <cellStyle name="Normal 6 4 2 2 4 3 3" xfId="15490" xr:uid="{00000000-0005-0000-0000-0000813C0000}"/>
    <cellStyle name="Normal 6 4 2 2 4 4" xfId="15491" xr:uid="{00000000-0005-0000-0000-0000823C0000}"/>
    <cellStyle name="Normal 6 4 2 2 4 5" xfId="15492" xr:uid="{00000000-0005-0000-0000-0000833C0000}"/>
    <cellStyle name="Normal 6 4 2 2 5" xfId="15493" xr:uid="{00000000-0005-0000-0000-0000843C0000}"/>
    <cellStyle name="Normal 6 4 2 2 5 2" xfId="15494" xr:uid="{00000000-0005-0000-0000-0000853C0000}"/>
    <cellStyle name="Normal 6 4 2 2 5 3" xfId="15495" xr:uid="{00000000-0005-0000-0000-0000863C0000}"/>
    <cellStyle name="Normal 6 4 2 2 6" xfId="15496" xr:uid="{00000000-0005-0000-0000-0000873C0000}"/>
    <cellStyle name="Normal 6 4 2 2 6 2" xfId="15497" xr:uid="{00000000-0005-0000-0000-0000883C0000}"/>
    <cellStyle name="Normal 6 4 2 2 6 3" xfId="15498" xr:uid="{00000000-0005-0000-0000-0000893C0000}"/>
    <cellStyle name="Normal 6 4 2 2 7" xfId="15499" xr:uid="{00000000-0005-0000-0000-00008A3C0000}"/>
    <cellStyle name="Normal 6 4 2 2 7 2" xfId="15500" xr:uid="{00000000-0005-0000-0000-00008B3C0000}"/>
    <cellStyle name="Normal 6 4 2 2 7 3" xfId="15501" xr:uid="{00000000-0005-0000-0000-00008C3C0000}"/>
    <cellStyle name="Normal 6 4 2 2 7 3 2" xfId="15502" xr:uid="{00000000-0005-0000-0000-00008D3C0000}"/>
    <cellStyle name="Normal 6 4 2 2 7 4" xfId="15503" xr:uid="{00000000-0005-0000-0000-00008E3C0000}"/>
    <cellStyle name="Normal 6 4 2 2 8" xfId="15504" xr:uid="{00000000-0005-0000-0000-00008F3C0000}"/>
    <cellStyle name="Normal 6 4 2 2 9" xfId="15505" xr:uid="{00000000-0005-0000-0000-0000903C0000}"/>
    <cellStyle name="Normal 6 4 2 3" xfId="15506" xr:uid="{00000000-0005-0000-0000-0000913C0000}"/>
    <cellStyle name="Normal 6 4 2 3 2" xfId="15507" xr:uid="{00000000-0005-0000-0000-0000923C0000}"/>
    <cellStyle name="Normal 6 4 2 3 2 2" xfId="15508" xr:uid="{00000000-0005-0000-0000-0000933C0000}"/>
    <cellStyle name="Normal 6 4 2 3 2 2 2" xfId="15509" xr:uid="{00000000-0005-0000-0000-0000943C0000}"/>
    <cellStyle name="Normal 6 4 2 3 2 2 3" xfId="15510" xr:uid="{00000000-0005-0000-0000-0000953C0000}"/>
    <cellStyle name="Normal 6 4 2 3 2 3" xfId="15511" xr:uid="{00000000-0005-0000-0000-0000963C0000}"/>
    <cellStyle name="Normal 6 4 2 3 2 3 2" xfId="15512" xr:uid="{00000000-0005-0000-0000-0000973C0000}"/>
    <cellStyle name="Normal 6 4 2 3 2 3 3" xfId="15513" xr:uid="{00000000-0005-0000-0000-0000983C0000}"/>
    <cellStyle name="Normal 6 4 2 3 2 4" xfId="15514" xr:uid="{00000000-0005-0000-0000-0000993C0000}"/>
    <cellStyle name="Normal 6 4 2 3 2 5" xfId="15515" xr:uid="{00000000-0005-0000-0000-00009A3C0000}"/>
    <cellStyle name="Normal 6 4 2 3 3" xfId="15516" xr:uid="{00000000-0005-0000-0000-00009B3C0000}"/>
    <cellStyle name="Normal 6 4 2 3 3 2" xfId="15517" xr:uid="{00000000-0005-0000-0000-00009C3C0000}"/>
    <cellStyle name="Normal 6 4 2 3 3 2 2" xfId="15518" xr:uid="{00000000-0005-0000-0000-00009D3C0000}"/>
    <cellStyle name="Normal 6 4 2 3 3 2 3" xfId="15519" xr:uid="{00000000-0005-0000-0000-00009E3C0000}"/>
    <cellStyle name="Normal 6 4 2 3 3 3" xfId="15520" xr:uid="{00000000-0005-0000-0000-00009F3C0000}"/>
    <cellStyle name="Normal 6 4 2 3 3 3 2" xfId="15521" xr:uid="{00000000-0005-0000-0000-0000A03C0000}"/>
    <cellStyle name="Normal 6 4 2 3 3 3 3" xfId="15522" xr:uid="{00000000-0005-0000-0000-0000A13C0000}"/>
    <cellStyle name="Normal 6 4 2 3 3 4" xfId="15523" xr:uid="{00000000-0005-0000-0000-0000A23C0000}"/>
    <cellStyle name="Normal 6 4 2 3 3 5" xfId="15524" xr:uid="{00000000-0005-0000-0000-0000A33C0000}"/>
    <cellStyle name="Normal 6 4 2 3 4" xfId="15525" xr:uid="{00000000-0005-0000-0000-0000A43C0000}"/>
    <cellStyle name="Normal 6 4 2 3 4 2" xfId="15526" xr:uid="{00000000-0005-0000-0000-0000A53C0000}"/>
    <cellStyle name="Normal 6 4 2 3 4 3" xfId="15527" xr:uid="{00000000-0005-0000-0000-0000A63C0000}"/>
    <cellStyle name="Normal 6 4 2 3 5" xfId="15528" xr:uid="{00000000-0005-0000-0000-0000A73C0000}"/>
    <cellStyle name="Normal 6 4 2 3 5 2" xfId="15529" xr:uid="{00000000-0005-0000-0000-0000A83C0000}"/>
    <cellStyle name="Normal 6 4 2 3 5 3" xfId="15530" xr:uid="{00000000-0005-0000-0000-0000A93C0000}"/>
    <cellStyle name="Normal 6 4 2 3 6" xfId="15531" xr:uid="{00000000-0005-0000-0000-0000AA3C0000}"/>
    <cellStyle name="Normal 6 4 2 3 7" xfId="15532" xr:uid="{00000000-0005-0000-0000-0000AB3C0000}"/>
    <cellStyle name="Normal 6 4 2 4" xfId="15533" xr:uid="{00000000-0005-0000-0000-0000AC3C0000}"/>
    <cellStyle name="Normal 6 4 2 4 2" xfId="15534" xr:uid="{00000000-0005-0000-0000-0000AD3C0000}"/>
    <cellStyle name="Normal 6 4 2 4 2 2" xfId="15535" xr:uid="{00000000-0005-0000-0000-0000AE3C0000}"/>
    <cellStyle name="Normal 6 4 2 4 2 2 2" xfId="15536" xr:uid="{00000000-0005-0000-0000-0000AF3C0000}"/>
    <cellStyle name="Normal 6 4 2 4 2 2 3" xfId="15537" xr:uid="{00000000-0005-0000-0000-0000B03C0000}"/>
    <cellStyle name="Normal 6 4 2 4 2 3" xfId="15538" xr:uid="{00000000-0005-0000-0000-0000B13C0000}"/>
    <cellStyle name="Normal 6 4 2 4 2 3 2" xfId="15539" xr:uid="{00000000-0005-0000-0000-0000B23C0000}"/>
    <cellStyle name="Normal 6 4 2 4 2 3 3" xfId="15540" xr:uid="{00000000-0005-0000-0000-0000B33C0000}"/>
    <cellStyle name="Normal 6 4 2 4 2 4" xfId="15541" xr:uid="{00000000-0005-0000-0000-0000B43C0000}"/>
    <cellStyle name="Normal 6 4 2 4 2 5" xfId="15542" xr:uid="{00000000-0005-0000-0000-0000B53C0000}"/>
    <cellStyle name="Normal 6 4 2 4 3" xfId="15543" xr:uid="{00000000-0005-0000-0000-0000B63C0000}"/>
    <cellStyle name="Normal 6 4 2 4 3 2" xfId="15544" xr:uid="{00000000-0005-0000-0000-0000B73C0000}"/>
    <cellStyle name="Normal 6 4 2 4 3 2 2" xfId="15545" xr:uid="{00000000-0005-0000-0000-0000B83C0000}"/>
    <cellStyle name="Normal 6 4 2 4 3 2 3" xfId="15546" xr:uid="{00000000-0005-0000-0000-0000B93C0000}"/>
    <cellStyle name="Normal 6 4 2 4 3 3" xfId="15547" xr:uid="{00000000-0005-0000-0000-0000BA3C0000}"/>
    <cellStyle name="Normal 6 4 2 4 3 4" xfId="15548" xr:uid="{00000000-0005-0000-0000-0000BB3C0000}"/>
    <cellStyle name="Normal 6 4 2 4 4" xfId="15549" xr:uid="{00000000-0005-0000-0000-0000BC3C0000}"/>
    <cellStyle name="Normal 6 4 2 4 4 2" xfId="15550" xr:uid="{00000000-0005-0000-0000-0000BD3C0000}"/>
    <cellStyle name="Normal 6 4 2 4 4 3" xfId="15551" xr:uid="{00000000-0005-0000-0000-0000BE3C0000}"/>
    <cellStyle name="Normal 6 4 2 4 5" xfId="15552" xr:uid="{00000000-0005-0000-0000-0000BF3C0000}"/>
    <cellStyle name="Normal 6 4 2 4 5 2" xfId="15553" xr:uid="{00000000-0005-0000-0000-0000C03C0000}"/>
    <cellStyle name="Normal 6 4 2 4 5 3" xfId="15554" xr:uid="{00000000-0005-0000-0000-0000C13C0000}"/>
    <cellStyle name="Normal 6 4 2 4 6" xfId="15555" xr:uid="{00000000-0005-0000-0000-0000C23C0000}"/>
    <cellStyle name="Normal 6 4 2 4 7" xfId="15556" xr:uid="{00000000-0005-0000-0000-0000C33C0000}"/>
    <cellStyle name="Normal 6 4 2 5" xfId="15557" xr:uid="{00000000-0005-0000-0000-0000C43C0000}"/>
    <cellStyle name="Normal 6 4 2 5 2" xfId="15558" xr:uid="{00000000-0005-0000-0000-0000C53C0000}"/>
    <cellStyle name="Normal 6 4 2 5 2 2" xfId="15559" xr:uid="{00000000-0005-0000-0000-0000C63C0000}"/>
    <cellStyle name="Normal 6 4 2 5 2 3" xfId="15560" xr:uid="{00000000-0005-0000-0000-0000C73C0000}"/>
    <cellStyle name="Normal 6 4 2 5 3" xfId="15561" xr:uid="{00000000-0005-0000-0000-0000C83C0000}"/>
    <cellStyle name="Normal 6 4 2 5 3 2" xfId="15562" xr:uid="{00000000-0005-0000-0000-0000C93C0000}"/>
    <cellStyle name="Normal 6 4 2 5 3 3" xfId="15563" xr:uid="{00000000-0005-0000-0000-0000CA3C0000}"/>
    <cellStyle name="Normal 6 4 2 5 4" xfId="15564" xr:uid="{00000000-0005-0000-0000-0000CB3C0000}"/>
    <cellStyle name="Normal 6 4 2 5 5" xfId="15565" xr:uid="{00000000-0005-0000-0000-0000CC3C0000}"/>
    <cellStyle name="Normal 6 4 2 6" xfId="15566" xr:uid="{00000000-0005-0000-0000-0000CD3C0000}"/>
    <cellStyle name="Normal 6 4 2 6 2" xfId="15567" xr:uid="{00000000-0005-0000-0000-0000CE3C0000}"/>
    <cellStyle name="Normal 6 4 2 6 2 2" xfId="15568" xr:uid="{00000000-0005-0000-0000-0000CF3C0000}"/>
    <cellStyle name="Normal 6 4 2 6 2 3" xfId="15569" xr:uid="{00000000-0005-0000-0000-0000D03C0000}"/>
    <cellStyle name="Normal 6 4 2 6 3" xfId="15570" xr:uid="{00000000-0005-0000-0000-0000D13C0000}"/>
    <cellStyle name="Normal 6 4 2 6 3 2" xfId="15571" xr:uid="{00000000-0005-0000-0000-0000D23C0000}"/>
    <cellStyle name="Normal 6 4 2 6 3 3" xfId="15572" xr:uid="{00000000-0005-0000-0000-0000D33C0000}"/>
    <cellStyle name="Normal 6 4 2 6 4" xfId="15573" xr:uid="{00000000-0005-0000-0000-0000D43C0000}"/>
    <cellStyle name="Normal 6 4 2 6 5" xfId="15574" xr:uid="{00000000-0005-0000-0000-0000D53C0000}"/>
    <cellStyle name="Normal 6 4 2 7" xfId="15575" xr:uid="{00000000-0005-0000-0000-0000D63C0000}"/>
    <cellStyle name="Normal 6 4 2 7 2" xfId="15576" xr:uid="{00000000-0005-0000-0000-0000D73C0000}"/>
    <cellStyle name="Normal 6 4 2 7 2 2" xfId="15577" xr:uid="{00000000-0005-0000-0000-0000D83C0000}"/>
    <cellStyle name="Normal 6 4 2 7 2 3" xfId="15578" xr:uid="{00000000-0005-0000-0000-0000D93C0000}"/>
    <cellStyle name="Normal 6 4 2 7 3" xfId="15579" xr:uid="{00000000-0005-0000-0000-0000DA3C0000}"/>
    <cellStyle name="Normal 6 4 2 7 4" xfId="15580" xr:uid="{00000000-0005-0000-0000-0000DB3C0000}"/>
    <cellStyle name="Normal 6 4 2 8" xfId="15581" xr:uid="{00000000-0005-0000-0000-0000DC3C0000}"/>
    <cellStyle name="Normal 6 4 2 8 2" xfId="15582" xr:uid="{00000000-0005-0000-0000-0000DD3C0000}"/>
    <cellStyle name="Normal 6 4 2 8 3" xfId="15583" xr:uid="{00000000-0005-0000-0000-0000DE3C0000}"/>
    <cellStyle name="Normal 6 4 2 9" xfId="15584" xr:uid="{00000000-0005-0000-0000-0000DF3C0000}"/>
    <cellStyle name="Normal 6 4 2 9 2" xfId="15585" xr:uid="{00000000-0005-0000-0000-0000E03C0000}"/>
    <cellStyle name="Normal 6 4 2 9 3" xfId="15586" xr:uid="{00000000-0005-0000-0000-0000E13C0000}"/>
    <cellStyle name="Normal 6 4 3" xfId="15587" xr:uid="{00000000-0005-0000-0000-0000E23C0000}"/>
    <cellStyle name="Normal 6 4 3 2" xfId="15588" xr:uid="{00000000-0005-0000-0000-0000E33C0000}"/>
    <cellStyle name="Normal 6 4 3 2 2" xfId="15589" xr:uid="{00000000-0005-0000-0000-0000E43C0000}"/>
    <cellStyle name="Normal 6 4 3 2 2 2" xfId="15590" xr:uid="{00000000-0005-0000-0000-0000E53C0000}"/>
    <cellStyle name="Normal 6 4 3 2 2 2 2" xfId="15591" xr:uid="{00000000-0005-0000-0000-0000E63C0000}"/>
    <cellStyle name="Normal 6 4 3 2 2 2 3" xfId="15592" xr:uid="{00000000-0005-0000-0000-0000E73C0000}"/>
    <cellStyle name="Normal 6 4 3 2 2 3" xfId="15593" xr:uid="{00000000-0005-0000-0000-0000E83C0000}"/>
    <cellStyle name="Normal 6 4 3 2 2 3 2" xfId="15594" xr:uid="{00000000-0005-0000-0000-0000E93C0000}"/>
    <cellStyle name="Normal 6 4 3 2 2 3 3" xfId="15595" xr:uid="{00000000-0005-0000-0000-0000EA3C0000}"/>
    <cellStyle name="Normal 6 4 3 2 2 4" xfId="15596" xr:uid="{00000000-0005-0000-0000-0000EB3C0000}"/>
    <cellStyle name="Normal 6 4 3 2 2 5" xfId="15597" xr:uid="{00000000-0005-0000-0000-0000EC3C0000}"/>
    <cellStyle name="Normal 6 4 3 2 3" xfId="15598" xr:uid="{00000000-0005-0000-0000-0000ED3C0000}"/>
    <cellStyle name="Normal 6 4 3 2 3 2" xfId="15599" xr:uid="{00000000-0005-0000-0000-0000EE3C0000}"/>
    <cellStyle name="Normal 6 4 3 2 3 2 2" xfId="15600" xr:uid="{00000000-0005-0000-0000-0000EF3C0000}"/>
    <cellStyle name="Normal 6 4 3 2 3 2 3" xfId="15601" xr:uid="{00000000-0005-0000-0000-0000F03C0000}"/>
    <cellStyle name="Normal 6 4 3 2 3 3" xfId="15602" xr:uid="{00000000-0005-0000-0000-0000F13C0000}"/>
    <cellStyle name="Normal 6 4 3 2 3 3 2" xfId="15603" xr:uid="{00000000-0005-0000-0000-0000F23C0000}"/>
    <cellStyle name="Normal 6 4 3 2 3 3 3" xfId="15604" xr:uid="{00000000-0005-0000-0000-0000F33C0000}"/>
    <cellStyle name="Normal 6 4 3 2 3 4" xfId="15605" xr:uid="{00000000-0005-0000-0000-0000F43C0000}"/>
    <cellStyle name="Normal 6 4 3 2 3 5" xfId="15606" xr:uid="{00000000-0005-0000-0000-0000F53C0000}"/>
    <cellStyle name="Normal 6 4 3 2 4" xfId="15607" xr:uid="{00000000-0005-0000-0000-0000F63C0000}"/>
    <cellStyle name="Normal 6 4 3 2 4 2" xfId="15608" xr:uid="{00000000-0005-0000-0000-0000F73C0000}"/>
    <cellStyle name="Normal 6 4 3 2 4 3" xfId="15609" xr:uid="{00000000-0005-0000-0000-0000F83C0000}"/>
    <cellStyle name="Normal 6 4 3 2 5" xfId="15610" xr:uid="{00000000-0005-0000-0000-0000F93C0000}"/>
    <cellStyle name="Normal 6 4 3 2 5 2" xfId="15611" xr:uid="{00000000-0005-0000-0000-0000FA3C0000}"/>
    <cellStyle name="Normal 6 4 3 2 5 3" xfId="15612" xr:uid="{00000000-0005-0000-0000-0000FB3C0000}"/>
    <cellStyle name="Normal 6 4 3 2 6" xfId="15613" xr:uid="{00000000-0005-0000-0000-0000FC3C0000}"/>
    <cellStyle name="Normal 6 4 3 2 7" xfId="15614" xr:uid="{00000000-0005-0000-0000-0000FD3C0000}"/>
    <cellStyle name="Normal 6 4 3 3" xfId="15615" xr:uid="{00000000-0005-0000-0000-0000FE3C0000}"/>
    <cellStyle name="Normal 6 4 3 3 2" xfId="15616" xr:uid="{00000000-0005-0000-0000-0000FF3C0000}"/>
    <cellStyle name="Normal 6 4 3 3 2 2" xfId="15617" xr:uid="{00000000-0005-0000-0000-0000003D0000}"/>
    <cellStyle name="Normal 6 4 3 3 2 3" xfId="15618" xr:uid="{00000000-0005-0000-0000-0000013D0000}"/>
    <cellStyle name="Normal 6 4 3 3 3" xfId="15619" xr:uid="{00000000-0005-0000-0000-0000023D0000}"/>
    <cellStyle name="Normal 6 4 3 3 3 2" xfId="15620" xr:uid="{00000000-0005-0000-0000-0000033D0000}"/>
    <cellStyle name="Normal 6 4 3 3 3 3" xfId="15621" xr:uid="{00000000-0005-0000-0000-0000043D0000}"/>
    <cellStyle name="Normal 6 4 3 3 4" xfId="15622" xr:uid="{00000000-0005-0000-0000-0000053D0000}"/>
    <cellStyle name="Normal 6 4 3 3 5" xfId="15623" xr:uid="{00000000-0005-0000-0000-0000063D0000}"/>
    <cellStyle name="Normal 6 4 3 4" xfId="15624" xr:uid="{00000000-0005-0000-0000-0000073D0000}"/>
    <cellStyle name="Normal 6 4 3 4 2" xfId="15625" xr:uid="{00000000-0005-0000-0000-0000083D0000}"/>
    <cellStyle name="Normal 6 4 3 4 2 2" xfId="15626" xr:uid="{00000000-0005-0000-0000-0000093D0000}"/>
    <cellStyle name="Normal 6 4 3 4 2 3" xfId="15627" xr:uid="{00000000-0005-0000-0000-00000A3D0000}"/>
    <cellStyle name="Normal 6 4 3 4 3" xfId="15628" xr:uid="{00000000-0005-0000-0000-00000B3D0000}"/>
    <cellStyle name="Normal 6 4 3 4 3 2" xfId="15629" xr:uid="{00000000-0005-0000-0000-00000C3D0000}"/>
    <cellStyle name="Normal 6 4 3 4 3 3" xfId="15630" xr:uid="{00000000-0005-0000-0000-00000D3D0000}"/>
    <cellStyle name="Normal 6 4 3 4 4" xfId="15631" xr:uid="{00000000-0005-0000-0000-00000E3D0000}"/>
    <cellStyle name="Normal 6 4 3 4 5" xfId="15632" xr:uid="{00000000-0005-0000-0000-00000F3D0000}"/>
    <cellStyle name="Normal 6 4 3 5" xfId="15633" xr:uid="{00000000-0005-0000-0000-0000103D0000}"/>
    <cellStyle name="Normal 6 4 3 5 2" xfId="15634" xr:uid="{00000000-0005-0000-0000-0000113D0000}"/>
    <cellStyle name="Normal 6 4 3 5 3" xfId="15635" xr:uid="{00000000-0005-0000-0000-0000123D0000}"/>
    <cellStyle name="Normal 6 4 3 6" xfId="15636" xr:uid="{00000000-0005-0000-0000-0000133D0000}"/>
    <cellStyle name="Normal 6 4 3 6 2" xfId="15637" xr:uid="{00000000-0005-0000-0000-0000143D0000}"/>
    <cellStyle name="Normal 6 4 3 6 3" xfId="15638" xr:uid="{00000000-0005-0000-0000-0000153D0000}"/>
    <cellStyle name="Normal 6 4 3 7" xfId="15639" xr:uid="{00000000-0005-0000-0000-0000163D0000}"/>
    <cellStyle name="Normal 6 4 3 7 2" xfId="15640" xr:uid="{00000000-0005-0000-0000-0000173D0000}"/>
    <cellStyle name="Normal 6 4 3 7 3" xfId="15641" xr:uid="{00000000-0005-0000-0000-0000183D0000}"/>
    <cellStyle name="Normal 6 4 3 7 3 2" xfId="15642" xr:uid="{00000000-0005-0000-0000-0000193D0000}"/>
    <cellStyle name="Normal 6 4 3 7 4" xfId="15643" xr:uid="{00000000-0005-0000-0000-00001A3D0000}"/>
    <cellStyle name="Normal 6 4 3 8" xfId="15644" xr:uid="{00000000-0005-0000-0000-00001B3D0000}"/>
    <cellStyle name="Normal 6 4 3 9" xfId="15645" xr:uid="{00000000-0005-0000-0000-00001C3D0000}"/>
    <cellStyle name="Normal 6 4 4" xfId="15646" xr:uid="{00000000-0005-0000-0000-00001D3D0000}"/>
    <cellStyle name="Normal 6 4 4 2" xfId="15647" xr:uid="{00000000-0005-0000-0000-00001E3D0000}"/>
    <cellStyle name="Normal 6 4 4 2 2" xfId="15648" xr:uid="{00000000-0005-0000-0000-00001F3D0000}"/>
    <cellStyle name="Normal 6 4 4 2 2 2" xfId="15649" xr:uid="{00000000-0005-0000-0000-0000203D0000}"/>
    <cellStyle name="Normal 6 4 4 2 2 3" xfId="15650" xr:uid="{00000000-0005-0000-0000-0000213D0000}"/>
    <cellStyle name="Normal 6 4 4 2 3" xfId="15651" xr:uid="{00000000-0005-0000-0000-0000223D0000}"/>
    <cellStyle name="Normal 6 4 4 2 3 2" xfId="15652" xr:uid="{00000000-0005-0000-0000-0000233D0000}"/>
    <cellStyle name="Normal 6 4 4 2 3 3" xfId="15653" xr:uid="{00000000-0005-0000-0000-0000243D0000}"/>
    <cellStyle name="Normal 6 4 4 2 4" xfId="15654" xr:uid="{00000000-0005-0000-0000-0000253D0000}"/>
    <cellStyle name="Normal 6 4 4 2 5" xfId="15655" xr:uid="{00000000-0005-0000-0000-0000263D0000}"/>
    <cellStyle name="Normal 6 4 4 3" xfId="15656" xr:uid="{00000000-0005-0000-0000-0000273D0000}"/>
    <cellStyle name="Normal 6 4 4 3 2" xfId="15657" xr:uid="{00000000-0005-0000-0000-0000283D0000}"/>
    <cellStyle name="Normal 6 4 4 3 2 2" xfId="15658" xr:uid="{00000000-0005-0000-0000-0000293D0000}"/>
    <cellStyle name="Normal 6 4 4 3 2 3" xfId="15659" xr:uid="{00000000-0005-0000-0000-00002A3D0000}"/>
    <cellStyle name="Normal 6 4 4 3 3" xfId="15660" xr:uid="{00000000-0005-0000-0000-00002B3D0000}"/>
    <cellStyle name="Normal 6 4 4 3 3 2" xfId="15661" xr:uid="{00000000-0005-0000-0000-00002C3D0000}"/>
    <cellStyle name="Normal 6 4 4 3 3 3" xfId="15662" xr:uid="{00000000-0005-0000-0000-00002D3D0000}"/>
    <cellStyle name="Normal 6 4 4 3 4" xfId="15663" xr:uid="{00000000-0005-0000-0000-00002E3D0000}"/>
    <cellStyle name="Normal 6 4 4 3 5" xfId="15664" xr:uid="{00000000-0005-0000-0000-00002F3D0000}"/>
    <cellStyle name="Normal 6 4 4 4" xfId="15665" xr:uid="{00000000-0005-0000-0000-0000303D0000}"/>
    <cellStyle name="Normal 6 4 4 4 2" xfId="15666" xr:uid="{00000000-0005-0000-0000-0000313D0000}"/>
    <cellStyle name="Normal 6 4 4 4 3" xfId="15667" xr:uid="{00000000-0005-0000-0000-0000323D0000}"/>
    <cellStyle name="Normal 6 4 4 5" xfId="15668" xr:uid="{00000000-0005-0000-0000-0000333D0000}"/>
    <cellStyle name="Normal 6 4 4 5 2" xfId="15669" xr:uid="{00000000-0005-0000-0000-0000343D0000}"/>
    <cellStyle name="Normal 6 4 4 5 3" xfId="15670" xr:uid="{00000000-0005-0000-0000-0000353D0000}"/>
    <cellStyle name="Normal 6 4 4 6" xfId="15671" xr:uid="{00000000-0005-0000-0000-0000363D0000}"/>
    <cellStyle name="Normal 6 4 4 7" xfId="15672" xr:uid="{00000000-0005-0000-0000-0000373D0000}"/>
    <cellStyle name="Normal 6 4 5" xfId="15673" xr:uid="{00000000-0005-0000-0000-0000383D0000}"/>
    <cellStyle name="Normal 6 4 5 2" xfId="15674" xr:uid="{00000000-0005-0000-0000-0000393D0000}"/>
    <cellStyle name="Normal 6 4 5 2 2" xfId="15675" xr:uid="{00000000-0005-0000-0000-00003A3D0000}"/>
    <cellStyle name="Normal 6 4 5 2 2 2" xfId="15676" xr:uid="{00000000-0005-0000-0000-00003B3D0000}"/>
    <cellStyle name="Normal 6 4 5 2 2 3" xfId="15677" xr:uid="{00000000-0005-0000-0000-00003C3D0000}"/>
    <cellStyle name="Normal 6 4 5 2 3" xfId="15678" xr:uid="{00000000-0005-0000-0000-00003D3D0000}"/>
    <cellStyle name="Normal 6 4 5 2 3 2" xfId="15679" xr:uid="{00000000-0005-0000-0000-00003E3D0000}"/>
    <cellStyle name="Normal 6 4 5 2 3 3" xfId="15680" xr:uid="{00000000-0005-0000-0000-00003F3D0000}"/>
    <cellStyle name="Normal 6 4 5 2 4" xfId="15681" xr:uid="{00000000-0005-0000-0000-0000403D0000}"/>
    <cellStyle name="Normal 6 4 5 2 5" xfId="15682" xr:uid="{00000000-0005-0000-0000-0000413D0000}"/>
    <cellStyle name="Normal 6 4 5 3" xfId="15683" xr:uid="{00000000-0005-0000-0000-0000423D0000}"/>
    <cellStyle name="Normal 6 4 5 3 2" xfId="15684" xr:uid="{00000000-0005-0000-0000-0000433D0000}"/>
    <cellStyle name="Normal 6 4 5 3 2 2" xfId="15685" xr:uid="{00000000-0005-0000-0000-0000443D0000}"/>
    <cellStyle name="Normal 6 4 5 3 2 3" xfId="15686" xr:uid="{00000000-0005-0000-0000-0000453D0000}"/>
    <cellStyle name="Normal 6 4 5 3 3" xfId="15687" xr:uid="{00000000-0005-0000-0000-0000463D0000}"/>
    <cellStyle name="Normal 6 4 5 3 4" xfId="15688" xr:uid="{00000000-0005-0000-0000-0000473D0000}"/>
    <cellStyle name="Normal 6 4 5 4" xfId="15689" xr:uid="{00000000-0005-0000-0000-0000483D0000}"/>
    <cellStyle name="Normal 6 4 5 4 2" xfId="15690" xr:uid="{00000000-0005-0000-0000-0000493D0000}"/>
    <cellStyle name="Normal 6 4 5 4 3" xfId="15691" xr:uid="{00000000-0005-0000-0000-00004A3D0000}"/>
    <cellStyle name="Normal 6 4 5 5" xfId="15692" xr:uid="{00000000-0005-0000-0000-00004B3D0000}"/>
    <cellStyle name="Normal 6 4 5 5 2" xfId="15693" xr:uid="{00000000-0005-0000-0000-00004C3D0000}"/>
    <cellStyle name="Normal 6 4 5 5 3" xfId="15694" xr:uid="{00000000-0005-0000-0000-00004D3D0000}"/>
    <cellStyle name="Normal 6 4 5 6" xfId="15695" xr:uid="{00000000-0005-0000-0000-00004E3D0000}"/>
    <cellStyle name="Normal 6 4 5 7" xfId="15696" xr:uid="{00000000-0005-0000-0000-00004F3D0000}"/>
    <cellStyle name="Normal 6 4 6" xfId="15697" xr:uid="{00000000-0005-0000-0000-0000503D0000}"/>
    <cellStyle name="Normal 6 4 6 2" xfId="15698" xr:uid="{00000000-0005-0000-0000-0000513D0000}"/>
    <cellStyle name="Normal 6 4 6 2 2" xfId="15699" xr:uid="{00000000-0005-0000-0000-0000523D0000}"/>
    <cellStyle name="Normal 6 4 6 2 3" xfId="15700" xr:uid="{00000000-0005-0000-0000-0000533D0000}"/>
    <cellStyle name="Normal 6 4 6 3" xfId="15701" xr:uid="{00000000-0005-0000-0000-0000543D0000}"/>
    <cellStyle name="Normal 6 4 6 3 2" xfId="15702" xr:uid="{00000000-0005-0000-0000-0000553D0000}"/>
    <cellStyle name="Normal 6 4 6 3 3" xfId="15703" xr:uid="{00000000-0005-0000-0000-0000563D0000}"/>
    <cellStyle name="Normal 6 4 6 4" xfId="15704" xr:uid="{00000000-0005-0000-0000-0000573D0000}"/>
    <cellStyle name="Normal 6 4 6 5" xfId="15705" xr:uid="{00000000-0005-0000-0000-0000583D0000}"/>
    <cellStyle name="Normal 6 4 7" xfId="15706" xr:uid="{00000000-0005-0000-0000-0000593D0000}"/>
    <cellStyle name="Normal 6 4 7 2" xfId="15707" xr:uid="{00000000-0005-0000-0000-00005A3D0000}"/>
    <cellStyle name="Normal 6 4 7 2 2" xfId="15708" xr:uid="{00000000-0005-0000-0000-00005B3D0000}"/>
    <cellStyle name="Normal 6 4 7 2 3" xfId="15709" xr:uid="{00000000-0005-0000-0000-00005C3D0000}"/>
    <cellStyle name="Normal 6 4 7 3" xfId="15710" xr:uid="{00000000-0005-0000-0000-00005D3D0000}"/>
    <cellStyle name="Normal 6 4 7 3 2" xfId="15711" xr:uid="{00000000-0005-0000-0000-00005E3D0000}"/>
    <cellStyle name="Normal 6 4 7 3 3" xfId="15712" xr:uid="{00000000-0005-0000-0000-00005F3D0000}"/>
    <cellStyle name="Normal 6 4 7 4" xfId="15713" xr:uid="{00000000-0005-0000-0000-0000603D0000}"/>
    <cellStyle name="Normal 6 4 7 5" xfId="15714" xr:uid="{00000000-0005-0000-0000-0000613D0000}"/>
    <cellStyle name="Normal 6 4 8" xfId="15715" xr:uid="{00000000-0005-0000-0000-0000623D0000}"/>
    <cellStyle name="Normal 6 4 8 2" xfId="15716" xr:uid="{00000000-0005-0000-0000-0000633D0000}"/>
    <cellStyle name="Normal 6 4 8 2 2" xfId="15717" xr:uid="{00000000-0005-0000-0000-0000643D0000}"/>
    <cellStyle name="Normal 6 4 8 2 3" xfId="15718" xr:uid="{00000000-0005-0000-0000-0000653D0000}"/>
    <cellStyle name="Normal 6 4 8 3" xfId="15719" xr:uid="{00000000-0005-0000-0000-0000663D0000}"/>
    <cellStyle name="Normal 6 4 8 4" xfId="15720" xr:uid="{00000000-0005-0000-0000-0000673D0000}"/>
    <cellStyle name="Normal 6 4 9" xfId="15721" xr:uid="{00000000-0005-0000-0000-0000683D0000}"/>
    <cellStyle name="Normal 6 4 9 2" xfId="15722" xr:uid="{00000000-0005-0000-0000-0000693D0000}"/>
    <cellStyle name="Normal 6 4 9 3" xfId="15723" xr:uid="{00000000-0005-0000-0000-00006A3D0000}"/>
    <cellStyle name="Normal 6 5" xfId="15724" xr:uid="{00000000-0005-0000-0000-00006B3D0000}"/>
    <cellStyle name="Normal 6 5 10" xfId="15725" xr:uid="{00000000-0005-0000-0000-00006C3D0000}"/>
    <cellStyle name="Normal 6 5 10 2" xfId="15726" xr:uid="{00000000-0005-0000-0000-00006D3D0000}"/>
    <cellStyle name="Normal 6 5 10 3" xfId="15727" xr:uid="{00000000-0005-0000-0000-00006E3D0000}"/>
    <cellStyle name="Normal 6 5 10 3 2" xfId="15728" xr:uid="{00000000-0005-0000-0000-00006F3D0000}"/>
    <cellStyle name="Normal 6 5 10 4" xfId="15729" xr:uid="{00000000-0005-0000-0000-0000703D0000}"/>
    <cellStyle name="Normal 6 5 11" xfId="15730" xr:uid="{00000000-0005-0000-0000-0000713D0000}"/>
    <cellStyle name="Normal 6 5 11 2" xfId="15731" xr:uid="{00000000-0005-0000-0000-0000723D0000}"/>
    <cellStyle name="Normal 6 5 11 2 2" xfId="15732" xr:uid="{00000000-0005-0000-0000-0000733D0000}"/>
    <cellStyle name="Normal 6 5 11 3" xfId="15733" xr:uid="{00000000-0005-0000-0000-0000743D0000}"/>
    <cellStyle name="Normal 6 5 12" xfId="15734" xr:uid="{00000000-0005-0000-0000-0000753D0000}"/>
    <cellStyle name="Normal 6 5 13" xfId="15735" xr:uid="{00000000-0005-0000-0000-0000763D0000}"/>
    <cellStyle name="Normal 6 5 2" xfId="15736" xr:uid="{00000000-0005-0000-0000-0000773D0000}"/>
    <cellStyle name="Normal 6 5 2 2" xfId="15737" xr:uid="{00000000-0005-0000-0000-0000783D0000}"/>
    <cellStyle name="Normal 6 5 2 2 2" xfId="15738" xr:uid="{00000000-0005-0000-0000-0000793D0000}"/>
    <cellStyle name="Normal 6 5 2 2 2 2" xfId="15739" xr:uid="{00000000-0005-0000-0000-00007A3D0000}"/>
    <cellStyle name="Normal 6 5 2 2 2 2 2" xfId="15740" xr:uid="{00000000-0005-0000-0000-00007B3D0000}"/>
    <cellStyle name="Normal 6 5 2 2 2 2 3" xfId="15741" xr:uid="{00000000-0005-0000-0000-00007C3D0000}"/>
    <cellStyle name="Normal 6 5 2 2 2 3" xfId="15742" xr:uid="{00000000-0005-0000-0000-00007D3D0000}"/>
    <cellStyle name="Normal 6 5 2 2 2 3 2" xfId="15743" xr:uid="{00000000-0005-0000-0000-00007E3D0000}"/>
    <cellStyle name="Normal 6 5 2 2 2 3 3" xfId="15744" xr:uid="{00000000-0005-0000-0000-00007F3D0000}"/>
    <cellStyle name="Normal 6 5 2 2 2 4" xfId="15745" xr:uid="{00000000-0005-0000-0000-0000803D0000}"/>
    <cellStyle name="Normal 6 5 2 2 2 5" xfId="15746" xr:uid="{00000000-0005-0000-0000-0000813D0000}"/>
    <cellStyle name="Normal 6 5 2 2 3" xfId="15747" xr:uid="{00000000-0005-0000-0000-0000823D0000}"/>
    <cellStyle name="Normal 6 5 2 2 3 2" xfId="15748" xr:uid="{00000000-0005-0000-0000-0000833D0000}"/>
    <cellStyle name="Normal 6 5 2 2 3 2 2" xfId="15749" xr:uid="{00000000-0005-0000-0000-0000843D0000}"/>
    <cellStyle name="Normal 6 5 2 2 3 2 3" xfId="15750" xr:uid="{00000000-0005-0000-0000-0000853D0000}"/>
    <cellStyle name="Normal 6 5 2 2 3 3" xfId="15751" xr:uid="{00000000-0005-0000-0000-0000863D0000}"/>
    <cellStyle name="Normal 6 5 2 2 3 3 2" xfId="15752" xr:uid="{00000000-0005-0000-0000-0000873D0000}"/>
    <cellStyle name="Normal 6 5 2 2 3 3 3" xfId="15753" xr:uid="{00000000-0005-0000-0000-0000883D0000}"/>
    <cellStyle name="Normal 6 5 2 2 3 4" xfId="15754" xr:uid="{00000000-0005-0000-0000-0000893D0000}"/>
    <cellStyle name="Normal 6 5 2 2 3 5" xfId="15755" xr:uid="{00000000-0005-0000-0000-00008A3D0000}"/>
    <cellStyle name="Normal 6 5 2 2 4" xfId="15756" xr:uid="{00000000-0005-0000-0000-00008B3D0000}"/>
    <cellStyle name="Normal 6 5 2 2 4 2" xfId="15757" xr:uid="{00000000-0005-0000-0000-00008C3D0000}"/>
    <cellStyle name="Normal 6 5 2 2 4 3" xfId="15758" xr:uid="{00000000-0005-0000-0000-00008D3D0000}"/>
    <cellStyle name="Normal 6 5 2 2 5" xfId="15759" xr:uid="{00000000-0005-0000-0000-00008E3D0000}"/>
    <cellStyle name="Normal 6 5 2 2 5 2" xfId="15760" xr:uid="{00000000-0005-0000-0000-00008F3D0000}"/>
    <cellStyle name="Normal 6 5 2 2 5 3" xfId="15761" xr:uid="{00000000-0005-0000-0000-0000903D0000}"/>
    <cellStyle name="Normal 6 5 2 2 6" xfId="15762" xr:uid="{00000000-0005-0000-0000-0000913D0000}"/>
    <cellStyle name="Normal 6 5 2 2 7" xfId="15763" xr:uid="{00000000-0005-0000-0000-0000923D0000}"/>
    <cellStyle name="Normal 6 5 2 3" xfId="15764" xr:uid="{00000000-0005-0000-0000-0000933D0000}"/>
    <cellStyle name="Normal 6 5 2 3 2" xfId="15765" xr:uid="{00000000-0005-0000-0000-0000943D0000}"/>
    <cellStyle name="Normal 6 5 2 3 2 2" xfId="15766" xr:uid="{00000000-0005-0000-0000-0000953D0000}"/>
    <cellStyle name="Normal 6 5 2 3 2 3" xfId="15767" xr:uid="{00000000-0005-0000-0000-0000963D0000}"/>
    <cellStyle name="Normal 6 5 2 3 3" xfId="15768" xr:uid="{00000000-0005-0000-0000-0000973D0000}"/>
    <cellStyle name="Normal 6 5 2 3 3 2" xfId="15769" xr:uid="{00000000-0005-0000-0000-0000983D0000}"/>
    <cellStyle name="Normal 6 5 2 3 3 3" xfId="15770" xr:uid="{00000000-0005-0000-0000-0000993D0000}"/>
    <cellStyle name="Normal 6 5 2 3 4" xfId="15771" xr:uid="{00000000-0005-0000-0000-00009A3D0000}"/>
    <cellStyle name="Normal 6 5 2 3 5" xfId="15772" xr:uid="{00000000-0005-0000-0000-00009B3D0000}"/>
    <cellStyle name="Normal 6 5 2 4" xfId="15773" xr:uid="{00000000-0005-0000-0000-00009C3D0000}"/>
    <cellStyle name="Normal 6 5 2 4 2" xfId="15774" xr:uid="{00000000-0005-0000-0000-00009D3D0000}"/>
    <cellStyle name="Normal 6 5 2 4 2 2" xfId="15775" xr:uid="{00000000-0005-0000-0000-00009E3D0000}"/>
    <cellStyle name="Normal 6 5 2 4 2 3" xfId="15776" xr:uid="{00000000-0005-0000-0000-00009F3D0000}"/>
    <cellStyle name="Normal 6 5 2 4 3" xfId="15777" xr:uid="{00000000-0005-0000-0000-0000A03D0000}"/>
    <cellStyle name="Normal 6 5 2 4 3 2" xfId="15778" xr:uid="{00000000-0005-0000-0000-0000A13D0000}"/>
    <cellStyle name="Normal 6 5 2 4 3 3" xfId="15779" xr:uid="{00000000-0005-0000-0000-0000A23D0000}"/>
    <cellStyle name="Normal 6 5 2 4 4" xfId="15780" xr:uid="{00000000-0005-0000-0000-0000A33D0000}"/>
    <cellStyle name="Normal 6 5 2 4 5" xfId="15781" xr:uid="{00000000-0005-0000-0000-0000A43D0000}"/>
    <cellStyle name="Normal 6 5 2 5" xfId="15782" xr:uid="{00000000-0005-0000-0000-0000A53D0000}"/>
    <cellStyle name="Normal 6 5 2 5 2" xfId="15783" xr:uid="{00000000-0005-0000-0000-0000A63D0000}"/>
    <cellStyle name="Normal 6 5 2 5 3" xfId="15784" xr:uid="{00000000-0005-0000-0000-0000A73D0000}"/>
    <cellStyle name="Normal 6 5 2 6" xfId="15785" xr:uid="{00000000-0005-0000-0000-0000A83D0000}"/>
    <cellStyle name="Normal 6 5 2 6 2" xfId="15786" xr:uid="{00000000-0005-0000-0000-0000A93D0000}"/>
    <cellStyle name="Normal 6 5 2 6 3" xfId="15787" xr:uid="{00000000-0005-0000-0000-0000AA3D0000}"/>
    <cellStyle name="Normal 6 5 2 7" xfId="15788" xr:uid="{00000000-0005-0000-0000-0000AB3D0000}"/>
    <cellStyle name="Normal 6 5 2 7 2" xfId="15789" xr:uid="{00000000-0005-0000-0000-0000AC3D0000}"/>
    <cellStyle name="Normal 6 5 2 7 3" xfId="15790" xr:uid="{00000000-0005-0000-0000-0000AD3D0000}"/>
    <cellStyle name="Normal 6 5 2 7 3 2" xfId="15791" xr:uid="{00000000-0005-0000-0000-0000AE3D0000}"/>
    <cellStyle name="Normal 6 5 2 7 4" xfId="15792" xr:uid="{00000000-0005-0000-0000-0000AF3D0000}"/>
    <cellStyle name="Normal 6 5 2 8" xfId="15793" xr:uid="{00000000-0005-0000-0000-0000B03D0000}"/>
    <cellStyle name="Normal 6 5 2 9" xfId="15794" xr:uid="{00000000-0005-0000-0000-0000B13D0000}"/>
    <cellStyle name="Normal 6 5 3" xfId="15795" xr:uid="{00000000-0005-0000-0000-0000B23D0000}"/>
    <cellStyle name="Normal 6 5 3 2" xfId="15796" xr:uid="{00000000-0005-0000-0000-0000B33D0000}"/>
    <cellStyle name="Normal 6 5 3 2 2" xfId="15797" xr:uid="{00000000-0005-0000-0000-0000B43D0000}"/>
    <cellStyle name="Normal 6 5 3 2 2 2" xfId="15798" xr:uid="{00000000-0005-0000-0000-0000B53D0000}"/>
    <cellStyle name="Normal 6 5 3 2 2 3" xfId="15799" xr:uid="{00000000-0005-0000-0000-0000B63D0000}"/>
    <cellStyle name="Normal 6 5 3 2 3" xfId="15800" xr:uid="{00000000-0005-0000-0000-0000B73D0000}"/>
    <cellStyle name="Normal 6 5 3 2 3 2" xfId="15801" xr:uid="{00000000-0005-0000-0000-0000B83D0000}"/>
    <cellStyle name="Normal 6 5 3 2 3 3" xfId="15802" xr:uid="{00000000-0005-0000-0000-0000B93D0000}"/>
    <cellStyle name="Normal 6 5 3 2 4" xfId="15803" xr:uid="{00000000-0005-0000-0000-0000BA3D0000}"/>
    <cellStyle name="Normal 6 5 3 2 5" xfId="15804" xr:uid="{00000000-0005-0000-0000-0000BB3D0000}"/>
    <cellStyle name="Normal 6 5 3 3" xfId="15805" xr:uid="{00000000-0005-0000-0000-0000BC3D0000}"/>
    <cellStyle name="Normal 6 5 3 3 2" xfId="15806" xr:uid="{00000000-0005-0000-0000-0000BD3D0000}"/>
    <cellStyle name="Normal 6 5 3 3 2 2" xfId="15807" xr:uid="{00000000-0005-0000-0000-0000BE3D0000}"/>
    <cellStyle name="Normal 6 5 3 3 2 3" xfId="15808" xr:uid="{00000000-0005-0000-0000-0000BF3D0000}"/>
    <cellStyle name="Normal 6 5 3 3 3" xfId="15809" xr:uid="{00000000-0005-0000-0000-0000C03D0000}"/>
    <cellStyle name="Normal 6 5 3 3 3 2" xfId="15810" xr:uid="{00000000-0005-0000-0000-0000C13D0000}"/>
    <cellStyle name="Normal 6 5 3 3 3 3" xfId="15811" xr:uid="{00000000-0005-0000-0000-0000C23D0000}"/>
    <cellStyle name="Normal 6 5 3 3 4" xfId="15812" xr:uid="{00000000-0005-0000-0000-0000C33D0000}"/>
    <cellStyle name="Normal 6 5 3 3 5" xfId="15813" xr:uid="{00000000-0005-0000-0000-0000C43D0000}"/>
    <cellStyle name="Normal 6 5 3 4" xfId="15814" xr:uid="{00000000-0005-0000-0000-0000C53D0000}"/>
    <cellStyle name="Normal 6 5 3 4 2" xfId="15815" xr:uid="{00000000-0005-0000-0000-0000C63D0000}"/>
    <cellStyle name="Normal 6 5 3 4 3" xfId="15816" xr:uid="{00000000-0005-0000-0000-0000C73D0000}"/>
    <cellStyle name="Normal 6 5 3 5" xfId="15817" xr:uid="{00000000-0005-0000-0000-0000C83D0000}"/>
    <cellStyle name="Normal 6 5 3 5 2" xfId="15818" xr:uid="{00000000-0005-0000-0000-0000C93D0000}"/>
    <cellStyle name="Normal 6 5 3 5 3" xfId="15819" xr:uid="{00000000-0005-0000-0000-0000CA3D0000}"/>
    <cellStyle name="Normal 6 5 3 6" xfId="15820" xr:uid="{00000000-0005-0000-0000-0000CB3D0000}"/>
    <cellStyle name="Normal 6 5 3 7" xfId="15821" xr:uid="{00000000-0005-0000-0000-0000CC3D0000}"/>
    <cellStyle name="Normal 6 5 4" xfId="15822" xr:uid="{00000000-0005-0000-0000-0000CD3D0000}"/>
    <cellStyle name="Normal 6 5 4 2" xfId="15823" xr:uid="{00000000-0005-0000-0000-0000CE3D0000}"/>
    <cellStyle name="Normal 6 5 4 2 2" xfId="15824" xr:uid="{00000000-0005-0000-0000-0000CF3D0000}"/>
    <cellStyle name="Normal 6 5 4 2 2 2" xfId="15825" xr:uid="{00000000-0005-0000-0000-0000D03D0000}"/>
    <cellStyle name="Normal 6 5 4 2 2 3" xfId="15826" xr:uid="{00000000-0005-0000-0000-0000D13D0000}"/>
    <cellStyle name="Normal 6 5 4 2 3" xfId="15827" xr:uid="{00000000-0005-0000-0000-0000D23D0000}"/>
    <cellStyle name="Normal 6 5 4 2 3 2" xfId="15828" xr:uid="{00000000-0005-0000-0000-0000D33D0000}"/>
    <cellStyle name="Normal 6 5 4 2 3 3" xfId="15829" xr:uid="{00000000-0005-0000-0000-0000D43D0000}"/>
    <cellStyle name="Normal 6 5 4 2 4" xfId="15830" xr:uid="{00000000-0005-0000-0000-0000D53D0000}"/>
    <cellStyle name="Normal 6 5 4 2 5" xfId="15831" xr:uid="{00000000-0005-0000-0000-0000D63D0000}"/>
    <cellStyle name="Normal 6 5 4 3" xfId="15832" xr:uid="{00000000-0005-0000-0000-0000D73D0000}"/>
    <cellStyle name="Normal 6 5 4 3 2" xfId="15833" xr:uid="{00000000-0005-0000-0000-0000D83D0000}"/>
    <cellStyle name="Normal 6 5 4 3 2 2" xfId="15834" xr:uid="{00000000-0005-0000-0000-0000D93D0000}"/>
    <cellStyle name="Normal 6 5 4 3 2 3" xfId="15835" xr:uid="{00000000-0005-0000-0000-0000DA3D0000}"/>
    <cellStyle name="Normal 6 5 4 3 3" xfId="15836" xr:uid="{00000000-0005-0000-0000-0000DB3D0000}"/>
    <cellStyle name="Normal 6 5 4 3 4" xfId="15837" xr:uid="{00000000-0005-0000-0000-0000DC3D0000}"/>
    <cellStyle name="Normal 6 5 4 4" xfId="15838" xr:uid="{00000000-0005-0000-0000-0000DD3D0000}"/>
    <cellStyle name="Normal 6 5 4 4 2" xfId="15839" xr:uid="{00000000-0005-0000-0000-0000DE3D0000}"/>
    <cellStyle name="Normal 6 5 4 4 3" xfId="15840" xr:uid="{00000000-0005-0000-0000-0000DF3D0000}"/>
    <cellStyle name="Normal 6 5 4 5" xfId="15841" xr:uid="{00000000-0005-0000-0000-0000E03D0000}"/>
    <cellStyle name="Normal 6 5 4 5 2" xfId="15842" xr:uid="{00000000-0005-0000-0000-0000E13D0000}"/>
    <cellStyle name="Normal 6 5 4 5 3" xfId="15843" xr:uid="{00000000-0005-0000-0000-0000E23D0000}"/>
    <cellStyle name="Normal 6 5 4 6" xfId="15844" xr:uid="{00000000-0005-0000-0000-0000E33D0000}"/>
    <cellStyle name="Normal 6 5 4 7" xfId="15845" xr:uid="{00000000-0005-0000-0000-0000E43D0000}"/>
    <cellStyle name="Normal 6 5 5" xfId="15846" xr:uid="{00000000-0005-0000-0000-0000E53D0000}"/>
    <cellStyle name="Normal 6 5 5 2" xfId="15847" xr:uid="{00000000-0005-0000-0000-0000E63D0000}"/>
    <cellStyle name="Normal 6 5 5 2 2" xfId="15848" xr:uid="{00000000-0005-0000-0000-0000E73D0000}"/>
    <cellStyle name="Normal 6 5 5 2 3" xfId="15849" xr:uid="{00000000-0005-0000-0000-0000E83D0000}"/>
    <cellStyle name="Normal 6 5 5 3" xfId="15850" xr:uid="{00000000-0005-0000-0000-0000E93D0000}"/>
    <cellStyle name="Normal 6 5 5 3 2" xfId="15851" xr:uid="{00000000-0005-0000-0000-0000EA3D0000}"/>
    <cellStyle name="Normal 6 5 5 3 3" xfId="15852" xr:uid="{00000000-0005-0000-0000-0000EB3D0000}"/>
    <cellStyle name="Normal 6 5 5 4" xfId="15853" xr:uid="{00000000-0005-0000-0000-0000EC3D0000}"/>
    <cellStyle name="Normal 6 5 5 5" xfId="15854" xr:uid="{00000000-0005-0000-0000-0000ED3D0000}"/>
    <cellStyle name="Normal 6 5 6" xfId="15855" xr:uid="{00000000-0005-0000-0000-0000EE3D0000}"/>
    <cellStyle name="Normal 6 5 6 2" xfId="15856" xr:uid="{00000000-0005-0000-0000-0000EF3D0000}"/>
    <cellStyle name="Normal 6 5 6 2 2" xfId="15857" xr:uid="{00000000-0005-0000-0000-0000F03D0000}"/>
    <cellStyle name="Normal 6 5 6 2 3" xfId="15858" xr:uid="{00000000-0005-0000-0000-0000F13D0000}"/>
    <cellStyle name="Normal 6 5 6 3" xfId="15859" xr:uid="{00000000-0005-0000-0000-0000F23D0000}"/>
    <cellStyle name="Normal 6 5 6 3 2" xfId="15860" xr:uid="{00000000-0005-0000-0000-0000F33D0000}"/>
    <cellStyle name="Normal 6 5 6 3 3" xfId="15861" xr:uid="{00000000-0005-0000-0000-0000F43D0000}"/>
    <cellStyle name="Normal 6 5 6 4" xfId="15862" xr:uid="{00000000-0005-0000-0000-0000F53D0000}"/>
    <cellStyle name="Normal 6 5 6 5" xfId="15863" xr:uid="{00000000-0005-0000-0000-0000F63D0000}"/>
    <cellStyle name="Normal 6 5 7" xfId="15864" xr:uid="{00000000-0005-0000-0000-0000F73D0000}"/>
    <cellStyle name="Normal 6 5 7 2" xfId="15865" xr:uid="{00000000-0005-0000-0000-0000F83D0000}"/>
    <cellStyle name="Normal 6 5 7 2 2" xfId="15866" xr:uid="{00000000-0005-0000-0000-0000F93D0000}"/>
    <cellStyle name="Normal 6 5 7 2 3" xfId="15867" xr:uid="{00000000-0005-0000-0000-0000FA3D0000}"/>
    <cellStyle name="Normal 6 5 7 3" xfId="15868" xr:uid="{00000000-0005-0000-0000-0000FB3D0000}"/>
    <cellStyle name="Normal 6 5 7 4" xfId="15869" xr:uid="{00000000-0005-0000-0000-0000FC3D0000}"/>
    <cellStyle name="Normal 6 5 8" xfId="15870" xr:uid="{00000000-0005-0000-0000-0000FD3D0000}"/>
    <cellStyle name="Normal 6 5 8 2" xfId="15871" xr:uid="{00000000-0005-0000-0000-0000FE3D0000}"/>
    <cellStyle name="Normal 6 5 8 3" xfId="15872" xr:uid="{00000000-0005-0000-0000-0000FF3D0000}"/>
    <cellStyle name="Normal 6 5 9" xfId="15873" xr:uid="{00000000-0005-0000-0000-0000003E0000}"/>
    <cellStyle name="Normal 6 5 9 2" xfId="15874" xr:uid="{00000000-0005-0000-0000-0000013E0000}"/>
    <cellStyle name="Normal 6 5 9 3" xfId="15875" xr:uid="{00000000-0005-0000-0000-0000023E0000}"/>
    <cellStyle name="Normal 6 6" xfId="15876" xr:uid="{00000000-0005-0000-0000-0000033E0000}"/>
    <cellStyle name="Normal 6 6 10" xfId="15877" xr:uid="{00000000-0005-0000-0000-0000043E0000}"/>
    <cellStyle name="Normal 6 6 10 2" xfId="15878" xr:uid="{00000000-0005-0000-0000-0000053E0000}"/>
    <cellStyle name="Normal 6 6 10 3" xfId="15879" xr:uid="{00000000-0005-0000-0000-0000063E0000}"/>
    <cellStyle name="Normal 6 6 10 3 2" xfId="15880" xr:uid="{00000000-0005-0000-0000-0000073E0000}"/>
    <cellStyle name="Normal 6 6 10 4" xfId="15881" xr:uid="{00000000-0005-0000-0000-0000083E0000}"/>
    <cellStyle name="Normal 6 6 11" xfId="15882" xr:uid="{00000000-0005-0000-0000-0000093E0000}"/>
    <cellStyle name="Normal 6 6 11 2" xfId="15883" xr:uid="{00000000-0005-0000-0000-00000A3E0000}"/>
    <cellStyle name="Normal 6 6 11 3" xfId="15884" xr:uid="{00000000-0005-0000-0000-00000B3E0000}"/>
    <cellStyle name="Normal 6 6 11 3 2" xfId="15885" xr:uid="{00000000-0005-0000-0000-00000C3E0000}"/>
    <cellStyle name="Normal 6 6 11 4" xfId="15886" xr:uid="{00000000-0005-0000-0000-00000D3E0000}"/>
    <cellStyle name="Normal 6 6 12" xfId="15887" xr:uid="{00000000-0005-0000-0000-00000E3E0000}"/>
    <cellStyle name="Normal 6 6 13" xfId="15888" xr:uid="{00000000-0005-0000-0000-00000F3E0000}"/>
    <cellStyle name="Normal 6 6 2" xfId="15889" xr:uid="{00000000-0005-0000-0000-0000103E0000}"/>
    <cellStyle name="Normal 6 6 2 2" xfId="15890" xr:uid="{00000000-0005-0000-0000-0000113E0000}"/>
    <cellStyle name="Normal 6 6 2 2 2" xfId="15891" xr:uid="{00000000-0005-0000-0000-0000123E0000}"/>
    <cellStyle name="Normal 6 6 2 2 2 2" xfId="15892" xr:uid="{00000000-0005-0000-0000-0000133E0000}"/>
    <cellStyle name="Normal 6 6 2 2 2 2 2" xfId="15893" xr:uid="{00000000-0005-0000-0000-0000143E0000}"/>
    <cellStyle name="Normal 6 6 2 2 2 2 3" xfId="15894" xr:uid="{00000000-0005-0000-0000-0000153E0000}"/>
    <cellStyle name="Normal 6 6 2 2 2 3" xfId="15895" xr:uid="{00000000-0005-0000-0000-0000163E0000}"/>
    <cellStyle name="Normal 6 6 2 2 2 3 2" xfId="15896" xr:uid="{00000000-0005-0000-0000-0000173E0000}"/>
    <cellStyle name="Normal 6 6 2 2 2 3 3" xfId="15897" xr:uid="{00000000-0005-0000-0000-0000183E0000}"/>
    <cellStyle name="Normal 6 6 2 2 2 4" xfId="15898" xr:uid="{00000000-0005-0000-0000-0000193E0000}"/>
    <cellStyle name="Normal 6 6 2 2 2 5" xfId="15899" xr:uid="{00000000-0005-0000-0000-00001A3E0000}"/>
    <cellStyle name="Normal 6 6 2 2 3" xfId="15900" xr:uid="{00000000-0005-0000-0000-00001B3E0000}"/>
    <cellStyle name="Normal 6 6 2 2 3 2" xfId="15901" xr:uid="{00000000-0005-0000-0000-00001C3E0000}"/>
    <cellStyle name="Normal 6 6 2 2 3 2 2" xfId="15902" xr:uid="{00000000-0005-0000-0000-00001D3E0000}"/>
    <cellStyle name="Normal 6 6 2 2 3 2 3" xfId="15903" xr:uid="{00000000-0005-0000-0000-00001E3E0000}"/>
    <cellStyle name="Normal 6 6 2 2 3 3" xfId="15904" xr:uid="{00000000-0005-0000-0000-00001F3E0000}"/>
    <cellStyle name="Normal 6 6 2 2 3 3 2" xfId="15905" xr:uid="{00000000-0005-0000-0000-0000203E0000}"/>
    <cellStyle name="Normal 6 6 2 2 3 3 3" xfId="15906" xr:uid="{00000000-0005-0000-0000-0000213E0000}"/>
    <cellStyle name="Normal 6 6 2 2 3 4" xfId="15907" xr:uid="{00000000-0005-0000-0000-0000223E0000}"/>
    <cellStyle name="Normal 6 6 2 2 3 5" xfId="15908" xr:uid="{00000000-0005-0000-0000-0000233E0000}"/>
    <cellStyle name="Normal 6 6 2 2 4" xfId="15909" xr:uid="{00000000-0005-0000-0000-0000243E0000}"/>
    <cellStyle name="Normal 6 6 2 2 4 2" xfId="15910" xr:uid="{00000000-0005-0000-0000-0000253E0000}"/>
    <cellStyle name="Normal 6 6 2 2 4 3" xfId="15911" xr:uid="{00000000-0005-0000-0000-0000263E0000}"/>
    <cellStyle name="Normal 6 6 2 2 5" xfId="15912" xr:uid="{00000000-0005-0000-0000-0000273E0000}"/>
    <cellStyle name="Normal 6 6 2 2 5 2" xfId="15913" xr:uid="{00000000-0005-0000-0000-0000283E0000}"/>
    <cellStyle name="Normal 6 6 2 2 5 3" xfId="15914" xr:uid="{00000000-0005-0000-0000-0000293E0000}"/>
    <cellStyle name="Normal 6 6 2 2 6" xfId="15915" xr:uid="{00000000-0005-0000-0000-00002A3E0000}"/>
    <cellStyle name="Normal 6 6 2 2 7" xfId="15916" xr:uid="{00000000-0005-0000-0000-00002B3E0000}"/>
    <cellStyle name="Normal 6 6 2 3" xfId="15917" xr:uid="{00000000-0005-0000-0000-00002C3E0000}"/>
    <cellStyle name="Normal 6 6 2 3 2" xfId="15918" xr:uid="{00000000-0005-0000-0000-00002D3E0000}"/>
    <cellStyle name="Normal 6 6 2 3 2 2" xfId="15919" xr:uid="{00000000-0005-0000-0000-00002E3E0000}"/>
    <cellStyle name="Normal 6 6 2 3 2 3" xfId="15920" xr:uid="{00000000-0005-0000-0000-00002F3E0000}"/>
    <cellStyle name="Normal 6 6 2 3 3" xfId="15921" xr:uid="{00000000-0005-0000-0000-0000303E0000}"/>
    <cellStyle name="Normal 6 6 2 3 3 2" xfId="15922" xr:uid="{00000000-0005-0000-0000-0000313E0000}"/>
    <cellStyle name="Normal 6 6 2 3 3 3" xfId="15923" xr:uid="{00000000-0005-0000-0000-0000323E0000}"/>
    <cellStyle name="Normal 6 6 2 3 4" xfId="15924" xr:uid="{00000000-0005-0000-0000-0000333E0000}"/>
    <cellStyle name="Normal 6 6 2 3 5" xfId="15925" xr:uid="{00000000-0005-0000-0000-0000343E0000}"/>
    <cellStyle name="Normal 6 6 2 4" xfId="15926" xr:uid="{00000000-0005-0000-0000-0000353E0000}"/>
    <cellStyle name="Normal 6 6 2 4 2" xfId="15927" xr:uid="{00000000-0005-0000-0000-0000363E0000}"/>
    <cellStyle name="Normal 6 6 2 4 2 2" xfId="15928" xr:uid="{00000000-0005-0000-0000-0000373E0000}"/>
    <cellStyle name="Normal 6 6 2 4 2 3" xfId="15929" xr:uid="{00000000-0005-0000-0000-0000383E0000}"/>
    <cellStyle name="Normal 6 6 2 4 3" xfId="15930" xr:uid="{00000000-0005-0000-0000-0000393E0000}"/>
    <cellStyle name="Normal 6 6 2 4 3 2" xfId="15931" xr:uid="{00000000-0005-0000-0000-00003A3E0000}"/>
    <cellStyle name="Normal 6 6 2 4 3 3" xfId="15932" xr:uid="{00000000-0005-0000-0000-00003B3E0000}"/>
    <cellStyle name="Normal 6 6 2 4 4" xfId="15933" xr:uid="{00000000-0005-0000-0000-00003C3E0000}"/>
    <cellStyle name="Normal 6 6 2 4 5" xfId="15934" xr:uid="{00000000-0005-0000-0000-00003D3E0000}"/>
    <cellStyle name="Normal 6 6 2 5" xfId="15935" xr:uid="{00000000-0005-0000-0000-00003E3E0000}"/>
    <cellStyle name="Normal 6 6 2 5 2" xfId="15936" xr:uid="{00000000-0005-0000-0000-00003F3E0000}"/>
    <cellStyle name="Normal 6 6 2 5 3" xfId="15937" xr:uid="{00000000-0005-0000-0000-0000403E0000}"/>
    <cellStyle name="Normal 6 6 2 6" xfId="15938" xr:uid="{00000000-0005-0000-0000-0000413E0000}"/>
    <cellStyle name="Normal 6 6 2 6 2" xfId="15939" xr:uid="{00000000-0005-0000-0000-0000423E0000}"/>
    <cellStyle name="Normal 6 6 2 6 3" xfId="15940" xr:uid="{00000000-0005-0000-0000-0000433E0000}"/>
    <cellStyle name="Normal 6 6 2 7" xfId="15941" xr:uid="{00000000-0005-0000-0000-0000443E0000}"/>
    <cellStyle name="Normal 6 6 2 7 2" xfId="15942" xr:uid="{00000000-0005-0000-0000-0000453E0000}"/>
    <cellStyle name="Normal 6 6 2 7 3" xfId="15943" xr:uid="{00000000-0005-0000-0000-0000463E0000}"/>
    <cellStyle name="Normal 6 6 2 7 3 2" xfId="15944" xr:uid="{00000000-0005-0000-0000-0000473E0000}"/>
    <cellStyle name="Normal 6 6 2 7 4" xfId="15945" xr:uid="{00000000-0005-0000-0000-0000483E0000}"/>
    <cellStyle name="Normal 6 6 2 8" xfId="15946" xr:uid="{00000000-0005-0000-0000-0000493E0000}"/>
    <cellStyle name="Normal 6 6 2 9" xfId="15947" xr:uid="{00000000-0005-0000-0000-00004A3E0000}"/>
    <cellStyle name="Normal 6 6 3" xfId="15948" xr:uid="{00000000-0005-0000-0000-00004B3E0000}"/>
    <cellStyle name="Normal 6 6 3 2" xfId="15949" xr:uid="{00000000-0005-0000-0000-00004C3E0000}"/>
    <cellStyle name="Normal 6 6 3 2 2" xfId="15950" xr:uid="{00000000-0005-0000-0000-00004D3E0000}"/>
    <cellStyle name="Normal 6 6 3 2 2 2" xfId="15951" xr:uid="{00000000-0005-0000-0000-00004E3E0000}"/>
    <cellStyle name="Normal 6 6 3 2 2 3" xfId="15952" xr:uid="{00000000-0005-0000-0000-00004F3E0000}"/>
    <cellStyle name="Normal 6 6 3 2 3" xfId="15953" xr:uid="{00000000-0005-0000-0000-0000503E0000}"/>
    <cellStyle name="Normal 6 6 3 2 3 2" xfId="15954" xr:uid="{00000000-0005-0000-0000-0000513E0000}"/>
    <cellStyle name="Normal 6 6 3 2 3 3" xfId="15955" xr:uid="{00000000-0005-0000-0000-0000523E0000}"/>
    <cellStyle name="Normal 6 6 3 2 4" xfId="15956" xr:uid="{00000000-0005-0000-0000-0000533E0000}"/>
    <cellStyle name="Normal 6 6 3 2 5" xfId="15957" xr:uid="{00000000-0005-0000-0000-0000543E0000}"/>
    <cellStyle name="Normal 6 6 3 3" xfId="15958" xr:uid="{00000000-0005-0000-0000-0000553E0000}"/>
    <cellStyle name="Normal 6 6 3 3 2" xfId="15959" xr:uid="{00000000-0005-0000-0000-0000563E0000}"/>
    <cellStyle name="Normal 6 6 3 3 2 2" xfId="15960" xr:uid="{00000000-0005-0000-0000-0000573E0000}"/>
    <cellStyle name="Normal 6 6 3 3 2 3" xfId="15961" xr:uid="{00000000-0005-0000-0000-0000583E0000}"/>
    <cellStyle name="Normal 6 6 3 3 3" xfId="15962" xr:uid="{00000000-0005-0000-0000-0000593E0000}"/>
    <cellStyle name="Normal 6 6 3 3 3 2" xfId="15963" xr:uid="{00000000-0005-0000-0000-00005A3E0000}"/>
    <cellStyle name="Normal 6 6 3 3 3 3" xfId="15964" xr:uid="{00000000-0005-0000-0000-00005B3E0000}"/>
    <cellStyle name="Normal 6 6 3 3 4" xfId="15965" xr:uid="{00000000-0005-0000-0000-00005C3E0000}"/>
    <cellStyle name="Normal 6 6 3 3 5" xfId="15966" xr:uid="{00000000-0005-0000-0000-00005D3E0000}"/>
    <cellStyle name="Normal 6 6 3 4" xfId="15967" xr:uid="{00000000-0005-0000-0000-00005E3E0000}"/>
    <cellStyle name="Normal 6 6 3 4 2" xfId="15968" xr:uid="{00000000-0005-0000-0000-00005F3E0000}"/>
    <cellStyle name="Normal 6 6 3 4 3" xfId="15969" xr:uid="{00000000-0005-0000-0000-0000603E0000}"/>
    <cellStyle name="Normal 6 6 3 5" xfId="15970" xr:uid="{00000000-0005-0000-0000-0000613E0000}"/>
    <cellStyle name="Normal 6 6 3 5 2" xfId="15971" xr:uid="{00000000-0005-0000-0000-0000623E0000}"/>
    <cellStyle name="Normal 6 6 3 5 3" xfId="15972" xr:uid="{00000000-0005-0000-0000-0000633E0000}"/>
    <cellStyle name="Normal 6 6 3 6" xfId="15973" xr:uid="{00000000-0005-0000-0000-0000643E0000}"/>
    <cellStyle name="Normal 6 6 3 7" xfId="15974" xr:uid="{00000000-0005-0000-0000-0000653E0000}"/>
    <cellStyle name="Normal 6 6 4" xfId="15975" xr:uid="{00000000-0005-0000-0000-0000663E0000}"/>
    <cellStyle name="Normal 6 6 4 2" xfId="15976" xr:uid="{00000000-0005-0000-0000-0000673E0000}"/>
    <cellStyle name="Normal 6 6 4 2 2" xfId="15977" xr:uid="{00000000-0005-0000-0000-0000683E0000}"/>
    <cellStyle name="Normal 6 6 4 2 2 2" xfId="15978" xr:uid="{00000000-0005-0000-0000-0000693E0000}"/>
    <cellStyle name="Normal 6 6 4 2 2 3" xfId="15979" xr:uid="{00000000-0005-0000-0000-00006A3E0000}"/>
    <cellStyle name="Normal 6 6 4 2 3" xfId="15980" xr:uid="{00000000-0005-0000-0000-00006B3E0000}"/>
    <cellStyle name="Normal 6 6 4 2 3 2" xfId="15981" xr:uid="{00000000-0005-0000-0000-00006C3E0000}"/>
    <cellStyle name="Normal 6 6 4 2 3 3" xfId="15982" xr:uid="{00000000-0005-0000-0000-00006D3E0000}"/>
    <cellStyle name="Normal 6 6 4 2 4" xfId="15983" xr:uid="{00000000-0005-0000-0000-00006E3E0000}"/>
    <cellStyle name="Normal 6 6 4 2 5" xfId="15984" xr:uid="{00000000-0005-0000-0000-00006F3E0000}"/>
    <cellStyle name="Normal 6 6 4 3" xfId="15985" xr:uid="{00000000-0005-0000-0000-0000703E0000}"/>
    <cellStyle name="Normal 6 6 4 3 2" xfId="15986" xr:uid="{00000000-0005-0000-0000-0000713E0000}"/>
    <cellStyle name="Normal 6 6 4 3 2 2" xfId="15987" xr:uid="{00000000-0005-0000-0000-0000723E0000}"/>
    <cellStyle name="Normal 6 6 4 3 2 3" xfId="15988" xr:uid="{00000000-0005-0000-0000-0000733E0000}"/>
    <cellStyle name="Normal 6 6 4 3 3" xfId="15989" xr:uid="{00000000-0005-0000-0000-0000743E0000}"/>
    <cellStyle name="Normal 6 6 4 3 4" xfId="15990" xr:uid="{00000000-0005-0000-0000-0000753E0000}"/>
    <cellStyle name="Normal 6 6 4 4" xfId="15991" xr:uid="{00000000-0005-0000-0000-0000763E0000}"/>
    <cellStyle name="Normal 6 6 4 4 2" xfId="15992" xr:uid="{00000000-0005-0000-0000-0000773E0000}"/>
    <cellStyle name="Normal 6 6 4 4 3" xfId="15993" xr:uid="{00000000-0005-0000-0000-0000783E0000}"/>
    <cellStyle name="Normal 6 6 4 5" xfId="15994" xr:uid="{00000000-0005-0000-0000-0000793E0000}"/>
    <cellStyle name="Normal 6 6 4 5 2" xfId="15995" xr:uid="{00000000-0005-0000-0000-00007A3E0000}"/>
    <cellStyle name="Normal 6 6 4 5 3" xfId="15996" xr:uid="{00000000-0005-0000-0000-00007B3E0000}"/>
    <cellStyle name="Normal 6 6 4 6" xfId="15997" xr:uid="{00000000-0005-0000-0000-00007C3E0000}"/>
    <cellStyle name="Normal 6 6 4 7" xfId="15998" xr:uid="{00000000-0005-0000-0000-00007D3E0000}"/>
    <cellStyle name="Normal 6 6 5" xfId="15999" xr:uid="{00000000-0005-0000-0000-00007E3E0000}"/>
    <cellStyle name="Normal 6 6 5 2" xfId="16000" xr:uid="{00000000-0005-0000-0000-00007F3E0000}"/>
    <cellStyle name="Normal 6 6 5 2 2" xfId="16001" xr:uid="{00000000-0005-0000-0000-0000803E0000}"/>
    <cellStyle name="Normal 6 6 5 2 3" xfId="16002" xr:uid="{00000000-0005-0000-0000-0000813E0000}"/>
    <cellStyle name="Normal 6 6 5 3" xfId="16003" xr:uid="{00000000-0005-0000-0000-0000823E0000}"/>
    <cellStyle name="Normal 6 6 5 3 2" xfId="16004" xr:uid="{00000000-0005-0000-0000-0000833E0000}"/>
    <cellStyle name="Normal 6 6 5 3 3" xfId="16005" xr:uid="{00000000-0005-0000-0000-0000843E0000}"/>
    <cellStyle name="Normal 6 6 5 4" xfId="16006" xr:uid="{00000000-0005-0000-0000-0000853E0000}"/>
    <cellStyle name="Normal 6 6 5 5" xfId="16007" xr:uid="{00000000-0005-0000-0000-0000863E0000}"/>
    <cellStyle name="Normal 6 6 6" xfId="16008" xr:uid="{00000000-0005-0000-0000-0000873E0000}"/>
    <cellStyle name="Normal 6 6 6 2" xfId="16009" xr:uid="{00000000-0005-0000-0000-0000883E0000}"/>
    <cellStyle name="Normal 6 6 6 2 2" xfId="16010" xr:uid="{00000000-0005-0000-0000-0000893E0000}"/>
    <cellStyle name="Normal 6 6 6 2 3" xfId="16011" xr:uid="{00000000-0005-0000-0000-00008A3E0000}"/>
    <cellStyle name="Normal 6 6 6 3" xfId="16012" xr:uid="{00000000-0005-0000-0000-00008B3E0000}"/>
    <cellStyle name="Normal 6 6 6 3 2" xfId="16013" xr:uid="{00000000-0005-0000-0000-00008C3E0000}"/>
    <cellStyle name="Normal 6 6 6 3 3" xfId="16014" xr:uid="{00000000-0005-0000-0000-00008D3E0000}"/>
    <cellStyle name="Normal 6 6 6 4" xfId="16015" xr:uid="{00000000-0005-0000-0000-00008E3E0000}"/>
    <cellStyle name="Normal 6 6 6 5" xfId="16016" xr:uid="{00000000-0005-0000-0000-00008F3E0000}"/>
    <cellStyle name="Normal 6 6 7" xfId="16017" xr:uid="{00000000-0005-0000-0000-0000903E0000}"/>
    <cellStyle name="Normal 6 6 7 2" xfId="16018" xr:uid="{00000000-0005-0000-0000-0000913E0000}"/>
    <cellStyle name="Normal 6 6 7 2 2" xfId="16019" xr:uid="{00000000-0005-0000-0000-0000923E0000}"/>
    <cellStyle name="Normal 6 6 7 2 3" xfId="16020" xr:uid="{00000000-0005-0000-0000-0000933E0000}"/>
    <cellStyle name="Normal 6 6 7 3" xfId="16021" xr:uid="{00000000-0005-0000-0000-0000943E0000}"/>
    <cellStyle name="Normal 6 6 7 4" xfId="16022" xr:uid="{00000000-0005-0000-0000-0000953E0000}"/>
    <cellStyle name="Normal 6 6 8" xfId="16023" xr:uid="{00000000-0005-0000-0000-0000963E0000}"/>
    <cellStyle name="Normal 6 6 8 2" xfId="16024" xr:uid="{00000000-0005-0000-0000-0000973E0000}"/>
    <cellStyle name="Normal 6 6 8 3" xfId="16025" xr:uid="{00000000-0005-0000-0000-0000983E0000}"/>
    <cellStyle name="Normal 6 6 9" xfId="16026" xr:uid="{00000000-0005-0000-0000-0000993E0000}"/>
    <cellStyle name="Normal 6 6 9 2" xfId="16027" xr:uid="{00000000-0005-0000-0000-00009A3E0000}"/>
    <cellStyle name="Normal 6 6 9 3" xfId="16028" xr:uid="{00000000-0005-0000-0000-00009B3E0000}"/>
    <cellStyle name="Normal 6 7" xfId="16029" xr:uid="{00000000-0005-0000-0000-00009C3E0000}"/>
    <cellStyle name="Normal 6 7 10" xfId="16030" xr:uid="{00000000-0005-0000-0000-00009D3E0000}"/>
    <cellStyle name="Normal 6 7 10 2" xfId="16031" xr:uid="{00000000-0005-0000-0000-00009E3E0000}"/>
    <cellStyle name="Normal 6 7 10 3" xfId="16032" xr:uid="{00000000-0005-0000-0000-00009F3E0000}"/>
    <cellStyle name="Normal 6 7 10 3 2" xfId="16033" xr:uid="{00000000-0005-0000-0000-0000A03E0000}"/>
    <cellStyle name="Normal 6 7 10 4" xfId="16034" xr:uid="{00000000-0005-0000-0000-0000A13E0000}"/>
    <cellStyle name="Normal 6 7 11" xfId="16035" xr:uid="{00000000-0005-0000-0000-0000A23E0000}"/>
    <cellStyle name="Normal 6 7 11 2" xfId="16036" xr:uid="{00000000-0005-0000-0000-0000A33E0000}"/>
    <cellStyle name="Normal 6 7 11 2 2" xfId="16037" xr:uid="{00000000-0005-0000-0000-0000A43E0000}"/>
    <cellStyle name="Normal 6 7 11 3" xfId="16038" xr:uid="{00000000-0005-0000-0000-0000A53E0000}"/>
    <cellStyle name="Normal 6 7 12" xfId="16039" xr:uid="{00000000-0005-0000-0000-0000A63E0000}"/>
    <cellStyle name="Normal 6 7 13" xfId="16040" xr:uid="{00000000-0005-0000-0000-0000A73E0000}"/>
    <cellStyle name="Normal 6 7 2" xfId="16041" xr:uid="{00000000-0005-0000-0000-0000A83E0000}"/>
    <cellStyle name="Normal 6 7 2 2" xfId="16042" xr:uid="{00000000-0005-0000-0000-0000A93E0000}"/>
    <cellStyle name="Normal 6 7 2 2 2" xfId="16043" xr:uid="{00000000-0005-0000-0000-0000AA3E0000}"/>
    <cellStyle name="Normal 6 7 2 2 2 2" xfId="16044" xr:uid="{00000000-0005-0000-0000-0000AB3E0000}"/>
    <cellStyle name="Normal 6 7 2 2 2 2 2" xfId="16045" xr:uid="{00000000-0005-0000-0000-0000AC3E0000}"/>
    <cellStyle name="Normal 6 7 2 2 2 2 3" xfId="16046" xr:uid="{00000000-0005-0000-0000-0000AD3E0000}"/>
    <cellStyle name="Normal 6 7 2 2 2 3" xfId="16047" xr:uid="{00000000-0005-0000-0000-0000AE3E0000}"/>
    <cellStyle name="Normal 6 7 2 2 2 3 2" xfId="16048" xr:uid="{00000000-0005-0000-0000-0000AF3E0000}"/>
    <cellStyle name="Normal 6 7 2 2 2 3 3" xfId="16049" xr:uid="{00000000-0005-0000-0000-0000B03E0000}"/>
    <cellStyle name="Normal 6 7 2 2 2 4" xfId="16050" xr:uid="{00000000-0005-0000-0000-0000B13E0000}"/>
    <cellStyle name="Normal 6 7 2 2 2 5" xfId="16051" xr:uid="{00000000-0005-0000-0000-0000B23E0000}"/>
    <cellStyle name="Normal 6 7 2 2 3" xfId="16052" xr:uid="{00000000-0005-0000-0000-0000B33E0000}"/>
    <cellStyle name="Normal 6 7 2 2 3 2" xfId="16053" xr:uid="{00000000-0005-0000-0000-0000B43E0000}"/>
    <cellStyle name="Normal 6 7 2 2 3 2 2" xfId="16054" xr:uid="{00000000-0005-0000-0000-0000B53E0000}"/>
    <cellStyle name="Normal 6 7 2 2 3 2 3" xfId="16055" xr:uid="{00000000-0005-0000-0000-0000B63E0000}"/>
    <cellStyle name="Normal 6 7 2 2 3 3" xfId="16056" xr:uid="{00000000-0005-0000-0000-0000B73E0000}"/>
    <cellStyle name="Normal 6 7 2 2 3 3 2" xfId="16057" xr:uid="{00000000-0005-0000-0000-0000B83E0000}"/>
    <cellStyle name="Normal 6 7 2 2 3 3 3" xfId="16058" xr:uid="{00000000-0005-0000-0000-0000B93E0000}"/>
    <cellStyle name="Normal 6 7 2 2 3 4" xfId="16059" xr:uid="{00000000-0005-0000-0000-0000BA3E0000}"/>
    <cellStyle name="Normal 6 7 2 2 3 5" xfId="16060" xr:uid="{00000000-0005-0000-0000-0000BB3E0000}"/>
    <cellStyle name="Normal 6 7 2 2 4" xfId="16061" xr:uid="{00000000-0005-0000-0000-0000BC3E0000}"/>
    <cellStyle name="Normal 6 7 2 2 4 2" xfId="16062" xr:uid="{00000000-0005-0000-0000-0000BD3E0000}"/>
    <cellStyle name="Normal 6 7 2 2 4 3" xfId="16063" xr:uid="{00000000-0005-0000-0000-0000BE3E0000}"/>
    <cellStyle name="Normal 6 7 2 2 5" xfId="16064" xr:uid="{00000000-0005-0000-0000-0000BF3E0000}"/>
    <cellStyle name="Normal 6 7 2 2 5 2" xfId="16065" xr:uid="{00000000-0005-0000-0000-0000C03E0000}"/>
    <cellStyle name="Normal 6 7 2 2 5 3" xfId="16066" xr:uid="{00000000-0005-0000-0000-0000C13E0000}"/>
    <cellStyle name="Normal 6 7 2 2 6" xfId="16067" xr:uid="{00000000-0005-0000-0000-0000C23E0000}"/>
    <cellStyle name="Normal 6 7 2 2 7" xfId="16068" xr:uid="{00000000-0005-0000-0000-0000C33E0000}"/>
    <cellStyle name="Normal 6 7 2 3" xfId="16069" xr:uid="{00000000-0005-0000-0000-0000C43E0000}"/>
    <cellStyle name="Normal 6 7 2 3 2" xfId="16070" xr:uid="{00000000-0005-0000-0000-0000C53E0000}"/>
    <cellStyle name="Normal 6 7 2 3 2 2" xfId="16071" xr:uid="{00000000-0005-0000-0000-0000C63E0000}"/>
    <cellStyle name="Normal 6 7 2 3 2 3" xfId="16072" xr:uid="{00000000-0005-0000-0000-0000C73E0000}"/>
    <cellStyle name="Normal 6 7 2 3 3" xfId="16073" xr:uid="{00000000-0005-0000-0000-0000C83E0000}"/>
    <cellStyle name="Normal 6 7 2 3 3 2" xfId="16074" xr:uid="{00000000-0005-0000-0000-0000C93E0000}"/>
    <cellStyle name="Normal 6 7 2 3 3 3" xfId="16075" xr:uid="{00000000-0005-0000-0000-0000CA3E0000}"/>
    <cellStyle name="Normal 6 7 2 3 4" xfId="16076" xr:uid="{00000000-0005-0000-0000-0000CB3E0000}"/>
    <cellStyle name="Normal 6 7 2 3 5" xfId="16077" xr:uid="{00000000-0005-0000-0000-0000CC3E0000}"/>
    <cellStyle name="Normal 6 7 2 4" xfId="16078" xr:uid="{00000000-0005-0000-0000-0000CD3E0000}"/>
    <cellStyle name="Normal 6 7 2 4 2" xfId="16079" xr:uid="{00000000-0005-0000-0000-0000CE3E0000}"/>
    <cellStyle name="Normal 6 7 2 4 2 2" xfId="16080" xr:uid="{00000000-0005-0000-0000-0000CF3E0000}"/>
    <cellStyle name="Normal 6 7 2 4 2 3" xfId="16081" xr:uid="{00000000-0005-0000-0000-0000D03E0000}"/>
    <cellStyle name="Normal 6 7 2 4 3" xfId="16082" xr:uid="{00000000-0005-0000-0000-0000D13E0000}"/>
    <cellStyle name="Normal 6 7 2 4 3 2" xfId="16083" xr:uid="{00000000-0005-0000-0000-0000D23E0000}"/>
    <cellStyle name="Normal 6 7 2 4 3 3" xfId="16084" xr:uid="{00000000-0005-0000-0000-0000D33E0000}"/>
    <cellStyle name="Normal 6 7 2 4 4" xfId="16085" xr:uid="{00000000-0005-0000-0000-0000D43E0000}"/>
    <cellStyle name="Normal 6 7 2 4 5" xfId="16086" xr:uid="{00000000-0005-0000-0000-0000D53E0000}"/>
    <cellStyle name="Normal 6 7 2 5" xfId="16087" xr:uid="{00000000-0005-0000-0000-0000D63E0000}"/>
    <cellStyle name="Normal 6 7 2 5 2" xfId="16088" xr:uid="{00000000-0005-0000-0000-0000D73E0000}"/>
    <cellStyle name="Normal 6 7 2 5 3" xfId="16089" xr:uid="{00000000-0005-0000-0000-0000D83E0000}"/>
    <cellStyle name="Normal 6 7 2 6" xfId="16090" xr:uid="{00000000-0005-0000-0000-0000D93E0000}"/>
    <cellStyle name="Normal 6 7 2 6 2" xfId="16091" xr:uid="{00000000-0005-0000-0000-0000DA3E0000}"/>
    <cellStyle name="Normal 6 7 2 6 3" xfId="16092" xr:uid="{00000000-0005-0000-0000-0000DB3E0000}"/>
    <cellStyle name="Normal 6 7 2 7" xfId="16093" xr:uid="{00000000-0005-0000-0000-0000DC3E0000}"/>
    <cellStyle name="Normal 6 7 2 7 2" xfId="16094" xr:uid="{00000000-0005-0000-0000-0000DD3E0000}"/>
    <cellStyle name="Normal 6 7 2 7 3" xfId="16095" xr:uid="{00000000-0005-0000-0000-0000DE3E0000}"/>
    <cellStyle name="Normal 6 7 2 7 3 2" xfId="16096" xr:uid="{00000000-0005-0000-0000-0000DF3E0000}"/>
    <cellStyle name="Normal 6 7 2 7 4" xfId="16097" xr:uid="{00000000-0005-0000-0000-0000E03E0000}"/>
    <cellStyle name="Normal 6 7 2 8" xfId="16098" xr:uid="{00000000-0005-0000-0000-0000E13E0000}"/>
    <cellStyle name="Normal 6 7 2 9" xfId="16099" xr:uid="{00000000-0005-0000-0000-0000E23E0000}"/>
    <cellStyle name="Normal 6 7 3" xfId="16100" xr:uid="{00000000-0005-0000-0000-0000E33E0000}"/>
    <cellStyle name="Normal 6 7 3 2" xfId="16101" xr:uid="{00000000-0005-0000-0000-0000E43E0000}"/>
    <cellStyle name="Normal 6 7 3 2 2" xfId="16102" xr:uid="{00000000-0005-0000-0000-0000E53E0000}"/>
    <cellStyle name="Normal 6 7 3 2 2 2" xfId="16103" xr:uid="{00000000-0005-0000-0000-0000E63E0000}"/>
    <cellStyle name="Normal 6 7 3 2 2 3" xfId="16104" xr:uid="{00000000-0005-0000-0000-0000E73E0000}"/>
    <cellStyle name="Normal 6 7 3 2 3" xfId="16105" xr:uid="{00000000-0005-0000-0000-0000E83E0000}"/>
    <cellStyle name="Normal 6 7 3 2 3 2" xfId="16106" xr:uid="{00000000-0005-0000-0000-0000E93E0000}"/>
    <cellStyle name="Normal 6 7 3 2 3 3" xfId="16107" xr:uid="{00000000-0005-0000-0000-0000EA3E0000}"/>
    <cellStyle name="Normal 6 7 3 2 4" xfId="16108" xr:uid="{00000000-0005-0000-0000-0000EB3E0000}"/>
    <cellStyle name="Normal 6 7 3 2 5" xfId="16109" xr:uid="{00000000-0005-0000-0000-0000EC3E0000}"/>
    <cellStyle name="Normal 6 7 3 3" xfId="16110" xr:uid="{00000000-0005-0000-0000-0000ED3E0000}"/>
    <cellStyle name="Normal 6 7 3 3 2" xfId="16111" xr:uid="{00000000-0005-0000-0000-0000EE3E0000}"/>
    <cellStyle name="Normal 6 7 3 3 2 2" xfId="16112" xr:uid="{00000000-0005-0000-0000-0000EF3E0000}"/>
    <cellStyle name="Normal 6 7 3 3 2 3" xfId="16113" xr:uid="{00000000-0005-0000-0000-0000F03E0000}"/>
    <cellStyle name="Normal 6 7 3 3 3" xfId="16114" xr:uid="{00000000-0005-0000-0000-0000F13E0000}"/>
    <cellStyle name="Normal 6 7 3 3 3 2" xfId="16115" xr:uid="{00000000-0005-0000-0000-0000F23E0000}"/>
    <cellStyle name="Normal 6 7 3 3 3 3" xfId="16116" xr:uid="{00000000-0005-0000-0000-0000F33E0000}"/>
    <cellStyle name="Normal 6 7 3 3 4" xfId="16117" xr:uid="{00000000-0005-0000-0000-0000F43E0000}"/>
    <cellStyle name="Normal 6 7 3 3 5" xfId="16118" xr:uid="{00000000-0005-0000-0000-0000F53E0000}"/>
    <cellStyle name="Normal 6 7 3 4" xfId="16119" xr:uid="{00000000-0005-0000-0000-0000F63E0000}"/>
    <cellStyle name="Normal 6 7 3 4 2" xfId="16120" xr:uid="{00000000-0005-0000-0000-0000F73E0000}"/>
    <cellStyle name="Normal 6 7 3 4 3" xfId="16121" xr:uid="{00000000-0005-0000-0000-0000F83E0000}"/>
    <cellStyle name="Normal 6 7 3 5" xfId="16122" xr:uid="{00000000-0005-0000-0000-0000F93E0000}"/>
    <cellStyle name="Normal 6 7 3 5 2" xfId="16123" xr:uid="{00000000-0005-0000-0000-0000FA3E0000}"/>
    <cellStyle name="Normal 6 7 3 5 3" xfId="16124" xr:uid="{00000000-0005-0000-0000-0000FB3E0000}"/>
    <cellStyle name="Normal 6 7 3 6" xfId="16125" xr:uid="{00000000-0005-0000-0000-0000FC3E0000}"/>
    <cellStyle name="Normal 6 7 3 7" xfId="16126" xr:uid="{00000000-0005-0000-0000-0000FD3E0000}"/>
    <cellStyle name="Normal 6 7 4" xfId="16127" xr:uid="{00000000-0005-0000-0000-0000FE3E0000}"/>
    <cellStyle name="Normal 6 7 4 2" xfId="16128" xr:uid="{00000000-0005-0000-0000-0000FF3E0000}"/>
    <cellStyle name="Normal 6 7 4 2 2" xfId="16129" xr:uid="{00000000-0005-0000-0000-0000003F0000}"/>
    <cellStyle name="Normal 6 7 4 2 2 2" xfId="16130" xr:uid="{00000000-0005-0000-0000-0000013F0000}"/>
    <cellStyle name="Normal 6 7 4 2 2 3" xfId="16131" xr:uid="{00000000-0005-0000-0000-0000023F0000}"/>
    <cellStyle name="Normal 6 7 4 2 3" xfId="16132" xr:uid="{00000000-0005-0000-0000-0000033F0000}"/>
    <cellStyle name="Normal 6 7 4 2 3 2" xfId="16133" xr:uid="{00000000-0005-0000-0000-0000043F0000}"/>
    <cellStyle name="Normal 6 7 4 2 3 3" xfId="16134" xr:uid="{00000000-0005-0000-0000-0000053F0000}"/>
    <cellStyle name="Normal 6 7 4 2 4" xfId="16135" xr:uid="{00000000-0005-0000-0000-0000063F0000}"/>
    <cellStyle name="Normal 6 7 4 2 5" xfId="16136" xr:uid="{00000000-0005-0000-0000-0000073F0000}"/>
    <cellStyle name="Normal 6 7 4 3" xfId="16137" xr:uid="{00000000-0005-0000-0000-0000083F0000}"/>
    <cellStyle name="Normal 6 7 4 3 2" xfId="16138" xr:uid="{00000000-0005-0000-0000-0000093F0000}"/>
    <cellStyle name="Normal 6 7 4 3 2 2" xfId="16139" xr:uid="{00000000-0005-0000-0000-00000A3F0000}"/>
    <cellStyle name="Normal 6 7 4 3 2 3" xfId="16140" xr:uid="{00000000-0005-0000-0000-00000B3F0000}"/>
    <cellStyle name="Normal 6 7 4 3 3" xfId="16141" xr:uid="{00000000-0005-0000-0000-00000C3F0000}"/>
    <cellStyle name="Normal 6 7 4 3 4" xfId="16142" xr:uid="{00000000-0005-0000-0000-00000D3F0000}"/>
    <cellStyle name="Normal 6 7 4 4" xfId="16143" xr:uid="{00000000-0005-0000-0000-00000E3F0000}"/>
    <cellStyle name="Normal 6 7 4 4 2" xfId="16144" xr:uid="{00000000-0005-0000-0000-00000F3F0000}"/>
    <cellStyle name="Normal 6 7 4 4 3" xfId="16145" xr:uid="{00000000-0005-0000-0000-0000103F0000}"/>
    <cellStyle name="Normal 6 7 4 5" xfId="16146" xr:uid="{00000000-0005-0000-0000-0000113F0000}"/>
    <cellStyle name="Normal 6 7 4 5 2" xfId="16147" xr:uid="{00000000-0005-0000-0000-0000123F0000}"/>
    <cellStyle name="Normal 6 7 4 5 3" xfId="16148" xr:uid="{00000000-0005-0000-0000-0000133F0000}"/>
    <cellStyle name="Normal 6 7 4 6" xfId="16149" xr:uid="{00000000-0005-0000-0000-0000143F0000}"/>
    <cellStyle name="Normal 6 7 4 7" xfId="16150" xr:uid="{00000000-0005-0000-0000-0000153F0000}"/>
    <cellStyle name="Normal 6 7 5" xfId="16151" xr:uid="{00000000-0005-0000-0000-0000163F0000}"/>
    <cellStyle name="Normal 6 7 5 2" xfId="16152" xr:uid="{00000000-0005-0000-0000-0000173F0000}"/>
    <cellStyle name="Normal 6 7 5 2 2" xfId="16153" xr:uid="{00000000-0005-0000-0000-0000183F0000}"/>
    <cellStyle name="Normal 6 7 5 2 3" xfId="16154" xr:uid="{00000000-0005-0000-0000-0000193F0000}"/>
    <cellStyle name="Normal 6 7 5 3" xfId="16155" xr:uid="{00000000-0005-0000-0000-00001A3F0000}"/>
    <cellStyle name="Normal 6 7 5 3 2" xfId="16156" xr:uid="{00000000-0005-0000-0000-00001B3F0000}"/>
    <cellStyle name="Normal 6 7 5 3 3" xfId="16157" xr:uid="{00000000-0005-0000-0000-00001C3F0000}"/>
    <cellStyle name="Normal 6 7 5 4" xfId="16158" xr:uid="{00000000-0005-0000-0000-00001D3F0000}"/>
    <cellStyle name="Normal 6 7 5 5" xfId="16159" xr:uid="{00000000-0005-0000-0000-00001E3F0000}"/>
    <cellStyle name="Normal 6 7 6" xfId="16160" xr:uid="{00000000-0005-0000-0000-00001F3F0000}"/>
    <cellStyle name="Normal 6 7 6 2" xfId="16161" xr:uid="{00000000-0005-0000-0000-0000203F0000}"/>
    <cellStyle name="Normal 6 7 6 2 2" xfId="16162" xr:uid="{00000000-0005-0000-0000-0000213F0000}"/>
    <cellStyle name="Normal 6 7 6 2 3" xfId="16163" xr:uid="{00000000-0005-0000-0000-0000223F0000}"/>
    <cellStyle name="Normal 6 7 6 3" xfId="16164" xr:uid="{00000000-0005-0000-0000-0000233F0000}"/>
    <cellStyle name="Normal 6 7 6 3 2" xfId="16165" xr:uid="{00000000-0005-0000-0000-0000243F0000}"/>
    <cellStyle name="Normal 6 7 6 3 3" xfId="16166" xr:uid="{00000000-0005-0000-0000-0000253F0000}"/>
    <cellStyle name="Normal 6 7 6 4" xfId="16167" xr:uid="{00000000-0005-0000-0000-0000263F0000}"/>
    <cellStyle name="Normal 6 7 6 5" xfId="16168" xr:uid="{00000000-0005-0000-0000-0000273F0000}"/>
    <cellStyle name="Normal 6 7 7" xfId="16169" xr:uid="{00000000-0005-0000-0000-0000283F0000}"/>
    <cellStyle name="Normal 6 7 7 2" xfId="16170" xr:uid="{00000000-0005-0000-0000-0000293F0000}"/>
    <cellStyle name="Normal 6 7 7 2 2" xfId="16171" xr:uid="{00000000-0005-0000-0000-00002A3F0000}"/>
    <cellStyle name="Normal 6 7 7 2 3" xfId="16172" xr:uid="{00000000-0005-0000-0000-00002B3F0000}"/>
    <cellStyle name="Normal 6 7 7 3" xfId="16173" xr:uid="{00000000-0005-0000-0000-00002C3F0000}"/>
    <cellStyle name="Normal 6 7 7 4" xfId="16174" xr:uid="{00000000-0005-0000-0000-00002D3F0000}"/>
    <cellStyle name="Normal 6 7 8" xfId="16175" xr:uid="{00000000-0005-0000-0000-00002E3F0000}"/>
    <cellStyle name="Normal 6 7 8 2" xfId="16176" xr:uid="{00000000-0005-0000-0000-00002F3F0000}"/>
    <cellStyle name="Normal 6 7 8 3" xfId="16177" xr:uid="{00000000-0005-0000-0000-0000303F0000}"/>
    <cellStyle name="Normal 6 7 9" xfId="16178" xr:uid="{00000000-0005-0000-0000-0000313F0000}"/>
    <cellStyle name="Normal 6 7 9 2" xfId="16179" xr:uid="{00000000-0005-0000-0000-0000323F0000}"/>
    <cellStyle name="Normal 6 7 9 3" xfId="16180" xr:uid="{00000000-0005-0000-0000-0000333F0000}"/>
    <cellStyle name="Normal 6 8" xfId="16181" xr:uid="{00000000-0005-0000-0000-0000343F0000}"/>
    <cellStyle name="Normal 6 8 2" xfId="16182" xr:uid="{00000000-0005-0000-0000-0000353F0000}"/>
    <cellStyle name="Normal 6 8 2 2" xfId="16183" xr:uid="{00000000-0005-0000-0000-0000363F0000}"/>
    <cellStyle name="Normal 6 8 2 2 2" xfId="16184" xr:uid="{00000000-0005-0000-0000-0000373F0000}"/>
    <cellStyle name="Normal 6 8 2 2 2 2" xfId="16185" xr:uid="{00000000-0005-0000-0000-0000383F0000}"/>
    <cellStyle name="Normal 6 8 2 2 2 3" xfId="16186" xr:uid="{00000000-0005-0000-0000-0000393F0000}"/>
    <cellStyle name="Normal 6 8 2 2 3" xfId="16187" xr:uid="{00000000-0005-0000-0000-00003A3F0000}"/>
    <cellStyle name="Normal 6 8 2 2 3 2" xfId="16188" xr:uid="{00000000-0005-0000-0000-00003B3F0000}"/>
    <cellStyle name="Normal 6 8 2 2 3 3" xfId="16189" xr:uid="{00000000-0005-0000-0000-00003C3F0000}"/>
    <cellStyle name="Normal 6 8 2 2 4" xfId="16190" xr:uid="{00000000-0005-0000-0000-00003D3F0000}"/>
    <cellStyle name="Normal 6 8 2 2 5" xfId="16191" xr:uid="{00000000-0005-0000-0000-00003E3F0000}"/>
    <cellStyle name="Normal 6 8 2 3" xfId="16192" xr:uid="{00000000-0005-0000-0000-00003F3F0000}"/>
    <cellStyle name="Normal 6 8 2 3 2" xfId="16193" xr:uid="{00000000-0005-0000-0000-0000403F0000}"/>
    <cellStyle name="Normal 6 8 2 3 2 2" xfId="16194" xr:uid="{00000000-0005-0000-0000-0000413F0000}"/>
    <cellStyle name="Normal 6 8 2 3 2 3" xfId="16195" xr:uid="{00000000-0005-0000-0000-0000423F0000}"/>
    <cellStyle name="Normal 6 8 2 3 3" xfId="16196" xr:uid="{00000000-0005-0000-0000-0000433F0000}"/>
    <cellStyle name="Normal 6 8 2 3 3 2" xfId="16197" xr:uid="{00000000-0005-0000-0000-0000443F0000}"/>
    <cellStyle name="Normal 6 8 2 3 3 3" xfId="16198" xr:uid="{00000000-0005-0000-0000-0000453F0000}"/>
    <cellStyle name="Normal 6 8 2 3 4" xfId="16199" xr:uid="{00000000-0005-0000-0000-0000463F0000}"/>
    <cellStyle name="Normal 6 8 2 3 5" xfId="16200" xr:uid="{00000000-0005-0000-0000-0000473F0000}"/>
    <cellStyle name="Normal 6 8 2 4" xfId="16201" xr:uid="{00000000-0005-0000-0000-0000483F0000}"/>
    <cellStyle name="Normal 6 8 2 4 2" xfId="16202" xr:uid="{00000000-0005-0000-0000-0000493F0000}"/>
    <cellStyle name="Normal 6 8 2 4 3" xfId="16203" xr:uid="{00000000-0005-0000-0000-00004A3F0000}"/>
    <cellStyle name="Normal 6 8 2 5" xfId="16204" xr:uid="{00000000-0005-0000-0000-00004B3F0000}"/>
    <cellStyle name="Normal 6 8 2 5 2" xfId="16205" xr:uid="{00000000-0005-0000-0000-00004C3F0000}"/>
    <cellStyle name="Normal 6 8 2 5 3" xfId="16206" xr:uid="{00000000-0005-0000-0000-00004D3F0000}"/>
    <cellStyle name="Normal 6 8 2 6" xfId="16207" xr:uid="{00000000-0005-0000-0000-00004E3F0000}"/>
    <cellStyle name="Normal 6 8 2 7" xfId="16208" xr:uid="{00000000-0005-0000-0000-00004F3F0000}"/>
    <cellStyle name="Normal 6 8 3" xfId="16209" xr:uid="{00000000-0005-0000-0000-0000503F0000}"/>
    <cellStyle name="Normal 6 8 3 2" xfId="16210" xr:uid="{00000000-0005-0000-0000-0000513F0000}"/>
    <cellStyle name="Normal 6 8 3 2 2" xfId="16211" xr:uid="{00000000-0005-0000-0000-0000523F0000}"/>
    <cellStyle name="Normal 6 8 3 2 3" xfId="16212" xr:uid="{00000000-0005-0000-0000-0000533F0000}"/>
    <cellStyle name="Normal 6 8 3 3" xfId="16213" xr:uid="{00000000-0005-0000-0000-0000543F0000}"/>
    <cellStyle name="Normal 6 8 3 3 2" xfId="16214" xr:uid="{00000000-0005-0000-0000-0000553F0000}"/>
    <cellStyle name="Normal 6 8 3 3 3" xfId="16215" xr:uid="{00000000-0005-0000-0000-0000563F0000}"/>
    <cellStyle name="Normal 6 8 3 4" xfId="16216" xr:uid="{00000000-0005-0000-0000-0000573F0000}"/>
    <cellStyle name="Normal 6 8 3 5" xfId="16217" xr:uid="{00000000-0005-0000-0000-0000583F0000}"/>
    <cellStyle name="Normal 6 8 4" xfId="16218" xr:uid="{00000000-0005-0000-0000-0000593F0000}"/>
    <cellStyle name="Normal 6 8 4 2" xfId="16219" xr:uid="{00000000-0005-0000-0000-00005A3F0000}"/>
    <cellStyle name="Normal 6 8 4 2 2" xfId="16220" xr:uid="{00000000-0005-0000-0000-00005B3F0000}"/>
    <cellStyle name="Normal 6 8 4 2 3" xfId="16221" xr:uid="{00000000-0005-0000-0000-00005C3F0000}"/>
    <cellStyle name="Normal 6 8 4 3" xfId="16222" xr:uid="{00000000-0005-0000-0000-00005D3F0000}"/>
    <cellStyle name="Normal 6 8 4 3 2" xfId="16223" xr:uid="{00000000-0005-0000-0000-00005E3F0000}"/>
    <cellStyle name="Normal 6 8 4 3 3" xfId="16224" xr:uid="{00000000-0005-0000-0000-00005F3F0000}"/>
    <cellStyle name="Normal 6 8 4 4" xfId="16225" xr:uid="{00000000-0005-0000-0000-0000603F0000}"/>
    <cellStyle name="Normal 6 8 4 5" xfId="16226" xr:uid="{00000000-0005-0000-0000-0000613F0000}"/>
    <cellStyle name="Normal 6 8 5" xfId="16227" xr:uid="{00000000-0005-0000-0000-0000623F0000}"/>
    <cellStyle name="Normal 6 8 5 2" xfId="16228" xr:uid="{00000000-0005-0000-0000-0000633F0000}"/>
    <cellStyle name="Normal 6 8 5 3" xfId="16229" xr:uid="{00000000-0005-0000-0000-0000643F0000}"/>
    <cellStyle name="Normal 6 8 6" xfId="16230" xr:uid="{00000000-0005-0000-0000-0000653F0000}"/>
    <cellStyle name="Normal 6 8 6 2" xfId="16231" xr:uid="{00000000-0005-0000-0000-0000663F0000}"/>
    <cellStyle name="Normal 6 8 6 3" xfId="16232" xr:uid="{00000000-0005-0000-0000-0000673F0000}"/>
    <cellStyle name="Normal 6 8 7" xfId="16233" xr:uid="{00000000-0005-0000-0000-0000683F0000}"/>
    <cellStyle name="Normal 6 8 7 2" xfId="16234" xr:uid="{00000000-0005-0000-0000-0000693F0000}"/>
    <cellStyle name="Normal 6 8 7 3" xfId="16235" xr:uid="{00000000-0005-0000-0000-00006A3F0000}"/>
    <cellStyle name="Normal 6 8 7 3 2" xfId="16236" xr:uid="{00000000-0005-0000-0000-00006B3F0000}"/>
    <cellStyle name="Normal 6 8 7 4" xfId="16237" xr:uid="{00000000-0005-0000-0000-00006C3F0000}"/>
    <cellStyle name="Normal 6 8 8" xfId="16238" xr:uid="{00000000-0005-0000-0000-00006D3F0000}"/>
    <cellStyle name="Normal 6 8 9" xfId="16239" xr:uid="{00000000-0005-0000-0000-00006E3F0000}"/>
    <cellStyle name="Normal 6 9" xfId="16240" xr:uid="{00000000-0005-0000-0000-00006F3F0000}"/>
    <cellStyle name="Normal 6 9 2" xfId="16241" xr:uid="{00000000-0005-0000-0000-0000703F0000}"/>
    <cellStyle name="Normal 6 9 2 2" xfId="16242" xr:uid="{00000000-0005-0000-0000-0000713F0000}"/>
    <cellStyle name="Normal 6 9 2 2 2" xfId="16243" xr:uid="{00000000-0005-0000-0000-0000723F0000}"/>
    <cellStyle name="Normal 6 9 2 2 3" xfId="16244" xr:uid="{00000000-0005-0000-0000-0000733F0000}"/>
    <cellStyle name="Normal 6 9 2 3" xfId="16245" xr:uid="{00000000-0005-0000-0000-0000743F0000}"/>
    <cellStyle name="Normal 6 9 2 3 2" xfId="16246" xr:uid="{00000000-0005-0000-0000-0000753F0000}"/>
    <cellStyle name="Normal 6 9 2 3 3" xfId="16247" xr:uid="{00000000-0005-0000-0000-0000763F0000}"/>
    <cellStyle name="Normal 6 9 2 4" xfId="16248" xr:uid="{00000000-0005-0000-0000-0000773F0000}"/>
    <cellStyle name="Normal 6 9 2 5" xfId="16249" xr:uid="{00000000-0005-0000-0000-0000783F0000}"/>
    <cellStyle name="Normal 6 9 3" xfId="16250" xr:uid="{00000000-0005-0000-0000-0000793F0000}"/>
    <cellStyle name="Normal 6 9 3 2" xfId="16251" xr:uid="{00000000-0005-0000-0000-00007A3F0000}"/>
    <cellStyle name="Normal 6 9 3 2 2" xfId="16252" xr:uid="{00000000-0005-0000-0000-00007B3F0000}"/>
    <cellStyle name="Normal 6 9 3 2 3" xfId="16253" xr:uid="{00000000-0005-0000-0000-00007C3F0000}"/>
    <cellStyle name="Normal 6 9 3 3" xfId="16254" xr:uid="{00000000-0005-0000-0000-00007D3F0000}"/>
    <cellStyle name="Normal 6 9 3 3 2" xfId="16255" xr:uid="{00000000-0005-0000-0000-00007E3F0000}"/>
    <cellStyle name="Normal 6 9 3 3 3" xfId="16256" xr:uid="{00000000-0005-0000-0000-00007F3F0000}"/>
    <cellStyle name="Normal 6 9 3 4" xfId="16257" xr:uid="{00000000-0005-0000-0000-0000803F0000}"/>
    <cellStyle name="Normal 6 9 3 5" xfId="16258" xr:uid="{00000000-0005-0000-0000-0000813F0000}"/>
    <cellStyle name="Normal 6 9 4" xfId="16259" xr:uid="{00000000-0005-0000-0000-0000823F0000}"/>
    <cellStyle name="Normal 6 9 4 2" xfId="16260" xr:uid="{00000000-0005-0000-0000-0000833F0000}"/>
    <cellStyle name="Normal 6 9 4 3" xfId="16261" xr:uid="{00000000-0005-0000-0000-0000843F0000}"/>
    <cellStyle name="Normal 6 9 5" xfId="16262" xr:uid="{00000000-0005-0000-0000-0000853F0000}"/>
    <cellStyle name="Normal 6 9 5 2" xfId="16263" xr:uid="{00000000-0005-0000-0000-0000863F0000}"/>
    <cellStyle name="Normal 6 9 5 3" xfId="16264" xr:uid="{00000000-0005-0000-0000-0000873F0000}"/>
    <cellStyle name="Normal 6 9 6" xfId="16265" xr:uid="{00000000-0005-0000-0000-0000883F0000}"/>
    <cellStyle name="Normal 6 9 7" xfId="16266" xr:uid="{00000000-0005-0000-0000-0000893F0000}"/>
    <cellStyle name="Normal 60" xfId="16267" xr:uid="{00000000-0005-0000-0000-00008A3F0000}"/>
    <cellStyle name="Normal 60 2" xfId="16268" xr:uid="{00000000-0005-0000-0000-00008B3F0000}"/>
    <cellStyle name="Normal 60 3" xfId="16269" xr:uid="{00000000-0005-0000-0000-00008C3F0000}"/>
    <cellStyle name="Normal 61" xfId="16270" xr:uid="{00000000-0005-0000-0000-00008D3F0000}"/>
    <cellStyle name="Normal 61 2" xfId="16271" xr:uid="{00000000-0005-0000-0000-00008E3F0000}"/>
    <cellStyle name="Normal 61 3" xfId="16272" xr:uid="{00000000-0005-0000-0000-00008F3F0000}"/>
    <cellStyle name="Normal 62" xfId="16273" xr:uid="{00000000-0005-0000-0000-0000903F0000}"/>
    <cellStyle name="Normal 62 2" xfId="16274" xr:uid="{00000000-0005-0000-0000-0000913F0000}"/>
    <cellStyle name="Normal 62 3" xfId="16275" xr:uid="{00000000-0005-0000-0000-0000923F0000}"/>
    <cellStyle name="Normal 63" xfId="16276" xr:uid="{00000000-0005-0000-0000-0000933F0000}"/>
    <cellStyle name="Normal 63 2" xfId="16277" xr:uid="{00000000-0005-0000-0000-0000943F0000}"/>
    <cellStyle name="Normal 63 3" xfId="16278" xr:uid="{00000000-0005-0000-0000-0000953F0000}"/>
    <cellStyle name="Normal 64" xfId="16279" xr:uid="{00000000-0005-0000-0000-0000963F0000}"/>
    <cellStyle name="Normal 64 2" xfId="16280" xr:uid="{00000000-0005-0000-0000-0000973F0000}"/>
    <cellStyle name="Normal 64 3" xfId="16281" xr:uid="{00000000-0005-0000-0000-0000983F0000}"/>
    <cellStyle name="Normal 65" xfId="16282" xr:uid="{00000000-0005-0000-0000-0000993F0000}"/>
    <cellStyle name="Normal 65 2" xfId="16283" xr:uid="{00000000-0005-0000-0000-00009A3F0000}"/>
    <cellStyle name="Normal 65 3" xfId="16284" xr:uid="{00000000-0005-0000-0000-00009B3F0000}"/>
    <cellStyle name="Normal 65 4" xfId="16285" xr:uid="{00000000-0005-0000-0000-00009C3F0000}"/>
    <cellStyle name="Normal 66" xfId="16286" xr:uid="{00000000-0005-0000-0000-00009D3F0000}"/>
    <cellStyle name="Normal 66 2" xfId="16287" xr:uid="{00000000-0005-0000-0000-00009E3F0000}"/>
    <cellStyle name="Normal 66 3" xfId="16288" xr:uid="{00000000-0005-0000-0000-00009F3F0000}"/>
    <cellStyle name="Normal 66 4" xfId="16289" xr:uid="{00000000-0005-0000-0000-0000A03F0000}"/>
    <cellStyle name="Normal 67" xfId="16290" xr:uid="{00000000-0005-0000-0000-0000A13F0000}"/>
    <cellStyle name="Normal 67 2" xfId="16291" xr:uid="{00000000-0005-0000-0000-0000A23F0000}"/>
    <cellStyle name="Normal 67 3" xfId="16292" xr:uid="{00000000-0005-0000-0000-0000A33F0000}"/>
    <cellStyle name="Normal 67 4" xfId="16293" xr:uid="{00000000-0005-0000-0000-0000A43F0000}"/>
    <cellStyle name="Normal 68" xfId="16294" xr:uid="{00000000-0005-0000-0000-0000A53F0000}"/>
    <cellStyle name="Normal 68 2" xfId="16295" xr:uid="{00000000-0005-0000-0000-0000A63F0000}"/>
    <cellStyle name="Normal 68 3" xfId="16296" xr:uid="{00000000-0005-0000-0000-0000A73F0000}"/>
    <cellStyle name="Normal 68 4" xfId="16297" xr:uid="{00000000-0005-0000-0000-0000A83F0000}"/>
    <cellStyle name="Normal 69" xfId="16298" xr:uid="{00000000-0005-0000-0000-0000A93F0000}"/>
    <cellStyle name="Normal 69 10" xfId="16299" xr:uid="{00000000-0005-0000-0000-0000AA3F0000}"/>
    <cellStyle name="Normal 69 10 2" xfId="16300" xr:uid="{00000000-0005-0000-0000-0000AB3F0000}"/>
    <cellStyle name="Normal 69 10 3" xfId="16301" xr:uid="{00000000-0005-0000-0000-0000AC3F0000}"/>
    <cellStyle name="Normal 69 10 3 2" xfId="16302" xr:uid="{00000000-0005-0000-0000-0000AD3F0000}"/>
    <cellStyle name="Normal 69 10 4" xfId="16303" xr:uid="{00000000-0005-0000-0000-0000AE3F0000}"/>
    <cellStyle name="Normal 69 11" xfId="16304" xr:uid="{00000000-0005-0000-0000-0000AF3F0000}"/>
    <cellStyle name="Normal 69 11 2" xfId="16305" xr:uid="{00000000-0005-0000-0000-0000B03F0000}"/>
    <cellStyle name="Normal 69 11 2 2" xfId="16306" xr:uid="{00000000-0005-0000-0000-0000B13F0000}"/>
    <cellStyle name="Normal 69 11 3" xfId="16307" xr:uid="{00000000-0005-0000-0000-0000B23F0000}"/>
    <cellStyle name="Normal 69 12" xfId="16308" xr:uid="{00000000-0005-0000-0000-0000B33F0000}"/>
    <cellStyle name="Normal 69 13" xfId="16309" xr:uid="{00000000-0005-0000-0000-0000B43F0000}"/>
    <cellStyle name="Normal 69 2" xfId="16310" xr:uid="{00000000-0005-0000-0000-0000B53F0000}"/>
    <cellStyle name="Normal 69 2 2" xfId="16311" xr:uid="{00000000-0005-0000-0000-0000B63F0000}"/>
    <cellStyle name="Normal 69 2 2 2" xfId="16312" xr:uid="{00000000-0005-0000-0000-0000B73F0000}"/>
    <cellStyle name="Normal 69 2 2 2 2" xfId="16313" xr:uid="{00000000-0005-0000-0000-0000B83F0000}"/>
    <cellStyle name="Normal 69 2 2 2 2 2" xfId="16314" xr:uid="{00000000-0005-0000-0000-0000B93F0000}"/>
    <cellStyle name="Normal 69 2 2 2 2 3" xfId="16315" xr:uid="{00000000-0005-0000-0000-0000BA3F0000}"/>
    <cellStyle name="Normal 69 2 2 2 3" xfId="16316" xr:uid="{00000000-0005-0000-0000-0000BB3F0000}"/>
    <cellStyle name="Normal 69 2 2 2 3 2" xfId="16317" xr:uid="{00000000-0005-0000-0000-0000BC3F0000}"/>
    <cellStyle name="Normal 69 2 2 2 3 3" xfId="16318" xr:uid="{00000000-0005-0000-0000-0000BD3F0000}"/>
    <cellStyle name="Normal 69 2 2 2 4" xfId="16319" xr:uid="{00000000-0005-0000-0000-0000BE3F0000}"/>
    <cellStyle name="Normal 69 2 2 2 5" xfId="16320" xr:uid="{00000000-0005-0000-0000-0000BF3F0000}"/>
    <cellStyle name="Normal 69 2 2 3" xfId="16321" xr:uid="{00000000-0005-0000-0000-0000C03F0000}"/>
    <cellStyle name="Normal 69 2 2 3 2" xfId="16322" xr:uid="{00000000-0005-0000-0000-0000C13F0000}"/>
    <cellStyle name="Normal 69 2 2 3 2 2" xfId="16323" xr:uid="{00000000-0005-0000-0000-0000C23F0000}"/>
    <cellStyle name="Normal 69 2 2 3 2 3" xfId="16324" xr:uid="{00000000-0005-0000-0000-0000C33F0000}"/>
    <cellStyle name="Normal 69 2 2 3 3" xfId="16325" xr:uid="{00000000-0005-0000-0000-0000C43F0000}"/>
    <cellStyle name="Normal 69 2 2 3 3 2" xfId="16326" xr:uid="{00000000-0005-0000-0000-0000C53F0000}"/>
    <cellStyle name="Normal 69 2 2 3 3 3" xfId="16327" xr:uid="{00000000-0005-0000-0000-0000C63F0000}"/>
    <cellStyle name="Normal 69 2 2 3 4" xfId="16328" xr:uid="{00000000-0005-0000-0000-0000C73F0000}"/>
    <cellStyle name="Normal 69 2 2 3 5" xfId="16329" xr:uid="{00000000-0005-0000-0000-0000C83F0000}"/>
    <cellStyle name="Normal 69 2 2 4" xfId="16330" xr:uid="{00000000-0005-0000-0000-0000C93F0000}"/>
    <cellStyle name="Normal 69 2 2 4 2" xfId="16331" xr:uid="{00000000-0005-0000-0000-0000CA3F0000}"/>
    <cellStyle name="Normal 69 2 2 4 3" xfId="16332" xr:uid="{00000000-0005-0000-0000-0000CB3F0000}"/>
    <cellStyle name="Normal 69 2 2 5" xfId="16333" xr:uid="{00000000-0005-0000-0000-0000CC3F0000}"/>
    <cellStyle name="Normal 69 2 2 5 2" xfId="16334" xr:uid="{00000000-0005-0000-0000-0000CD3F0000}"/>
    <cellStyle name="Normal 69 2 2 5 3" xfId="16335" xr:uid="{00000000-0005-0000-0000-0000CE3F0000}"/>
    <cellStyle name="Normal 69 2 2 6" xfId="16336" xr:uid="{00000000-0005-0000-0000-0000CF3F0000}"/>
    <cellStyle name="Normal 69 2 2 7" xfId="16337" xr:uid="{00000000-0005-0000-0000-0000D03F0000}"/>
    <cellStyle name="Normal 69 2 3" xfId="16338" xr:uid="{00000000-0005-0000-0000-0000D13F0000}"/>
    <cellStyle name="Normal 69 2 3 2" xfId="16339" xr:uid="{00000000-0005-0000-0000-0000D23F0000}"/>
    <cellStyle name="Normal 69 2 3 2 2" xfId="16340" xr:uid="{00000000-0005-0000-0000-0000D33F0000}"/>
    <cellStyle name="Normal 69 2 3 2 3" xfId="16341" xr:uid="{00000000-0005-0000-0000-0000D43F0000}"/>
    <cellStyle name="Normal 69 2 3 3" xfId="16342" xr:uid="{00000000-0005-0000-0000-0000D53F0000}"/>
    <cellStyle name="Normal 69 2 3 3 2" xfId="16343" xr:uid="{00000000-0005-0000-0000-0000D63F0000}"/>
    <cellStyle name="Normal 69 2 3 3 3" xfId="16344" xr:uid="{00000000-0005-0000-0000-0000D73F0000}"/>
    <cellStyle name="Normal 69 2 3 4" xfId="16345" xr:uid="{00000000-0005-0000-0000-0000D83F0000}"/>
    <cellStyle name="Normal 69 2 3 5" xfId="16346" xr:uid="{00000000-0005-0000-0000-0000D93F0000}"/>
    <cellStyle name="Normal 69 2 4" xfId="16347" xr:uid="{00000000-0005-0000-0000-0000DA3F0000}"/>
    <cellStyle name="Normal 69 2 4 2" xfId="16348" xr:uid="{00000000-0005-0000-0000-0000DB3F0000}"/>
    <cellStyle name="Normal 69 2 4 2 2" xfId="16349" xr:uid="{00000000-0005-0000-0000-0000DC3F0000}"/>
    <cellStyle name="Normal 69 2 4 2 3" xfId="16350" xr:uid="{00000000-0005-0000-0000-0000DD3F0000}"/>
    <cellStyle name="Normal 69 2 4 3" xfId="16351" xr:uid="{00000000-0005-0000-0000-0000DE3F0000}"/>
    <cellStyle name="Normal 69 2 4 3 2" xfId="16352" xr:uid="{00000000-0005-0000-0000-0000DF3F0000}"/>
    <cellStyle name="Normal 69 2 4 3 3" xfId="16353" xr:uid="{00000000-0005-0000-0000-0000E03F0000}"/>
    <cellStyle name="Normal 69 2 4 4" xfId="16354" xr:uid="{00000000-0005-0000-0000-0000E13F0000}"/>
    <cellStyle name="Normal 69 2 4 5" xfId="16355" xr:uid="{00000000-0005-0000-0000-0000E23F0000}"/>
    <cellStyle name="Normal 69 2 5" xfId="16356" xr:uid="{00000000-0005-0000-0000-0000E33F0000}"/>
    <cellStyle name="Normal 69 2 5 2" xfId="16357" xr:uid="{00000000-0005-0000-0000-0000E43F0000}"/>
    <cellStyle name="Normal 69 2 5 3" xfId="16358" xr:uid="{00000000-0005-0000-0000-0000E53F0000}"/>
    <cellStyle name="Normal 69 2 6" xfId="16359" xr:uid="{00000000-0005-0000-0000-0000E63F0000}"/>
    <cellStyle name="Normal 69 2 6 2" xfId="16360" xr:uid="{00000000-0005-0000-0000-0000E73F0000}"/>
    <cellStyle name="Normal 69 2 6 3" xfId="16361" xr:uid="{00000000-0005-0000-0000-0000E83F0000}"/>
    <cellStyle name="Normal 69 2 7" xfId="16362" xr:uid="{00000000-0005-0000-0000-0000E93F0000}"/>
    <cellStyle name="Normal 69 2 7 2" xfId="16363" xr:uid="{00000000-0005-0000-0000-0000EA3F0000}"/>
    <cellStyle name="Normal 69 2 7 3" xfId="16364" xr:uid="{00000000-0005-0000-0000-0000EB3F0000}"/>
    <cellStyle name="Normal 69 2 7 3 2" xfId="16365" xr:uid="{00000000-0005-0000-0000-0000EC3F0000}"/>
    <cellStyle name="Normal 69 2 7 4" xfId="16366" xr:uid="{00000000-0005-0000-0000-0000ED3F0000}"/>
    <cellStyle name="Normal 69 2 8" xfId="16367" xr:uid="{00000000-0005-0000-0000-0000EE3F0000}"/>
    <cellStyle name="Normal 69 2 9" xfId="16368" xr:uid="{00000000-0005-0000-0000-0000EF3F0000}"/>
    <cellStyle name="Normal 69 3" xfId="16369" xr:uid="{00000000-0005-0000-0000-0000F03F0000}"/>
    <cellStyle name="Normal 69 3 2" xfId="16370" xr:uid="{00000000-0005-0000-0000-0000F13F0000}"/>
    <cellStyle name="Normal 69 3 2 2" xfId="16371" xr:uid="{00000000-0005-0000-0000-0000F23F0000}"/>
    <cellStyle name="Normal 69 3 2 2 2" xfId="16372" xr:uid="{00000000-0005-0000-0000-0000F33F0000}"/>
    <cellStyle name="Normal 69 3 2 2 3" xfId="16373" xr:uid="{00000000-0005-0000-0000-0000F43F0000}"/>
    <cellStyle name="Normal 69 3 2 3" xfId="16374" xr:uid="{00000000-0005-0000-0000-0000F53F0000}"/>
    <cellStyle name="Normal 69 3 2 3 2" xfId="16375" xr:uid="{00000000-0005-0000-0000-0000F63F0000}"/>
    <cellStyle name="Normal 69 3 2 3 3" xfId="16376" xr:uid="{00000000-0005-0000-0000-0000F73F0000}"/>
    <cellStyle name="Normal 69 3 2 4" xfId="16377" xr:uid="{00000000-0005-0000-0000-0000F83F0000}"/>
    <cellStyle name="Normal 69 3 2 5" xfId="16378" xr:uid="{00000000-0005-0000-0000-0000F93F0000}"/>
    <cellStyle name="Normal 69 3 3" xfId="16379" xr:uid="{00000000-0005-0000-0000-0000FA3F0000}"/>
    <cellStyle name="Normal 69 3 3 2" xfId="16380" xr:uid="{00000000-0005-0000-0000-0000FB3F0000}"/>
    <cellStyle name="Normal 69 3 3 2 2" xfId="16381" xr:uid="{00000000-0005-0000-0000-0000FC3F0000}"/>
    <cellStyle name="Normal 69 3 3 2 3" xfId="16382" xr:uid="{00000000-0005-0000-0000-0000FD3F0000}"/>
    <cellStyle name="Normal 69 3 3 3" xfId="16383" xr:uid="{00000000-0005-0000-0000-0000FE3F0000}"/>
    <cellStyle name="Normal 69 3 3 3 2" xfId="16384" xr:uid="{00000000-0005-0000-0000-0000FF3F0000}"/>
    <cellStyle name="Normal 69 3 3 3 3" xfId="16385" xr:uid="{00000000-0005-0000-0000-000000400000}"/>
    <cellStyle name="Normal 69 3 3 4" xfId="16386" xr:uid="{00000000-0005-0000-0000-000001400000}"/>
    <cellStyle name="Normal 69 3 3 5" xfId="16387" xr:uid="{00000000-0005-0000-0000-000002400000}"/>
    <cellStyle name="Normal 69 3 4" xfId="16388" xr:uid="{00000000-0005-0000-0000-000003400000}"/>
    <cellStyle name="Normal 69 3 4 2" xfId="16389" xr:uid="{00000000-0005-0000-0000-000004400000}"/>
    <cellStyle name="Normal 69 3 4 3" xfId="16390" xr:uid="{00000000-0005-0000-0000-000005400000}"/>
    <cellStyle name="Normal 69 3 5" xfId="16391" xr:uid="{00000000-0005-0000-0000-000006400000}"/>
    <cellStyle name="Normal 69 3 5 2" xfId="16392" xr:uid="{00000000-0005-0000-0000-000007400000}"/>
    <cellStyle name="Normal 69 3 5 3" xfId="16393" xr:uid="{00000000-0005-0000-0000-000008400000}"/>
    <cellStyle name="Normal 69 3 6" xfId="16394" xr:uid="{00000000-0005-0000-0000-000009400000}"/>
    <cellStyle name="Normal 69 3 7" xfId="16395" xr:uid="{00000000-0005-0000-0000-00000A400000}"/>
    <cellStyle name="Normal 69 4" xfId="16396" xr:uid="{00000000-0005-0000-0000-00000B400000}"/>
    <cellStyle name="Normal 69 4 2" xfId="16397" xr:uid="{00000000-0005-0000-0000-00000C400000}"/>
    <cellStyle name="Normal 69 4 2 2" xfId="16398" xr:uid="{00000000-0005-0000-0000-00000D400000}"/>
    <cellStyle name="Normal 69 4 2 2 2" xfId="16399" xr:uid="{00000000-0005-0000-0000-00000E400000}"/>
    <cellStyle name="Normal 69 4 2 2 3" xfId="16400" xr:uid="{00000000-0005-0000-0000-00000F400000}"/>
    <cellStyle name="Normal 69 4 2 3" xfId="16401" xr:uid="{00000000-0005-0000-0000-000010400000}"/>
    <cellStyle name="Normal 69 4 2 3 2" xfId="16402" xr:uid="{00000000-0005-0000-0000-000011400000}"/>
    <cellStyle name="Normal 69 4 2 3 3" xfId="16403" xr:uid="{00000000-0005-0000-0000-000012400000}"/>
    <cellStyle name="Normal 69 4 2 4" xfId="16404" xr:uid="{00000000-0005-0000-0000-000013400000}"/>
    <cellStyle name="Normal 69 4 2 5" xfId="16405" xr:uid="{00000000-0005-0000-0000-000014400000}"/>
    <cellStyle name="Normal 69 4 3" xfId="16406" xr:uid="{00000000-0005-0000-0000-000015400000}"/>
    <cellStyle name="Normal 69 4 3 2" xfId="16407" xr:uid="{00000000-0005-0000-0000-000016400000}"/>
    <cellStyle name="Normal 69 4 3 2 2" xfId="16408" xr:uid="{00000000-0005-0000-0000-000017400000}"/>
    <cellStyle name="Normal 69 4 3 2 3" xfId="16409" xr:uid="{00000000-0005-0000-0000-000018400000}"/>
    <cellStyle name="Normal 69 4 3 3" xfId="16410" xr:uid="{00000000-0005-0000-0000-000019400000}"/>
    <cellStyle name="Normal 69 4 3 4" xfId="16411" xr:uid="{00000000-0005-0000-0000-00001A400000}"/>
    <cellStyle name="Normal 69 4 4" xfId="16412" xr:uid="{00000000-0005-0000-0000-00001B400000}"/>
    <cellStyle name="Normal 69 4 4 2" xfId="16413" xr:uid="{00000000-0005-0000-0000-00001C400000}"/>
    <cellStyle name="Normal 69 4 4 3" xfId="16414" xr:uid="{00000000-0005-0000-0000-00001D400000}"/>
    <cellStyle name="Normal 69 4 5" xfId="16415" xr:uid="{00000000-0005-0000-0000-00001E400000}"/>
    <cellStyle name="Normal 69 4 5 2" xfId="16416" xr:uid="{00000000-0005-0000-0000-00001F400000}"/>
    <cellStyle name="Normal 69 4 5 3" xfId="16417" xr:uid="{00000000-0005-0000-0000-000020400000}"/>
    <cellStyle name="Normal 69 4 6" xfId="16418" xr:uid="{00000000-0005-0000-0000-000021400000}"/>
    <cellStyle name="Normal 69 4 7" xfId="16419" xr:uid="{00000000-0005-0000-0000-000022400000}"/>
    <cellStyle name="Normal 69 5" xfId="16420" xr:uid="{00000000-0005-0000-0000-000023400000}"/>
    <cellStyle name="Normal 69 5 2" xfId="16421" xr:uid="{00000000-0005-0000-0000-000024400000}"/>
    <cellStyle name="Normal 69 5 2 2" xfId="16422" xr:uid="{00000000-0005-0000-0000-000025400000}"/>
    <cellStyle name="Normal 69 5 2 3" xfId="16423" xr:uid="{00000000-0005-0000-0000-000026400000}"/>
    <cellStyle name="Normal 69 5 3" xfId="16424" xr:uid="{00000000-0005-0000-0000-000027400000}"/>
    <cellStyle name="Normal 69 5 3 2" xfId="16425" xr:uid="{00000000-0005-0000-0000-000028400000}"/>
    <cellStyle name="Normal 69 5 3 3" xfId="16426" xr:uid="{00000000-0005-0000-0000-000029400000}"/>
    <cellStyle name="Normal 69 5 4" xfId="16427" xr:uid="{00000000-0005-0000-0000-00002A400000}"/>
    <cellStyle name="Normal 69 5 5" xfId="16428" xr:uid="{00000000-0005-0000-0000-00002B400000}"/>
    <cellStyle name="Normal 69 6" xfId="16429" xr:uid="{00000000-0005-0000-0000-00002C400000}"/>
    <cellStyle name="Normal 69 6 2" xfId="16430" xr:uid="{00000000-0005-0000-0000-00002D400000}"/>
    <cellStyle name="Normal 69 6 2 2" xfId="16431" xr:uid="{00000000-0005-0000-0000-00002E400000}"/>
    <cellStyle name="Normal 69 6 2 3" xfId="16432" xr:uid="{00000000-0005-0000-0000-00002F400000}"/>
    <cellStyle name="Normal 69 6 3" xfId="16433" xr:uid="{00000000-0005-0000-0000-000030400000}"/>
    <cellStyle name="Normal 69 6 3 2" xfId="16434" xr:uid="{00000000-0005-0000-0000-000031400000}"/>
    <cellStyle name="Normal 69 6 3 3" xfId="16435" xr:uid="{00000000-0005-0000-0000-000032400000}"/>
    <cellStyle name="Normal 69 6 4" xfId="16436" xr:uid="{00000000-0005-0000-0000-000033400000}"/>
    <cellStyle name="Normal 69 6 5" xfId="16437" xr:uid="{00000000-0005-0000-0000-000034400000}"/>
    <cellStyle name="Normal 69 7" xfId="16438" xr:uid="{00000000-0005-0000-0000-000035400000}"/>
    <cellStyle name="Normal 69 7 2" xfId="16439" xr:uid="{00000000-0005-0000-0000-000036400000}"/>
    <cellStyle name="Normal 69 7 2 2" xfId="16440" xr:uid="{00000000-0005-0000-0000-000037400000}"/>
    <cellStyle name="Normal 69 7 2 3" xfId="16441" xr:uid="{00000000-0005-0000-0000-000038400000}"/>
    <cellStyle name="Normal 69 7 3" xfId="16442" xr:uid="{00000000-0005-0000-0000-000039400000}"/>
    <cellStyle name="Normal 69 7 4" xfId="16443" xr:uid="{00000000-0005-0000-0000-00003A400000}"/>
    <cellStyle name="Normal 69 8" xfId="16444" xr:uid="{00000000-0005-0000-0000-00003B400000}"/>
    <cellStyle name="Normal 69 8 2" xfId="16445" xr:uid="{00000000-0005-0000-0000-00003C400000}"/>
    <cellStyle name="Normal 69 8 3" xfId="16446" xr:uid="{00000000-0005-0000-0000-00003D400000}"/>
    <cellStyle name="Normal 69 9" xfId="16447" xr:uid="{00000000-0005-0000-0000-00003E400000}"/>
    <cellStyle name="Normal 69 9 2" xfId="16448" xr:uid="{00000000-0005-0000-0000-00003F400000}"/>
    <cellStyle name="Normal 69 9 3" xfId="16449" xr:uid="{00000000-0005-0000-0000-000040400000}"/>
    <cellStyle name="Normal 7" xfId="16450" xr:uid="{00000000-0005-0000-0000-000041400000}"/>
    <cellStyle name="Normal 7 10" xfId="16451" xr:uid="{00000000-0005-0000-0000-000042400000}"/>
    <cellStyle name="Normal 7 10 2" xfId="16452" xr:uid="{00000000-0005-0000-0000-000043400000}"/>
    <cellStyle name="Normal 7 10 2 2" xfId="16453" xr:uid="{00000000-0005-0000-0000-000044400000}"/>
    <cellStyle name="Normal 7 10 2 2 2" xfId="16454" xr:uid="{00000000-0005-0000-0000-000045400000}"/>
    <cellStyle name="Normal 7 10 2 2 3" xfId="16455" xr:uid="{00000000-0005-0000-0000-000046400000}"/>
    <cellStyle name="Normal 7 10 2 3" xfId="16456" xr:uid="{00000000-0005-0000-0000-000047400000}"/>
    <cellStyle name="Normal 7 10 2 3 2" xfId="16457" xr:uid="{00000000-0005-0000-0000-000048400000}"/>
    <cellStyle name="Normal 7 10 2 3 3" xfId="16458" xr:uid="{00000000-0005-0000-0000-000049400000}"/>
    <cellStyle name="Normal 7 10 2 4" xfId="16459" xr:uid="{00000000-0005-0000-0000-00004A400000}"/>
    <cellStyle name="Normal 7 10 2 5" xfId="16460" xr:uid="{00000000-0005-0000-0000-00004B400000}"/>
    <cellStyle name="Normal 7 10 3" xfId="16461" xr:uid="{00000000-0005-0000-0000-00004C400000}"/>
    <cellStyle name="Normal 7 10 3 2" xfId="16462" xr:uid="{00000000-0005-0000-0000-00004D400000}"/>
    <cellStyle name="Normal 7 10 3 2 2" xfId="16463" xr:uid="{00000000-0005-0000-0000-00004E400000}"/>
    <cellStyle name="Normal 7 10 3 2 3" xfId="16464" xr:uid="{00000000-0005-0000-0000-00004F400000}"/>
    <cellStyle name="Normal 7 10 3 3" xfId="16465" xr:uid="{00000000-0005-0000-0000-000050400000}"/>
    <cellStyle name="Normal 7 10 3 4" xfId="16466" xr:uid="{00000000-0005-0000-0000-000051400000}"/>
    <cellStyle name="Normal 7 10 4" xfId="16467" xr:uid="{00000000-0005-0000-0000-000052400000}"/>
    <cellStyle name="Normal 7 10 4 2" xfId="16468" xr:uid="{00000000-0005-0000-0000-000053400000}"/>
    <cellStyle name="Normal 7 10 4 3" xfId="16469" xr:uid="{00000000-0005-0000-0000-000054400000}"/>
    <cellStyle name="Normal 7 10 5" xfId="16470" xr:uid="{00000000-0005-0000-0000-000055400000}"/>
    <cellStyle name="Normal 7 10 5 2" xfId="16471" xr:uid="{00000000-0005-0000-0000-000056400000}"/>
    <cellStyle name="Normal 7 10 5 3" xfId="16472" xr:uid="{00000000-0005-0000-0000-000057400000}"/>
    <cellStyle name="Normal 7 10 6" xfId="16473" xr:uid="{00000000-0005-0000-0000-000058400000}"/>
    <cellStyle name="Normal 7 10 7" xfId="16474" xr:uid="{00000000-0005-0000-0000-000059400000}"/>
    <cellStyle name="Normal 7 11" xfId="16475" xr:uid="{00000000-0005-0000-0000-00005A400000}"/>
    <cellStyle name="Normal 7 11 2" xfId="16476" xr:uid="{00000000-0005-0000-0000-00005B400000}"/>
    <cellStyle name="Normal 7 11 2 2" xfId="16477" xr:uid="{00000000-0005-0000-0000-00005C400000}"/>
    <cellStyle name="Normal 7 11 2 3" xfId="16478" xr:uid="{00000000-0005-0000-0000-00005D400000}"/>
    <cellStyle name="Normal 7 11 3" xfId="16479" xr:uid="{00000000-0005-0000-0000-00005E400000}"/>
    <cellStyle name="Normal 7 11 3 2" xfId="16480" xr:uid="{00000000-0005-0000-0000-00005F400000}"/>
    <cellStyle name="Normal 7 11 3 3" xfId="16481" xr:uid="{00000000-0005-0000-0000-000060400000}"/>
    <cellStyle name="Normal 7 11 4" xfId="16482" xr:uid="{00000000-0005-0000-0000-000061400000}"/>
    <cellStyle name="Normal 7 11 5" xfId="16483" xr:uid="{00000000-0005-0000-0000-000062400000}"/>
    <cellStyle name="Normal 7 12" xfId="16484" xr:uid="{00000000-0005-0000-0000-000063400000}"/>
    <cellStyle name="Normal 7 12 2" xfId="16485" xr:uid="{00000000-0005-0000-0000-000064400000}"/>
    <cellStyle name="Normal 7 12 2 2" xfId="16486" xr:uid="{00000000-0005-0000-0000-000065400000}"/>
    <cellStyle name="Normal 7 12 2 3" xfId="16487" xr:uid="{00000000-0005-0000-0000-000066400000}"/>
    <cellStyle name="Normal 7 12 3" xfId="16488" xr:uid="{00000000-0005-0000-0000-000067400000}"/>
    <cellStyle name="Normal 7 12 3 2" xfId="16489" xr:uid="{00000000-0005-0000-0000-000068400000}"/>
    <cellStyle name="Normal 7 12 3 3" xfId="16490" xr:uid="{00000000-0005-0000-0000-000069400000}"/>
    <cellStyle name="Normal 7 12 4" xfId="16491" xr:uid="{00000000-0005-0000-0000-00006A400000}"/>
    <cellStyle name="Normal 7 12 5" xfId="16492" xr:uid="{00000000-0005-0000-0000-00006B400000}"/>
    <cellStyle name="Normal 7 13" xfId="16493" xr:uid="{00000000-0005-0000-0000-00006C400000}"/>
    <cellStyle name="Normal 7 13 2" xfId="16494" xr:uid="{00000000-0005-0000-0000-00006D400000}"/>
    <cellStyle name="Normal 7 13 2 2" xfId="16495" xr:uid="{00000000-0005-0000-0000-00006E400000}"/>
    <cellStyle name="Normal 7 13 2 3" xfId="16496" xr:uid="{00000000-0005-0000-0000-00006F400000}"/>
    <cellStyle name="Normal 7 13 3" xfId="16497" xr:uid="{00000000-0005-0000-0000-000070400000}"/>
    <cellStyle name="Normal 7 13 4" xfId="16498" xr:uid="{00000000-0005-0000-0000-000071400000}"/>
    <cellStyle name="Normal 7 14" xfId="16499" xr:uid="{00000000-0005-0000-0000-000072400000}"/>
    <cellStyle name="Normal 7 14 2" xfId="16500" xr:uid="{00000000-0005-0000-0000-000073400000}"/>
    <cellStyle name="Normal 7 14 3" xfId="16501" xr:uid="{00000000-0005-0000-0000-000074400000}"/>
    <cellStyle name="Normal 7 15" xfId="16502" xr:uid="{00000000-0005-0000-0000-000075400000}"/>
    <cellStyle name="Normal 7 15 2" xfId="16503" xr:uid="{00000000-0005-0000-0000-000076400000}"/>
    <cellStyle name="Normal 7 15 3" xfId="16504" xr:uid="{00000000-0005-0000-0000-000077400000}"/>
    <cellStyle name="Normal 7 16" xfId="16505" xr:uid="{00000000-0005-0000-0000-000078400000}"/>
    <cellStyle name="Normal 7 16 2" xfId="16506" xr:uid="{00000000-0005-0000-0000-000079400000}"/>
    <cellStyle name="Normal 7 16 3" xfId="16507" xr:uid="{00000000-0005-0000-0000-00007A400000}"/>
    <cellStyle name="Normal 7 16 3 2" xfId="16508" xr:uid="{00000000-0005-0000-0000-00007B400000}"/>
    <cellStyle name="Normal 7 16 4" xfId="16509" xr:uid="{00000000-0005-0000-0000-00007C400000}"/>
    <cellStyle name="Normal 7 17" xfId="16510" xr:uid="{00000000-0005-0000-0000-00007D400000}"/>
    <cellStyle name="Normal 7 17 2" xfId="16511" xr:uid="{00000000-0005-0000-0000-00007E400000}"/>
    <cellStyle name="Normal 7 17 2 2" xfId="16512" xr:uid="{00000000-0005-0000-0000-00007F400000}"/>
    <cellStyle name="Normal 7 17 3" xfId="16513" xr:uid="{00000000-0005-0000-0000-000080400000}"/>
    <cellStyle name="Normal 7 18" xfId="16514" xr:uid="{00000000-0005-0000-0000-000081400000}"/>
    <cellStyle name="Normal 7 19" xfId="16515" xr:uid="{00000000-0005-0000-0000-000082400000}"/>
    <cellStyle name="Normal 7 2" xfId="16516" xr:uid="{00000000-0005-0000-0000-000083400000}"/>
    <cellStyle name="Normal 7 2 10" xfId="16517" xr:uid="{00000000-0005-0000-0000-000084400000}"/>
    <cellStyle name="Normal 7 2 10 2" xfId="16518" xr:uid="{00000000-0005-0000-0000-000085400000}"/>
    <cellStyle name="Normal 7 2 10 2 2" xfId="16519" xr:uid="{00000000-0005-0000-0000-000086400000}"/>
    <cellStyle name="Normal 7 2 10 2 3" xfId="16520" xr:uid="{00000000-0005-0000-0000-000087400000}"/>
    <cellStyle name="Normal 7 2 10 3" xfId="16521" xr:uid="{00000000-0005-0000-0000-000088400000}"/>
    <cellStyle name="Normal 7 2 10 3 2" xfId="16522" xr:uid="{00000000-0005-0000-0000-000089400000}"/>
    <cellStyle name="Normal 7 2 10 3 3" xfId="16523" xr:uid="{00000000-0005-0000-0000-00008A400000}"/>
    <cellStyle name="Normal 7 2 10 4" xfId="16524" xr:uid="{00000000-0005-0000-0000-00008B400000}"/>
    <cellStyle name="Normal 7 2 10 5" xfId="16525" xr:uid="{00000000-0005-0000-0000-00008C400000}"/>
    <cellStyle name="Normal 7 2 11" xfId="16526" xr:uid="{00000000-0005-0000-0000-00008D400000}"/>
    <cellStyle name="Normal 7 2 11 2" xfId="16527" xr:uid="{00000000-0005-0000-0000-00008E400000}"/>
    <cellStyle name="Normal 7 2 11 2 2" xfId="16528" xr:uid="{00000000-0005-0000-0000-00008F400000}"/>
    <cellStyle name="Normal 7 2 11 2 3" xfId="16529" xr:uid="{00000000-0005-0000-0000-000090400000}"/>
    <cellStyle name="Normal 7 2 11 3" xfId="16530" xr:uid="{00000000-0005-0000-0000-000091400000}"/>
    <cellStyle name="Normal 7 2 11 3 2" xfId="16531" xr:uid="{00000000-0005-0000-0000-000092400000}"/>
    <cellStyle name="Normal 7 2 11 3 3" xfId="16532" xr:uid="{00000000-0005-0000-0000-000093400000}"/>
    <cellStyle name="Normal 7 2 11 4" xfId="16533" xr:uid="{00000000-0005-0000-0000-000094400000}"/>
    <cellStyle name="Normal 7 2 11 5" xfId="16534" xr:uid="{00000000-0005-0000-0000-000095400000}"/>
    <cellStyle name="Normal 7 2 12" xfId="16535" xr:uid="{00000000-0005-0000-0000-000096400000}"/>
    <cellStyle name="Normal 7 2 12 2" xfId="16536" xr:uid="{00000000-0005-0000-0000-000097400000}"/>
    <cellStyle name="Normal 7 2 12 2 2" xfId="16537" xr:uid="{00000000-0005-0000-0000-000098400000}"/>
    <cellStyle name="Normal 7 2 12 2 3" xfId="16538" xr:uid="{00000000-0005-0000-0000-000099400000}"/>
    <cellStyle name="Normal 7 2 12 3" xfId="16539" xr:uid="{00000000-0005-0000-0000-00009A400000}"/>
    <cellStyle name="Normal 7 2 12 4" xfId="16540" xr:uid="{00000000-0005-0000-0000-00009B400000}"/>
    <cellStyle name="Normal 7 2 13" xfId="16541" xr:uid="{00000000-0005-0000-0000-00009C400000}"/>
    <cellStyle name="Normal 7 2 13 2" xfId="16542" xr:uid="{00000000-0005-0000-0000-00009D400000}"/>
    <cellStyle name="Normal 7 2 13 3" xfId="16543" xr:uid="{00000000-0005-0000-0000-00009E400000}"/>
    <cellStyle name="Normal 7 2 14" xfId="16544" xr:uid="{00000000-0005-0000-0000-00009F400000}"/>
    <cellStyle name="Normal 7 2 14 2" xfId="16545" xr:uid="{00000000-0005-0000-0000-0000A0400000}"/>
    <cellStyle name="Normal 7 2 14 3" xfId="16546" xr:uid="{00000000-0005-0000-0000-0000A1400000}"/>
    <cellStyle name="Normal 7 2 15" xfId="16547" xr:uid="{00000000-0005-0000-0000-0000A2400000}"/>
    <cellStyle name="Normal 7 2 15 2" xfId="16548" xr:uid="{00000000-0005-0000-0000-0000A3400000}"/>
    <cellStyle name="Normal 7 2 15 3" xfId="16549" xr:uid="{00000000-0005-0000-0000-0000A4400000}"/>
    <cellStyle name="Normal 7 2 15 3 2" xfId="16550" xr:uid="{00000000-0005-0000-0000-0000A5400000}"/>
    <cellStyle name="Normal 7 2 15 4" xfId="16551" xr:uid="{00000000-0005-0000-0000-0000A6400000}"/>
    <cellStyle name="Normal 7 2 16" xfId="16552" xr:uid="{00000000-0005-0000-0000-0000A7400000}"/>
    <cellStyle name="Normal 7 2 16 2" xfId="16553" xr:uid="{00000000-0005-0000-0000-0000A8400000}"/>
    <cellStyle name="Normal 7 2 16 2 2" xfId="16554" xr:uid="{00000000-0005-0000-0000-0000A9400000}"/>
    <cellStyle name="Normal 7 2 16 3" xfId="16555" xr:uid="{00000000-0005-0000-0000-0000AA400000}"/>
    <cellStyle name="Normal 7 2 17" xfId="16556" xr:uid="{00000000-0005-0000-0000-0000AB400000}"/>
    <cellStyle name="Normal 7 2 18" xfId="16557" xr:uid="{00000000-0005-0000-0000-0000AC400000}"/>
    <cellStyle name="Normal 7 2 2" xfId="16558" xr:uid="{00000000-0005-0000-0000-0000AD400000}"/>
    <cellStyle name="Normal 7 2 2 2" xfId="16559" xr:uid="{00000000-0005-0000-0000-0000AE400000}"/>
    <cellStyle name="Normal 7 2 2 2 2" xfId="16560" xr:uid="{00000000-0005-0000-0000-0000AF400000}"/>
    <cellStyle name="Normal 7 2 2 2 2 2" xfId="16561" xr:uid="{00000000-0005-0000-0000-0000B0400000}"/>
    <cellStyle name="Normal 7 2 2 2 2 3" xfId="16562" xr:uid="{00000000-0005-0000-0000-0000B1400000}"/>
    <cellStyle name="Normal 7 2 2 2 2 3 2" xfId="16563" xr:uid="{00000000-0005-0000-0000-0000B2400000}"/>
    <cellStyle name="Normal 7 2 2 2 3" xfId="16564" xr:uid="{00000000-0005-0000-0000-0000B3400000}"/>
    <cellStyle name="Normal 7 2 2 2 3 2" xfId="16565" xr:uid="{00000000-0005-0000-0000-0000B4400000}"/>
    <cellStyle name="Normal 7 2 2 2 3 3" xfId="16566" xr:uid="{00000000-0005-0000-0000-0000B5400000}"/>
    <cellStyle name="Normal 7 2 2 2 3 3 2" xfId="16567" xr:uid="{00000000-0005-0000-0000-0000B6400000}"/>
    <cellStyle name="Normal 7 2 2 2 4" xfId="16568" xr:uid="{00000000-0005-0000-0000-0000B7400000}"/>
    <cellStyle name="Normal 7 2 2 2 5" xfId="16569" xr:uid="{00000000-0005-0000-0000-0000B8400000}"/>
    <cellStyle name="Normal 7 2 2 3" xfId="16570" xr:uid="{00000000-0005-0000-0000-0000B9400000}"/>
    <cellStyle name="Normal 7 2 2 3 2" xfId="16571" xr:uid="{00000000-0005-0000-0000-0000BA400000}"/>
    <cellStyle name="Normal 7 2 2 3 2 2" xfId="16572" xr:uid="{00000000-0005-0000-0000-0000BB400000}"/>
    <cellStyle name="Normal 7 2 2 3 2 2 2" xfId="16573" xr:uid="{00000000-0005-0000-0000-0000BC400000}"/>
    <cellStyle name="Normal 7 2 2 3 2 2 3" xfId="16574" xr:uid="{00000000-0005-0000-0000-0000BD400000}"/>
    <cellStyle name="Normal 7 2 2 3 2 3" xfId="16575" xr:uid="{00000000-0005-0000-0000-0000BE400000}"/>
    <cellStyle name="Normal 7 2 2 3 2 3 2" xfId="16576" xr:uid="{00000000-0005-0000-0000-0000BF400000}"/>
    <cellStyle name="Normal 7 2 2 3 2 3 3" xfId="16577" xr:uid="{00000000-0005-0000-0000-0000C0400000}"/>
    <cellStyle name="Normal 7 2 2 3 2 4" xfId="16578" xr:uid="{00000000-0005-0000-0000-0000C1400000}"/>
    <cellStyle name="Normal 7 2 2 3 2 5" xfId="16579" xr:uid="{00000000-0005-0000-0000-0000C2400000}"/>
    <cellStyle name="Normal 7 2 2 3 3" xfId="16580" xr:uid="{00000000-0005-0000-0000-0000C3400000}"/>
    <cellStyle name="Normal 7 2 2 3 3 2" xfId="16581" xr:uid="{00000000-0005-0000-0000-0000C4400000}"/>
    <cellStyle name="Normal 7 2 2 3 3 2 2" xfId="16582" xr:uid="{00000000-0005-0000-0000-0000C5400000}"/>
    <cellStyle name="Normal 7 2 2 3 3 2 3" xfId="16583" xr:uid="{00000000-0005-0000-0000-0000C6400000}"/>
    <cellStyle name="Normal 7 2 2 3 3 3" xfId="16584" xr:uid="{00000000-0005-0000-0000-0000C7400000}"/>
    <cellStyle name="Normal 7 2 2 3 3 3 2" xfId="16585" xr:uid="{00000000-0005-0000-0000-0000C8400000}"/>
    <cellStyle name="Normal 7 2 2 3 3 3 3" xfId="16586" xr:uid="{00000000-0005-0000-0000-0000C9400000}"/>
    <cellStyle name="Normal 7 2 2 3 3 4" xfId="16587" xr:uid="{00000000-0005-0000-0000-0000CA400000}"/>
    <cellStyle name="Normal 7 2 2 3 3 5" xfId="16588" xr:uid="{00000000-0005-0000-0000-0000CB400000}"/>
    <cellStyle name="Normal 7 2 2 3 4" xfId="16589" xr:uid="{00000000-0005-0000-0000-0000CC400000}"/>
    <cellStyle name="Normal 7 2 2 3 4 2" xfId="16590" xr:uid="{00000000-0005-0000-0000-0000CD400000}"/>
    <cellStyle name="Normal 7 2 2 3 4 3" xfId="16591" xr:uid="{00000000-0005-0000-0000-0000CE400000}"/>
    <cellStyle name="Normal 7 2 2 3 5" xfId="16592" xr:uid="{00000000-0005-0000-0000-0000CF400000}"/>
    <cellStyle name="Normal 7 2 2 3 5 2" xfId="16593" xr:uid="{00000000-0005-0000-0000-0000D0400000}"/>
    <cellStyle name="Normal 7 2 2 3 5 3" xfId="16594" xr:uid="{00000000-0005-0000-0000-0000D1400000}"/>
    <cellStyle name="Normal 7 2 2 3 6" xfId="16595" xr:uid="{00000000-0005-0000-0000-0000D2400000}"/>
    <cellStyle name="Normal 7 2 2 3 7" xfId="16596" xr:uid="{00000000-0005-0000-0000-0000D3400000}"/>
    <cellStyle name="Normal 7 2 2 4" xfId="16597" xr:uid="{00000000-0005-0000-0000-0000D4400000}"/>
    <cellStyle name="Normal 7 2 2 4 2" xfId="16598" xr:uid="{00000000-0005-0000-0000-0000D5400000}"/>
    <cellStyle name="Normal 7 2 2 4 2 2" xfId="16599" xr:uid="{00000000-0005-0000-0000-0000D6400000}"/>
    <cellStyle name="Normal 7 2 2 4 2 2 2" xfId="16600" xr:uid="{00000000-0005-0000-0000-0000D7400000}"/>
    <cellStyle name="Normal 7 2 2 4 2 2 3" xfId="16601" xr:uid="{00000000-0005-0000-0000-0000D8400000}"/>
    <cellStyle name="Normal 7 2 2 4 2 3" xfId="16602" xr:uid="{00000000-0005-0000-0000-0000D9400000}"/>
    <cellStyle name="Normal 7 2 2 4 2 3 2" xfId="16603" xr:uid="{00000000-0005-0000-0000-0000DA400000}"/>
    <cellStyle name="Normal 7 2 2 4 2 3 3" xfId="16604" xr:uid="{00000000-0005-0000-0000-0000DB400000}"/>
    <cellStyle name="Normal 7 2 2 4 2 4" xfId="16605" xr:uid="{00000000-0005-0000-0000-0000DC400000}"/>
    <cellStyle name="Normal 7 2 2 4 2 5" xfId="16606" xr:uid="{00000000-0005-0000-0000-0000DD400000}"/>
    <cellStyle name="Normal 7 2 2 4 3" xfId="16607" xr:uid="{00000000-0005-0000-0000-0000DE400000}"/>
    <cellStyle name="Normal 7 2 2 4 3 2" xfId="16608" xr:uid="{00000000-0005-0000-0000-0000DF400000}"/>
    <cellStyle name="Normal 7 2 2 4 3 2 2" xfId="16609" xr:uid="{00000000-0005-0000-0000-0000E0400000}"/>
    <cellStyle name="Normal 7 2 2 4 3 2 3" xfId="16610" xr:uid="{00000000-0005-0000-0000-0000E1400000}"/>
    <cellStyle name="Normal 7 2 2 4 3 3" xfId="16611" xr:uid="{00000000-0005-0000-0000-0000E2400000}"/>
    <cellStyle name="Normal 7 2 2 4 3 3 2" xfId="16612" xr:uid="{00000000-0005-0000-0000-0000E3400000}"/>
    <cellStyle name="Normal 7 2 2 4 3 3 3" xfId="16613" xr:uid="{00000000-0005-0000-0000-0000E4400000}"/>
    <cellStyle name="Normal 7 2 2 4 3 4" xfId="16614" xr:uid="{00000000-0005-0000-0000-0000E5400000}"/>
    <cellStyle name="Normal 7 2 2 4 3 5" xfId="16615" xr:uid="{00000000-0005-0000-0000-0000E6400000}"/>
    <cellStyle name="Normal 7 2 2 4 4" xfId="16616" xr:uid="{00000000-0005-0000-0000-0000E7400000}"/>
    <cellStyle name="Normal 7 2 2 4 4 2" xfId="16617" xr:uid="{00000000-0005-0000-0000-0000E8400000}"/>
    <cellStyle name="Normal 7 2 2 4 4 3" xfId="16618" xr:uid="{00000000-0005-0000-0000-0000E9400000}"/>
    <cellStyle name="Normal 7 2 2 4 5" xfId="16619" xr:uid="{00000000-0005-0000-0000-0000EA400000}"/>
    <cellStyle name="Normal 7 2 2 4 5 2" xfId="16620" xr:uid="{00000000-0005-0000-0000-0000EB400000}"/>
    <cellStyle name="Normal 7 2 2 4 5 3" xfId="16621" xr:uid="{00000000-0005-0000-0000-0000EC400000}"/>
    <cellStyle name="Normal 7 2 2 4 6" xfId="16622" xr:uid="{00000000-0005-0000-0000-0000ED400000}"/>
    <cellStyle name="Normal 7 2 2 4 7" xfId="16623" xr:uid="{00000000-0005-0000-0000-0000EE400000}"/>
    <cellStyle name="Normal 7 2 2 5" xfId="16624" xr:uid="{00000000-0005-0000-0000-0000EF400000}"/>
    <cellStyle name="Normal 7 2 2 5 2" xfId="16625" xr:uid="{00000000-0005-0000-0000-0000F0400000}"/>
    <cellStyle name="Normal 7 2 2 5 3" xfId="16626" xr:uid="{00000000-0005-0000-0000-0000F1400000}"/>
    <cellStyle name="Normal 7 2 2 5 3 2" xfId="16627" xr:uid="{00000000-0005-0000-0000-0000F2400000}"/>
    <cellStyle name="Normal 7 2 2 6" xfId="16628" xr:uid="{00000000-0005-0000-0000-0000F3400000}"/>
    <cellStyle name="Normal 7 2 2 6 2" xfId="16629" xr:uid="{00000000-0005-0000-0000-0000F4400000}"/>
    <cellStyle name="Normal 7 2 2 6 3" xfId="16630" xr:uid="{00000000-0005-0000-0000-0000F5400000}"/>
    <cellStyle name="Normal 7 2 2 6 3 2" xfId="16631" xr:uid="{00000000-0005-0000-0000-0000F6400000}"/>
    <cellStyle name="Normal 7 2 2 7" xfId="16632" xr:uid="{00000000-0005-0000-0000-0000F7400000}"/>
    <cellStyle name="Normal 7 2 2 8" xfId="16633" xr:uid="{00000000-0005-0000-0000-0000F8400000}"/>
    <cellStyle name="Normal 7 2 3" xfId="16634" xr:uid="{00000000-0005-0000-0000-0000F9400000}"/>
    <cellStyle name="Normal 7 2 3 10" xfId="16635" xr:uid="{00000000-0005-0000-0000-0000FA400000}"/>
    <cellStyle name="Normal 7 2 3 10 2" xfId="16636" xr:uid="{00000000-0005-0000-0000-0000FB400000}"/>
    <cellStyle name="Normal 7 2 3 10 3" xfId="16637" xr:uid="{00000000-0005-0000-0000-0000FC400000}"/>
    <cellStyle name="Normal 7 2 3 11" xfId="16638" xr:uid="{00000000-0005-0000-0000-0000FD400000}"/>
    <cellStyle name="Normal 7 2 3 11 2" xfId="16639" xr:uid="{00000000-0005-0000-0000-0000FE400000}"/>
    <cellStyle name="Normal 7 2 3 11 3" xfId="16640" xr:uid="{00000000-0005-0000-0000-0000FF400000}"/>
    <cellStyle name="Normal 7 2 3 11 3 2" xfId="16641" xr:uid="{00000000-0005-0000-0000-000000410000}"/>
    <cellStyle name="Normal 7 2 3 11 4" xfId="16642" xr:uid="{00000000-0005-0000-0000-000001410000}"/>
    <cellStyle name="Normal 7 2 3 12" xfId="16643" xr:uid="{00000000-0005-0000-0000-000002410000}"/>
    <cellStyle name="Normal 7 2 3 12 2" xfId="16644" xr:uid="{00000000-0005-0000-0000-000003410000}"/>
    <cellStyle name="Normal 7 2 3 12 2 2" xfId="16645" xr:uid="{00000000-0005-0000-0000-000004410000}"/>
    <cellStyle name="Normal 7 2 3 12 3" xfId="16646" xr:uid="{00000000-0005-0000-0000-000005410000}"/>
    <cellStyle name="Normal 7 2 3 13" xfId="16647" xr:uid="{00000000-0005-0000-0000-000006410000}"/>
    <cellStyle name="Normal 7 2 3 14" xfId="16648" xr:uid="{00000000-0005-0000-0000-000007410000}"/>
    <cellStyle name="Normal 7 2 3 2" xfId="16649" xr:uid="{00000000-0005-0000-0000-000008410000}"/>
    <cellStyle name="Normal 7 2 3 2 10" xfId="16650" xr:uid="{00000000-0005-0000-0000-000009410000}"/>
    <cellStyle name="Normal 7 2 3 2 10 2" xfId="16651" xr:uid="{00000000-0005-0000-0000-00000A410000}"/>
    <cellStyle name="Normal 7 2 3 2 10 3" xfId="16652" xr:uid="{00000000-0005-0000-0000-00000B410000}"/>
    <cellStyle name="Normal 7 2 3 2 10 3 2" xfId="16653" xr:uid="{00000000-0005-0000-0000-00000C410000}"/>
    <cellStyle name="Normal 7 2 3 2 10 4" xfId="16654" xr:uid="{00000000-0005-0000-0000-00000D410000}"/>
    <cellStyle name="Normal 7 2 3 2 11" xfId="16655" xr:uid="{00000000-0005-0000-0000-00000E410000}"/>
    <cellStyle name="Normal 7 2 3 2 11 2" xfId="16656" xr:uid="{00000000-0005-0000-0000-00000F410000}"/>
    <cellStyle name="Normal 7 2 3 2 11 2 2" xfId="16657" xr:uid="{00000000-0005-0000-0000-000010410000}"/>
    <cellStyle name="Normal 7 2 3 2 11 3" xfId="16658" xr:uid="{00000000-0005-0000-0000-000011410000}"/>
    <cellStyle name="Normal 7 2 3 2 12" xfId="16659" xr:uid="{00000000-0005-0000-0000-000012410000}"/>
    <cellStyle name="Normal 7 2 3 2 13" xfId="16660" xr:uid="{00000000-0005-0000-0000-000013410000}"/>
    <cellStyle name="Normal 7 2 3 2 2" xfId="16661" xr:uid="{00000000-0005-0000-0000-000014410000}"/>
    <cellStyle name="Normal 7 2 3 2 2 2" xfId="16662" xr:uid="{00000000-0005-0000-0000-000015410000}"/>
    <cellStyle name="Normal 7 2 3 2 2 2 2" xfId="16663" xr:uid="{00000000-0005-0000-0000-000016410000}"/>
    <cellStyle name="Normal 7 2 3 2 2 2 2 2" xfId="16664" xr:uid="{00000000-0005-0000-0000-000017410000}"/>
    <cellStyle name="Normal 7 2 3 2 2 2 2 2 2" xfId="16665" xr:uid="{00000000-0005-0000-0000-000018410000}"/>
    <cellStyle name="Normal 7 2 3 2 2 2 2 2 3" xfId="16666" xr:uid="{00000000-0005-0000-0000-000019410000}"/>
    <cellStyle name="Normal 7 2 3 2 2 2 2 3" xfId="16667" xr:uid="{00000000-0005-0000-0000-00001A410000}"/>
    <cellStyle name="Normal 7 2 3 2 2 2 2 3 2" xfId="16668" xr:uid="{00000000-0005-0000-0000-00001B410000}"/>
    <cellStyle name="Normal 7 2 3 2 2 2 2 3 3" xfId="16669" xr:uid="{00000000-0005-0000-0000-00001C410000}"/>
    <cellStyle name="Normal 7 2 3 2 2 2 2 4" xfId="16670" xr:uid="{00000000-0005-0000-0000-00001D410000}"/>
    <cellStyle name="Normal 7 2 3 2 2 2 2 5" xfId="16671" xr:uid="{00000000-0005-0000-0000-00001E410000}"/>
    <cellStyle name="Normal 7 2 3 2 2 2 3" xfId="16672" xr:uid="{00000000-0005-0000-0000-00001F410000}"/>
    <cellStyle name="Normal 7 2 3 2 2 2 3 2" xfId="16673" xr:uid="{00000000-0005-0000-0000-000020410000}"/>
    <cellStyle name="Normal 7 2 3 2 2 2 3 2 2" xfId="16674" xr:uid="{00000000-0005-0000-0000-000021410000}"/>
    <cellStyle name="Normal 7 2 3 2 2 2 3 2 3" xfId="16675" xr:uid="{00000000-0005-0000-0000-000022410000}"/>
    <cellStyle name="Normal 7 2 3 2 2 2 3 3" xfId="16676" xr:uid="{00000000-0005-0000-0000-000023410000}"/>
    <cellStyle name="Normal 7 2 3 2 2 2 3 3 2" xfId="16677" xr:uid="{00000000-0005-0000-0000-000024410000}"/>
    <cellStyle name="Normal 7 2 3 2 2 2 3 3 3" xfId="16678" xr:uid="{00000000-0005-0000-0000-000025410000}"/>
    <cellStyle name="Normal 7 2 3 2 2 2 3 4" xfId="16679" xr:uid="{00000000-0005-0000-0000-000026410000}"/>
    <cellStyle name="Normal 7 2 3 2 2 2 3 5" xfId="16680" xr:uid="{00000000-0005-0000-0000-000027410000}"/>
    <cellStyle name="Normal 7 2 3 2 2 2 4" xfId="16681" xr:uid="{00000000-0005-0000-0000-000028410000}"/>
    <cellStyle name="Normal 7 2 3 2 2 2 4 2" xfId="16682" xr:uid="{00000000-0005-0000-0000-000029410000}"/>
    <cellStyle name="Normal 7 2 3 2 2 2 4 3" xfId="16683" xr:uid="{00000000-0005-0000-0000-00002A410000}"/>
    <cellStyle name="Normal 7 2 3 2 2 2 5" xfId="16684" xr:uid="{00000000-0005-0000-0000-00002B410000}"/>
    <cellStyle name="Normal 7 2 3 2 2 2 5 2" xfId="16685" xr:uid="{00000000-0005-0000-0000-00002C410000}"/>
    <cellStyle name="Normal 7 2 3 2 2 2 5 3" xfId="16686" xr:uid="{00000000-0005-0000-0000-00002D410000}"/>
    <cellStyle name="Normal 7 2 3 2 2 2 6" xfId="16687" xr:uid="{00000000-0005-0000-0000-00002E410000}"/>
    <cellStyle name="Normal 7 2 3 2 2 2 7" xfId="16688" xr:uid="{00000000-0005-0000-0000-00002F410000}"/>
    <cellStyle name="Normal 7 2 3 2 2 3" xfId="16689" xr:uid="{00000000-0005-0000-0000-000030410000}"/>
    <cellStyle name="Normal 7 2 3 2 2 3 2" xfId="16690" xr:uid="{00000000-0005-0000-0000-000031410000}"/>
    <cellStyle name="Normal 7 2 3 2 2 3 2 2" xfId="16691" xr:uid="{00000000-0005-0000-0000-000032410000}"/>
    <cellStyle name="Normal 7 2 3 2 2 3 2 3" xfId="16692" xr:uid="{00000000-0005-0000-0000-000033410000}"/>
    <cellStyle name="Normal 7 2 3 2 2 3 3" xfId="16693" xr:uid="{00000000-0005-0000-0000-000034410000}"/>
    <cellStyle name="Normal 7 2 3 2 2 3 3 2" xfId="16694" xr:uid="{00000000-0005-0000-0000-000035410000}"/>
    <cellStyle name="Normal 7 2 3 2 2 3 3 3" xfId="16695" xr:uid="{00000000-0005-0000-0000-000036410000}"/>
    <cellStyle name="Normal 7 2 3 2 2 3 4" xfId="16696" xr:uid="{00000000-0005-0000-0000-000037410000}"/>
    <cellStyle name="Normal 7 2 3 2 2 3 5" xfId="16697" xr:uid="{00000000-0005-0000-0000-000038410000}"/>
    <cellStyle name="Normal 7 2 3 2 2 4" xfId="16698" xr:uid="{00000000-0005-0000-0000-000039410000}"/>
    <cellStyle name="Normal 7 2 3 2 2 4 2" xfId="16699" xr:uid="{00000000-0005-0000-0000-00003A410000}"/>
    <cellStyle name="Normal 7 2 3 2 2 4 2 2" xfId="16700" xr:uid="{00000000-0005-0000-0000-00003B410000}"/>
    <cellStyle name="Normal 7 2 3 2 2 4 2 3" xfId="16701" xr:uid="{00000000-0005-0000-0000-00003C410000}"/>
    <cellStyle name="Normal 7 2 3 2 2 4 3" xfId="16702" xr:uid="{00000000-0005-0000-0000-00003D410000}"/>
    <cellStyle name="Normal 7 2 3 2 2 4 3 2" xfId="16703" xr:uid="{00000000-0005-0000-0000-00003E410000}"/>
    <cellStyle name="Normal 7 2 3 2 2 4 3 3" xfId="16704" xr:uid="{00000000-0005-0000-0000-00003F410000}"/>
    <cellStyle name="Normal 7 2 3 2 2 4 4" xfId="16705" xr:uid="{00000000-0005-0000-0000-000040410000}"/>
    <cellStyle name="Normal 7 2 3 2 2 4 5" xfId="16706" xr:uid="{00000000-0005-0000-0000-000041410000}"/>
    <cellStyle name="Normal 7 2 3 2 2 5" xfId="16707" xr:uid="{00000000-0005-0000-0000-000042410000}"/>
    <cellStyle name="Normal 7 2 3 2 2 5 2" xfId="16708" xr:uid="{00000000-0005-0000-0000-000043410000}"/>
    <cellStyle name="Normal 7 2 3 2 2 5 3" xfId="16709" xr:uid="{00000000-0005-0000-0000-000044410000}"/>
    <cellStyle name="Normal 7 2 3 2 2 6" xfId="16710" xr:uid="{00000000-0005-0000-0000-000045410000}"/>
    <cellStyle name="Normal 7 2 3 2 2 6 2" xfId="16711" xr:uid="{00000000-0005-0000-0000-000046410000}"/>
    <cellStyle name="Normal 7 2 3 2 2 6 3" xfId="16712" xr:uid="{00000000-0005-0000-0000-000047410000}"/>
    <cellStyle name="Normal 7 2 3 2 2 7" xfId="16713" xr:uid="{00000000-0005-0000-0000-000048410000}"/>
    <cellStyle name="Normal 7 2 3 2 2 7 2" xfId="16714" xr:uid="{00000000-0005-0000-0000-000049410000}"/>
    <cellStyle name="Normal 7 2 3 2 2 7 3" xfId="16715" xr:uid="{00000000-0005-0000-0000-00004A410000}"/>
    <cellStyle name="Normal 7 2 3 2 2 7 3 2" xfId="16716" xr:uid="{00000000-0005-0000-0000-00004B410000}"/>
    <cellStyle name="Normal 7 2 3 2 2 7 4" xfId="16717" xr:uid="{00000000-0005-0000-0000-00004C410000}"/>
    <cellStyle name="Normal 7 2 3 2 2 8" xfId="16718" xr:uid="{00000000-0005-0000-0000-00004D410000}"/>
    <cellStyle name="Normal 7 2 3 2 2 9" xfId="16719" xr:uid="{00000000-0005-0000-0000-00004E410000}"/>
    <cellStyle name="Normal 7 2 3 2 3" xfId="16720" xr:uid="{00000000-0005-0000-0000-00004F410000}"/>
    <cellStyle name="Normal 7 2 3 2 3 2" xfId="16721" xr:uid="{00000000-0005-0000-0000-000050410000}"/>
    <cellStyle name="Normal 7 2 3 2 3 2 2" xfId="16722" xr:uid="{00000000-0005-0000-0000-000051410000}"/>
    <cellStyle name="Normal 7 2 3 2 3 2 2 2" xfId="16723" xr:uid="{00000000-0005-0000-0000-000052410000}"/>
    <cellStyle name="Normal 7 2 3 2 3 2 2 3" xfId="16724" xr:uid="{00000000-0005-0000-0000-000053410000}"/>
    <cellStyle name="Normal 7 2 3 2 3 2 3" xfId="16725" xr:uid="{00000000-0005-0000-0000-000054410000}"/>
    <cellStyle name="Normal 7 2 3 2 3 2 3 2" xfId="16726" xr:uid="{00000000-0005-0000-0000-000055410000}"/>
    <cellStyle name="Normal 7 2 3 2 3 2 3 3" xfId="16727" xr:uid="{00000000-0005-0000-0000-000056410000}"/>
    <cellStyle name="Normal 7 2 3 2 3 2 4" xfId="16728" xr:uid="{00000000-0005-0000-0000-000057410000}"/>
    <cellStyle name="Normal 7 2 3 2 3 2 5" xfId="16729" xr:uid="{00000000-0005-0000-0000-000058410000}"/>
    <cellStyle name="Normal 7 2 3 2 3 3" xfId="16730" xr:uid="{00000000-0005-0000-0000-000059410000}"/>
    <cellStyle name="Normal 7 2 3 2 3 3 2" xfId="16731" xr:uid="{00000000-0005-0000-0000-00005A410000}"/>
    <cellStyle name="Normal 7 2 3 2 3 3 2 2" xfId="16732" xr:uid="{00000000-0005-0000-0000-00005B410000}"/>
    <cellStyle name="Normal 7 2 3 2 3 3 2 3" xfId="16733" xr:uid="{00000000-0005-0000-0000-00005C410000}"/>
    <cellStyle name="Normal 7 2 3 2 3 3 3" xfId="16734" xr:uid="{00000000-0005-0000-0000-00005D410000}"/>
    <cellStyle name="Normal 7 2 3 2 3 3 3 2" xfId="16735" xr:uid="{00000000-0005-0000-0000-00005E410000}"/>
    <cellStyle name="Normal 7 2 3 2 3 3 3 3" xfId="16736" xr:uid="{00000000-0005-0000-0000-00005F410000}"/>
    <cellStyle name="Normal 7 2 3 2 3 3 4" xfId="16737" xr:uid="{00000000-0005-0000-0000-000060410000}"/>
    <cellStyle name="Normal 7 2 3 2 3 3 5" xfId="16738" xr:uid="{00000000-0005-0000-0000-000061410000}"/>
    <cellStyle name="Normal 7 2 3 2 3 4" xfId="16739" xr:uid="{00000000-0005-0000-0000-000062410000}"/>
    <cellStyle name="Normal 7 2 3 2 3 4 2" xfId="16740" xr:uid="{00000000-0005-0000-0000-000063410000}"/>
    <cellStyle name="Normal 7 2 3 2 3 4 3" xfId="16741" xr:uid="{00000000-0005-0000-0000-000064410000}"/>
    <cellStyle name="Normal 7 2 3 2 3 5" xfId="16742" xr:uid="{00000000-0005-0000-0000-000065410000}"/>
    <cellStyle name="Normal 7 2 3 2 3 5 2" xfId="16743" xr:uid="{00000000-0005-0000-0000-000066410000}"/>
    <cellStyle name="Normal 7 2 3 2 3 5 3" xfId="16744" xr:uid="{00000000-0005-0000-0000-000067410000}"/>
    <cellStyle name="Normal 7 2 3 2 3 6" xfId="16745" xr:uid="{00000000-0005-0000-0000-000068410000}"/>
    <cellStyle name="Normal 7 2 3 2 3 7" xfId="16746" xr:uid="{00000000-0005-0000-0000-000069410000}"/>
    <cellStyle name="Normal 7 2 3 2 4" xfId="16747" xr:uid="{00000000-0005-0000-0000-00006A410000}"/>
    <cellStyle name="Normal 7 2 3 2 4 2" xfId="16748" xr:uid="{00000000-0005-0000-0000-00006B410000}"/>
    <cellStyle name="Normal 7 2 3 2 4 2 2" xfId="16749" xr:uid="{00000000-0005-0000-0000-00006C410000}"/>
    <cellStyle name="Normal 7 2 3 2 4 2 2 2" xfId="16750" xr:uid="{00000000-0005-0000-0000-00006D410000}"/>
    <cellStyle name="Normal 7 2 3 2 4 2 2 3" xfId="16751" xr:uid="{00000000-0005-0000-0000-00006E410000}"/>
    <cellStyle name="Normal 7 2 3 2 4 2 3" xfId="16752" xr:uid="{00000000-0005-0000-0000-00006F410000}"/>
    <cellStyle name="Normal 7 2 3 2 4 2 3 2" xfId="16753" xr:uid="{00000000-0005-0000-0000-000070410000}"/>
    <cellStyle name="Normal 7 2 3 2 4 2 3 3" xfId="16754" xr:uid="{00000000-0005-0000-0000-000071410000}"/>
    <cellStyle name="Normal 7 2 3 2 4 2 4" xfId="16755" xr:uid="{00000000-0005-0000-0000-000072410000}"/>
    <cellStyle name="Normal 7 2 3 2 4 2 5" xfId="16756" xr:uid="{00000000-0005-0000-0000-000073410000}"/>
    <cellStyle name="Normal 7 2 3 2 4 3" xfId="16757" xr:uid="{00000000-0005-0000-0000-000074410000}"/>
    <cellStyle name="Normal 7 2 3 2 4 3 2" xfId="16758" xr:uid="{00000000-0005-0000-0000-000075410000}"/>
    <cellStyle name="Normal 7 2 3 2 4 3 2 2" xfId="16759" xr:uid="{00000000-0005-0000-0000-000076410000}"/>
    <cellStyle name="Normal 7 2 3 2 4 3 2 3" xfId="16760" xr:uid="{00000000-0005-0000-0000-000077410000}"/>
    <cellStyle name="Normal 7 2 3 2 4 3 3" xfId="16761" xr:uid="{00000000-0005-0000-0000-000078410000}"/>
    <cellStyle name="Normal 7 2 3 2 4 3 4" xfId="16762" xr:uid="{00000000-0005-0000-0000-000079410000}"/>
    <cellStyle name="Normal 7 2 3 2 4 4" xfId="16763" xr:uid="{00000000-0005-0000-0000-00007A410000}"/>
    <cellStyle name="Normal 7 2 3 2 4 4 2" xfId="16764" xr:uid="{00000000-0005-0000-0000-00007B410000}"/>
    <cellStyle name="Normal 7 2 3 2 4 4 3" xfId="16765" xr:uid="{00000000-0005-0000-0000-00007C410000}"/>
    <cellStyle name="Normal 7 2 3 2 4 5" xfId="16766" xr:uid="{00000000-0005-0000-0000-00007D410000}"/>
    <cellStyle name="Normal 7 2 3 2 4 5 2" xfId="16767" xr:uid="{00000000-0005-0000-0000-00007E410000}"/>
    <cellStyle name="Normal 7 2 3 2 4 5 3" xfId="16768" xr:uid="{00000000-0005-0000-0000-00007F410000}"/>
    <cellStyle name="Normal 7 2 3 2 4 6" xfId="16769" xr:uid="{00000000-0005-0000-0000-000080410000}"/>
    <cellStyle name="Normal 7 2 3 2 4 7" xfId="16770" xr:uid="{00000000-0005-0000-0000-000081410000}"/>
    <cellStyle name="Normal 7 2 3 2 5" xfId="16771" xr:uid="{00000000-0005-0000-0000-000082410000}"/>
    <cellStyle name="Normal 7 2 3 2 5 2" xfId="16772" xr:uid="{00000000-0005-0000-0000-000083410000}"/>
    <cellStyle name="Normal 7 2 3 2 5 2 2" xfId="16773" xr:uid="{00000000-0005-0000-0000-000084410000}"/>
    <cellStyle name="Normal 7 2 3 2 5 2 3" xfId="16774" xr:uid="{00000000-0005-0000-0000-000085410000}"/>
    <cellStyle name="Normal 7 2 3 2 5 3" xfId="16775" xr:uid="{00000000-0005-0000-0000-000086410000}"/>
    <cellStyle name="Normal 7 2 3 2 5 3 2" xfId="16776" xr:uid="{00000000-0005-0000-0000-000087410000}"/>
    <cellStyle name="Normal 7 2 3 2 5 3 3" xfId="16777" xr:uid="{00000000-0005-0000-0000-000088410000}"/>
    <cellStyle name="Normal 7 2 3 2 5 4" xfId="16778" xr:uid="{00000000-0005-0000-0000-000089410000}"/>
    <cellStyle name="Normal 7 2 3 2 5 5" xfId="16779" xr:uid="{00000000-0005-0000-0000-00008A410000}"/>
    <cellStyle name="Normal 7 2 3 2 6" xfId="16780" xr:uid="{00000000-0005-0000-0000-00008B410000}"/>
    <cellStyle name="Normal 7 2 3 2 6 2" xfId="16781" xr:uid="{00000000-0005-0000-0000-00008C410000}"/>
    <cellStyle name="Normal 7 2 3 2 6 2 2" xfId="16782" xr:uid="{00000000-0005-0000-0000-00008D410000}"/>
    <cellStyle name="Normal 7 2 3 2 6 2 3" xfId="16783" xr:uid="{00000000-0005-0000-0000-00008E410000}"/>
    <cellStyle name="Normal 7 2 3 2 6 3" xfId="16784" xr:uid="{00000000-0005-0000-0000-00008F410000}"/>
    <cellStyle name="Normal 7 2 3 2 6 3 2" xfId="16785" xr:uid="{00000000-0005-0000-0000-000090410000}"/>
    <cellStyle name="Normal 7 2 3 2 6 3 3" xfId="16786" xr:uid="{00000000-0005-0000-0000-000091410000}"/>
    <cellStyle name="Normal 7 2 3 2 6 4" xfId="16787" xr:uid="{00000000-0005-0000-0000-000092410000}"/>
    <cellStyle name="Normal 7 2 3 2 6 5" xfId="16788" xr:uid="{00000000-0005-0000-0000-000093410000}"/>
    <cellStyle name="Normal 7 2 3 2 7" xfId="16789" xr:uid="{00000000-0005-0000-0000-000094410000}"/>
    <cellStyle name="Normal 7 2 3 2 7 2" xfId="16790" xr:uid="{00000000-0005-0000-0000-000095410000}"/>
    <cellStyle name="Normal 7 2 3 2 7 2 2" xfId="16791" xr:uid="{00000000-0005-0000-0000-000096410000}"/>
    <cellStyle name="Normal 7 2 3 2 7 2 3" xfId="16792" xr:uid="{00000000-0005-0000-0000-000097410000}"/>
    <cellStyle name="Normal 7 2 3 2 7 3" xfId="16793" xr:uid="{00000000-0005-0000-0000-000098410000}"/>
    <cellStyle name="Normal 7 2 3 2 7 4" xfId="16794" xr:uid="{00000000-0005-0000-0000-000099410000}"/>
    <cellStyle name="Normal 7 2 3 2 8" xfId="16795" xr:uid="{00000000-0005-0000-0000-00009A410000}"/>
    <cellStyle name="Normal 7 2 3 2 8 2" xfId="16796" xr:uid="{00000000-0005-0000-0000-00009B410000}"/>
    <cellStyle name="Normal 7 2 3 2 8 3" xfId="16797" xr:uid="{00000000-0005-0000-0000-00009C410000}"/>
    <cellStyle name="Normal 7 2 3 2 9" xfId="16798" xr:uid="{00000000-0005-0000-0000-00009D410000}"/>
    <cellStyle name="Normal 7 2 3 2 9 2" xfId="16799" xr:uid="{00000000-0005-0000-0000-00009E410000}"/>
    <cellStyle name="Normal 7 2 3 2 9 3" xfId="16800" xr:uid="{00000000-0005-0000-0000-00009F410000}"/>
    <cellStyle name="Normal 7 2 3 3" xfId="16801" xr:uid="{00000000-0005-0000-0000-0000A0410000}"/>
    <cellStyle name="Normal 7 2 3 3 2" xfId="16802" xr:uid="{00000000-0005-0000-0000-0000A1410000}"/>
    <cellStyle name="Normal 7 2 3 3 2 2" xfId="16803" xr:uid="{00000000-0005-0000-0000-0000A2410000}"/>
    <cellStyle name="Normal 7 2 3 3 2 2 2" xfId="16804" xr:uid="{00000000-0005-0000-0000-0000A3410000}"/>
    <cellStyle name="Normal 7 2 3 3 2 2 2 2" xfId="16805" xr:uid="{00000000-0005-0000-0000-0000A4410000}"/>
    <cellStyle name="Normal 7 2 3 3 2 2 2 3" xfId="16806" xr:uid="{00000000-0005-0000-0000-0000A5410000}"/>
    <cellStyle name="Normal 7 2 3 3 2 2 3" xfId="16807" xr:uid="{00000000-0005-0000-0000-0000A6410000}"/>
    <cellStyle name="Normal 7 2 3 3 2 2 3 2" xfId="16808" xr:uid="{00000000-0005-0000-0000-0000A7410000}"/>
    <cellStyle name="Normal 7 2 3 3 2 2 3 3" xfId="16809" xr:uid="{00000000-0005-0000-0000-0000A8410000}"/>
    <cellStyle name="Normal 7 2 3 3 2 2 4" xfId="16810" xr:uid="{00000000-0005-0000-0000-0000A9410000}"/>
    <cellStyle name="Normal 7 2 3 3 2 2 5" xfId="16811" xr:uid="{00000000-0005-0000-0000-0000AA410000}"/>
    <cellStyle name="Normal 7 2 3 3 2 3" xfId="16812" xr:uid="{00000000-0005-0000-0000-0000AB410000}"/>
    <cellStyle name="Normal 7 2 3 3 2 3 2" xfId="16813" xr:uid="{00000000-0005-0000-0000-0000AC410000}"/>
    <cellStyle name="Normal 7 2 3 3 2 3 2 2" xfId="16814" xr:uid="{00000000-0005-0000-0000-0000AD410000}"/>
    <cellStyle name="Normal 7 2 3 3 2 3 2 3" xfId="16815" xr:uid="{00000000-0005-0000-0000-0000AE410000}"/>
    <cellStyle name="Normal 7 2 3 3 2 3 3" xfId="16816" xr:uid="{00000000-0005-0000-0000-0000AF410000}"/>
    <cellStyle name="Normal 7 2 3 3 2 3 3 2" xfId="16817" xr:uid="{00000000-0005-0000-0000-0000B0410000}"/>
    <cellStyle name="Normal 7 2 3 3 2 3 3 3" xfId="16818" xr:uid="{00000000-0005-0000-0000-0000B1410000}"/>
    <cellStyle name="Normal 7 2 3 3 2 3 4" xfId="16819" xr:uid="{00000000-0005-0000-0000-0000B2410000}"/>
    <cellStyle name="Normal 7 2 3 3 2 3 5" xfId="16820" xr:uid="{00000000-0005-0000-0000-0000B3410000}"/>
    <cellStyle name="Normal 7 2 3 3 2 4" xfId="16821" xr:uid="{00000000-0005-0000-0000-0000B4410000}"/>
    <cellStyle name="Normal 7 2 3 3 2 4 2" xfId="16822" xr:uid="{00000000-0005-0000-0000-0000B5410000}"/>
    <cellStyle name="Normal 7 2 3 3 2 4 3" xfId="16823" xr:uid="{00000000-0005-0000-0000-0000B6410000}"/>
    <cellStyle name="Normal 7 2 3 3 2 5" xfId="16824" xr:uid="{00000000-0005-0000-0000-0000B7410000}"/>
    <cellStyle name="Normal 7 2 3 3 2 5 2" xfId="16825" xr:uid="{00000000-0005-0000-0000-0000B8410000}"/>
    <cellStyle name="Normal 7 2 3 3 2 5 3" xfId="16826" xr:uid="{00000000-0005-0000-0000-0000B9410000}"/>
    <cellStyle name="Normal 7 2 3 3 2 6" xfId="16827" xr:uid="{00000000-0005-0000-0000-0000BA410000}"/>
    <cellStyle name="Normal 7 2 3 3 2 7" xfId="16828" xr:uid="{00000000-0005-0000-0000-0000BB410000}"/>
    <cellStyle name="Normal 7 2 3 3 3" xfId="16829" xr:uid="{00000000-0005-0000-0000-0000BC410000}"/>
    <cellStyle name="Normal 7 2 3 3 3 2" xfId="16830" xr:uid="{00000000-0005-0000-0000-0000BD410000}"/>
    <cellStyle name="Normal 7 2 3 3 3 2 2" xfId="16831" xr:uid="{00000000-0005-0000-0000-0000BE410000}"/>
    <cellStyle name="Normal 7 2 3 3 3 2 3" xfId="16832" xr:uid="{00000000-0005-0000-0000-0000BF410000}"/>
    <cellStyle name="Normal 7 2 3 3 3 3" xfId="16833" xr:uid="{00000000-0005-0000-0000-0000C0410000}"/>
    <cellStyle name="Normal 7 2 3 3 3 3 2" xfId="16834" xr:uid="{00000000-0005-0000-0000-0000C1410000}"/>
    <cellStyle name="Normal 7 2 3 3 3 3 3" xfId="16835" xr:uid="{00000000-0005-0000-0000-0000C2410000}"/>
    <cellStyle name="Normal 7 2 3 3 3 4" xfId="16836" xr:uid="{00000000-0005-0000-0000-0000C3410000}"/>
    <cellStyle name="Normal 7 2 3 3 3 5" xfId="16837" xr:uid="{00000000-0005-0000-0000-0000C4410000}"/>
    <cellStyle name="Normal 7 2 3 3 4" xfId="16838" xr:uid="{00000000-0005-0000-0000-0000C5410000}"/>
    <cellStyle name="Normal 7 2 3 3 4 2" xfId="16839" xr:uid="{00000000-0005-0000-0000-0000C6410000}"/>
    <cellStyle name="Normal 7 2 3 3 4 2 2" xfId="16840" xr:uid="{00000000-0005-0000-0000-0000C7410000}"/>
    <cellStyle name="Normal 7 2 3 3 4 2 3" xfId="16841" xr:uid="{00000000-0005-0000-0000-0000C8410000}"/>
    <cellStyle name="Normal 7 2 3 3 4 3" xfId="16842" xr:uid="{00000000-0005-0000-0000-0000C9410000}"/>
    <cellStyle name="Normal 7 2 3 3 4 3 2" xfId="16843" xr:uid="{00000000-0005-0000-0000-0000CA410000}"/>
    <cellStyle name="Normal 7 2 3 3 4 3 3" xfId="16844" xr:uid="{00000000-0005-0000-0000-0000CB410000}"/>
    <cellStyle name="Normal 7 2 3 3 4 4" xfId="16845" xr:uid="{00000000-0005-0000-0000-0000CC410000}"/>
    <cellStyle name="Normal 7 2 3 3 4 5" xfId="16846" xr:uid="{00000000-0005-0000-0000-0000CD410000}"/>
    <cellStyle name="Normal 7 2 3 3 5" xfId="16847" xr:uid="{00000000-0005-0000-0000-0000CE410000}"/>
    <cellStyle name="Normal 7 2 3 3 5 2" xfId="16848" xr:uid="{00000000-0005-0000-0000-0000CF410000}"/>
    <cellStyle name="Normal 7 2 3 3 5 3" xfId="16849" xr:uid="{00000000-0005-0000-0000-0000D0410000}"/>
    <cellStyle name="Normal 7 2 3 3 6" xfId="16850" xr:uid="{00000000-0005-0000-0000-0000D1410000}"/>
    <cellStyle name="Normal 7 2 3 3 6 2" xfId="16851" xr:uid="{00000000-0005-0000-0000-0000D2410000}"/>
    <cellStyle name="Normal 7 2 3 3 6 3" xfId="16852" xr:uid="{00000000-0005-0000-0000-0000D3410000}"/>
    <cellStyle name="Normal 7 2 3 3 7" xfId="16853" xr:uid="{00000000-0005-0000-0000-0000D4410000}"/>
    <cellStyle name="Normal 7 2 3 3 7 2" xfId="16854" xr:uid="{00000000-0005-0000-0000-0000D5410000}"/>
    <cellStyle name="Normal 7 2 3 3 7 3" xfId="16855" xr:uid="{00000000-0005-0000-0000-0000D6410000}"/>
    <cellStyle name="Normal 7 2 3 3 7 3 2" xfId="16856" xr:uid="{00000000-0005-0000-0000-0000D7410000}"/>
    <cellStyle name="Normal 7 2 3 3 7 4" xfId="16857" xr:uid="{00000000-0005-0000-0000-0000D8410000}"/>
    <cellStyle name="Normal 7 2 3 3 8" xfId="16858" xr:uid="{00000000-0005-0000-0000-0000D9410000}"/>
    <cellStyle name="Normal 7 2 3 3 9" xfId="16859" xr:uid="{00000000-0005-0000-0000-0000DA410000}"/>
    <cellStyle name="Normal 7 2 3 4" xfId="16860" xr:uid="{00000000-0005-0000-0000-0000DB410000}"/>
    <cellStyle name="Normal 7 2 3 4 2" xfId="16861" xr:uid="{00000000-0005-0000-0000-0000DC410000}"/>
    <cellStyle name="Normal 7 2 3 4 2 2" xfId="16862" xr:uid="{00000000-0005-0000-0000-0000DD410000}"/>
    <cellStyle name="Normal 7 2 3 4 2 2 2" xfId="16863" xr:uid="{00000000-0005-0000-0000-0000DE410000}"/>
    <cellStyle name="Normal 7 2 3 4 2 2 3" xfId="16864" xr:uid="{00000000-0005-0000-0000-0000DF410000}"/>
    <cellStyle name="Normal 7 2 3 4 2 3" xfId="16865" xr:uid="{00000000-0005-0000-0000-0000E0410000}"/>
    <cellStyle name="Normal 7 2 3 4 2 3 2" xfId="16866" xr:uid="{00000000-0005-0000-0000-0000E1410000}"/>
    <cellStyle name="Normal 7 2 3 4 2 3 3" xfId="16867" xr:uid="{00000000-0005-0000-0000-0000E2410000}"/>
    <cellStyle name="Normal 7 2 3 4 2 4" xfId="16868" xr:uid="{00000000-0005-0000-0000-0000E3410000}"/>
    <cellStyle name="Normal 7 2 3 4 2 5" xfId="16869" xr:uid="{00000000-0005-0000-0000-0000E4410000}"/>
    <cellStyle name="Normal 7 2 3 4 3" xfId="16870" xr:uid="{00000000-0005-0000-0000-0000E5410000}"/>
    <cellStyle name="Normal 7 2 3 4 3 2" xfId="16871" xr:uid="{00000000-0005-0000-0000-0000E6410000}"/>
    <cellStyle name="Normal 7 2 3 4 3 2 2" xfId="16872" xr:uid="{00000000-0005-0000-0000-0000E7410000}"/>
    <cellStyle name="Normal 7 2 3 4 3 2 3" xfId="16873" xr:uid="{00000000-0005-0000-0000-0000E8410000}"/>
    <cellStyle name="Normal 7 2 3 4 3 3" xfId="16874" xr:uid="{00000000-0005-0000-0000-0000E9410000}"/>
    <cellStyle name="Normal 7 2 3 4 3 3 2" xfId="16875" xr:uid="{00000000-0005-0000-0000-0000EA410000}"/>
    <cellStyle name="Normal 7 2 3 4 3 3 3" xfId="16876" xr:uid="{00000000-0005-0000-0000-0000EB410000}"/>
    <cellStyle name="Normal 7 2 3 4 3 4" xfId="16877" xr:uid="{00000000-0005-0000-0000-0000EC410000}"/>
    <cellStyle name="Normal 7 2 3 4 3 5" xfId="16878" xr:uid="{00000000-0005-0000-0000-0000ED410000}"/>
    <cellStyle name="Normal 7 2 3 4 4" xfId="16879" xr:uid="{00000000-0005-0000-0000-0000EE410000}"/>
    <cellStyle name="Normal 7 2 3 4 4 2" xfId="16880" xr:uid="{00000000-0005-0000-0000-0000EF410000}"/>
    <cellStyle name="Normal 7 2 3 4 4 3" xfId="16881" xr:uid="{00000000-0005-0000-0000-0000F0410000}"/>
    <cellStyle name="Normal 7 2 3 4 5" xfId="16882" xr:uid="{00000000-0005-0000-0000-0000F1410000}"/>
    <cellStyle name="Normal 7 2 3 4 5 2" xfId="16883" xr:uid="{00000000-0005-0000-0000-0000F2410000}"/>
    <cellStyle name="Normal 7 2 3 4 5 3" xfId="16884" xr:uid="{00000000-0005-0000-0000-0000F3410000}"/>
    <cellStyle name="Normal 7 2 3 4 6" xfId="16885" xr:uid="{00000000-0005-0000-0000-0000F4410000}"/>
    <cellStyle name="Normal 7 2 3 4 7" xfId="16886" xr:uid="{00000000-0005-0000-0000-0000F5410000}"/>
    <cellStyle name="Normal 7 2 3 5" xfId="16887" xr:uid="{00000000-0005-0000-0000-0000F6410000}"/>
    <cellStyle name="Normal 7 2 3 5 2" xfId="16888" xr:uid="{00000000-0005-0000-0000-0000F7410000}"/>
    <cellStyle name="Normal 7 2 3 5 2 2" xfId="16889" xr:uid="{00000000-0005-0000-0000-0000F8410000}"/>
    <cellStyle name="Normal 7 2 3 5 2 2 2" xfId="16890" xr:uid="{00000000-0005-0000-0000-0000F9410000}"/>
    <cellStyle name="Normal 7 2 3 5 2 2 3" xfId="16891" xr:uid="{00000000-0005-0000-0000-0000FA410000}"/>
    <cellStyle name="Normal 7 2 3 5 2 3" xfId="16892" xr:uid="{00000000-0005-0000-0000-0000FB410000}"/>
    <cellStyle name="Normal 7 2 3 5 2 3 2" xfId="16893" xr:uid="{00000000-0005-0000-0000-0000FC410000}"/>
    <cellStyle name="Normal 7 2 3 5 2 3 3" xfId="16894" xr:uid="{00000000-0005-0000-0000-0000FD410000}"/>
    <cellStyle name="Normal 7 2 3 5 2 4" xfId="16895" xr:uid="{00000000-0005-0000-0000-0000FE410000}"/>
    <cellStyle name="Normal 7 2 3 5 2 5" xfId="16896" xr:uid="{00000000-0005-0000-0000-0000FF410000}"/>
    <cellStyle name="Normal 7 2 3 5 3" xfId="16897" xr:uid="{00000000-0005-0000-0000-000000420000}"/>
    <cellStyle name="Normal 7 2 3 5 3 2" xfId="16898" xr:uid="{00000000-0005-0000-0000-000001420000}"/>
    <cellStyle name="Normal 7 2 3 5 3 2 2" xfId="16899" xr:uid="{00000000-0005-0000-0000-000002420000}"/>
    <cellStyle name="Normal 7 2 3 5 3 2 3" xfId="16900" xr:uid="{00000000-0005-0000-0000-000003420000}"/>
    <cellStyle name="Normal 7 2 3 5 3 3" xfId="16901" xr:uid="{00000000-0005-0000-0000-000004420000}"/>
    <cellStyle name="Normal 7 2 3 5 3 4" xfId="16902" xr:uid="{00000000-0005-0000-0000-000005420000}"/>
    <cellStyle name="Normal 7 2 3 5 4" xfId="16903" xr:uid="{00000000-0005-0000-0000-000006420000}"/>
    <cellStyle name="Normal 7 2 3 5 4 2" xfId="16904" xr:uid="{00000000-0005-0000-0000-000007420000}"/>
    <cellStyle name="Normal 7 2 3 5 4 3" xfId="16905" xr:uid="{00000000-0005-0000-0000-000008420000}"/>
    <cellStyle name="Normal 7 2 3 5 5" xfId="16906" xr:uid="{00000000-0005-0000-0000-000009420000}"/>
    <cellStyle name="Normal 7 2 3 5 5 2" xfId="16907" xr:uid="{00000000-0005-0000-0000-00000A420000}"/>
    <cellStyle name="Normal 7 2 3 5 5 3" xfId="16908" xr:uid="{00000000-0005-0000-0000-00000B420000}"/>
    <cellStyle name="Normal 7 2 3 5 6" xfId="16909" xr:uid="{00000000-0005-0000-0000-00000C420000}"/>
    <cellStyle name="Normal 7 2 3 5 7" xfId="16910" xr:uid="{00000000-0005-0000-0000-00000D420000}"/>
    <cellStyle name="Normal 7 2 3 6" xfId="16911" xr:uid="{00000000-0005-0000-0000-00000E420000}"/>
    <cellStyle name="Normal 7 2 3 6 2" xfId="16912" xr:uid="{00000000-0005-0000-0000-00000F420000}"/>
    <cellStyle name="Normal 7 2 3 6 2 2" xfId="16913" xr:uid="{00000000-0005-0000-0000-000010420000}"/>
    <cellStyle name="Normal 7 2 3 6 2 3" xfId="16914" xr:uid="{00000000-0005-0000-0000-000011420000}"/>
    <cellStyle name="Normal 7 2 3 6 3" xfId="16915" xr:uid="{00000000-0005-0000-0000-000012420000}"/>
    <cellStyle name="Normal 7 2 3 6 3 2" xfId="16916" xr:uid="{00000000-0005-0000-0000-000013420000}"/>
    <cellStyle name="Normal 7 2 3 6 3 3" xfId="16917" xr:uid="{00000000-0005-0000-0000-000014420000}"/>
    <cellStyle name="Normal 7 2 3 6 4" xfId="16918" xr:uid="{00000000-0005-0000-0000-000015420000}"/>
    <cellStyle name="Normal 7 2 3 6 5" xfId="16919" xr:uid="{00000000-0005-0000-0000-000016420000}"/>
    <cellStyle name="Normal 7 2 3 7" xfId="16920" xr:uid="{00000000-0005-0000-0000-000017420000}"/>
    <cellStyle name="Normal 7 2 3 7 2" xfId="16921" xr:uid="{00000000-0005-0000-0000-000018420000}"/>
    <cellStyle name="Normal 7 2 3 7 2 2" xfId="16922" xr:uid="{00000000-0005-0000-0000-000019420000}"/>
    <cellStyle name="Normal 7 2 3 7 2 3" xfId="16923" xr:uid="{00000000-0005-0000-0000-00001A420000}"/>
    <cellStyle name="Normal 7 2 3 7 3" xfId="16924" xr:uid="{00000000-0005-0000-0000-00001B420000}"/>
    <cellStyle name="Normal 7 2 3 7 3 2" xfId="16925" xr:uid="{00000000-0005-0000-0000-00001C420000}"/>
    <cellStyle name="Normal 7 2 3 7 3 3" xfId="16926" xr:uid="{00000000-0005-0000-0000-00001D420000}"/>
    <cellStyle name="Normal 7 2 3 7 4" xfId="16927" xr:uid="{00000000-0005-0000-0000-00001E420000}"/>
    <cellStyle name="Normal 7 2 3 7 5" xfId="16928" xr:uid="{00000000-0005-0000-0000-00001F420000}"/>
    <cellStyle name="Normal 7 2 3 8" xfId="16929" xr:uid="{00000000-0005-0000-0000-000020420000}"/>
    <cellStyle name="Normal 7 2 3 8 2" xfId="16930" xr:uid="{00000000-0005-0000-0000-000021420000}"/>
    <cellStyle name="Normal 7 2 3 8 2 2" xfId="16931" xr:uid="{00000000-0005-0000-0000-000022420000}"/>
    <cellStyle name="Normal 7 2 3 8 2 3" xfId="16932" xr:uid="{00000000-0005-0000-0000-000023420000}"/>
    <cellStyle name="Normal 7 2 3 8 3" xfId="16933" xr:uid="{00000000-0005-0000-0000-000024420000}"/>
    <cellStyle name="Normal 7 2 3 8 4" xfId="16934" xr:uid="{00000000-0005-0000-0000-000025420000}"/>
    <cellStyle name="Normal 7 2 3 9" xfId="16935" xr:uid="{00000000-0005-0000-0000-000026420000}"/>
    <cellStyle name="Normal 7 2 3 9 2" xfId="16936" xr:uid="{00000000-0005-0000-0000-000027420000}"/>
    <cellStyle name="Normal 7 2 3 9 3" xfId="16937" xr:uid="{00000000-0005-0000-0000-000028420000}"/>
    <cellStyle name="Normal 7 2 4" xfId="16938" xr:uid="{00000000-0005-0000-0000-000029420000}"/>
    <cellStyle name="Normal 7 2 4 10" xfId="16939" xr:uid="{00000000-0005-0000-0000-00002A420000}"/>
    <cellStyle name="Normal 7 2 4 10 2" xfId="16940" xr:uid="{00000000-0005-0000-0000-00002B420000}"/>
    <cellStyle name="Normal 7 2 4 10 3" xfId="16941" xr:uid="{00000000-0005-0000-0000-00002C420000}"/>
    <cellStyle name="Normal 7 2 4 10 3 2" xfId="16942" xr:uid="{00000000-0005-0000-0000-00002D420000}"/>
    <cellStyle name="Normal 7 2 4 10 4" xfId="16943" xr:uid="{00000000-0005-0000-0000-00002E420000}"/>
    <cellStyle name="Normal 7 2 4 11" xfId="16944" xr:uid="{00000000-0005-0000-0000-00002F420000}"/>
    <cellStyle name="Normal 7 2 4 11 2" xfId="16945" xr:uid="{00000000-0005-0000-0000-000030420000}"/>
    <cellStyle name="Normal 7 2 4 11 2 2" xfId="16946" xr:uid="{00000000-0005-0000-0000-000031420000}"/>
    <cellStyle name="Normal 7 2 4 11 3" xfId="16947" xr:uid="{00000000-0005-0000-0000-000032420000}"/>
    <cellStyle name="Normal 7 2 4 12" xfId="16948" xr:uid="{00000000-0005-0000-0000-000033420000}"/>
    <cellStyle name="Normal 7 2 4 13" xfId="16949" xr:uid="{00000000-0005-0000-0000-000034420000}"/>
    <cellStyle name="Normal 7 2 4 2" xfId="16950" xr:uid="{00000000-0005-0000-0000-000035420000}"/>
    <cellStyle name="Normal 7 2 4 2 2" xfId="16951" xr:uid="{00000000-0005-0000-0000-000036420000}"/>
    <cellStyle name="Normal 7 2 4 2 2 2" xfId="16952" xr:uid="{00000000-0005-0000-0000-000037420000}"/>
    <cellStyle name="Normal 7 2 4 2 2 2 2" xfId="16953" xr:uid="{00000000-0005-0000-0000-000038420000}"/>
    <cellStyle name="Normal 7 2 4 2 2 2 2 2" xfId="16954" xr:uid="{00000000-0005-0000-0000-000039420000}"/>
    <cellStyle name="Normal 7 2 4 2 2 2 2 3" xfId="16955" xr:uid="{00000000-0005-0000-0000-00003A420000}"/>
    <cellStyle name="Normal 7 2 4 2 2 2 3" xfId="16956" xr:uid="{00000000-0005-0000-0000-00003B420000}"/>
    <cellStyle name="Normal 7 2 4 2 2 2 3 2" xfId="16957" xr:uid="{00000000-0005-0000-0000-00003C420000}"/>
    <cellStyle name="Normal 7 2 4 2 2 2 3 3" xfId="16958" xr:uid="{00000000-0005-0000-0000-00003D420000}"/>
    <cellStyle name="Normal 7 2 4 2 2 2 4" xfId="16959" xr:uid="{00000000-0005-0000-0000-00003E420000}"/>
    <cellStyle name="Normal 7 2 4 2 2 2 5" xfId="16960" xr:uid="{00000000-0005-0000-0000-00003F420000}"/>
    <cellStyle name="Normal 7 2 4 2 2 3" xfId="16961" xr:uid="{00000000-0005-0000-0000-000040420000}"/>
    <cellStyle name="Normal 7 2 4 2 2 3 2" xfId="16962" xr:uid="{00000000-0005-0000-0000-000041420000}"/>
    <cellStyle name="Normal 7 2 4 2 2 3 2 2" xfId="16963" xr:uid="{00000000-0005-0000-0000-000042420000}"/>
    <cellStyle name="Normal 7 2 4 2 2 3 2 3" xfId="16964" xr:uid="{00000000-0005-0000-0000-000043420000}"/>
    <cellStyle name="Normal 7 2 4 2 2 3 3" xfId="16965" xr:uid="{00000000-0005-0000-0000-000044420000}"/>
    <cellStyle name="Normal 7 2 4 2 2 3 3 2" xfId="16966" xr:uid="{00000000-0005-0000-0000-000045420000}"/>
    <cellStyle name="Normal 7 2 4 2 2 3 3 3" xfId="16967" xr:uid="{00000000-0005-0000-0000-000046420000}"/>
    <cellStyle name="Normal 7 2 4 2 2 3 4" xfId="16968" xr:uid="{00000000-0005-0000-0000-000047420000}"/>
    <cellStyle name="Normal 7 2 4 2 2 3 5" xfId="16969" xr:uid="{00000000-0005-0000-0000-000048420000}"/>
    <cellStyle name="Normal 7 2 4 2 2 4" xfId="16970" xr:uid="{00000000-0005-0000-0000-000049420000}"/>
    <cellStyle name="Normal 7 2 4 2 2 4 2" xfId="16971" xr:uid="{00000000-0005-0000-0000-00004A420000}"/>
    <cellStyle name="Normal 7 2 4 2 2 4 3" xfId="16972" xr:uid="{00000000-0005-0000-0000-00004B420000}"/>
    <cellStyle name="Normal 7 2 4 2 2 5" xfId="16973" xr:uid="{00000000-0005-0000-0000-00004C420000}"/>
    <cellStyle name="Normal 7 2 4 2 2 5 2" xfId="16974" xr:uid="{00000000-0005-0000-0000-00004D420000}"/>
    <cellStyle name="Normal 7 2 4 2 2 5 3" xfId="16975" xr:uid="{00000000-0005-0000-0000-00004E420000}"/>
    <cellStyle name="Normal 7 2 4 2 2 6" xfId="16976" xr:uid="{00000000-0005-0000-0000-00004F420000}"/>
    <cellStyle name="Normal 7 2 4 2 2 7" xfId="16977" xr:uid="{00000000-0005-0000-0000-000050420000}"/>
    <cellStyle name="Normal 7 2 4 2 3" xfId="16978" xr:uid="{00000000-0005-0000-0000-000051420000}"/>
    <cellStyle name="Normal 7 2 4 2 3 2" xfId="16979" xr:uid="{00000000-0005-0000-0000-000052420000}"/>
    <cellStyle name="Normal 7 2 4 2 3 2 2" xfId="16980" xr:uid="{00000000-0005-0000-0000-000053420000}"/>
    <cellStyle name="Normal 7 2 4 2 3 2 3" xfId="16981" xr:uid="{00000000-0005-0000-0000-000054420000}"/>
    <cellStyle name="Normal 7 2 4 2 3 3" xfId="16982" xr:uid="{00000000-0005-0000-0000-000055420000}"/>
    <cellStyle name="Normal 7 2 4 2 3 3 2" xfId="16983" xr:uid="{00000000-0005-0000-0000-000056420000}"/>
    <cellStyle name="Normal 7 2 4 2 3 3 3" xfId="16984" xr:uid="{00000000-0005-0000-0000-000057420000}"/>
    <cellStyle name="Normal 7 2 4 2 3 4" xfId="16985" xr:uid="{00000000-0005-0000-0000-000058420000}"/>
    <cellStyle name="Normal 7 2 4 2 3 5" xfId="16986" xr:uid="{00000000-0005-0000-0000-000059420000}"/>
    <cellStyle name="Normal 7 2 4 2 4" xfId="16987" xr:uid="{00000000-0005-0000-0000-00005A420000}"/>
    <cellStyle name="Normal 7 2 4 2 4 2" xfId="16988" xr:uid="{00000000-0005-0000-0000-00005B420000}"/>
    <cellStyle name="Normal 7 2 4 2 4 2 2" xfId="16989" xr:uid="{00000000-0005-0000-0000-00005C420000}"/>
    <cellStyle name="Normal 7 2 4 2 4 2 3" xfId="16990" xr:uid="{00000000-0005-0000-0000-00005D420000}"/>
    <cellStyle name="Normal 7 2 4 2 4 3" xfId="16991" xr:uid="{00000000-0005-0000-0000-00005E420000}"/>
    <cellStyle name="Normal 7 2 4 2 4 3 2" xfId="16992" xr:uid="{00000000-0005-0000-0000-00005F420000}"/>
    <cellStyle name="Normal 7 2 4 2 4 3 3" xfId="16993" xr:uid="{00000000-0005-0000-0000-000060420000}"/>
    <cellStyle name="Normal 7 2 4 2 4 4" xfId="16994" xr:uid="{00000000-0005-0000-0000-000061420000}"/>
    <cellStyle name="Normal 7 2 4 2 4 5" xfId="16995" xr:uid="{00000000-0005-0000-0000-000062420000}"/>
    <cellStyle name="Normal 7 2 4 2 5" xfId="16996" xr:uid="{00000000-0005-0000-0000-000063420000}"/>
    <cellStyle name="Normal 7 2 4 2 5 2" xfId="16997" xr:uid="{00000000-0005-0000-0000-000064420000}"/>
    <cellStyle name="Normal 7 2 4 2 5 3" xfId="16998" xr:uid="{00000000-0005-0000-0000-000065420000}"/>
    <cellStyle name="Normal 7 2 4 2 6" xfId="16999" xr:uid="{00000000-0005-0000-0000-000066420000}"/>
    <cellStyle name="Normal 7 2 4 2 6 2" xfId="17000" xr:uid="{00000000-0005-0000-0000-000067420000}"/>
    <cellStyle name="Normal 7 2 4 2 6 3" xfId="17001" xr:uid="{00000000-0005-0000-0000-000068420000}"/>
    <cellStyle name="Normal 7 2 4 2 7" xfId="17002" xr:uid="{00000000-0005-0000-0000-000069420000}"/>
    <cellStyle name="Normal 7 2 4 2 7 2" xfId="17003" xr:uid="{00000000-0005-0000-0000-00006A420000}"/>
    <cellStyle name="Normal 7 2 4 2 7 3" xfId="17004" xr:uid="{00000000-0005-0000-0000-00006B420000}"/>
    <cellStyle name="Normal 7 2 4 2 7 3 2" xfId="17005" xr:uid="{00000000-0005-0000-0000-00006C420000}"/>
    <cellStyle name="Normal 7 2 4 2 7 4" xfId="17006" xr:uid="{00000000-0005-0000-0000-00006D420000}"/>
    <cellStyle name="Normal 7 2 4 2 8" xfId="17007" xr:uid="{00000000-0005-0000-0000-00006E420000}"/>
    <cellStyle name="Normal 7 2 4 2 9" xfId="17008" xr:uid="{00000000-0005-0000-0000-00006F420000}"/>
    <cellStyle name="Normal 7 2 4 3" xfId="17009" xr:uid="{00000000-0005-0000-0000-000070420000}"/>
    <cellStyle name="Normal 7 2 4 3 2" xfId="17010" xr:uid="{00000000-0005-0000-0000-000071420000}"/>
    <cellStyle name="Normal 7 2 4 3 2 2" xfId="17011" xr:uid="{00000000-0005-0000-0000-000072420000}"/>
    <cellStyle name="Normal 7 2 4 3 2 2 2" xfId="17012" xr:uid="{00000000-0005-0000-0000-000073420000}"/>
    <cellStyle name="Normal 7 2 4 3 2 2 3" xfId="17013" xr:uid="{00000000-0005-0000-0000-000074420000}"/>
    <cellStyle name="Normal 7 2 4 3 2 3" xfId="17014" xr:uid="{00000000-0005-0000-0000-000075420000}"/>
    <cellStyle name="Normal 7 2 4 3 2 3 2" xfId="17015" xr:uid="{00000000-0005-0000-0000-000076420000}"/>
    <cellStyle name="Normal 7 2 4 3 2 3 3" xfId="17016" xr:uid="{00000000-0005-0000-0000-000077420000}"/>
    <cellStyle name="Normal 7 2 4 3 2 4" xfId="17017" xr:uid="{00000000-0005-0000-0000-000078420000}"/>
    <cellStyle name="Normal 7 2 4 3 2 5" xfId="17018" xr:uid="{00000000-0005-0000-0000-000079420000}"/>
    <cellStyle name="Normal 7 2 4 3 3" xfId="17019" xr:uid="{00000000-0005-0000-0000-00007A420000}"/>
    <cellStyle name="Normal 7 2 4 3 3 2" xfId="17020" xr:uid="{00000000-0005-0000-0000-00007B420000}"/>
    <cellStyle name="Normal 7 2 4 3 3 2 2" xfId="17021" xr:uid="{00000000-0005-0000-0000-00007C420000}"/>
    <cellStyle name="Normal 7 2 4 3 3 2 3" xfId="17022" xr:uid="{00000000-0005-0000-0000-00007D420000}"/>
    <cellStyle name="Normal 7 2 4 3 3 3" xfId="17023" xr:uid="{00000000-0005-0000-0000-00007E420000}"/>
    <cellStyle name="Normal 7 2 4 3 3 3 2" xfId="17024" xr:uid="{00000000-0005-0000-0000-00007F420000}"/>
    <cellStyle name="Normal 7 2 4 3 3 3 3" xfId="17025" xr:uid="{00000000-0005-0000-0000-000080420000}"/>
    <cellStyle name="Normal 7 2 4 3 3 4" xfId="17026" xr:uid="{00000000-0005-0000-0000-000081420000}"/>
    <cellStyle name="Normal 7 2 4 3 3 5" xfId="17027" xr:uid="{00000000-0005-0000-0000-000082420000}"/>
    <cellStyle name="Normal 7 2 4 3 4" xfId="17028" xr:uid="{00000000-0005-0000-0000-000083420000}"/>
    <cellStyle name="Normal 7 2 4 3 4 2" xfId="17029" xr:uid="{00000000-0005-0000-0000-000084420000}"/>
    <cellStyle name="Normal 7 2 4 3 4 3" xfId="17030" xr:uid="{00000000-0005-0000-0000-000085420000}"/>
    <cellStyle name="Normal 7 2 4 3 5" xfId="17031" xr:uid="{00000000-0005-0000-0000-000086420000}"/>
    <cellStyle name="Normal 7 2 4 3 5 2" xfId="17032" xr:uid="{00000000-0005-0000-0000-000087420000}"/>
    <cellStyle name="Normal 7 2 4 3 5 3" xfId="17033" xr:uid="{00000000-0005-0000-0000-000088420000}"/>
    <cellStyle name="Normal 7 2 4 3 6" xfId="17034" xr:uid="{00000000-0005-0000-0000-000089420000}"/>
    <cellStyle name="Normal 7 2 4 3 7" xfId="17035" xr:uid="{00000000-0005-0000-0000-00008A420000}"/>
    <cellStyle name="Normal 7 2 4 4" xfId="17036" xr:uid="{00000000-0005-0000-0000-00008B420000}"/>
    <cellStyle name="Normal 7 2 4 4 2" xfId="17037" xr:uid="{00000000-0005-0000-0000-00008C420000}"/>
    <cellStyle name="Normal 7 2 4 4 2 2" xfId="17038" xr:uid="{00000000-0005-0000-0000-00008D420000}"/>
    <cellStyle name="Normal 7 2 4 4 2 2 2" xfId="17039" xr:uid="{00000000-0005-0000-0000-00008E420000}"/>
    <cellStyle name="Normal 7 2 4 4 2 2 3" xfId="17040" xr:uid="{00000000-0005-0000-0000-00008F420000}"/>
    <cellStyle name="Normal 7 2 4 4 2 3" xfId="17041" xr:uid="{00000000-0005-0000-0000-000090420000}"/>
    <cellStyle name="Normal 7 2 4 4 2 3 2" xfId="17042" xr:uid="{00000000-0005-0000-0000-000091420000}"/>
    <cellStyle name="Normal 7 2 4 4 2 3 3" xfId="17043" xr:uid="{00000000-0005-0000-0000-000092420000}"/>
    <cellStyle name="Normal 7 2 4 4 2 4" xfId="17044" xr:uid="{00000000-0005-0000-0000-000093420000}"/>
    <cellStyle name="Normal 7 2 4 4 2 5" xfId="17045" xr:uid="{00000000-0005-0000-0000-000094420000}"/>
    <cellStyle name="Normal 7 2 4 4 3" xfId="17046" xr:uid="{00000000-0005-0000-0000-000095420000}"/>
    <cellStyle name="Normal 7 2 4 4 3 2" xfId="17047" xr:uid="{00000000-0005-0000-0000-000096420000}"/>
    <cellStyle name="Normal 7 2 4 4 3 2 2" xfId="17048" xr:uid="{00000000-0005-0000-0000-000097420000}"/>
    <cellStyle name="Normal 7 2 4 4 3 2 3" xfId="17049" xr:uid="{00000000-0005-0000-0000-000098420000}"/>
    <cellStyle name="Normal 7 2 4 4 3 3" xfId="17050" xr:uid="{00000000-0005-0000-0000-000099420000}"/>
    <cellStyle name="Normal 7 2 4 4 3 4" xfId="17051" xr:uid="{00000000-0005-0000-0000-00009A420000}"/>
    <cellStyle name="Normal 7 2 4 4 4" xfId="17052" xr:uid="{00000000-0005-0000-0000-00009B420000}"/>
    <cellStyle name="Normal 7 2 4 4 4 2" xfId="17053" xr:uid="{00000000-0005-0000-0000-00009C420000}"/>
    <cellStyle name="Normal 7 2 4 4 4 3" xfId="17054" xr:uid="{00000000-0005-0000-0000-00009D420000}"/>
    <cellStyle name="Normal 7 2 4 4 5" xfId="17055" xr:uid="{00000000-0005-0000-0000-00009E420000}"/>
    <cellStyle name="Normal 7 2 4 4 5 2" xfId="17056" xr:uid="{00000000-0005-0000-0000-00009F420000}"/>
    <cellStyle name="Normal 7 2 4 4 5 3" xfId="17057" xr:uid="{00000000-0005-0000-0000-0000A0420000}"/>
    <cellStyle name="Normal 7 2 4 4 6" xfId="17058" xr:uid="{00000000-0005-0000-0000-0000A1420000}"/>
    <cellStyle name="Normal 7 2 4 4 7" xfId="17059" xr:uid="{00000000-0005-0000-0000-0000A2420000}"/>
    <cellStyle name="Normal 7 2 4 5" xfId="17060" xr:uid="{00000000-0005-0000-0000-0000A3420000}"/>
    <cellStyle name="Normal 7 2 4 5 2" xfId="17061" xr:uid="{00000000-0005-0000-0000-0000A4420000}"/>
    <cellStyle name="Normal 7 2 4 5 2 2" xfId="17062" xr:uid="{00000000-0005-0000-0000-0000A5420000}"/>
    <cellStyle name="Normal 7 2 4 5 2 3" xfId="17063" xr:uid="{00000000-0005-0000-0000-0000A6420000}"/>
    <cellStyle name="Normal 7 2 4 5 3" xfId="17064" xr:uid="{00000000-0005-0000-0000-0000A7420000}"/>
    <cellStyle name="Normal 7 2 4 5 3 2" xfId="17065" xr:uid="{00000000-0005-0000-0000-0000A8420000}"/>
    <cellStyle name="Normal 7 2 4 5 3 3" xfId="17066" xr:uid="{00000000-0005-0000-0000-0000A9420000}"/>
    <cellStyle name="Normal 7 2 4 5 4" xfId="17067" xr:uid="{00000000-0005-0000-0000-0000AA420000}"/>
    <cellStyle name="Normal 7 2 4 5 5" xfId="17068" xr:uid="{00000000-0005-0000-0000-0000AB420000}"/>
    <cellStyle name="Normal 7 2 4 6" xfId="17069" xr:uid="{00000000-0005-0000-0000-0000AC420000}"/>
    <cellStyle name="Normal 7 2 4 6 2" xfId="17070" xr:uid="{00000000-0005-0000-0000-0000AD420000}"/>
    <cellStyle name="Normal 7 2 4 6 2 2" xfId="17071" xr:uid="{00000000-0005-0000-0000-0000AE420000}"/>
    <cellStyle name="Normal 7 2 4 6 2 3" xfId="17072" xr:uid="{00000000-0005-0000-0000-0000AF420000}"/>
    <cellStyle name="Normal 7 2 4 6 3" xfId="17073" xr:uid="{00000000-0005-0000-0000-0000B0420000}"/>
    <cellStyle name="Normal 7 2 4 6 3 2" xfId="17074" xr:uid="{00000000-0005-0000-0000-0000B1420000}"/>
    <cellStyle name="Normal 7 2 4 6 3 3" xfId="17075" xr:uid="{00000000-0005-0000-0000-0000B2420000}"/>
    <cellStyle name="Normal 7 2 4 6 4" xfId="17076" xr:uid="{00000000-0005-0000-0000-0000B3420000}"/>
    <cellStyle name="Normal 7 2 4 6 5" xfId="17077" xr:uid="{00000000-0005-0000-0000-0000B4420000}"/>
    <cellStyle name="Normal 7 2 4 7" xfId="17078" xr:uid="{00000000-0005-0000-0000-0000B5420000}"/>
    <cellStyle name="Normal 7 2 4 7 2" xfId="17079" xr:uid="{00000000-0005-0000-0000-0000B6420000}"/>
    <cellStyle name="Normal 7 2 4 7 2 2" xfId="17080" xr:uid="{00000000-0005-0000-0000-0000B7420000}"/>
    <cellStyle name="Normal 7 2 4 7 2 3" xfId="17081" xr:uid="{00000000-0005-0000-0000-0000B8420000}"/>
    <cellStyle name="Normal 7 2 4 7 3" xfId="17082" xr:uid="{00000000-0005-0000-0000-0000B9420000}"/>
    <cellStyle name="Normal 7 2 4 7 4" xfId="17083" xr:uid="{00000000-0005-0000-0000-0000BA420000}"/>
    <cellStyle name="Normal 7 2 4 8" xfId="17084" xr:uid="{00000000-0005-0000-0000-0000BB420000}"/>
    <cellStyle name="Normal 7 2 4 8 2" xfId="17085" xr:uid="{00000000-0005-0000-0000-0000BC420000}"/>
    <cellStyle name="Normal 7 2 4 8 3" xfId="17086" xr:uid="{00000000-0005-0000-0000-0000BD420000}"/>
    <cellStyle name="Normal 7 2 4 9" xfId="17087" xr:uid="{00000000-0005-0000-0000-0000BE420000}"/>
    <cellStyle name="Normal 7 2 4 9 2" xfId="17088" xr:uid="{00000000-0005-0000-0000-0000BF420000}"/>
    <cellStyle name="Normal 7 2 4 9 3" xfId="17089" xr:uid="{00000000-0005-0000-0000-0000C0420000}"/>
    <cellStyle name="Normal 7 2 5" xfId="17090" xr:uid="{00000000-0005-0000-0000-0000C1420000}"/>
    <cellStyle name="Normal 7 2 5 10" xfId="17091" xr:uid="{00000000-0005-0000-0000-0000C2420000}"/>
    <cellStyle name="Normal 7 2 5 10 2" xfId="17092" xr:uid="{00000000-0005-0000-0000-0000C3420000}"/>
    <cellStyle name="Normal 7 2 5 10 3" xfId="17093" xr:uid="{00000000-0005-0000-0000-0000C4420000}"/>
    <cellStyle name="Normal 7 2 5 10 3 2" xfId="17094" xr:uid="{00000000-0005-0000-0000-0000C5420000}"/>
    <cellStyle name="Normal 7 2 5 10 4" xfId="17095" xr:uid="{00000000-0005-0000-0000-0000C6420000}"/>
    <cellStyle name="Normal 7 2 5 11" xfId="17096" xr:uid="{00000000-0005-0000-0000-0000C7420000}"/>
    <cellStyle name="Normal 7 2 5 11 2" xfId="17097" xr:uid="{00000000-0005-0000-0000-0000C8420000}"/>
    <cellStyle name="Normal 7 2 5 11 3" xfId="17098" xr:uid="{00000000-0005-0000-0000-0000C9420000}"/>
    <cellStyle name="Normal 7 2 5 11 3 2" xfId="17099" xr:uid="{00000000-0005-0000-0000-0000CA420000}"/>
    <cellStyle name="Normal 7 2 5 11 4" xfId="17100" xr:uid="{00000000-0005-0000-0000-0000CB420000}"/>
    <cellStyle name="Normal 7 2 5 12" xfId="17101" xr:uid="{00000000-0005-0000-0000-0000CC420000}"/>
    <cellStyle name="Normal 7 2 5 13" xfId="17102" xr:uid="{00000000-0005-0000-0000-0000CD420000}"/>
    <cellStyle name="Normal 7 2 5 2" xfId="17103" xr:uid="{00000000-0005-0000-0000-0000CE420000}"/>
    <cellStyle name="Normal 7 2 5 2 2" xfId="17104" xr:uid="{00000000-0005-0000-0000-0000CF420000}"/>
    <cellStyle name="Normal 7 2 5 2 2 2" xfId="17105" xr:uid="{00000000-0005-0000-0000-0000D0420000}"/>
    <cellStyle name="Normal 7 2 5 2 2 2 2" xfId="17106" xr:uid="{00000000-0005-0000-0000-0000D1420000}"/>
    <cellStyle name="Normal 7 2 5 2 2 2 2 2" xfId="17107" xr:uid="{00000000-0005-0000-0000-0000D2420000}"/>
    <cellStyle name="Normal 7 2 5 2 2 2 2 3" xfId="17108" xr:uid="{00000000-0005-0000-0000-0000D3420000}"/>
    <cellStyle name="Normal 7 2 5 2 2 2 3" xfId="17109" xr:uid="{00000000-0005-0000-0000-0000D4420000}"/>
    <cellStyle name="Normal 7 2 5 2 2 2 3 2" xfId="17110" xr:uid="{00000000-0005-0000-0000-0000D5420000}"/>
    <cellStyle name="Normal 7 2 5 2 2 2 3 3" xfId="17111" xr:uid="{00000000-0005-0000-0000-0000D6420000}"/>
    <cellStyle name="Normal 7 2 5 2 2 2 4" xfId="17112" xr:uid="{00000000-0005-0000-0000-0000D7420000}"/>
    <cellStyle name="Normal 7 2 5 2 2 2 5" xfId="17113" xr:uid="{00000000-0005-0000-0000-0000D8420000}"/>
    <cellStyle name="Normal 7 2 5 2 2 3" xfId="17114" xr:uid="{00000000-0005-0000-0000-0000D9420000}"/>
    <cellStyle name="Normal 7 2 5 2 2 3 2" xfId="17115" xr:uid="{00000000-0005-0000-0000-0000DA420000}"/>
    <cellStyle name="Normal 7 2 5 2 2 3 2 2" xfId="17116" xr:uid="{00000000-0005-0000-0000-0000DB420000}"/>
    <cellStyle name="Normal 7 2 5 2 2 3 2 3" xfId="17117" xr:uid="{00000000-0005-0000-0000-0000DC420000}"/>
    <cellStyle name="Normal 7 2 5 2 2 3 3" xfId="17118" xr:uid="{00000000-0005-0000-0000-0000DD420000}"/>
    <cellStyle name="Normal 7 2 5 2 2 3 3 2" xfId="17119" xr:uid="{00000000-0005-0000-0000-0000DE420000}"/>
    <cellStyle name="Normal 7 2 5 2 2 3 3 3" xfId="17120" xr:uid="{00000000-0005-0000-0000-0000DF420000}"/>
    <cellStyle name="Normal 7 2 5 2 2 3 4" xfId="17121" xr:uid="{00000000-0005-0000-0000-0000E0420000}"/>
    <cellStyle name="Normal 7 2 5 2 2 3 5" xfId="17122" xr:uid="{00000000-0005-0000-0000-0000E1420000}"/>
    <cellStyle name="Normal 7 2 5 2 2 4" xfId="17123" xr:uid="{00000000-0005-0000-0000-0000E2420000}"/>
    <cellStyle name="Normal 7 2 5 2 2 4 2" xfId="17124" xr:uid="{00000000-0005-0000-0000-0000E3420000}"/>
    <cellStyle name="Normal 7 2 5 2 2 4 3" xfId="17125" xr:uid="{00000000-0005-0000-0000-0000E4420000}"/>
    <cellStyle name="Normal 7 2 5 2 2 5" xfId="17126" xr:uid="{00000000-0005-0000-0000-0000E5420000}"/>
    <cellStyle name="Normal 7 2 5 2 2 5 2" xfId="17127" xr:uid="{00000000-0005-0000-0000-0000E6420000}"/>
    <cellStyle name="Normal 7 2 5 2 2 5 3" xfId="17128" xr:uid="{00000000-0005-0000-0000-0000E7420000}"/>
    <cellStyle name="Normal 7 2 5 2 2 6" xfId="17129" xr:uid="{00000000-0005-0000-0000-0000E8420000}"/>
    <cellStyle name="Normal 7 2 5 2 2 7" xfId="17130" xr:uid="{00000000-0005-0000-0000-0000E9420000}"/>
    <cellStyle name="Normal 7 2 5 2 3" xfId="17131" xr:uid="{00000000-0005-0000-0000-0000EA420000}"/>
    <cellStyle name="Normal 7 2 5 2 3 2" xfId="17132" xr:uid="{00000000-0005-0000-0000-0000EB420000}"/>
    <cellStyle name="Normal 7 2 5 2 3 2 2" xfId="17133" xr:uid="{00000000-0005-0000-0000-0000EC420000}"/>
    <cellStyle name="Normal 7 2 5 2 3 2 3" xfId="17134" xr:uid="{00000000-0005-0000-0000-0000ED420000}"/>
    <cellStyle name="Normal 7 2 5 2 3 3" xfId="17135" xr:uid="{00000000-0005-0000-0000-0000EE420000}"/>
    <cellStyle name="Normal 7 2 5 2 3 3 2" xfId="17136" xr:uid="{00000000-0005-0000-0000-0000EF420000}"/>
    <cellStyle name="Normal 7 2 5 2 3 3 3" xfId="17137" xr:uid="{00000000-0005-0000-0000-0000F0420000}"/>
    <cellStyle name="Normal 7 2 5 2 3 4" xfId="17138" xr:uid="{00000000-0005-0000-0000-0000F1420000}"/>
    <cellStyle name="Normal 7 2 5 2 3 5" xfId="17139" xr:uid="{00000000-0005-0000-0000-0000F2420000}"/>
    <cellStyle name="Normal 7 2 5 2 4" xfId="17140" xr:uid="{00000000-0005-0000-0000-0000F3420000}"/>
    <cellStyle name="Normal 7 2 5 2 4 2" xfId="17141" xr:uid="{00000000-0005-0000-0000-0000F4420000}"/>
    <cellStyle name="Normal 7 2 5 2 4 2 2" xfId="17142" xr:uid="{00000000-0005-0000-0000-0000F5420000}"/>
    <cellStyle name="Normal 7 2 5 2 4 2 3" xfId="17143" xr:uid="{00000000-0005-0000-0000-0000F6420000}"/>
    <cellStyle name="Normal 7 2 5 2 4 3" xfId="17144" xr:uid="{00000000-0005-0000-0000-0000F7420000}"/>
    <cellStyle name="Normal 7 2 5 2 4 3 2" xfId="17145" xr:uid="{00000000-0005-0000-0000-0000F8420000}"/>
    <cellStyle name="Normal 7 2 5 2 4 3 3" xfId="17146" xr:uid="{00000000-0005-0000-0000-0000F9420000}"/>
    <cellStyle name="Normal 7 2 5 2 4 4" xfId="17147" xr:uid="{00000000-0005-0000-0000-0000FA420000}"/>
    <cellStyle name="Normal 7 2 5 2 4 5" xfId="17148" xr:uid="{00000000-0005-0000-0000-0000FB420000}"/>
    <cellStyle name="Normal 7 2 5 2 5" xfId="17149" xr:uid="{00000000-0005-0000-0000-0000FC420000}"/>
    <cellStyle name="Normal 7 2 5 2 5 2" xfId="17150" xr:uid="{00000000-0005-0000-0000-0000FD420000}"/>
    <cellStyle name="Normal 7 2 5 2 5 3" xfId="17151" xr:uid="{00000000-0005-0000-0000-0000FE420000}"/>
    <cellStyle name="Normal 7 2 5 2 6" xfId="17152" xr:uid="{00000000-0005-0000-0000-0000FF420000}"/>
    <cellStyle name="Normal 7 2 5 2 6 2" xfId="17153" xr:uid="{00000000-0005-0000-0000-000000430000}"/>
    <cellStyle name="Normal 7 2 5 2 6 3" xfId="17154" xr:uid="{00000000-0005-0000-0000-000001430000}"/>
    <cellStyle name="Normal 7 2 5 2 7" xfId="17155" xr:uid="{00000000-0005-0000-0000-000002430000}"/>
    <cellStyle name="Normal 7 2 5 2 7 2" xfId="17156" xr:uid="{00000000-0005-0000-0000-000003430000}"/>
    <cellStyle name="Normal 7 2 5 2 7 3" xfId="17157" xr:uid="{00000000-0005-0000-0000-000004430000}"/>
    <cellStyle name="Normal 7 2 5 2 7 3 2" xfId="17158" xr:uid="{00000000-0005-0000-0000-000005430000}"/>
    <cellStyle name="Normal 7 2 5 2 7 4" xfId="17159" xr:uid="{00000000-0005-0000-0000-000006430000}"/>
    <cellStyle name="Normal 7 2 5 2 8" xfId="17160" xr:uid="{00000000-0005-0000-0000-000007430000}"/>
    <cellStyle name="Normal 7 2 5 2 9" xfId="17161" xr:uid="{00000000-0005-0000-0000-000008430000}"/>
    <cellStyle name="Normal 7 2 5 3" xfId="17162" xr:uid="{00000000-0005-0000-0000-000009430000}"/>
    <cellStyle name="Normal 7 2 5 3 2" xfId="17163" xr:uid="{00000000-0005-0000-0000-00000A430000}"/>
    <cellStyle name="Normal 7 2 5 3 2 2" xfId="17164" xr:uid="{00000000-0005-0000-0000-00000B430000}"/>
    <cellStyle name="Normal 7 2 5 3 2 2 2" xfId="17165" xr:uid="{00000000-0005-0000-0000-00000C430000}"/>
    <cellStyle name="Normal 7 2 5 3 2 2 3" xfId="17166" xr:uid="{00000000-0005-0000-0000-00000D430000}"/>
    <cellStyle name="Normal 7 2 5 3 2 3" xfId="17167" xr:uid="{00000000-0005-0000-0000-00000E430000}"/>
    <cellStyle name="Normal 7 2 5 3 2 3 2" xfId="17168" xr:uid="{00000000-0005-0000-0000-00000F430000}"/>
    <cellStyle name="Normal 7 2 5 3 2 3 3" xfId="17169" xr:uid="{00000000-0005-0000-0000-000010430000}"/>
    <cellStyle name="Normal 7 2 5 3 2 4" xfId="17170" xr:uid="{00000000-0005-0000-0000-000011430000}"/>
    <cellStyle name="Normal 7 2 5 3 2 5" xfId="17171" xr:uid="{00000000-0005-0000-0000-000012430000}"/>
    <cellStyle name="Normal 7 2 5 3 3" xfId="17172" xr:uid="{00000000-0005-0000-0000-000013430000}"/>
    <cellStyle name="Normal 7 2 5 3 3 2" xfId="17173" xr:uid="{00000000-0005-0000-0000-000014430000}"/>
    <cellStyle name="Normal 7 2 5 3 3 2 2" xfId="17174" xr:uid="{00000000-0005-0000-0000-000015430000}"/>
    <cellStyle name="Normal 7 2 5 3 3 2 3" xfId="17175" xr:uid="{00000000-0005-0000-0000-000016430000}"/>
    <cellStyle name="Normal 7 2 5 3 3 3" xfId="17176" xr:uid="{00000000-0005-0000-0000-000017430000}"/>
    <cellStyle name="Normal 7 2 5 3 3 3 2" xfId="17177" xr:uid="{00000000-0005-0000-0000-000018430000}"/>
    <cellStyle name="Normal 7 2 5 3 3 3 3" xfId="17178" xr:uid="{00000000-0005-0000-0000-000019430000}"/>
    <cellStyle name="Normal 7 2 5 3 3 4" xfId="17179" xr:uid="{00000000-0005-0000-0000-00001A430000}"/>
    <cellStyle name="Normal 7 2 5 3 3 5" xfId="17180" xr:uid="{00000000-0005-0000-0000-00001B430000}"/>
    <cellStyle name="Normal 7 2 5 3 4" xfId="17181" xr:uid="{00000000-0005-0000-0000-00001C430000}"/>
    <cellStyle name="Normal 7 2 5 3 4 2" xfId="17182" xr:uid="{00000000-0005-0000-0000-00001D430000}"/>
    <cellStyle name="Normal 7 2 5 3 4 3" xfId="17183" xr:uid="{00000000-0005-0000-0000-00001E430000}"/>
    <cellStyle name="Normal 7 2 5 3 5" xfId="17184" xr:uid="{00000000-0005-0000-0000-00001F430000}"/>
    <cellStyle name="Normal 7 2 5 3 5 2" xfId="17185" xr:uid="{00000000-0005-0000-0000-000020430000}"/>
    <cellStyle name="Normal 7 2 5 3 5 3" xfId="17186" xr:uid="{00000000-0005-0000-0000-000021430000}"/>
    <cellStyle name="Normal 7 2 5 3 6" xfId="17187" xr:uid="{00000000-0005-0000-0000-000022430000}"/>
    <cellStyle name="Normal 7 2 5 3 7" xfId="17188" xr:uid="{00000000-0005-0000-0000-000023430000}"/>
    <cellStyle name="Normal 7 2 5 4" xfId="17189" xr:uid="{00000000-0005-0000-0000-000024430000}"/>
    <cellStyle name="Normal 7 2 5 4 2" xfId="17190" xr:uid="{00000000-0005-0000-0000-000025430000}"/>
    <cellStyle name="Normal 7 2 5 4 2 2" xfId="17191" xr:uid="{00000000-0005-0000-0000-000026430000}"/>
    <cellStyle name="Normal 7 2 5 4 2 2 2" xfId="17192" xr:uid="{00000000-0005-0000-0000-000027430000}"/>
    <cellStyle name="Normal 7 2 5 4 2 2 3" xfId="17193" xr:uid="{00000000-0005-0000-0000-000028430000}"/>
    <cellStyle name="Normal 7 2 5 4 2 3" xfId="17194" xr:uid="{00000000-0005-0000-0000-000029430000}"/>
    <cellStyle name="Normal 7 2 5 4 2 3 2" xfId="17195" xr:uid="{00000000-0005-0000-0000-00002A430000}"/>
    <cellStyle name="Normal 7 2 5 4 2 3 3" xfId="17196" xr:uid="{00000000-0005-0000-0000-00002B430000}"/>
    <cellStyle name="Normal 7 2 5 4 2 4" xfId="17197" xr:uid="{00000000-0005-0000-0000-00002C430000}"/>
    <cellStyle name="Normal 7 2 5 4 2 5" xfId="17198" xr:uid="{00000000-0005-0000-0000-00002D430000}"/>
    <cellStyle name="Normal 7 2 5 4 3" xfId="17199" xr:uid="{00000000-0005-0000-0000-00002E430000}"/>
    <cellStyle name="Normal 7 2 5 4 3 2" xfId="17200" xr:uid="{00000000-0005-0000-0000-00002F430000}"/>
    <cellStyle name="Normal 7 2 5 4 3 2 2" xfId="17201" xr:uid="{00000000-0005-0000-0000-000030430000}"/>
    <cellStyle name="Normal 7 2 5 4 3 2 3" xfId="17202" xr:uid="{00000000-0005-0000-0000-000031430000}"/>
    <cellStyle name="Normal 7 2 5 4 3 3" xfId="17203" xr:uid="{00000000-0005-0000-0000-000032430000}"/>
    <cellStyle name="Normal 7 2 5 4 3 4" xfId="17204" xr:uid="{00000000-0005-0000-0000-000033430000}"/>
    <cellStyle name="Normal 7 2 5 4 4" xfId="17205" xr:uid="{00000000-0005-0000-0000-000034430000}"/>
    <cellStyle name="Normal 7 2 5 4 4 2" xfId="17206" xr:uid="{00000000-0005-0000-0000-000035430000}"/>
    <cellStyle name="Normal 7 2 5 4 4 3" xfId="17207" xr:uid="{00000000-0005-0000-0000-000036430000}"/>
    <cellStyle name="Normal 7 2 5 4 5" xfId="17208" xr:uid="{00000000-0005-0000-0000-000037430000}"/>
    <cellStyle name="Normal 7 2 5 4 5 2" xfId="17209" xr:uid="{00000000-0005-0000-0000-000038430000}"/>
    <cellStyle name="Normal 7 2 5 4 5 3" xfId="17210" xr:uid="{00000000-0005-0000-0000-000039430000}"/>
    <cellStyle name="Normal 7 2 5 4 6" xfId="17211" xr:uid="{00000000-0005-0000-0000-00003A430000}"/>
    <cellStyle name="Normal 7 2 5 4 7" xfId="17212" xr:uid="{00000000-0005-0000-0000-00003B430000}"/>
    <cellStyle name="Normal 7 2 5 5" xfId="17213" xr:uid="{00000000-0005-0000-0000-00003C430000}"/>
    <cellStyle name="Normal 7 2 5 5 2" xfId="17214" xr:uid="{00000000-0005-0000-0000-00003D430000}"/>
    <cellStyle name="Normal 7 2 5 5 2 2" xfId="17215" xr:uid="{00000000-0005-0000-0000-00003E430000}"/>
    <cellStyle name="Normal 7 2 5 5 2 3" xfId="17216" xr:uid="{00000000-0005-0000-0000-00003F430000}"/>
    <cellStyle name="Normal 7 2 5 5 3" xfId="17217" xr:uid="{00000000-0005-0000-0000-000040430000}"/>
    <cellStyle name="Normal 7 2 5 5 3 2" xfId="17218" xr:uid="{00000000-0005-0000-0000-000041430000}"/>
    <cellStyle name="Normal 7 2 5 5 3 3" xfId="17219" xr:uid="{00000000-0005-0000-0000-000042430000}"/>
    <cellStyle name="Normal 7 2 5 5 4" xfId="17220" xr:uid="{00000000-0005-0000-0000-000043430000}"/>
    <cellStyle name="Normal 7 2 5 5 5" xfId="17221" xr:uid="{00000000-0005-0000-0000-000044430000}"/>
    <cellStyle name="Normal 7 2 5 6" xfId="17222" xr:uid="{00000000-0005-0000-0000-000045430000}"/>
    <cellStyle name="Normal 7 2 5 6 2" xfId="17223" xr:uid="{00000000-0005-0000-0000-000046430000}"/>
    <cellStyle name="Normal 7 2 5 6 2 2" xfId="17224" xr:uid="{00000000-0005-0000-0000-000047430000}"/>
    <cellStyle name="Normal 7 2 5 6 2 3" xfId="17225" xr:uid="{00000000-0005-0000-0000-000048430000}"/>
    <cellStyle name="Normal 7 2 5 6 3" xfId="17226" xr:uid="{00000000-0005-0000-0000-000049430000}"/>
    <cellStyle name="Normal 7 2 5 6 3 2" xfId="17227" xr:uid="{00000000-0005-0000-0000-00004A430000}"/>
    <cellStyle name="Normal 7 2 5 6 3 3" xfId="17228" xr:uid="{00000000-0005-0000-0000-00004B430000}"/>
    <cellStyle name="Normal 7 2 5 6 4" xfId="17229" xr:uid="{00000000-0005-0000-0000-00004C430000}"/>
    <cellStyle name="Normal 7 2 5 6 5" xfId="17230" xr:uid="{00000000-0005-0000-0000-00004D430000}"/>
    <cellStyle name="Normal 7 2 5 7" xfId="17231" xr:uid="{00000000-0005-0000-0000-00004E430000}"/>
    <cellStyle name="Normal 7 2 5 7 2" xfId="17232" xr:uid="{00000000-0005-0000-0000-00004F430000}"/>
    <cellStyle name="Normal 7 2 5 7 2 2" xfId="17233" xr:uid="{00000000-0005-0000-0000-000050430000}"/>
    <cellStyle name="Normal 7 2 5 7 2 3" xfId="17234" xr:uid="{00000000-0005-0000-0000-000051430000}"/>
    <cellStyle name="Normal 7 2 5 7 3" xfId="17235" xr:uid="{00000000-0005-0000-0000-000052430000}"/>
    <cellStyle name="Normal 7 2 5 7 4" xfId="17236" xr:uid="{00000000-0005-0000-0000-000053430000}"/>
    <cellStyle name="Normal 7 2 5 8" xfId="17237" xr:uid="{00000000-0005-0000-0000-000054430000}"/>
    <cellStyle name="Normal 7 2 5 8 2" xfId="17238" xr:uid="{00000000-0005-0000-0000-000055430000}"/>
    <cellStyle name="Normal 7 2 5 8 3" xfId="17239" xr:uid="{00000000-0005-0000-0000-000056430000}"/>
    <cellStyle name="Normal 7 2 5 9" xfId="17240" xr:uid="{00000000-0005-0000-0000-000057430000}"/>
    <cellStyle name="Normal 7 2 5 9 2" xfId="17241" xr:uid="{00000000-0005-0000-0000-000058430000}"/>
    <cellStyle name="Normal 7 2 5 9 3" xfId="17242" xr:uid="{00000000-0005-0000-0000-000059430000}"/>
    <cellStyle name="Normal 7 2 6" xfId="17243" xr:uid="{00000000-0005-0000-0000-00005A430000}"/>
    <cellStyle name="Normal 7 2 6 10" xfId="17244" xr:uid="{00000000-0005-0000-0000-00005B430000}"/>
    <cellStyle name="Normal 7 2 6 10 2" xfId="17245" xr:uid="{00000000-0005-0000-0000-00005C430000}"/>
    <cellStyle name="Normal 7 2 6 10 3" xfId="17246" xr:uid="{00000000-0005-0000-0000-00005D430000}"/>
    <cellStyle name="Normal 7 2 6 10 3 2" xfId="17247" xr:uid="{00000000-0005-0000-0000-00005E430000}"/>
    <cellStyle name="Normal 7 2 6 10 4" xfId="17248" xr:uid="{00000000-0005-0000-0000-00005F430000}"/>
    <cellStyle name="Normal 7 2 6 11" xfId="17249" xr:uid="{00000000-0005-0000-0000-000060430000}"/>
    <cellStyle name="Normal 7 2 6 11 2" xfId="17250" xr:uid="{00000000-0005-0000-0000-000061430000}"/>
    <cellStyle name="Normal 7 2 6 11 2 2" xfId="17251" xr:uid="{00000000-0005-0000-0000-000062430000}"/>
    <cellStyle name="Normal 7 2 6 11 3" xfId="17252" xr:uid="{00000000-0005-0000-0000-000063430000}"/>
    <cellStyle name="Normal 7 2 6 12" xfId="17253" xr:uid="{00000000-0005-0000-0000-000064430000}"/>
    <cellStyle name="Normal 7 2 6 13" xfId="17254" xr:uid="{00000000-0005-0000-0000-000065430000}"/>
    <cellStyle name="Normal 7 2 6 2" xfId="17255" xr:uid="{00000000-0005-0000-0000-000066430000}"/>
    <cellStyle name="Normal 7 2 6 2 2" xfId="17256" xr:uid="{00000000-0005-0000-0000-000067430000}"/>
    <cellStyle name="Normal 7 2 6 2 2 2" xfId="17257" xr:uid="{00000000-0005-0000-0000-000068430000}"/>
    <cellStyle name="Normal 7 2 6 2 2 2 2" xfId="17258" xr:uid="{00000000-0005-0000-0000-000069430000}"/>
    <cellStyle name="Normal 7 2 6 2 2 2 2 2" xfId="17259" xr:uid="{00000000-0005-0000-0000-00006A430000}"/>
    <cellStyle name="Normal 7 2 6 2 2 2 2 3" xfId="17260" xr:uid="{00000000-0005-0000-0000-00006B430000}"/>
    <cellStyle name="Normal 7 2 6 2 2 2 3" xfId="17261" xr:uid="{00000000-0005-0000-0000-00006C430000}"/>
    <cellStyle name="Normal 7 2 6 2 2 2 3 2" xfId="17262" xr:uid="{00000000-0005-0000-0000-00006D430000}"/>
    <cellStyle name="Normal 7 2 6 2 2 2 3 3" xfId="17263" xr:uid="{00000000-0005-0000-0000-00006E430000}"/>
    <cellStyle name="Normal 7 2 6 2 2 2 4" xfId="17264" xr:uid="{00000000-0005-0000-0000-00006F430000}"/>
    <cellStyle name="Normal 7 2 6 2 2 2 5" xfId="17265" xr:uid="{00000000-0005-0000-0000-000070430000}"/>
    <cellStyle name="Normal 7 2 6 2 2 3" xfId="17266" xr:uid="{00000000-0005-0000-0000-000071430000}"/>
    <cellStyle name="Normal 7 2 6 2 2 3 2" xfId="17267" xr:uid="{00000000-0005-0000-0000-000072430000}"/>
    <cellStyle name="Normal 7 2 6 2 2 3 2 2" xfId="17268" xr:uid="{00000000-0005-0000-0000-000073430000}"/>
    <cellStyle name="Normal 7 2 6 2 2 3 2 3" xfId="17269" xr:uid="{00000000-0005-0000-0000-000074430000}"/>
    <cellStyle name="Normal 7 2 6 2 2 3 3" xfId="17270" xr:uid="{00000000-0005-0000-0000-000075430000}"/>
    <cellStyle name="Normal 7 2 6 2 2 3 3 2" xfId="17271" xr:uid="{00000000-0005-0000-0000-000076430000}"/>
    <cellStyle name="Normal 7 2 6 2 2 3 3 3" xfId="17272" xr:uid="{00000000-0005-0000-0000-000077430000}"/>
    <cellStyle name="Normal 7 2 6 2 2 3 4" xfId="17273" xr:uid="{00000000-0005-0000-0000-000078430000}"/>
    <cellStyle name="Normal 7 2 6 2 2 3 5" xfId="17274" xr:uid="{00000000-0005-0000-0000-000079430000}"/>
    <cellStyle name="Normal 7 2 6 2 2 4" xfId="17275" xr:uid="{00000000-0005-0000-0000-00007A430000}"/>
    <cellStyle name="Normal 7 2 6 2 2 4 2" xfId="17276" xr:uid="{00000000-0005-0000-0000-00007B430000}"/>
    <cellStyle name="Normal 7 2 6 2 2 4 3" xfId="17277" xr:uid="{00000000-0005-0000-0000-00007C430000}"/>
    <cellStyle name="Normal 7 2 6 2 2 5" xfId="17278" xr:uid="{00000000-0005-0000-0000-00007D430000}"/>
    <cellStyle name="Normal 7 2 6 2 2 5 2" xfId="17279" xr:uid="{00000000-0005-0000-0000-00007E430000}"/>
    <cellStyle name="Normal 7 2 6 2 2 5 3" xfId="17280" xr:uid="{00000000-0005-0000-0000-00007F430000}"/>
    <cellStyle name="Normal 7 2 6 2 2 6" xfId="17281" xr:uid="{00000000-0005-0000-0000-000080430000}"/>
    <cellStyle name="Normal 7 2 6 2 2 7" xfId="17282" xr:uid="{00000000-0005-0000-0000-000081430000}"/>
    <cellStyle name="Normal 7 2 6 2 3" xfId="17283" xr:uid="{00000000-0005-0000-0000-000082430000}"/>
    <cellStyle name="Normal 7 2 6 2 3 2" xfId="17284" xr:uid="{00000000-0005-0000-0000-000083430000}"/>
    <cellStyle name="Normal 7 2 6 2 3 2 2" xfId="17285" xr:uid="{00000000-0005-0000-0000-000084430000}"/>
    <cellStyle name="Normal 7 2 6 2 3 2 3" xfId="17286" xr:uid="{00000000-0005-0000-0000-000085430000}"/>
    <cellStyle name="Normal 7 2 6 2 3 3" xfId="17287" xr:uid="{00000000-0005-0000-0000-000086430000}"/>
    <cellStyle name="Normal 7 2 6 2 3 3 2" xfId="17288" xr:uid="{00000000-0005-0000-0000-000087430000}"/>
    <cellStyle name="Normal 7 2 6 2 3 3 3" xfId="17289" xr:uid="{00000000-0005-0000-0000-000088430000}"/>
    <cellStyle name="Normal 7 2 6 2 3 4" xfId="17290" xr:uid="{00000000-0005-0000-0000-000089430000}"/>
    <cellStyle name="Normal 7 2 6 2 3 5" xfId="17291" xr:uid="{00000000-0005-0000-0000-00008A430000}"/>
    <cellStyle name="Normal 7 2 6 2 4" xfId="17292" xr:uid="{00000000-0005-0000-0000-00008B430000}"/>
    <cellStyle name="Normal 7 2 6 2 4 2" xfId="17293" xr:uid="{00000000-0005-0000-0000-00008C430000}"/>
    <cellStyle name="Normal 7 2 6 2 4 2 2" xfId="17294" xr:uid="{00000000-0005-0000-0000-00008D430000}"/>
    <cellStyle name="Normal 7 2 6 2 4 2 3" xfId="17295" xr:uid="{00000000-0005-0000-0000-00008E430000}"/>
    <cellStyle name="Normal 7 2 6 2 4 3" xfId="17296" xr:uid="{00000000-0005-0000-0000-00008F430000}"/>
    <cellStyle name="Normal 7 2 6 2 4 3 2" xfId="17297" xr:uid="{00000000-0005-0000-0000-000090430000}"/>
    <cellStyle name="Normal 7 2 6 2 4 3 3" xfId="17298" xr:uid="{00000000-0005-0000-0000-000091430000}"/>
    <cellStyle name="Normal 7 2 6 2 4 4" xfId="17299" xr:uid="{00000000-0005-0000-0000-000092430000}"/>
    <cellStyle name="Normal 7 2 6 2 4 5" xfId="17300" xr:uid="{00000000-0005-0000-0000-000093430000}"/>
    <cellStyle name="Normal 7 2 6 2 5" xfId="17301" xr:uid="{00000000-0005-0000-0000-000094430000}"/>
    <cellStyle name="Normal 7 2 6 2 5 2" xfId="17302" xr:uid="{00000000-0005-0000-0000-000095430000}"/>
    <cellStyle name="Normal 7 2 6 2 5 3" xfId="17303" xr:uid="{00000000-0005-0000-0000-000096430000}"/>
    <cellStyle name="Normal 7 2 6 2 6" xfId="17304" xr:uid="{00000000-0005-0000-0000-000097430000}"/>
    <cellStyle name="Normal 7 2 6 2 6 2" xfId="17305" xr:uid="{00000000-0005-0000-0000-000098430000}"/>
    <cellStyle name="Normal 7 2 6 2 6 3" xfId="17306" xr:uid="{00000000-0005-0000-0000-000099430000}"/>
    <cellStyle name="Normal 7 2 6 2 7" xfId="17307" xr:uid="{00000000-0005-0000-0000-00009A430000}"/>
    <cellStyle name="Normal 7 2 6 2 7 2" xfId="17308" xr:uid="{00000000-0005-0000-0000-00009B430000}"/>
    <cellStyle name="Normal 7 2 6 2 7 3" xfId="17309" xr:uid="{00000000-0005-0000-0000-00009C430000}"/>
    <cellStyle name="Normal 7 2 6 2 7 3 2" xfId="17310" xr:uid="{00000000-0005-0000-0000-00009D430000}"/>
    <cellStyle name="Normal 7 2 6 2 7 4" xfId="17311" xr:uid="{00000000-0005-0000-0000-00009E430000}"/>
    <cellStyle name="Normal 7 2 6 2 8" xfId="17312" xr:uid="{00000000-0005-0000-0000-00009F430000}"/>
    <cellStyle name="Normal 7 2 6 2 9" xfId="17313" xr:uid="{00000000-0005-0000-0000-0000A0430000}"/>
    <cellStyle name="Normal 7 2 6 3" xfId="17314" xr:uid="{00000000-0005-0000-0000-0000A1430000}"/>
    <cellStyle name="Normal 7 2 6 3 2" xfId="17315" xr:uid="{00000000-0005-0000-0000-0000A2430000}"/>
    <cellStyle name="Normal 7 2 6 3 2 2" xfId="17316" xr:uid="{00000000-0005-0000-0000-0000A3430000}"/>
    <cellStyle name="Normal 7 2 6 3 2 2 2" xfId="17317" xr:uid="{00000000-0005-0000-0000-0000A4430000}"/>
    <cellStyle name="Normal 7 2 6 3 2 2 3" xfId="17318" xr:uid="{00000000-0005-0000-0000-0000A5430000}"/>
    <cellStyle name="Normal 7 2 6 3 2 3" xfId="17319" xr:uid="{00000000-0005-0000-0000-0000A6430000}"/>
    <cellStyle name="Normal 7 2 6 3 2 3 2" xfId="17320" xr:uid="{00000000-0005-0000-0000-0000A7430000}"/>
    <cellStyle name="Normal 7 2 6 3 2 3 3" xfId="17321" xr:uid="{00000000-0005-0000-0000-0000A8430000}"/>
    <cellStyle name="Normal 7 2 6 3 2 4" xfId="17322" xr:uid="{00000000-0005-0000-0000-0000A9430000}"/>
    <cellStyle name="Normal 7 2 6 3 2 5" xfId="17323" xr:uid="{00000000-0005-0000-0000-0000AA430000}"/>
    <cellStyle name="Normal 7 2 6 3 3" xfId="17324" xr:uid="{00000000-0005-0000-0000-0000AB430000}"/>
    <cellStyle name="Normal 7 2 6 3 3 2" xfId="17325" xr:uid="{00000000-0005-0000-0000-0000AC430000}"/>
    <cellStyle name="Normal 7 2 6 3 3 2 2" xfId="17326" xr:uid="{00000000-0005-0000-0000-0000AD430000}"/>
    <cellStyle name="Normal 7 2 6 3 3 2 3" xfId="17327" xr:uid="{00000000-0005-0000-0000-0000AE430000}"/>
    <cellStyle name="Normal 7 2 6 3 3 3" xfId="17328" xr:uid="{00000000-0005-0000-0000-0000AF430000}"/>
    <cellStyle name="Normal 7 2 6 3 3 3 2" xfId="17329" xr:uid="{00000000-0005-0000-0000-0000B0430000}"/>
    <cellStyle name="Normal 7 2 6 3 3 3 3" xfId="17330" xr:uid="{00000000-0005-0000-0000-0000B1430000}"/>
    <cellStyle name="Normal 7 2 6 3 3 4" xfId="17331" xr:uid="{00000000-0005-0000-0000-0000B2430000}"/>
    <cellStyle name="Normal 7 2 6 3 3 5" xfId="17332" xr:uid="{00000000-0005-0000-0000-0000B3430000}"/>
    <cellStyle name="Normal 7 2 6 3 4" xfId="17333" xr:uid="{00000000-0005-0000-0000-0000B4430000}"/>
    <cellStyle name="Normal 7 2 6 3 4 2" xfId="17334" xr:uid="{00000000-0005-0000-0000-0000B5430000}"/>
    <cellStyle name="Normal 7 2 6 3 4 3" xfId="17335" xr:uid="{00000000-0005-0000-0000-0000B6430000}"/>
    <cellStyle name="Normal 7 2 6 3 5" xfId="17336" xr:uid="{00000000-0005-0000-0000-0000B7430000}"/>
    <cellStyle name="Normal 7 2 6 3 5 2" xfId="17337" xr:uid="{00000000-0005-0000-0000-0000B8430000}"/>
    <cellStyle name="Normal 7 2 6 3 5 3" xfId="17338" xr:uid="{00000000-0005-0000-0000-0000B9430000}"/>
    <cellStyle name="Normal 7 2 6 3 6" xfId="17339" xr:uid="{00000000-0005-0000-0000-0000BA430000}"/>
    <cellStyle name="Normal 7 2 6 3 7" xfId="17340" xr:uid="{00000000-0005-0000-0000-0000BB430000}"/>
    <cellStyle name="Normal 7 2 6 4" xfId="17341" xr:uid="{00000000-0005-0000-0000-0000BC430000}"/>
    <cellStyle name="Normal 7 2 6 4 2" xfId="17342" xr:uid="{00000000-0005-0000-0000-0000BD430000}"/>
    <cellStyle name="Normal 7 2 6 4 2 2" xfId="17343" xr:uid="{00000000-0005-0000-0000-0000BE430000}"/>
    <cellStyle name="Normal 7 2 6 4 2 2 2" xfId="17344" xr:uid="{00000000-0005-0000-0000-0000BF430000}"/>
    <cellStyle name="Normal 7 2 6 4 2 2 3" xfId="17345" xr:uid="{00000000-0005-0000-0000-0000C0430000}"/>
    <cellStyle name="Normal 7 2 6 4 2 3" xfId="17346" xr:uid="{00000000-0005-0000-0000-0000C1430000}"/>
    <cellStyle name="Normal 7 2 6 4 2 3 2" xfId="17347" xr:uid="{00000000-0005-0000-0000-0000C2430000}"/>
    <cellStyle name="Normal 7 2 6 4 2 3 3" xfId="17348" xr:uid="{00000000-0005-0000-0000-0000C3430000}"/>
    <cellStyle name="Normal 7 2 6 4 2 4" xfId="17349" xr:uid="{00000000-0005-0000-0000-0000C4430000}"/>
    <cellStyle name="Normal 7 2 6 4 2 5" xfId="17350" xr:uid="{00000000-0005-0000-0000-0000C5430000}"/>
    <cellStyle name="Normal 7 2 6 4 3" xfId="17351" xr:uid="{00000000-0005-0000-0000-0000C6430000}"/>
    <cellStyle name="Normal 7 2 6 4 3 2" xfId="17352" xr:uid="{00000000-0005-0000-0000-0000C7430000}"/>
    <cellStyle name="Normal 7 2 6 4 3 2 2" xfId="17353" xr:uid="{00000000-0005-0000-0000-0000C8430000}"/>
    <cellStyle name="Normal 7 2 6 4 3 2 3" xfId="17354" xr:uid="{00000000-0005-0000-0000-0000C9430000}"/>
    <cellStyle name="Normal 7 2 6 4 3 3" xfId="17355" xr:uid="{00000000-0005-0000-0000-0000CA430000}"/>
    <cellStyle name="Normal 7 2 6 4 3 4" xfId="17356" xr:uid="{00000000-0005-0000-0000-0000CB430000}"/>
    <cellStyle name="Normal 7 2 6 4 4" xfId="17357" xr:uid="{00000000-0005-0000-0000-0000CC430000}"/>
    <cellStyle name="Normal 7 2 6 4 4 2" xfId="17358" xr:uid="{00000000-0005-0000-0000-0000CD430000}"/>
    <cellStyle name="Normal 7 2 6 4 4 3" xfId="17359" xr:uid="{00000000-0005-0000-0000-0000CE430000}"/>
    <cellStyle name="Normal 7 2 6 4 5" xfId="17360" xr:uid="{00000000-0005-0000-0000-0000CF430000}"/>
    <cellStyle name="Normal 7 2 6 4 5 2" xfId="17361" xr:uid="{00000000-0005-0000-0000-0000D0430000}"/>
    <cellStyle name="Normal 7 2 6 4 5 3" xfId="17362" xr:uid="{00000000-0005-0000-0000-0000D1430000}"/>
    <cellStyle name="Normal 7 2 6 4 6" xfId="17363" xr:uid="{00000000-0005-0000-0000-0000D2430000}"/>
    <cellStyle name="Normal 7 2 6 4 7" xfId="17364" xr:uid="{00000000-0005-0000-0000-0000D3430000}"/>
    <cellStyle name="Normal 7 2 6 5" xfId="17365" xr:uid="{00000000-0005-0000-0000-0000D4430000}"/>
    <cellStyle name="Normal 7 2 6 5 2" xfId="17366" xr:uid="{00000000-0005-0000-0000-0000D5430000}"/>
    <cellStyle name="Normal 7 2 6 5 2 2" xfId="17367" xr:uid="{00000000-0005-0000-0000-0000D6430000}"/>
    <cellStyle name="Normal 7 2 6 5 2 3" xfId="17368" xr:uid="{00000000-0005-0000-0000-0000D7430000}"/>
    <cellStyle name="Normal 7 2 6 5 3" xfId="17369" xr:uid="{00000000-0005-0000-0000-0000D8430000}"/>
    <cellStyle name="Normal 7 2 6 5 3 2" xfId="17370" xr:uid="{00000000-0005-0000-0000-0000D9430000}"/>
    <cellStyle name="Normal 7 2 6 5 3 3" xfId="17371" xr:uid="{00000000-0005-0000-0000-0000DA430000}"/>
    <cellStyle name="Normal 7 2 6 5 4" xfId="17372" xr:uid="{00000000-0005-0000-0000-0000DB430000}"/>
    <cellStyle name="Normal 7 2 6 5 5" xfId="17373" xr:uid="{00000000-0005-0000-0000-0000DC430000}"/>
    <cellStyle name="Normal 7 2 6 6" xfId="17374" xr:uid="{00000000-0005-0000-0000-0000DD430000}"/>
    <cellStyle name="Normal 7 2 6 6 2" xfId="17375" xr:uid="{00000000-0005-0000-0000-0000DE430000}"/>
    <cellStyle name="Normal 7 2 6 6 2 2" xfId="17376" xr:uid="{00000000-0005-0000-0000-0000DF430000}"/>
    <cellStyle name="Normal 7 2 6 6 2 3" xfId="17377" xr:uid="{00000000-0005-0000-0000-0000E0430000}"/>
    <cellStyle name="Normal 7 2 6 6 3" xfId="17378" xr:uid="{00000000-0005-0000-0000-0000E1430000}"/>
    <cellStyle name="Normal 7 2 6 6 3 2" xfId="17379" xr:uid="{00000000-0005-0000-0000-0000E2430000}"/>
    <cellStyle name="Normal 7 2 6 6 3 3" xfId="17380" xr:uid="{00000000-0005-0000-0000-0000E3430000}"/>
    <cellStyle name="Normal 7 2 6 6 4" xfId="17381" xr:uid="{00000000-0005-0000-0000-0000E4430000}"/>
    <cellStyle name="Normal 7 2 6 6 5" xfId="17382" xr:uid="{00000000-0005-0000-0000-0000E5430000}"/>
    <cellStyle name="Normal 7 2 6 7" xfId="17383" xr:uid="{00000000-0005-0000-0000-0000E6430000}"/>
    <cellStyle name="Normal 7 2 6 7 2" xfId="17384" xr:uid="{00000000-0005-0000-0000-0000E7430000}"/>
    <cellStyle name="Normal 7 2 6 7 2 2" xfId="17385" xr:uid="{00000000-0005-0000-0000-0000E8430000}"/>
    <cellStyle name="Normal 7 2 6 7 2 3" xfId="17386" xr:uid="{00000000-0005-0000-0000-0000E9430000}"/>
    <cellStyle name="Normal 7 2 6 7 3" xfId="17387" xr:uid="{00000000-0005-0000-0000-0000EA430000}"/>
    <cellStyle name="Normal 7 2 6 7 4" xfId="17388" xr:uid="{00000000-0005-0000-0000-0000EB430000}"/>
    <cellStyle name="Normal 7 2 6 8" xfId="17389" xr:uid="{00000000-0005-0000-0000-0000EC430000}"/>
    <cellStyle name="Normal 7 2 6 8 2" xfId="17390" xr:uid="{00000000-0005-0000-0000-0000ED430000}"/>
    <cellStyle name="Normal 7 2 6 8 3" xfId="17391" xr:uid="{00000000-0005-0000-0000-0000EE430000}"/>
    <cellStyle name="Normal 7 2 6 9" xfId="17392" xr:uid="{00000000-0005-0000-0000-0000EF430000}"/>
    <cellStyle name="Normal 7 2 6 9 2" xfId="17393" xr:uid="{00000000-0005-0000-0000-0000F0430000}"/>
    <cellStyle name="Normal 7 2 6 9 3" xfId="17394" xr:uid="{00000000-0005-0000-0000-0000F1430000}"/>
    <cellStyle name="Normal 7 2 7" xfId="17395" xr:uid="{00000000-0005-0000-0000-0000F2430000}"/>
    <cellStyle name="Normal 7 2 7 2" xfId="17396" xr:uid="{00000000-0005-0000-0000-0000F3430000}"/>
    <cellStyle name="Normal 7 2 7 2 2" xfId="17397" xr:uid="{00000000-0005-0000-0000-0000F4430000}"/>
    <cellStyle name="Normal 7 2 7 2 2 2" xfId="17398" xr:uid="{00000000-0005-0000-0000-0000F5430000}"/>
    <cellStyle name="Normal 7 2 7 2 2 2 2" xfId="17399" xr:uid="{00000000-0005-0000-0000-0000F6430000}"/>
    <cellStyle name="Normal 7 2 7 2 2 2 3" xfId="17400" xr:uid="{00000000-0005-0000-0000-0000F7430000}"/>
    <cellStyle name="Normal 7 2 7 2 2 3" xfId="17401" xr:uid="{00000000-0005-0000-0000-0000F8430000}"/>
    <cellStyle name="Normal 7 2 7 2 2 3 2" xfId="17402" xr:uid="{00000000-0005-0000-0000-0000F9430000}"/>
    <cellStyle name="Normal 7 2 7 2 2 3 3" xfId="17403" xr:uid="{00000000-0005-0000-0000-0000FA430000}"/>
    <cellStyle name="Normal 7 2 7 2 2 4" xfId="17404" xr:uid="{00000000-0005-0000-0000-0000FB430000}"/>
    <cellStyle name="Normal 7 2 7 2 2 5" xfId="17405" xr:uid="{00000000-0005-0000-0000-0000FC430000}"/>
    <cellStyle name="Normal 7 2 7 2 3" xfId="17406" xr:uid="{00000000-0005-0000-0000-0000FD430000}"/>
    <cellStyle name="Normal 7 2 7 2 3 2" xfId="17407" xr:uid="{00000000-0005-0000-0000-0000FE430000}"/>
    <cellStyle name="Normal 7 2 7 2 3 2 2" xfId="17408" xr:uid="{00000000-0005-0000-0000-0000FF430000}"/>
    <cellStyle name="Normal 7 2 7 2 3 2 3" xfId="17409" xr:uid="{00000000-0005-0000-0000-000000440000}"/>
    <cellStyle name="Normal 7 2 7 2 3 3" xfId="17410" xr:uid="{00000000-0005-0000-0000-000001440000}"/>
    <cellStyle name="Normal 7 2 7 2 3 3 2" xfId="17411" xr:uid="{00000000-0005-0000-0000-000002440000}"/>
    <cellStyle name="Normal 7 2 7 2 3 3 3" xfId="17412" xr:uid="{00000000-0005-0000-0000-000003440000}"/>
    <cellStyle name="Normal 7 2 7 2 3 4" xfId="17413" xr:uid="{00000000-0005-0000-0000-000004440000}"/>
    <cellStyle name="Normal 7 2 7 2 3 5" xfId="17414" xr:uid="{00000000-0005-0000-0000-000005440000}"/>
    <cellStyle name="Normal 7 2 7 2 4" xfId="17415" xr:uid="{00000000-0005-0000-0000-000006440000}"/>
    <cellStyle name="Normal 7 2 7 2 4 2" xfId="17416" xr:uid="{00000000-0005-0000-0000-000007440000}"/>
    <cellStyle name="Normal 7 2 7 2 4 3" xfId="17417" xr:uid="{00000000-0005-0000-0000-000008440000}"/>
    <cellStyle name="Normal 7 2 7 2 5" xfId="17418" xr:uid="{00000000-0005-0000-0000-000009440000}"/>
    <cellStyle name="Normal 7 2 7 2 5 2" xfId="17419" xr:uid="{00000000-0005-0000-0000-00000A440000}"/>
    <cellStyle name="Normal 7 2 7 2 5 3" xfId="17420" xr:uid="{00000000-0005-0000-0000-00000B440000}"/>
    <cellStyle name="Normal 7 2 7 2 6" xfId="17421" xr:uid="{00000000-0005-0000-0000-00000C440000}"/>
    <cellStyle name="Normal 7 2 7 2 7" xfId="17422" xr:uid="{00000000-0005-0000-0000-00000D440000}"/>
    <cellStyle name="Normal 7 2 7 3" xfId="17423" xr:uid="{00000000-0005-0000-0000-00000E440000}"/>
    <cellStyle name="Normal 7 2 7 3 2" xfId="17424" xr:uid="{00000000-0005-0000-0000-00000F440000}"/>
    <cellStyle name="Normal 7 2 7 3 2 2" xfId="17425" xr:uid="{00000000-0005-0000-0000-000010440000}"/>
    <cellStyle name="Normal 7 2 7 3 2 3" xfId="17426" xr:uid="{00000000-0005-0000-0000-000011440000}"/>
    <cellStyle name="Normal 7 2 7 3 3" xfId="17427" xr:uid="{00000000-0005-0000-0000-000012440000}"/>
    <cellStyle name="Normal 7 2 7 3 3 2" xfId="17428" xr:uid="{00000000-0005-0000-0000-000013440000}"/>
    <cellStyle name="Normal 7 2 7 3 3 3" xfId="17429" xr:uid="{00000000-0005-0000-0000-000014440000}"/>
    <cellStyle name="Normal 7 2 7 3 4" xfId="17430" xr:uid="{00000000-0005-0000-0000-000015440000}"/>
    <cellStyle name="Normal 7 2 7 3 5" xfId="17431" xr:uid="{00000000-0005-0000-0000-000016440000}"/>
    <cellStyle name="Normal 7 2 7 4" xfId="17432" xr:uid="{00000000-0005-0000-0000-000017440000}"/>
    <cellStyle name="Normal 7 2 7 4 2" xfId="17433" xr:uid="{00000000-0005-0000-0000-000018440000}"/>
    <cellStyle name="Normal 7 2 7 4 2 2" xfId="17434" xr:uid="{00000000-0005-0000-0000-000019440000}"/>
    <cellStyle name="Normal 7 2 7 4 2 3" xfId="17435" xr:uid="{00000000-0005-0000-0000-00001A440000}"/>
    <cellStyle name="Normal 7 2 7 4 3" xfId="17436" xr:uid="{00000000-0005-0000-0000-00001B440000}"/>
    <cellStyle name="Normal 7 2 7 4 3 2" xfId="17437" xr:uid="{00000000-0005-0000-0000-00001C440000}"/>
    <cellStyle name="Normal 7 2 7 4 3 3" xfId="17438" xr:uid="{00000000-0005-0000-0000-00001D440000}"/>
    <cellStyle name="Normal 7 2 7 4 4" xfId="17439" xr:uid="{00000000-0005-0000-0000-00001E440000}"/>
    <cellStyle name="Normal 7 2 7 4 5" xfId="17440" xr:uid="{00000000-0005-0000-0000-00001F440000}"/>
    <cellStyle name="Normal 7 2 7 5" xfId="17441" xr:uid="{00000000-0005-0000-0000-000020440000}"/>
    <cellStyle name="Normal 7 2 7 5 2" xfId="17442" xr:uid="{00000000-0005-0000-0000-000021440000}"/>
    <cellStyle name="Normal 7 2 7 5 3" xfId="17443" xr:uid="{00000000-0005-0000-0000-000022440000}"/>
    <cellStyle name="Normal 7 2 7 6" xfId="17444" xr:uid="{00000000-0005-0000-0000-000023440000}"/>
    <cellStyle name="Normal 7 2 7 6 2" xfId="17445" xr:uid="{00000000-0005-0000-0000-000024440000}"/>
    <cellStyle name="Normal 7 2 7 6 3" xfId="17446" xr:uid="{00000000-0005-0000-0000-000025440000}"/>
    <cellStyle name="Normal 7 2 7 7" xfId="17447" xr:uid="{00000000-0005-0000-0000-000026440000}"/>
    <cellStyle name="Normal 7 2 7 7 2" xfId="17448" xr:uid="{00000000-0005-0000-0000-000027440000}"/>
    <cellStyle name="Normal 7 2 7 7 3" xfId="17449" xr:uid="{00000000-0005-0000-0000-000028440000}"/>
    <cellStyle name="Normal 7 2 7 7 3 2" xfId="17450" xr:uid="{00000000-0005-0000-0000-000029440000}"/>
    <cellStyle name="Normal 7 2 7 7 4" xfId="17451" xr:uid="{00000000-0005-0000-0000-00002A440000}"/>
    <cellStyle name="Normal 7 2 7 8" xfId="17452" xr:uid="{00000000-0005-0000-0000-00002B440000}"/>
    <cellStyle name="Normal 7 2 7 9" xfId="17453" xr:uid="{00000000-0005-0000-0000-00002C440000}"/>
    <cellStyle name="Normal 7 2 8" xfId="17454" xr:uid="{00000000-0005-0000-0000-00002D440000}"/>
    <cellStyle name="Normal 7 2 8 2" xfId="17455" xr:uid="{00000000-0005-0000-0000-00002E440000}"/>
    <cellStyle name="Normal 7 2 8 2 2" xfId="17456" xr:uid="{00000000-0005-0000-0000-00002F440000}"/>
    <cellStyle name="Normal 7 2 8 2 2 2" xfId="17457" xr:uid="{00000000-0005-0000-0000-000030440000}"/>
    <cellStyle name="Normal 7 2 8 2 2 3" xfId="17458" xr:uid="{00000000-0005-0000-0000-000031440000}"/>
    <cellStyle name="Normal 7 2 8 2 3" xfId="17459" xr:uid="{00000000-0005-0000-0000-000032440000}"/>
    <cellStyle name="Normal 7 2 8 2 3 2" xfId="17460" xr:uid="{00000000-0005-0000-0000-000033440000}"/>
    <cellStyle name="Normal 7 2 8 2 3 3" xfId="17461" xr:uid="{00000000-0005-0000-0000-000034440000}"/>
    <cellStyle name="Normal 7 2 8 2 4" xfId="17462" xr:uid="{00000000-0005-0000-0000-000035440000}"/>
    <cellStyle name="Normal 7 2 8 2 5" xfId="17463" xr:uid="{00000000-0005-0000-0000-000036440000}"/>
    <cellStyle name="Normal 7 2 8 3" xfId="17464" xr:uid="{00000000-0005-0000-0000-000037440000}"/>
    <cellStyle name="Normal 7 2 8 3 2" xfId="17465" xr:uid="{00000000-0005-0000-0000-000038440000}"/>
    <cellStyle name="Normal 7 2 8 3 2 2" xfId="17466" xr:uid="{00000000-0005-0000-0000-000039440000}"/>
    <cellStyle name="Normal 7 2 8 3 2 3" xfId="17467" xr:uid="{00000000-0005-0000-0000-00003A440000}"/>
    <cellStyle name="Normal 7 2 8 3 3" xfId="17468" xr:uid="{00000000-0005-0000-0000-00003B440000}"/>
    <cellStyle name="Normal 7 2 8 3 3 2" xfId="17469" xr:uid="{00000000-0005-0000-0000-00003C440000}"/>
    <cellStyle name="Normal 7 2 8 3 3 3" xfId="17470" xr:uid="{00000000-0005-0000-0000-00003D440000}"/>
    <cellStyle name="Normal 7 2 8 3 4" xfId="17471" xr:uid="{00000000-0005-0000-0000-00003E440000}"/>
    <cellStyle name="Normal 7 2 8 3 5" xfId="17472" xr:uid="{00000000-0005-0000-0000-00003F440000}"/>
    <cellStyle name="Normal 7 2 8 4" xfId="17473" xr:uid="{00000000-0005-0000-0000-000040440000}"/>
    <cellStyle name="Normal 7 2 8 4 2" xfId="17474" xr:uid="{00000000-0005-0000-0000-000041440000}"/>
    <cellStyle name="Normal 7 2 8 4 3" xfId="17475" xr:uid="{00000000-0005-0000-0000-000042440000}"/>
    <cellStyle name="Normal 7 2 8 5" xfId="17476" xr:uid="{00000000-0005-0000-0000-000043440000}"/>
    <cellStyle name="Normal 7 2 8 5 2" xfId="17477" xr:uid="{00000000-0005-0000-0000-000044440000}"/>
    <cellStyle name="Normal 7 2 8 5 3" xfId="17478" xr:uid="{00000000-0005-0000-0000-000045440000}"/>
    <cellStyle name="Normal 7 2 8 6" xfId="17479" xr:uid="{00000000-0005-0000-0000-000046440000}"/>
    <cellStyle name="Normal 7 2 8 7" xfId="17480" xr:uid="{00000000-0005-0000-0000-000047440000}"/>
    <cellStyle name="Normal 7 2 9" xfId="17481" xr:uid="{00000000-0005-0000-0000-000048440000}"/>
    <cellStyle name="Normal 7 2 9 2" xfId="17482" xr:uid="{00000000-0005-0000-0000-000049440000}"/>
    <cellStyle name="Normal 7 2 9 2 2" xfId="17483" xr:uid="{00000000-0005-0000-0000-00004A440000}"/>
    <cellStyle name="Normal 7 2 9 2 2 2" xfId="17484" xr:uid="{00000000-0005-0000-0000-00004B440000}"/>
    <cellStyle name="Normal 7 2 9 2 2 3" xfId="17485" xr:uid="{00000000-0005-0000-0000-00004C440000}"/>
    <cellStyle name="Normal 7 2 9 2 3" xfId="17486" xr:uid="{00000000-0005-0000-0000-00004D440000}"/>
    <cellStyle name="Normal 7 2 9 2 3 2" xfId="17487" xr:uid="{00000000-0005-0000-0000-00004E440000}"/>
    <cellStyle name="Normal 7 2 9 2 3 3" xfId="17488" xr:uid="{00000000-0005-0000-0000-00004F440000}"/>
    <cellStyle name="Normal 7 2 9 2 4" xfId="17489" xr:uid="{00000000-0005-0000-0000-000050440000}"/>
    <cellStyle name="Normal 7 2 9 2 5" xfId="17490" xr:uid="{00000000-0005-0000-0000-000051440000}"/>
    <cellStyle name="Normal 7 2 9 3" xfId="17491" xr:uid="{00000000-0005-0000-0000-000052440000}"/>
    <cellStyle name="Normal 7 2 9 3 2" xfId="17492" xr:uid="{00000000-0005-0000-0000-000053440000}"/>
    <cellStyle name="Normal 7 2 9 3 2 2" xfId="17493" xr:uid="{00000000-0005-0000-0000-000054440000}"/>
    <cellStyle name="Normal 7 2 9 3 2 3" xfId="17494" xr:uid="{00000000-0005-0000-0000-000055440000}"/>
    <cellStyle name="Normal 7 2 9 3 3" xfId="17495" xr:uid="{00000000-0005-0000-0000-000056440000}"/>
    <cellStyle name="Normal 7 2 9 3 4" xfId="17496" xr:uid="{00000000-0005-0000-0000-000057440000}"/>
    <cellStyle name="Normal 7 2 9 4" xfId="17497" xr:uid="{00000000-0005-0000-0000-000058440000}"/>
    <cellStyle name="Normal 7 2 9 4 2" xfId="17498" xr:uid="{00000000-0005-0000-0000-000059440000}"/>
    <cellStyle name="Normal 7 2 9 4 3" xfId="17499" xr:uid="{00000000-0005-0000-0000-00005A440000}"/>
    <cellStyle name="Normal 7 2 9 5" xfId="17500" xr:uid="{00000000-0005-0000-0000-00005B440000}"/>
    <cellStyle name="Normal 7 2 9 5 2" xfId="17501" xr:uid="{00000000-0005-0000-0000-00005C440000}"/>
    <cellStyle name="Normal 7 2 9 5 3" xfId="17502" xr:uid="{00000000-0005-0000-0000-00005D440000}"/>
    <cellStyle name="Normal 7 2 9 6" xfId="17503" xr:uid="{00000000-0005-0000-0000-00005E440000}"/>
    <cellStyle name="Normal 7 2 9 7" xfId="17504" xr:uid="{00000000-0005-0000-0000-00005F440000}"/>
    <cellStyle name="Normal 7 3" xfId="17505" xr:uid="{00000000-0005-0000-0000-000060440000}"/>
    <cellStyle name="Normal 7 3 2" xfId="17506" xr:uid="{00000000-0005-0000-0000-000061440000}"/>
    <cellStyle name="Normal 7 3 2 2" xfId="17507" xr:uid="{00000000-0005-0000-0000-000062440000}"/>
    <cellStyle name="Normal 7 3 2 2 2" xfId="17508" xr:uid="{00000000-0005-0000-0000-000063440000}"/>
    <cellStyle name="Normal 7 3 2 2 3" xfId="17509" xr:uid="{00000000-0005-0000-0000-000064440000}"/>
    <cellStyle name="Normal 7 3 2 2 3 2" xfId="17510" xr:uid="{00000000-0005-0000-0000-000065440000}"/>
    <cellStyle name="Normal 7 3 2 3" xfId="17511" xr:uid="{00000000-0005-0000-0000-000066440000}"/>
    <cellStyle name="Normal 7 3 2 3 2" xfId="17512" xr:uid="{00000000-0005-0000-0000-000067440000}"/>
    <cellStyle name="Normal 7 3 2 3 3" xfId="17513" xr:uid="{00000000-0005-0000-0000-000068440000}"/>
    <cellStyle name="Normal 7 3 2 3 3 2" xfId="17514" xr:uid="{00000000-0005-0000-0000-000069440000}"/>
    <cellStyle name="Normal 7 3 2 4" xfId="17515" xr:uid="{00000000-0005-0000-0000-00006A440000}"/>
    <cellStyle name="Normal 7 3 2 5" xfId="17516" xr:uid="{00000000-0005-0000-0000-00006B440000}"/>
    <cellStyle name="Normal 7 3 3" xfId="17517" xr:uid="{00000000-0005-0000-0000-00006C440000}"/>
    <cellStyle name="Normal 7 3 3 2" xfId="17518" xr:uid="{00000000-0005-0000-0000-00006D440000}"/>
    <cellStyle name="Normal 7 3 3 2 2" xfId="17519" xr:uid="{00000000-0005-0000-0000-00006E440000}"/>
    <cellStyle name="Normal 7 3 3 2 2 2" xfId="17520" xr:uid="{00000000-0005-0000-0000-00006F440000}"/>
    <cellStyle name="Normal 7 3 3 2 2 3" xfId="17521" xr:uid="{00000000-0005-0000-0000-000070440000}"/>
    <cellStyle name="Normal 7 3 3 2 3" xfId="17522" xr:uid="{00000000-0005-0000-0000-000071440000}"/>
    <cellStyle name="Normal 7 3 3 2 3 2" xfId="17523" xr:uid="{00000000-0005-0000-0000-000072440000}"/>
    <cellStyle name="Normal 7 3 3 2 3 3" xfId="17524" xr:uid="{00000000-0005-0000-0000-000073440000}"/>
    <cellStyle name="Normal 7 3 3 2 4" xfId="17525" xr:uid="{00000000-0005-0000-0000-000074440000}"/>
    <cellStyle name="Normal 7 3 3 2 5" xfId="17526" xr:uid="{00000000-0005-0000-0000-000075440000}"/>
    <cellStyle name="Normal 7 3 3 3" xfId="17527" xr:uid="{00000000-0005-0000-0000-000076440000}"/>
    <cellStyle name="Normal 7 3 3 3 2" xfId="17528" xr:uid="{00000000-0005-0000-0000-000077440000}"/>
    <cellStyle name="Normal 7 3 3 3 2 2" xfId="17529" xr:uid="{00000000-0005-0000-0000-000078440000}"/>
    <cellStyle name="Normal 7 3 3 3 2 3" xfId="17530" xr:uid="{00000000-0005-0000-0000-000079440000}"/>
    <cellStyle name="Normal 7 3 3 3 3" xfId="17531" xr:uid="{00000000-0005-0000-0000-00007A440000}"/>
    <cellStyle name="Normal 7 3 3 3 3 2" xfId="17532" xr:uid="{00000000-0005-0000-0000-00007B440000}"/>
    <cellStyle name="Normal 7 3 3 3 3 3" xfId="17533" xr:uid="{00000000-0005-0000-0000-00007C440000}"/>
    <cellStyle name="Normal 7 3 3 3 4" xfId="17534" xr:uid="{00000000-0005-0000-0000-00007D440000}"/>
    <cellStyle name="Normal 7 3 3 3 5" xfId="17535" xr:uid="{00000000-0005-0000-0000-00007E440000}"/>
    <cellStyle name="Normal 7 3 3 4" xfId="17536" xr:uid="{00000000-0005-0000-0000-00007F440000}"/>
    <cellStyle name="Normal 7 3 3 4 2" xfId="17537" xr:uid="{00000000-0005-0000-0000-000080440000}"/>
    <cellStyle name="Normal 7 3 3 4 3" xfId="17538" xr:uid="{00000000-0005-0000-0000-000081440000}"/>
    <cellStyle name="Normal 7 3 3 5" xfId="17539" xr:uid="{00000000-0005-0000-0000-000082440000}"/>
    <cellStyle name="Normal 7 3 3 5 2" xfId="17540" xr:uid="{00000000-0005-0000-0000-000083440000}"/>
    <cellStyle name="Normal 7 3 3 5 3" xfId="17541" xr:uid="{00000000-0005-0000-0000-000084440000}"/>
    <cellStyle name="Normal 7 3 3 6" xfId="17542" xr:uid="{00000000-0005-0000-0000-000085440000}"/>
    <cellStyle name="Normal 7 3 3 7" xfId="17543" xr:uid="{00000000-0005-0000-0000-000086440000}"/>
    <cellStyle name="Normal 7 3 4" xfId="17544" xr:uid="{00000000-0005-0000-0000-000087440000}"/>
    <cellStyle name="Normal 7 3 4 2" xfId="17545" xr:uid="{00000000-0005-0000-0000-000088440000}"/>
    <cellStyle name="Normal 7 3 4 2 2" xfId="17546" xr:uid="{00000000-0005-0000-0000-000089440000}"/>
    <cellStyle name="Normal 7 3 4 2 2 2" xfId="17547" xr:uid="{00000000-0005-0000-0000-00008A440000}"/>
    <cellStyle name="Normal 7 3 4 2 2 3" xfId="17548" xr:uid="{00000000-0005-0000-0000-00008B440000}"/>
    <cellStyle name="Normal 7 3 4 2 3" xfId="17549" xr:uid="{00000000-0005-0000-0000-00008C440000}"/>
    <cellStyle name="Normal 7 3 4 2 3 2" xfId="17550" xr:uid="{00000000-0005-0000-0000-00008D440000}"/>
    <cellStyle name="Normal 7 3 4 2 3 3" xfId="17551" xr:uid="{00000000-0005-0000-0000-00008E440000}"/>
    <cellStyle name="Normal 7 3 4 2 4" xfId="17552" xr:uid="{00000000-0005-0000-0000-00008F440000}"/>
    <cellStyle name="Normal 7 3 4 2 5" xfId="17553" xr:uid="{00000000-0005-0000-0000-000090440000}"/>
    <cellStyle name="Normal 7 3 4 3" xfId="17554" xr:uid="{00000000-0005-0000-0000-000091440000}"/>
    <cellStyle name="Normal 7 3 4 3 2" xfId="17555" xr:uid="{00000000-0005-0000-0000-000092440000}"/>
    <cellStyle name="Normal 7 3 4 3 2 2" xfId="17556" xr:uid="{00000000-0005-0000-0000-000093440000}"/>
    <cellStyle name="Normal 7 3 4 3 2 3" xfId="17557" xr:uid="{00000000-0005-0000-0000-000094440000}"/>
    <cellStyle name="Normal 7 3 4 3 3" xfId="17558" xr:uid="{00000000-0005-0000-0000-000095440000}"/>
    <cellStyle name="Normal 7 3 4 3 3 2" xfId="17559" xr:uid="{00000000-0005-0000-0000-000096440000}"/>
    <cellStyle name="Normal 7 3 4 3 3 3" xfId="17560" xr:uid="{00000000-0005-0000-0000-000097440000}"/>
    <cellStyle name="Normal 7 3 4 3 4" xfId="17561" xr:uid="{00000000-0005-0000-0000-000098440000}"/>
    <cellStyle name="Normal 7 3 4 3 5" xfId="17562" xr:uid="{00000000-0005-0000-0000-000099440000}"/>
    <cellStyle name="Normal 7 3 4 4" xfId="17563" xr:uid="{00000000-0005-0000-0000-00009A440000}"/>
    <cellStyle name="Normal 7 3 4 4 2" xfId="17564" xr:uid="{00000000-0005-0000-0000-00009B440000}"/>
    <cellStyle name="Normal 7 3 4 4 3" xfId="17565" xr:uid="{00000000-0005-0000-0000-00009C440000}"/>
    <cellStyle name="Normal 7 3 4 5" xfId="17566" xr:uid="{00000000-0005-0000-0000-00009D440000}"/>
    <cellStyle name="Normal 7 3 4 5 2" xfId="17567" xr:uid="{00000000-0005-0000-0000-00009E440000}"/>
    <cellStyle name="Normal 7 3 4 5 3" xfId="17568" xr:uid="{00000000-0005-0000-0000-00009F440000}"/>
    <cellStyle name="Normal 7 3 4 6" xfId="17569" xr:uid="{00000000-0005-0000-0000-0000A0440000}"/>
    <cellStyle name="Normal 7 3 4 7" xfId="17570" xr:uid="{00000000-0005-0000-0000-0000A1440000}"/>
    <cellStyle name="Normal 7 3 5" xfId="17571" xr:uid="{00000000-0005-0000-0000-0000A2440000}"/>
    <cellStyle name="Normal 7 3 5 2" xfId="17572" xr:uid="{00000000-0005-0000-0000-0000A3440000}"/>
    <cellStyle name="Normal 7 3 5 3" xfId="17573" xr:uid="{00000000-0005-0000-0000-0000A4440000}"/>
    <cellStyle name="Normal 7 3 5 3 2" xfId="17574" xr:uid="{00000000-0005-0000-0000-0000A5440000}"/>
    <cellStyle name="Normal 7 3 6" xfId="17575" xr:uid="{00000000-0005-0000-0000-0000A6440000}"/>
    <cellStyle name="Normal 7 3 6 2" xfId="17576" xr:uid="{00000000-0005-0000-0000-0000A7440000}"/>
    <cellStyle name="Normal 7 3 6 3" xfId="17577" xr:uid="{00000000-0005-0000-0000-0000A8440000}"/>
    <cellStyle name="Normal 7 3 6 3 2" xfId="17578" xr:uid="{00000000-0005-0000-0000-0000A9440000}"/>
    <cellStyle name="Normal 7 3 7" xfId="17579" xr:uid="{00000000-0005-0000-0000-0000AA440000}"/>
    <cellStyle name="Normal 7 3 8" xfId="17580" xr:uid="{00000000-0005-0000-0000-0000AB440000}"/>
    <cellStyle name="Normal 7 4" xfId="17581" xr:uid="{00000000-0005-0000-0000-0000AC440000}"/>
    <cellStyle name="Normal 7 4 10" xfId="17582" xr:uid="{00000000-0005-0000-0000-0000AD440000}"/>
    <cellStyle name="Normal 7 4 10 2" xfId="17583" xr:uid="{00000000-0005-0000-0000-0000AE440000}"/>
    <cellStyle name="Normal 7 4 10 3" xfId="17584" xr:uid="{00000000-0005-0000-0000-0000AF440000}"/>
    <cellStyle name="Normal 7 4 11" xfId="17585" xr:uid="{00000000-0005-0000-0000-0000B0440000}"/>
    <cellStyle name="Normal 7 4 11 2" xfId="17586" xr:uid="{00000000-0005-0000-0000-0000B1440000}"/>
    <cellStyle name="Normal 7 4 11 3" xfId="17587" xr:uid="{00000000-0005-0000-0000-0000B2440000}"/>
    <cellStyle name="Normal 7 4 11 3 2" xfId="17588" xr:uid="{00000000-0005-0000-0000-0000B3440000}"/>
    <cellStyle name="Normal 7 4 11 4" xfId="17589" xr:uid="{00000000-0005-0000-0000-0000B4440000}"/>
    <cellStyle name="Normal 7 4 12" xfId="17590" xr:uid="{00000000-0005-0000-0000-0000B5440000}"/>
    <cellStyle name="Normal 7 4 12 2" xfId="17591" xr:uid="{00000000-0005-0000-0000-0000B6440000}"/>
    <cellStyle name="Normal 7 4 12 2 2" xfId="17592" xr:uid="{00000000-0005-0000-0000-0000B7440000}"/>
    <cellStyle name="Normal 7 4 12 3" xfId="17593" xr:uid="{00000000-0005-0000-0000-0000B8440000}"/>
    <cellStyle name="Normal 7 4 13" xfId="17594" xr:uid="{00000000-0005-0000-0000-0000B9440000}"/>
    <cellStyle name="Normal 7 4 14" xfId="17595" xr:uid="{00000000-0005-0000-0000-0000BA440000}"/>
    <cellStyle name="Normal 7 4 2" xfId="17596" xr:uid="{00000000-0005-0000-0000-0000BB440000}"/>
    <cellStyle name="Normal 7 4 2 10" xfId="17597" xr:uid="{00000000-0005-0000-0000-0000BC440000}"/>
    <cellStyle name="Normal 7 4 2 10 2" xfId="17598" xr:uid="{00000000-0005-0000-0000-0000BD440000}"/>
    <cellStyle name="Normal 7 4 2 10 3" xfId="17599" xr:uid="{00000000-0005-0000-0000-0000BE440000}"/>
    <cellStyle name="Normal 7 4 2 10 3 2" xfId="17600" xr:uid="{00000000-0005-0000-0000-0000BF440000}"/>
    <cellStyle name="Normal 7 4 2 10 4" xfId="17601" xr:uid="{00000000-0005-0000-0000-0000C0440000}"/>
    <cellStyle name="Normal 7 4 2 11" xfId="17602" xr:uid="{00000000-0005-0000-0000-0000C1440000}"/>
    <cellStyle name="Normal 7 4 2 11 2" xfId="17603" xr:uid="{00000000-0005-0000-0000-0000C2440000}"/>
    <cellStyle name="Normal 7 4 2 11 2 2" xfId="17604" xr:uid="{00000000-0005-0000-0000-0000C3440000}"/>
    <cellStyle name="Normal 7 4 2 11 3" xfId="17605" xr:uid="{00000000-0005-0000-0000-0000C4440000}"/>
    <cellStyle name="Normal 7 4 2 12" xfId="17606" xr:uid="{00000000-0005-0000-0000-0000C5440000}"/>
    <cellStyle name="Normal 7 4 2 13" xfId="17607" xr:uid="{00000000-0005-0000-0000-0000C6440000}"/>
    <cellStyle name="Normal 7 4 2 2" xfId="17608" xr:uid="{00000000-0005-0000-0000-0000C7440000}"/>
    <cellStyle name="Normal 7 4 2 2 2" xfId="17609" xr:uid="{00000000-0005-0000-0000-0000C8440000}"/>
    <cellStyle name="Normal 7 4 2 2 2 2" xfId="17610" xr:uid="{00000000-0005-0000-0000-0000C9440000}"/>
    <cellStyle name="Normal 7 4 2 2 2 2 2" xfId="17611" xr:uid="{00000000-0005-0000-0000-0000CA440000}"/>
    <cellStyle name="Normal 7 4 2 2 2 2 2 2" xfId="17612" xr:uid="{00000000-0005-0000-0000-0000CB440000}"/>
    <cellStyle name="Normal 7 4 2 2 2 2 2 3" xfId="17613" xr:uid="{00000000-0005-0000-0000-0000CC440000}"/>
    <cellStyle name="Normal 7 4 2 2 2 2 3" xfId="17614" xr:uid="{00000000-0005-0000-0000-0000CD440000}"/>
    <cellStyle name="Normal 7 4 2 2 2 2 3 2" xfId="17615" xr:uid="{00000000-0005-0000-0000-0000CE440000}"/>
    <cellStyle name="Normal 7 4 2 2 2 2 3 3" xfId="17616" xr:uid="{00000000-0005-0000-0000-0000CF440000}"/>
    <cellStyle name="Normal 7 4 2 2 2 2 4" xfId="17617" xr:uid="{00000000-0005-0000-0000-0000D0440000}"/>
    <cellStyle name="Normal 7 4 2 2 2 2 5" xfId="17618" xr:uid="{00000000-0005-0000-0000-0000D1440000}"/>
    <cellStyle name="Normal 7 4 2 2 2 3" xfId="17619" xr:uid="{00000000-0005-0000-0000-0000D2440000}"/>
    <cellStyle name="Normal 7 4 2 2 2 3 2" xfId="17620" xr:uid="{00000000-0005-0000-0000-0000D3440000}"/>
    <cellStyle name="Normal 7 4 2 2 2 3 2 2" xfId="17621" xr:uid="{00000000-0005-0000-0000-0000D4440000}"/>
    <cellStyle name="Normal 7 4 2 2 2 3 2 3" xfId="17622" xr:uid="{00000000-0005-0000-0000-0000D5440000}"/>
    <cellStyle name="Normal 7 4 2 2 2 3 3" xfId="17623" xr:uid="{00000000-0005-0000-0000-0000D6440000}"/>
    <cellStyle name="Normal 7 4 2 2 2 3 3 2" xfId="17624" xr:uid="{00000000-0005-0000-0000-0000D7440000}"/>
    <cellStyle name="Normal 7 4 2 2 2 3 3 3" xfId="17625" xr:uid="{00000000-0005-0000-0000-0000D8440000}"/>
    <cellStyle name="Normal 7 4 2 2 2 3 4" xfId="17626" xr:uid="{00000000-0005-0000-0000-0000D9440000}"/>
    <cellStyle name="Normal 7 4 2 2 2 3 5" xfId="17627" xr:uid="{00000000-0005-0000-0000-0000DA440000}"/>
    <cellStyle name="Normal 7 4 2 2 2 4" xfId="17628" xr:uid="{00000000-0005-0000-0000-0000DB440000}"/>
    <cellStyle name="Normal 7 4 2 2 2 4 2" xfId="17629" xr:uid="{00000000-0005-0000-0000-0000DC440000}"/>
    <cellStyle name="Normal 7 4 2 2 2 4 3" xfId="17630" xr:uid="{00000000-0005-0000-0000-0000DD440000}"/>
    <cellStyle name="Normal 7 4 2 2 2 5" xfId="17631" xr:uid="{00000000-0005-0000-0000-0000DE440000}"/>
    <cellStyle name="Normal 7 4 2 2 2 5 2" xfId="17632" xr:uid="{00000000-0005-0000-0000-0000DF440000}"/>
    <cellStyle name="Normal 7 4 2 2 2 5 3" xfId="17633" xr:uid="{00000000-0005-0000-0000-0000E0440000}"/>
    <cellStyle name="Normal 7 4 2 2 2 6" xfId="17634" xr:uid="{00000000-0005-0000-0000-0000E1440000}"/>
    <cellStyle name="Normal 7 4 2 2 2 7" xfId="17635" xr:uid="{00000000-0005-0000-0000-0000E2440000}"/>
    <cellStyle name="Normal 7 4 2 2 3" xfId="17636" xr:uid="{00000000-0005-0000-0000-0000E3440000}"/>
    <cellStyle name="Normal 7 4 2 2 3 2" xfId="17637" xr:uid="{00000000-0005-0000-0000-0000E4440000}"/>
    <cellStyle name="Normal 7 4 2 2 3 2 2" xfId="17638" xr:uid="{00000000-0005-0000-0000-0000E5440000}"/>
    <cellStyle name="Normal 7 4 2 2 3 2 3" xfId="17639" xr:uid="{00000000-0005-0000-0000-0000E6440000}"/>
    <cellStyle name="Normal 7 4 2 2 3 3" xfId="17640" xr:uid="{00000000-0005-0000-0000-0000E7440000}"/>
    <cellStyle name="Normal 7 4 2 2 3 3 2" xfId="17641" xr:uid="{00000000-0005-0000-0000-0000E8440000}"/>
    <cellStyle name="Normal 7 4 2 2 3 3 3" xfId="17642" xr:uid="{00000000-0005-0000-0000-0000E9440000}"/>
    <cellStyle name="Normal 7 4 2 2 3 4" xfId="17643" xr:uid="{00000000-0005-0000-0000-0000EA440000}"/>
    <cellStyle name="Normal 7 4 2 2 3 5" xfId="17644" xr:uid="{00000000-0005-0000-0000-0000EB440000}"/>
    <cellStyle name="Normal 7 4 2 2 4" xfId="17645" xr:uid="{00000000-0005-0000-0000-0000EC440000}"/>
    <cellStyle name="Normal 7 4 2 2 4 2" xfId="17646" xr:uid="{00000000-0005-0000-0000-0000ED440000}"/>
    <cellStyle name="Normal 7 4 2 2 4 2 2" xfId="17647" xr:uid="{00000000-0005-0000-0000-0000EE440000}"/>
    <cellStyle name="Normal 7 4 2 2 4 2 3" xfId="17648" xr:uid="{00000000-0005-0000-0000-0000EF440000}"/>
    <cellStyle name="Normal 7 4 2 2 4 3" xfId="17649" xr:uid="{00000000-0005-0000-0000-0000F0440000}"/>
    <cellStyle name="Normal 7 4 2 2 4 3 2" xfId="17650" xr:uid="{00000000-0005-0000-0000-0000F1440000}"/>
    <cellStyle name="Normal 7 4 2 2 4 3 3" xfId="17651" xr:uid="{00000000-0005-0000-0000-0000F2440000}"/>
    <cellStyle name="Normal 7 4 2 2 4 4" xfId="17652" xr:uid="{00000000-0005-0000-0000-0000F3440000}"/>
    <cellStyle name="Normal 7 4 2 2 4 5" xfId="17653" xr:uid="{00000000-0005-0000-0000-0000F4440000}"/>
    <cellStyle name="Normal 7 4 2 2 5" xfId="17654" xr:uid="{00000000-0005-0000-0000-0000F5440000}"/>
    <cellStyle name="Normal 7 4 2 2 5 2" xfId="17655" xr:uid="{00000000-0005-0000-0000-0000F6440000}"/>
    <cellStyle name="Normal 7 4 2 2 5 3" xfId="17656" xr:uid="{00000000-0005-0000-0000-0000F7440000}"/>
    <cellStyle name="Normal 7 4 2 2 6" xfId="17657" xr:uid="{00000000-0005-0000-0000-0000F8440000}"/>
    <cellStyle name="Normal 7 4 2 2 6 2" xfId="17658" xr:uid="{00000000-0005-0000-0000-0000F9440000}"/>
    <cellStyle name="Normal 7 4 2 2 6 3" xfId="17659" xr:uid="{00000000-0005-0000-0000-0000FA440000}"/>
    <cellStyle name="Normal 7 4 2 2 7" xfId="17660" xr:uid="{00000000-0005-0000-0000-0000FB440000}"/>
    <cellStyle name="Normal 7 4 2 2 7 2" xfId="17661" xr:uid="{00000000-0005-0000-0000-0000FC440000}"/>
    <cellStyle name="Normal 7 4 2 2 7 3" xfId="17662" xr:uid="{00000000-0005-0000-0000-0000FD440000}"/>
    <cellStyle name="Normal 7 4 2 2 7 3 2" xfId="17663" xr:uid="{00000000-0005-0000-0000-0000FE440000}"/>
    <cellStyle name="Normal 7 4 2 2 7 4" xfId="17664" xr:uid="{00000000-0005-0000-0000-0000FF440000}"/>
    <cellStyle name="Normal 7 4 2 2 8" xfId="17665" xr:uid="{00000000-0005-0000-0000-000000450000}"/>
    <cellStyle name="Normal 7 4 2 2 9" xfId="17666" xr:uid="{00000000-0005-0000-0000-000001450000}"/>
    <cellStyle name="Normal 7 4 2 3" xfId="17667" xr:uid="{00000000-0005-0000-0000-000002450000}"/>
    <cellStyle name="Normal 7 4 2 3 2" xfId="17668" xr:uid="{00000000-0005-0000-0000-000003450000}"/>
    <cellStyle name="Normal 7 4 2 3 2 2" xfId="17669" xr:uid="{00000000-0005-0000-0000-000004450000}"/>
    <cellStyle name="Normal 7 4 2 3 2 2 2" xfId="17670" xr:uid="{00000000-0005-0000-0000-000005450000}"/>
    <cellStyle name="Normal 7 4 2 3 2 2 3" xfId="17671" xr:uid="{00000000-0005-0000-0000-000006450000}"/>
    <cellStyle name="Normal 7 4 2 3 2 3" xfId="17672" xr:uid="{00000000-0005-0000-0000-000007450000}"/>
    <cellStyle name="Normal 7 4 2 3 2 3 2" xfId="17673" xr:uid="{00000000-0005-0000-0000-000008450000}"/>
    <cellStyle name="Normal 7 4 2 3 2 3 3" xfId="17674" xr:uid="{00000000-0005-0000-0000-000009450000}"/>
    <cellStyle name="Normal 7 4 2 3 2 4" xfId="17675" xr:uid="{00000000-0005-0000-0000-00000A450000}"/>
    <cellStyle name="Normal 7 4 2 3 2 5" xfId="17676" xr:uid="{00000000-0005-0000-0000-00000B450000}"/>
    <cellStyle name="Normal 7 4 2 3 3" xfId="17677" xr:uid="{00000000-0005-0000-0000-00000C450000}"/>
    <cellStyle name="Normal 7 4 2 3 3 2" xfId="17678" xr:uid="{00000000-0005-0000-0000-00000D450000}"/>
    <cellStyle name="Normal 7 4 2 3 3 2 2" xfId="17679" xr:uid="{00000000-0005-0000-0000-00000E450000}"/>
    <cellStyle name="Normal 7 4 2 3 3 2 3" xfId="17680" xr:uid="{00000000-0005-0000-0000-00000F450000}"/>
    <cellStyle name="Normal 7 4 2 3 3 3" xfId="17681" xr:uid="{00000000-0005-0000-0000-000010450000}"/>
    <cellStyle name="Normal 7 4 2 3 3 3 2" xfId="17682" xr:uid="{00000000-0005-0000-0000-000011450000}"/>
    <cellStyle name="Normal 7 4 2 3 3 3 3" xfId="17683" xr:uid="{00000000-0005-0000-0000-000012450000}"/>
    <cellStyle name="Normal 7 4 2 3 3 4" xfId="17684" xr:uid="{00000000-0005-0000-0000-000013450000}"/>
    <cellStyle name="Normal 7 4 2 3 3 5" xfId="17685" xr:uid="{00000000-0005-0000-0000-000014450000}"/>
    <cellStyle name="Normal 7 4 2 3 4" xfId="17686" xr:uid="{00000000-0005-0000-0000-000015450000}"/>
    <cellStyle name="Normal 7 4 2 3 4 2" xfId="17687" xr:uid="{00000000-0005-0000-0000-000016450000}"/>
    <cellStyle name="Normal 7 4 2 3 4 3" xfId="17688" xr:uid="{00000000-0005-0000-0000-000017450000}"/>
    <cellStyle name="Normal 7 4 2 3 5" xfId="17689" xr:uid="{00000000-0005-0000-0000-000018450000}"/>
    <cellStyle name="Normal 7 4 2 3 5 2" xfId="17690" xr:uid="{00000000-0005-0000-0000-000019450000}"/>
    <cellStyle name="Normal 7 4 2 3 5 3" xfId="17691" xr:uid="{00000000-0005-0000-0000-00001A450000}"/>
    <cellStyle name="Normal 7 4 2 3 6" xfId="17692" xr:uid="{00000000-0005-0000-0000-00001B450000}"/>
    <cellStyle name="Normal 7 4 2 3 7" xfId="17693" xr:uid="{00000000-0005-0000-0000-00001C450000}"/>
    <cellStyle name="Normal 7 4 2 4" xfId="17694" xr:uid="{00000000-0005-0000-0000-00001D450000}"/>
    <cellStyle name="Normal 7 4 2 4 2" xfId="17695" xr:uid="{00000000-0005-0000-0000-00001E450000}"/>
    <cellStyle name="Normal 7 4 2 4 2 2" xfId="17696" xr:uid="{00000000-0005-0000-0000-00001F450000}"/>
    <cellStyle name="Normal 7 4 2 4 2 2 2" xfId="17697" xr:uid="{00000000-0005-0000-0000-000020450000}"/>
    <cellStyle name="Normal 7 4 2 4 2 2 3" xfId="17698" xr:uid="{00000000-0005-0000-0000-000021450000}"/>
    <cellStyle name="Normal 7 4 2 4 2 3" xfId="17699" xr:uid="{00000000-0005-0000-0000-000022450000}"/>
    <cellStyle name="Normal 7 4 2 4 2 3 2" xfId="17700" xr:uid="{00000000-0005-0000-0000-000023450000}"/>
    <cellStyle name="Normal 7 4 2 4 2 3 3" xfId="17701" xr:uid="{00000000-0005-0000-0000-000024450000}"/>
    <cellStyle name="Normal 7 4 2 4 2 4" xfId="17702" xr:uid="{00000000-0005-0000-0000-000025450000}"/>
    <cellStyle name="Normal 7 4 2 4 2 5" xfId="17703" xr:uid="{00000000-0005-0000-0000-000026450000}"/>
    <cellStyle name="Normal 7 4 2 4 3" xfId="17704" xr:uid="{00000000-0005-0000-0000-000027450000}"/>
    <cellStyle name="Normal 7 4 2 4 3 2" xfId="17705" xr:uid="{00000000-0005-0000-0000-000028450000}"/>
    <cellStyle name="Normal 7 4 2 4 3 2 2" xfId="17706" xr:uid="{00000000-0005-0000-0000-000029450000}"/>
    <cellStyle name="Normal 7 4 2 4 3 2 3" xfId="17707" xr:uid="{00000000-0005-0000-0000-00002A450000}"/>
    <cellStyle name="Normal 7 4 2 4 3 3" xfId="17708" xr:uid="{00000000-0005-0000-0000-00002B450000}"/>
    <cellStyle name="Normal 7 4 2 4 3 4" xfId="17709" xr:uid="{00000000-0005-0000-0000-00002C450000}"/>
    <cellStyle name="Normal 7 4 2 4 4" xfId="17710" xr:uid="{00000000-0005-0000-0000-00002D450000}"/>
    <cellStyle name="Normal 7 4 2 4 4 2" xfId="17711" xr:uid="{00000000-0005-0000-0000-00002E450000}"/>
    <cellStyle name="Normal 7 4 2 4 4 3" xfId="17712" xr:uid="{00000000-0005-0000-0000-00002F450000}"/>
    <cellStyle name="Normal 7 4 2 4 5" xfId="17713" xr:uid="{00000000-0005-0000-0000-000030450000}"/>
    <cellStyle name="Normal 7 4 2 4 5 2" xfId="17714" xr:uid="{00000000-0005-0000-0000-000031450000}"/>
    <cellStyle name="Normal 7 4 2 4 5 3" xfId="17715" xr:uid="{00000000-0005-0000-0000-000032450000}"/>
    <cellStyle name="Normal 7 4 2 4 6" xfId="17716" xr:uid="{00000000-0005-0000-0000-000033450000}"/>
    <cellStyle name="Normal 7 4 2 4 7" xfId="17717" xr:uid="{00000000-0005-0000-0000-000034450000}"/>
    <cellStyle name="Normal 7 4 2 5" xfId="17718" xr:uid="{00000000-0005-0000-0000-000035450000}"/>
    <cellStyle name="Normal 7 4 2 5 2" xfId="17719" xr:uid="{00000000-0005-0000-0000-000036450000}"/>
    <cellStyle name="Normal 7 4 2 5 2 2" xfId="17720" xr:uid="{00000000-0005-0000-0000-000037450000}"/>
    <cellStyle name="Normal 7 4 2 5 2 3" xfId="17721" xr:uid="{00000000-0005-0000-0000-000038450000}"/>
    <cellStyle name="Normal 7 4 2 5 3" xfId="17722" xr:uid="{00000000-0005-0000-0000-000039450000}"/>
    <cellStyle name="Normal 7 4 2 5 3 2" xfId="17723" xr:uid="{00000000-0005-0000-0000-00003A450000}"/>
    <cellStyle name="Normal 7 4 2 5 3 3" xfId="17724" xr:uid="{00000000-0005-0000-0000-00003B450000}"/>
    <cellStyle name="Normal 7 4 2 5 4" xfId="17725" xr:uid="{00000000-0005-0000-0000-00003C450000}"/>
    <cellStyle name="Normal 7 4 2 5 5" xfId="17726" xr:uid="{00000000-0005-0000-0000-00003D450000}"/>
    <cellStyle name="Normal 7 4 2 6" xfId="17727" xr:uid="{00000000-0005-0000-0000-00003E450000}"/>
    <cellStyle name="Normal 7 4 2 6 2" xfId="17728" xr:uid="{00000000-0005-0000-0000-00003F450000}"/>
    <cellStyle name="Normal 7 4 2 6 2 2" xfId="17729" xr:uid="{00000000-0005-0000-0000-000040450000}"/>
    <cellStyle name="Normal 7 4 2 6 2 3" xfId="17730" xr:uid="{00000000-0005-0000-0000-000041450000}"/>
    <cellStyle name="Normal 7 4 2 6 3" xfId="17731" xr:uid="{00000000-0005-0000-0000-000042450000}"/>
    <cellStyle name="Normal 7 4 2 6 3 2" xfId="17732" xr:uid="{00000000-0005-0000-0000-000043450000}"/>
    <cellStyle name="Normal 7 4 2 6 3 3" xfId="17733" xr:uid="{00000000-0005-0000-0000-000044450000}"/>
    <cellStyle name="Normal 7 4 2 6 4" xfId="17734" xr:uid="{00000000-0005-0000-0000-000045450000}"/>
    <cellStyle name="Normal 7 4 2 6 5" xfId="17735" xr:uid="{00000000-0005-0000-0000-000046450000}"/>
    <cellStyle name="Normal 7 4 2 7" xfId="17736" xr:uid="{00000000-0005-0000-0000-000047450000}"/>
    <cellStyle name="Normal 7 4 2 7 2" xfId="17737" xr:uid="{00000000-0005-0000-0000-000048450000}"/>
    <cellStyle name="Normal 7 4 2 7 2 2" xfId="17738" xr:uid="{00000000-0005-0000-0000-000049450000}"/>
    <cellStyle name="Normal 7 4 2 7 2 3" xfId="17739" xr:uid="{00000000-0005-0000-0000-00004A450000}"/>
    <cellStyle name="Normal 7 4 2 7 3" xfId="17740" xr:uid="{00000000-0005-0000-0000-00004B450000}"/>
    <cellStyle name="Normal 7 4 2 7 4" xfId="17741" xr:uid="{00000000-0005-0000-0000-00004C450000}"/>
    <cellStyle name="Normal 7 4 2 8" xfId="17742" xr:uid="{00000000-0005-0000-0000-00004D450000}"/>
    <cellStyle name="Normal 7 4 2 8 2" xfId="17743" xr:uid="{00000000-0005-0000-0000-00004E450000}"/>
    <cellStyle name="Normal 7 4 2 8 3" xfId="17744" xr:uid="{00000000-0005-0000-0000-00004F450000}"/>
    <cellStyle name="Normal 7 4 2 9" xfId="17745" xr:uid="{00000000-0005-0000-0000-000050450000}"/>
    <cellStyle name="Normal 7 4 2 9 2" xfId="17746" xr:uid="{00000000-0005-0000-0000-000051450000}"/>
    <cellStyle name="Normal 7 4 2 9 3" xfId="17747" xr:uid="{00000000-0005-0000-0000-000052450000}"/>
    <cellStyle name="Normal 7 4 3" xfId="17748" xr:uid="{00000000-0005-0000-0000-000053450000}"/>
    <cellStyle name="Normal 7 4 3 2" xfId="17749" xr:uid="{00000000-0005-0000-0000-000054450000}"/>
    <cellStyle name="Normal 7 4 3 2 2" xfId="17750" xr:uid="{00000000-0005-0000-0000-000055450000}"/>
    <cellStyle name="Normal 7 4 3 2 2 2" xfId="17751" xr:uid="{00000000-0005-0000-0000-000056450000}"/>
    <cellStyle name="Normal 7 4 3 2 2 2 2" xfId="17752" xr:uid="{00000000-0005-0000-0000-000057450000}"/>
    <cellStyle name="Normal 7 4 3 2 2 2 3" xfId="17753" xr:uid="{00000000-0005-0000-0000-000058450000}"/>
    <cellStyle name="Normal 7 4 3 2 2 3" xfId="17754" xr:uid="{00000000-0005-0000-0000-000059450000}"/>
    <cellStyle name="Normal 7 4 3 2 2 3 2" xfId="17755" xr:uid="{00000000-0005-0000-0000-00005A450000}"/>
    <cellStyle name="Normal 7 4 3 2 2 3 3" xfId="17756" xr:uid="{00000000-0005-0000-0000-00005B450000}"/>
    <cellStyle name="Normal 7 4 3 2 2 4" xfId="17757" xr:uid="{00000000-0005-0000-0000-00005C450000}"/>
    <cellStyle name="Normal 7 4 3 2 2 5" xfId="17758" xr:uid="{00000000-0005-0000-0000-00005D450000}"/>
    <cellStyle name="Normal 7 4 3 2 3" xfId="17759" xr:uid="{00000000-0005-0000-0000-00005E450000}"/>
    <cellStyle name="Normal 7 4 3 2 3 2" xfId="17760" xr:uid="{00000000-0005-0000-0000-00005F450000}"/>
    <cellStyle name="Normal 7 4 3 2 3 2 2" xfId="17761" xr:uid="{00000000-0005-0000-0000-000060450000}"/>
    <cellStyle name="Normal 7 4 3 2 3 2 3" xfId="17762" xr:uid="{00000000-0005-0000-0000-000061450000}"/>
    <cellStyle name="Normal 7 4 3 2 3 3" xfId="17763" xr:uid="{00000000-0005-0000-0000-000062450000}"/>
    <cellStyle name="Normal 7 4 3 2 3 3 2" xfId="17764" xr:uid="{00000000-0005-0000-0000-000063450000}"/>
    <cellStyle name="Normal 7 4 3 2 3 3 3" xfId="17765" xr:uid="{00000000-0005-0000-0000-000064450000}"/>
    <cellStyle name="Normal 7 4 3 2 3 4" xfId="17766" xr:uid="{00000000-0005-0000-0000-000065450000}"/>
    <cellStyle name="Normal 7 4 3 2 3 5" xfId="17767" xr:uid="{00000000-0005-0000-0000-000066450000}"/>
    <cellStyle name="Normal 7 4 3 2 4" xfId="17768" xr:uid="{00000000-0005-0000-0000-000067450000}"/>
    <cellStyle name="Normal 7 4 3 2 4 2" xfId="17769" xr:uid="{00000000-0005-0000-0000-000068450000}"/>
    <cellStyle name="Normal 7 4 3 2 4 3" xfId="17770" xr:uid="{00000000-0005-0000-0000-000069450000}"/>
    <cellStyle name="Normal 7 4 3 2 5" xfId="17771" xr:uid="{00000000-0005-0000-0000-00006A450000}"/>
    <cellStyle name="Normal 7 4 3 2 5 2" xfId="17772" xr:uid="{00000000-0005-0000-0000-00006B450000}"/>
    <cellStyle name="Normal 7 4 3 2 5 3" xfId="17773" xr:uid="{00000000-0005-0000-0000-00006C450000}"/>
    <cellStyle name="Normal 7 4 3 2 6" xfId="17774" xr:uid="{00000000-0005-0000-0000-00006D450000}"/>
    <cellStyle name="Normal 7 4 3 2 7" xfId="17775" xr:uid="{00000000-0005-0000-0000-00006E450000}"/>
    <cellStyle name="Normal 7 4 3 3" xfId="17776" xr:uid="{00000000-0005-0000-0000-00006F450000}"/>
    <cellStyle name="Normal 7 4 3 3 2" xfId="17777" xr:uid="{00000000-0005-0000-0000-000070450000}"/>
    <cellStyle name="Normal 7 4 3 3 2 2" xfId="17778" xr:uid="{00000000-0005-0000-0000-000071450000}"/>
    <cellStyle name="Normal 7 4 3 3 2 3" xfId="17779" xr:uid="{00000000-0005-0000-0000-000072450000}"/>
    <cellStyle name="Normal 7 4 3 3 3" xfId="17780" xr:uid="{00000000-0005-0000-0000-000073450000}"/>
    <cellStyle name="Normal 7 4 3 3 3 2" xfId="17781" xr:uid="{00000000-0005-0000-0000-000074450000}"/>
    <cellStyle name="Normal 7 4 3 3 3 3" xfId="17782" xr:uid="{00000000-0005-0000-0000-000075450000}"/>
    <cellStyle name="Normal 7 4 3 3 4" xfId="17783" xr:uid="{00000000-0005-0000-0000-000076450000}"/>
    <cellStyle name="Normal 7 4 3 3 5" xfId="17784" xr:uid="{00000000-0005-0000-0000-000077450000}"/>
    <cellStyle name="Normal 7 4 3 4" xfId="17785" xr:uid="{00000000-0005-0000-0000-000078450000}"/>
    <cellStyle name="Normal 7 4 3 4 2" xfId="17786" xr:uid="{00000000-0005-0000-0000-000079450000}"/>
    <cellStyle name="Normal 7 4 3 4 2 2" xfId="17787" xr:uid="{00000000-0005-0000-0000-00007A450000}"/>
    <cellStyle name="Normal 7 4 3 4 2 3" xfId="17788" xr:uid="{00000000-0005-0000-0000-00007B450000}"/>
    <cellStyle name="Normal 7 4 3 4 3" xfId="17789" xr:uid="{00000000-0005-0000-0000-00007C450000}"/>
    <cellStyle name="Normal 7 4 3 4 3 2" xfId="17790" xr:uid="{00000000-0005-0000-0000-00007D450000}"/>
    <cellStyle name="Normal 7 4 3 4 3 3" xfId="17791" xr:uid="{00000000-0005-0000-0000-00007E450000}"/>
    <cellStyle name="Normal 7 4 3 4 4" xfId="17792" xr:uid="{00000000-0005-0000-0000-00007F450000}"/>
    <cellStyle name="Normal 7 4 3 4 5" xfId="17793" xr:uid="{00000000-0005-0000-0000-000080450000}"/>
    <cellStyle name="Normal 7 4 3 5" xfId="17794" xr:uid="{00000000-0005-0000-0000-000081450000}"/>
    <cellStyle name="Normal 7 4 3 5 2" xfId="17795" xr:uid="{00000000-0005-0000-0000-000082450000}"/>
    <cellStyle name="Normal 7 4 3 5 3" xfId="17796" xr:uid="{00000000-0005-0000-0000-000083450000}"/>
    <cellStyle name="Normal 7 4 3 6" xfId="17797" xr:uid="{00000000-0005-0000-0000-000084450000}"/>
    <cellStyle name="Normal 7 4 3 6 2" xfId="17798" xr:uid="{00000000-0005-0000-0000-000085450000}"/>
    <cellStyle name="Normal 7 4 3 6 3" xfId="17799" xr:uid="{00000000-0005-0000-0000-000086450000}"/>
    <cellStyle name="Normal 7 4 3 7" xfId="17800" xr:uid="{00000000-0005-0000-0000-000087450000}"/>
    <cellStyle name="Normal 7 4 3 7 2" xfId="17801" xr:uid="{00000000-0005-0000-0000-000088450000}"/>
    <cellStyle name="Normal 7 4 3 7 3" xfId="17802" xr:uid="{00000000-0005-0000-0000-000089450000}"/>
    <cellStyle name="Normal 7 4 3 7 3 2" xfId="17803" xr:uid="{00000000-0005-0000-0000-00008A450000}"/>
    <cellStyle name="Normal 7 4 3 7 4" xfId="17804" xr:uid="{00000000-0005-0000-0000-00008B450000}"/>
    <cellStyle name="Normal 7 4 3 8" xfId="17805" xr:uid="{00000000-0005-0000-0000-00008C450000}"/>
    <cellStyle name="Normal 7 4 3 9" xfId="17806" xr:uid="{00000000-0005-0000-0000-00008D450000}"/>
    <cellStyle name="Normal 7 4 4" xfId="17807" xr:uid="{00000000-0005-0000-0000-00008E450000}"/>
    <cellStyle name="Normal 7 4 4 2" xfId="17808" xr:uid="{00000000-0005-0000-0000-00008F450000}"/>
    <cellStyle name="Normal 7 4 4 2 2" xfId="17809" xr:uid="{00000000-0005-0000-0000-000090450000}"/>
    <cellStyle name="Normal 7 4 4 2 2 2" xfId="17810" xr:uid="{00000000-0005-0000-0000-000091450000}"/>
    <cellStyle name="Normal 7 4 4 2 2 3" xfId="17811" xr:uid="{00000000-0005-0000-0000-000092450000}"/>
    <cellStyle name="Normal 7 4 4 2 3" xfId="17812" xr:uid="{00000000-0005-0000-0000-000093450000}"/>
    <cellStyle name="Normal 7 4 4 2 3 2" xfId="17813" xr:uid="{00000000-0005-0000-0000-000094450000}"/>
    <cellStyle name="Normal 7 4 4 2 3 3" xfId="17814" xr:uid="{00000000-0005-0000-0000-000095450000}"/>
    <cellStyle name="Normal 7 4 4 2 4" xfId="17815" xr:uid="{00000000-0005-0000-0000-000096450000}"/>
    <cellStyle name="Normal 7 4 4 2 5" xfId="17816" xr:uid="{00000000-0005-0000-0000-000097450000}"/>
    <cellStyle name="Normal 7 4 4 3" xfId="17817" xr:uid="{00000000-0005-0000-0000-000098450000}"/>
    <cellStyle name="Normal 7 4 4 3 2" xfId="17818" xr:uid="{00000000-0005-0000-0000-000099450000}"/>
    <cellStyle name="Normal 7 4 4 3 2 2" xfId="17819" xr:uid="{00000000-0005-0000-0000-00009A450000}"/>
    <cellStyle name="Normal 7 4 4 3 2 3" xfId="17820" xr:uid="{00000000-0005-0000-0000-00009B450000}"/>
    <cellStyle name="Normal 7 4 4 3 3" xfId="17821" xr:uid="{00000000-0005-0000-0000-00009C450000}"/>
    <cellStyle name="Normal 7 4 4 3 3 2" xfId="17822" xr:uid="{00000000-0005-0000-0000-00009D450000}"/>
    <cellStyle name="Normal 7 4 4 3 3 3" xfId="17823" xr:uid="{00000000-0005-0000-0000-00009E450000}"/>
    <cellStyle name="Normal 7 4 4 3 4" xfId="17824" xr:uid="{00000000-0005-0000-0000-00009F450000}"/>
    <cellStyle name="Normal 7 4 4 3 5" xfId="17825" xr:uid="{00000000-0005-0000-0000-0000A0450000}"/>
    <cellStyle name="Normal 7 4 4 4" xfId="17826" xr:uid="{00000000-0005-0000-0000-0000A1450000}"/>
    <cellStyle name="Normal 7 4 4 4 2" xfId="17827" xr:uid="{00000000-0005-0000-0000-0000A2450000}"/>
    <cellStyle name="Normal 7 4 4 4 3" xfId="17828" xr:uid="{00000000-0005-0000-0000-0000A3450000}"/>
    <cellStyle name="Normal 7 4 4 5" xfId="17829" xr:uid="{00000000-0005-0000-0000-0000A4450000}"/>
    <cellStyle name="Normal 7 4 4 5 2" xfId="17830" xr:uid="{00000000-0005-0000-0000-0000A5450000}"/>
    <cellStyle name="Normal 7 4 4 5 3" xfId="17831" xr:uid="{00000000-0005-0000-0000-0000A6450000}"/>
    <cellStyle name="Normal 7 4 4 6" xfId="17832" xr:uid="{00000000-0005-0000-0000-0000A7450000}"/>
    <cellStyle name="Normal 7 4 4 7" xfId="17833" xr:uid="{00000000-0005-0000-0000-0000A8450000}"/>
    <cellStyle name="Normal 7 4 5" xfId="17834" xr:uid="{00000000-0005-0000-0000-0000A9450000}"/>
    <cellStyle name="Normal 7 4 5 2" xfId="17835" xr:uid="{00000000-0005-0000-0000-0000AA450000}"/>
    <cellStyle name="Normal 7 4 5 2 2" xfId="17836" xr:uid="{00000000-0005-0000-0000-0000AB450000}"/>
    <cellStyle name="Normal 7 4 5 2 2 2" xfId="17837" xr:uid="{00000000-0005-0000-0000-0000AC450000}"/>
    <cellStyle name="Normal 7 4 5 2 2 3" xfId="17838" xr:uid="{00000000-0005-0000-0000-0000AD450000}"/>
    <cellStyle name="Normal 7 4 5 2 3" xfId="17839" xr:uid="{00000000-0005-0000-0000-0000AE450000}"/>
    <cellStyle name="Normal 7 4 5 2 3 2" xfId="17840" xr:uid="{00000000-0005-0000-0000-0000AF450000}"/>
    <cellStyle name="Normal 7 4 5 2 3 3" xfId="17841" xr:uid="{00000000-0005-0000-0000-0000B0450000}"/>
    <cellStyle name="Normal 7 4 5 2 4" xfId="17842" xr:uid="{00000000-0005-0000-0000-0000B1450000}"/>
    <cellStyle name="Normal 7 4 5 2 5" xfId="17843" xr:uid="{00000000-0005-0000-0000-0000B2450000}"/>
    <cellStyle name="Normal 7 4 5 3" xfId="17844" xr:uid="{00000000-0005-0000-0000-0000B3450000}"/>
    <cellStyle name="Normal 7 4 5 3 2" xfId="17845" xr:uid="{00000000-0005-0000-0000-0000B4450000}"/>
    <cellStyle name="Normal 7 4 5 3 2 2" xfId="17846" xr:uid="{00000000-0005-0000-0000-0000B5450000}"/>
    <cellStyle name="Normal 7 4 5 3 2 3" xfId="17847" xr:uid="{00000000-0005-0000-0000-0000B6450000}"/>
    <cellStyle name="Normal 7 4 5 3 3" xfId="17848" xr:uid="{00000000-0005-0000-0000-0000B7450000}"/>
    <cellStyle name="Normal 7 4 5 3 4" xfId="17849" xr:uid="{00000000-0005-0000-0000-0000B8450000}"/>
    <cellStyle name="Normal 7 4 5 4" xfId="17850" xr:uid="{00000000-0005-0000-0000-0000B9450000}"/>
    <cellStyle name="Normal 7 4 5 4 2" xfId="17851" xr:uid="{00000000-0005-0000-0000-0000BA450000}"/>
    <cellStyle name="Normal 7 4 5 4 3" xfId="17852" xr:uid="{00000000-0005-0000-0000-0000BB450000}"/>
    <cellStyle name="Normal 7 4 5 5" xfId="17853" xr:uid="{00000000-0005-0000-0000-0000BC450000}"/>
    <cellStyle name="Normal 7 4 5 5 2" xfId="17854" xr:uid="{00000000-0005-0000-0000-0000BD450000}"/>
    <cellStyle name="Normal 7 4 5 5 3" xfId="17855" xr:uid="{00000000-0005-0000-0000-0000BE450000}"/>
    <cellStyle name="Normal 7 4 5 6" xfId="17856" xr:uid="{00000000-0005-0000-0000-0000BF450000}"/>
    <cellStyle name="Normal 7 4 5 7" xfId="17857" xr:uid="{00000000-0005-0000-0000-0000C0450000}"/>
    <cellStyle name="Normal 7 4 6" xfId="17858" xr:uid="{00000000-0005-0000-0000-0000C1450000}"/>
    <cellStyle name="Normal 7 4 6 2" xfId="17859" xr:uid="{00000000-0005-0000-0000-0000C2450000}"/>
    <cellStyle name="Normal 7 4 6 2 2" xfId="17860" xr:uid="{00000000-0005-0000-0000-0000C3450000}"/>
    <cellStyle name="Normal 7 4 6 2 3" xfId="17861" xr:uid="{00000000-0005-0000-0000-0000C4450000}"/>
    <cellStyle name="Normal 7 4 6 3" xfId="17862" xr:uid="{00000000-0005-0000-0000-0000C5450000}"/>
    <cellStyle name="Normal 7 4 6 3 2" xfId="17863" xr:uid="{00000000-0005-0000-0000-0000C6450000}"/>
    <cellStyle name="Normal 7 4 6 3 3" xfId="17864" xr:uid="{00000000-0005-0000-0000-0000C7450000}"/>
    <cellStyle name="Normal 7 4 6 4" xfId="17865" xr:uid="{00000000-0005-0000-0000-0000C8450000}"/>
    <cellStyle name="Normal 7 4 6 5" xfId="17866" xr:uid="{00000000-0005-0000-0000-0000C9450000}"/>
    <cellStyle name="Normal 7 4 7" xfId="17867" xr:uid="{00000000-0005-0000-0000-0000CA450000}"/>
    <cellStyle name="Normal 7 4 7 2" xfId="17868" xr:uid="{00000000-0005-0000-0000-0000CB450000}"/>
    <cellStyle name="Normal 7 4 7 2 2" xfId="17869" xr:uid="{00000000-0005-0000-0000-0000CC450000}"/>
    <cellStyle name="Normal 7 4 7 2 3" xfId="17870" xr:uid="{00000000-0005-0000-0000-0000CD450000}"/>
    <cellStyle name="Normal 7 4 7 3" xfId="17871" xr:uid="{00000000-0005-0000-0000-0000CE450000}"/>
    <cellStyle name="Normal 7 4 7 3 2" xfId="17872" xr:uid="{00000000-0005-0000-0000-0000CF450000}"/>
    <cellStyle name="Normal 7 4 7 3 3" xfId="17873" xr:uid="{00000000-0005-0000-0000-0000D0450000}"/>
    <cellStyle name="Normal 7 4 7 4" xfId="17874" xr:uid="{00000000-0005-0000-0000-0000D1450000}"/>
    <cellStyle name="Normal 7 4 7 5" xfId="17875" xr:uid="{00000000-0005-0000-0000-0000D2450000}"/>
    <cellStyle name="Normal 7 4 8" xfId="17876" xr:uid="{00000000-0005-0000-0000-0000D3450000}"/>
    <cellStyle name="Normal 7 4 8 2" xfId="17877" xr:uid="{00000000-0005-0000-0000-0000D4450000}"/>
    <cellStyle name="Normal 7 4 8 2 2" xfId="17878" xr:uid="{00000000-0005-0000-0000-0000D5450000}"/>
    <cellStyle name="Normal 7 4 8 2 3" xfId="17879" xr:uid="{00000000-0005-0000-0000-0000D6450000}"/>
    <cellStyle name="Normal 7 4 8 3" xfId="17880" xr:uid="{00000000-0005-0000-0000-0000D7450000}"/>
    <cellStyle name="Normal 7 4 8 4" xfId="17881" xr:uid="{00000000-0005-0000-0000-0000D8450000}"/>
    <cellStyle name="Normal 7 4 9" xfId="17882" xr:uid="{00000000-0005-0000-0000-0000D9450000}"/>
    <cellStyle name="Normal 7 4 9 2" xfId="17883" xr:uid="{00000000-0005-0000-0000-0000DA450000}"/>
    <cellStyle name="Normal 7 4 9 3" xfId="17884" xr:uid="{00000000-0005-0000-0000-0000DB450000}"/>
    <cellStyle name="Normal 7 5" xfId="17885" xr:uid="{00000000-0005-0000-0000-0000DC450000}"/>
    <cellStyle name="Normal 7 5 10" xfId="17886" xr:uid="{00000000-0005-0000-0000-0000DD450000}"/>
    <cellStyle name="Normal 7 5 10 2" xfId="17887" xr:uid="{00000000-0005-0000-0000-0000DE450000}"/>
    <cellStyle name="Normal 7 5 10 3" xfId="17888" xr:uid="{00000000-0005-0000-0000-0000DF450000}"/>
    <cellStyle name="Normal 7 5 10 3 2" xfId="17889" xr:uid="{00000000-0005-0000-0000-0000E0450000}"/>
    <cellStyle name="Normal 7 5 10 4" xfId="17890" xr:uid="{00000000-0005-0000-0000-0000E1450000}"/>
    <cellStyle name="Normal 7 5 11" xfId="17891" xr:uid="{00000000-0005-0000-0000-0000E2450000}"/>
    <cellStyle name="Normal 7 5 11 2" xfId="17892" xr:uid="{00000000-0005-0000-0000-0000E3450000}"/>
    <cellStyle name="Normal 7 5 11 2 2" xfId="17893" xr:uid="{00000000-0005-0000-0000-0000E4450000}"/>
    <cellStyle name="Normal 7 5 11 3" xfId="17894" xr:uid="{00000000-0005-0000-0000-0000E5450000}"/>
    <cellStyle name="Normal 7 5 12" xfId="17895" xr:uid="{00000000-0005-0000-0000-0000E6450000}"/>
    <cellStyle name="Normal 7 5 13" xfId="17896" xr:uid="{00000000-0005-0000-0000-0000E7450000}"/>
    <cellStyle name="Normal 7 5 2" xfId="17897" xr:uid="{00000000-0005-0000-0000-0000E8450000}"/>
    <cellStyle name="Normal 7 5 2 2" xfId="17898" xr:uid="{00000000-0005-0000-0000-0000E9450000}"/>
    <cellStyle name="Normal 7 5 2 2 2" xfId="17899" xr:uid="{00000000-0005-0000-0000-0000EA450000}"/>
    <cellStyle name="Normal 7 5 2 2 2 2" xfId="17900" xr:uid="{00000000-0005-0000-0000-0000EB450000}"/>
    <cellStyle name="Normal 7 5 2 2 2 2 2" xfId="17901" xr:uid="{00000000-0005-0000-0000-0000EC450000}"/>
    <cellStyle name="Normal 7 5 2 2 2 2 3" xfId="17902" xr:uid="{00000000-0005-0000-0000-0000ED450000}"/>
    <cellStyle name="Normal 7 5 2 2 2 3" xfId="17903" xr:uid="{00000000-0005-0000-0000-0000EE450000}"/>
    <cellStyle name="Normal 7 5 2 2 2 3 2" xfId="17904" xr:uid="{00000000-0005-0000-0000-0000EF450000}"/>
    <cellStyle name="Normal 7 5 2 2 2 3 3" xfId="17905" xr:uid="{00000000-0005-0000-0000-0000F0450000}"/>
    <cellStyle name="Normal 7 5 2 2 2 4" xfId="17906" xr:uid="{00000000-0005-0000-0000-0000F1450000}"/>
    <cellStyle name="Normal 7 5 2 2 2 5" xfId="17907" xr:uid="{00000000-0005-0000-0000-0000F2450000}"/>
    <cellStyle name="Normal 7 5 2 2 3" xfId="17908" xr:uid="{00000000-0005-0000-0000-0000F3450000}"/>
    <cellStyle name="Normal 7 5 2 2 3 2" xfId="17909" xr:uid="{00000000-0005-0000-0000-0000F4450000}"/>
    <cellStyle name="Normal 7 5 2 2 3 2 2" xfId="17910" xr:uid="{00000000-0005-0000-0000-0000F5450000}"/>
    <cellStyle name="Normal 7 5 2 2 3 2 3" xfId="17911" xr:uid="{00000000-0005-0000-0000-0000F6450000}"/>
    <cellStyle name="Normal 7 5 2 2 3 3" xfId="17912" xr:uid="{00000000-0005-0000-0000-0000F7450000}"/>
    <cellStyle name="Normal 7 5 2 2 3 3 2" xfId="17913" xr:uid="{00000000-0005-0000-0000-0000F8450000}"/>
    <cellStyle name="Normal 7 5 2 2 3 3 3" xfId="17914" xr:uid="{00000000-0005-0000-0000-0000F9450000}"/>
    <cellStyle name="Normal 7 5 2 2 3 4" xfId="17915" xr:uid="{00000000-0005-0000-0000-0000FA450000}"/>
    <cellStyle name="Normal 7 5 2 2 3 5" xfId="17916" xr:uid="{00000000-0005-0000-0000-0000FB450000}"/>
    <cellStyle name="Normal 7 5 2 2 4" xfId="17917" xr:uid="{00000000-0005-0000-0000-0000FC450000}"/>
    <cellStyle name="Normal 7 5 2 2 4 2" xfId="17918" xr:uid="{00000000-0005-0000-0000-0000FD450000}"/>
    <cellStyle name="Normal 7 5 2 2 4 3" xfId="17919" xr:uid="{00000000-0005-0000-0000-0000FE450000}"/>
    <cellStyle name="Normal 7 5 2 2 5" xfId="17920" xr:uid="{00000000-0005-0000-0000-0000FF450000}"/>
    <cellStyle name="Normal 7 5 2 2 5 2" xfId="17921" xr:uid="{00000000-0005-0000-0000-000000460000}"/>
    <cellStyle name="Normal 7 5 2 2 5 3" xfId="17922" xr:uid="{00000000-0005-0000-0000-000001460000}"/>
    <cellStyle name="Normal 7 5 2 2 6" xfId="17923" xr:uid="{00000000-0005-0000-0000-000002460000}"/>
    <cellStyle name="Normal 7 5 2 2 7" xfId="17924" xr:uid="{00000000-0005-0000-0000-000003460000}"/>
    <cellStyle name="Normal 7 5 2 3" xfId="17925" xr:uid="{00000000-0005-0000-0000-000004460000}"/>
    <cellStyle name="Normal 7 5 2 3 2" xfId="17926" xr:uid="{00000000-0005-0000-0000-000005460000}"/>
    <cellStyle name="Normal 7 5 2 3 2 2" xfId="17927" xr:uid="{00000000-0005-0000-0000-000006460000}"/>
    <cellStyle name="Normal 7 5 2 3 2 3" xfId="17928" xr:uid="{00000000-0005-0000-0000-000007460000}"/>
    <cellStyle name="Normal 7 5 2 3 3" xfId="17929" xr:uid="{00000000-0005-0000-0000-000008460000}"/>
    <cellStyle name="Normal 7 5 2 3 3 2" xfId="17930" xr:uid="{00000000-0005-0000-0000-000009460000}"/>
    <cellStyle name="Normal 7 5 2 3 3 3" xfId="17931" xr:uid="{00000000-0005-0000-0000-00000A460000}"/>
    <cellStyle name="Normal 7 5 2 3 4" xfId="17932" xr:uid="{00000000-0005-0000-0000-00000B460000}"/>
    <cellStyle name="Normal 7 5 2 3 5" xfId="17933" xr:uid="{00000000-0005-0000-0000-00000C460000}"/>
    <cellStyle name="Normal 7 5 2 4" xfId="17934" xr:uid="{00000000-0005-0000-0000-00000D460000}"/>
    <cellStyle name="Normal 7 5 2 4 2" xfId="17935" xr:uid="{00000000-0005-0000-0000-00000E460000}"/>
    <cellStyle name="Normal 7 5 2 4 2 2" xfId="17936" xr:uid="{00000000-0005-0000-0000-00000F460000}"/>
    <cellStyle name="Normal 7 5 2 4 2 3" xfId="17937" xr:uid="{00000000-0005-0000-0000-000010460000}"/>
    <cellStyle name="Normal 7 5 2 4 3" xfId="17938" xr:uid="{00000000-0005-0000-0000-000011460000}"/>
    <cellStyle name="Normal 7 5 2 4 3 2" xfId="17939" xr:uid="{00000000-0005-0000-0000-000012460000}"/>
    <cellStyle name="Normal 7 5 2 4 3 3" xfId="17940" xr:uid="{00000000-0005-0000-0000-000013460000}"/>
    <cellStyle name="Normal 7 5 2 4 4" xfId="17941" xr:uid="{00000000-0005-0000-0000-000014460000}"/>
    <cellStyle name="Normal 7 5 2 4 5" xfId="17942" xr:uid="{00000000-0005-0000-0000-000015460000}"/>
    <cellStyle name="Normal 7 5 2 5" xfId="17943" xr:uid="{00000000-0005-0000-0000-000016460000}"/>
    <cellStyle name="Normal 7 5 2 5 2" xfId="17944" xr:uid="{00000000-0005-0000-0000-000017460000}"/>
    <cellStyle name="Normal 7 5 2 5 3" xfId="17945" xr:uid="{00000000-0005-0000-0000-000018460000}"/>
    <cellStyle name="Normal 7 5 2 6" xfId="17946" xr:uid="{00000000-0005-0000-0000-000019460000}"/>
    <cellStyle name="Normal 7 5 2 6 2" xfId="17947" xr:uid="{00000000-0005-0000-0000-00001A460000}"/>
    <cellStyle name="Normal 7 5 2 6 3" xfId="17948" xr:uid="{00000000-0005-0000-0000-00001B460000}"/>
    <cellStyle name="Normal 7 5 2 7" xfId="17949" xr:uid="{00000000-0005-0000-0000-00001C460000}"/>
    <cellStyle name="Normal 7 5 2 7 2" xfId="17950" xr:uid="{00000000-0005-0000-0000-00001D460000}"/>
    <cellStyle name="Normal 7 5 2 7 3" xfId="17951" xr:uid="{00000000-0005-0000-0000-00001E460000}"/>
    <cellStyle name="Normal 7 5 2 7 3 2" xfId="17952" xr:uid="{00000000-0005-0000-0000-00001F460000}"/>
    <cellStyle name="Normal 7 5 2 7 4" xfId="17953" xr:uid="{00000000-0005-0000-0000-000020460000}"/>
    <cellStyle name="Normal 7 5 2 8" xfId="17954" xr:uid="{00000000-0005-0000-0000-000021460000}"/>
    <cellStyle name="Normal 7 5 2 9" xfId="17955" xr:uid="{00000000-0005-0000-0000-000022460000}"/>
    <cellStyle name="Normal 7 5 3" xfId="17956" xr:uid="{00000000-0005-0000-0000-000023460000}"/>
    <cellStyle name="Normal 7 5 3 2" xfId="17957" xr:uid="{00000000-0005-0000-0000-000024460000}"/>
    <cellStyle name="Normal 7 5 3 2 2" xfId="17958" xr:uid="{00000000-0005-0000-0000-000025460000}"/>
    <cellStyle name="Normal 7 5 3 2 2 2" xfId="17959" xr:uid="{00000000-0005-0000-0000-000026460000}"/>
    <cellStyle name="Normal 7 5 3 2 2 3" xfId="17960" xr:uid="{00000000-0005-0000-0000-000027460000}"/>
    <cellStyle name="Normal 7 5 3 2 3" xfId="17961" xr:uid="{00000000-0005-0000-0000-000028460000}"/>
    <cellStyle name="Normal 7 5 3 2 3 2" xfId="17962" xr:uid="{00000000-0005-0000-0000-000029460000}"/>
    <cellStyle name="Normal 7 5 3 2 3 3" xfId="17963" xr:uid="{00000000-0005-0000-0000-00002A460000}"/>
    <cellStyle name="Normal 7 5 3 2 4" xfId="17964" xr:uid="{00000000-0005-0000-0000-00002B460000}"/>
    <cellStyle name="Normal 7 5 3 2 5" xfId="17965" xr:uid="{00000000-0005-0000-0000-00002C460000}"/>
    <cellStyle name="Normal 7 5 3 3" xfId="17966" xr:uid="{00000000-0005-0000-0000-00002D460000}"/>
    <cellStyle name="Normal 7 5 3 3 2" xfId="17967" xr:uid="{00000000-0005-0000-0000-00002E460000}"/>
    <cellStyle name="Normal 7 5 3 3 2 2" xfId="17968" xr:uid="{00000000-0005-0000-0000-00002F460000}"/>
    <cellStyle name="Normal 7 5 3 3 2 3" xfId="17969" xr:uid="{00000000-0005-0000-0000-000030460000}"/>
    <cellStyle name="Normal 7 5 3 3 3" xfId="17970" xr:uid="{00000000-0005-0000-0000-000031460000}"/>
    <cellStyle name="Normal 7 5 3 3 3 2" xfId="17971" xr:uid="{00000000-0005-0000-0000-000032460000}"/>
    <cellStyle name="Normal 7 5 3 3 3 3" xfId="17972" xr:uid="{00000000-0005-0000-0000-000033460000}"/>
    <cellStyle name="Normal 7 5 3 3 4" xfId="17973" xr:uid="{00000000-0005-0000-0000-000034460000}"/>
    <cellStyle name="Normal 7 5 3 3 5" xfId="17974" xr:uid="{00000000-0005-0000-0000-000035460000}"/>
    <cellStyle name="Normal 7 5 3 4" xfId="17975" xr:uid="{00000000-0005-0000-0000-000036460000}"/>
    <cellStyle name="Normal 7 5 3 4 2" xfId="17976" xr:uid="{00000000-0005-0000-0000-000037460000}"/>
    <cellStyle name="Normal 7 5 3 4 3" xfId="17977" xr:uid="{00000000-0005-0000-0000-000038460000}"/>
    <cellStyle name="Normal 7 5 3 5" xfId="17978" xr:uid="{00000000-0005-0000-0000-000039460000}"/>
    <cellStyle name="Normal 7 5 3 5 2" xfId="17979" xr:uid="{00000000-0005-0000-0000-00003A460000}"/>
    <cellStyle name="Normal 7 5 3 5 3" xfId="17980" xr:uid="{00000000-0005-0000-0000-00003B460000}"/>
    <cellStyle name="Normal 7 5 3 6" xfId="17981" xr:uid="{00000000-0005-0000-0000-00003C460000}"/>
    <cellStyle name="Normal 7 5 3 7" xfId="17982" xr:uid="{00000000-0005-0000-0000-00003D460000}"/>
    <cellStyle name="Normal 7 5 4" xfId="17983" xr:uid="{00000000-0005-0000-0000-00003E460000}"/>
    <cellStyle name="Normal 7 5 4 2" xfId="17984" xr:uid="{00000000-0005-0000-0000-00003F460000}"/>
    <cellStyle name="Normal 7 5 4 2 2" xfId="17985" xr:uid="{00000000-0005-0000-0000-000040460000}"/>
    <cellStyle name="Normal 7 5 4 2 2 2" xfId="17986" xr:uid="{00000000-0005-0000-0000-000041460000}"/>
    <cellStyle name="Normal 7 5 4 2 2 3" xfId="17987" xr:uid="{00000000-0005-0000-0000-000042460000}"/>
    <cellStyle name="Normal 7 5 4 2 3" xfId="17988" xr:uid="{00000000-0005-0000-0000-000043460000}"/>
    <cellStyle name="Normal 7 5 4 2 3 2" xfId="17989" xr:uid="{00000000-0005-0000-0000-000044460000}"/>
    <cellStyle name="Normal 7 5 4 2 3 3" xfId="17990" xr:uid="{00000000-0005-0000-0000-000045460000}"/>
    <cellStyle name="Normal 7 5 4 2 4" xfId="17991" xr:uid="{00000000-0005-0000-0000-000046460000}"/>
    <cellStyle name="Normal 7 5 4 2 5" xfId="17992" xr:uid="{00000000-0005-0000-0000-000047460000}"/>
    <cellStyle name="Normal 7 5 4 3" xfId="17993" xr:uid="{00000000-0005-0000-0000-000048460000}"/>
    <cellStyle name="Normal 7 5 4 3 2" xfId="17994" xr:uid="{00000000-0005-0000-0000-000049460000}"/>
    <cellStyle name="Normal 7 5 4 3 2 2" xfId="17995" xr:uid="{00000000-0005-0000-0000-00004A460000}"/>
    <cellStyle name="Normal 7 5 4 3 2 3" xfId="17996" xr:uid="{00000000-0005-0000-0000-00004B460000}"/>
    <cellStyle name="Normal 7 5 4 3 3" xfId="17997" xr:uid="{00000000-0005-0000-0000-00004C460000}"/>
    <cellStyle name="Normal 7 5 4 3 4" xfId="17998" xr:uid="{00000000-0005-0000-0000-00004D460000}"/>
    <cellStyle name="Normal 7 5 4 4" xfId="17999" xr:uid="{00000000-0005-0000-0000-00004E460000}"/>
    <cellStyle name="Normal 7 5 4 4 2" xfId="18000" xr:uid="{00000000-0005-0000-0000-00004F460000}"/>
    <cellStyle name="Normal 7 5 4 4 3" xfId="18001" xr:uid="{00000000-0005-0000-0000-000050460000}"/>
    <cellStyle name="Normal 7 5 4 5" xfId="18002" xr:uid="{00000000-0005-0000-0000-000051460000}"/>
    <cellStyle name="Normal 7 5 4 5 2" xfId="18003" xr:uid="{00000000-0005-0000-0000-000052460000}"/>
    <cellStyle name="Normal 7 5 4 5 3" xfId="18004" xr:uid="{00000000-0005-0000-0000-000053460000}"/>
    <cellStyle name="Normal 7 5 4 6" xfId="18005" xr:uid="{00000000-0005-0000-0000-000054460000}"/>
    <cellStyle name="Normal 7 5 4 7" xfId="18006" xr:uid="{00000000-0005-0000-0000-000055460000}"/>
    <cellStyle name="Normal 7 5 5" xfId="18007" xr:uid="{00000000-0005-0000-0000-000056460000}"/>
    <cellStyle name="Normal 7 5 5 2" xfId="18008" xr:uid="{00000000-0005-0000-0000-000057460000}"/>
    <cellStyle name="Normal 7 5 5 2 2" xfId="18009" xr:uid="{00000000-0005-0000-0000-000058460000}"/>
    <cellStyle name="Normal 7 5 5 2 3" xfId="18010" xr:uid="{00000000-0005-0000-0000-000059460000}"/>
    <cellStyle name="Normal 7 5 5 3" xfId="18011" xr:uid="{00000000-0005-0000-0000-00005A460000}"/>
    <cellStyle name="Normal 7 5 5 3 2" xfId="18012" xr:uid="{00000000-0005-0000-0000-00005B460000}"/>
    <cellStyle name="Normal 7 5 5 3 3" xfId="18013" xr:uid="{00000000-0005-0000-0000-00005C460000}"/>
    <cellStyle name="Normal 7 5 5 4" xfId="18014" xr:uid="{00000000-0005-0000-0000-00005D460000}"/>
    <cellStyle name="Normal 7 5 5 5" xfId="18015" xr:uid="{00000000-0005-0000-0000-00005E460000}"/>
    <cellStyle name="Normal 7 5 6" xfId="18016" xr:uid="{00000000-0005-0000-0000-00005F460000}"/>
    <cellStyle name="Normal 7 5 6 2" xfId="18017" xr:uid="{00000000-0005-0000-0000-000060460000}"/>
    <cellStyle name="Normal 7 5 6 2 2" xfId="18018" xr:uid="{00000000-0005-0000-0000-000061460000}"/>
    <cellStyle name="Normal 7 5 6 2 3" xfId="18019" xr:uid="{00000000-0005-0000-0000-000062460000}"/>
    <cellStyle name="Normal 7 5 6 3" xfId="18020" xr:uid="{00000000-0005-0000-0000-000063460000}"/>
    <cellStyle name="Normal 7 5 6 3 2" xfId="18021" xr:uid="{00000000-0005-0000-0000-000064460000}"/>
    <cellStyle name="Normal 7 5 6 3 3" xfId="18022" xr:uid="{00000000-0005-0000-0000-000065460000}"/>
    <cellStyle name="Normal 7 5 6 4" xfId="18023" xr:uid="{00000000-0005-0000-0000-000066460000}"/>
    <cellStyle name="Normal 7 5 6 5" xfId="18024" xr:uid="{00000000-0005-0000-0000-000067460000}"/>
    <cellStyle name="Normal 7 5 7" xfId="18025" xr:uid="{00000000-0005-0000-0000-000068460000}"/>
    <cellStyle name="Normal 7 5 7 2" xfId="18026" xr:uid="{00000000-0005-0000-0000-000069460000}"/>
    <cellStyle name="Normal 7 5 7 2 2" xfId="18027" xr:uid="{00000000-0005-0000-0000-00006A460000}"/>
    <cellStyle name="Normal 7 5 7 2 3" xfId="18028" xr:uid="{00000000-0005-0000-0000-00006B460000}"/>
    <cellStyle name="Normal 7 5 7 3" xfId="18029" xr:uid="{00000000-0005-0000-0000-00006C460000}"/>
    <cellStyle name="Normal 7 5 7 4" xfId="18030" xr:uid="{00000000-0005-0000-0000-00006D460000}"/>
    <cellStyle name="Normal 7 5 8" xfId="18031" xr:uid="{00000000-0005-0000-0000-00006E460000}"/>
    <cellStyle name="Normal 7 5 8 2" xfId="18032" xr:uid="{00000000-0005-0000-0000-00006F460000}"/>
    <cellStyle name="Normal 7 5 8 3" xfId="18033" xr:uid="{00000000-0005-0000-0000-000070460000}"/>
    <cellStyle name="Normal 7 5 9" xfId="18034" xr:uid="{00000000-0005-0000-0000-000071460000}"/>
    <cellStyle name="Normal 7 5 9 2" xfId="18035" xr:uid="{00000000-0005-0000-0000-000072460000}"/>
    <cellStyle name="Normal 7 5 9 3" xfId="18036" xr:uid="{00000000-0005-0000-0000-000073460000}"/>
    <cellStyle name="Normal 7 6" xfId="18037" xr:uid="{00000000-0005-0000-0000-000074460000}"/>
    <cellStyle name="Normal 7 6 10" xfId="18038" xr:uid="{00000000-0005-0000-0000-000075460000}"/>
    <cellStyle name="Normal 7 6 10 2" xfId="18039" xr:uid="{00000000-0005-0000-0000-000076460000}"/>
    <cellStyle name="Normal 7 6 10 3" xfId="18040" xr:uid="{00000000-0005-0000-0000-000077460000}"/>
    <cellStyle name="Normal 7 6 10 3 2" xfId="18041" xr:uid="{00000000-0005-0000-0000-000078460000}"/>
    <cellStyle name="Normal 7 6 10 4" xfId="18042" xr:uid="{00000000-0005-0000-0000-000079460000}"/>
    <cellStyle name="Normal 7 6 11" xfId="18043" xr:uid="{00000000-0005-0000-0000-00007A460000}"/>
    <cellStyle name="Normal 7 6 11 2" xfId="18044" xr:uid="{00000000-0005-0000-0000-00007B460000}"/>
    <cellStyle name="Normal 7 6 11 3" xfId="18045" xr:uid="{00000000-0005-0000-0000-00007C460000}"/>
    <cellStyle name="Normal 7 6 11 3 2" xfId="18046" xr:uid="{00000000-0005-0000-0000-00007D460000}"/>
    <cellStyle name="Normal 7 6 11 4" xfId="18047" xr:uid="{00000000-0005-0000-0000-00007E460000}"/>
    <cellStyle name="Normal 7 6 12" xfId="18048" xr:uid="{00000000-0005-0000-0000-00007F460000}"/>
    <cellStyle name="Normal 7 6 13" xfId="18049" xr:uid="{00000000-0005-0000-0000-000080460000}"/>
    <cellStyle name="Normal 7 6 2" xfId="18050" xr:uid="{00000000-0005-0000-0000-000081460000}"/>
    <cellStyle name="Normal 7 6 2 2" xfId="18051" xr:uid="{00000000-0005-0000-0000-000082460000}"/>
    <cellStyle name="Normal 7 6 2 2 2" xfId="18052" xr:uid="{00000000-0005-0000-0000-000083460000}"/>
    <cellStyle name="Normal 7 6 2 2 2 2" xfId="18053" xr:uid="{00000000-0005-0000-0000-000084460000}"/>
    <cellStyle name="Normal 7 6 2 2 2 2 2" xfId="18054" xr:uid="{00000000-0005-0000-0000-000085460000}"/>
    <cellStyle name="Normal 7 6 2 2 2 2 3" xfId="18055" xr:uid="{00000000-0005-0000-0000-000086460000}"/>
    <cellStyle name="Normal 7 6 2 2 2 3" xfId="18056" xr:uid="{00000000-0005-0000-0000-000087460000}"/>
    <cellStyle name="Normal 7 6 2 2 2 3 2" xfId="18057" xr:uid="{00000000-0005-0000-0000-000088460000}"/>
    <cellStyle name="Normal 7 6 2 2 2 3 3" xfId="18058" xr:uid="{00000000-0005-0000-0000-000089460000}"/>
    <cellStyle name="Normal 7 6 2 2 2 4" xfId="18059" xr:uid="{00000000-0005-0000-0000-00008A460000}"/>
    <cellStyle name="Normal 7 6 2 2 2 5" xfId="18060" xr:uid="{00000000-0005-0000-0000-00008B460000}"/>
    <cellStyle name="Normal 7 6 2 2 3" xfId="18061" xr:uid="{00000000-0005-0000-0000-00008C460000}"/>
    <cellStyle name="Normal 7 6 2 2 3 2" xfId="18062" xr:uid="{00000000-0005-0000-0000-00008D460000}"/>
    <cellStyle name="Normal 7 6 2 2 3 2 2" xfId="18063" xr:uid="{00000000-0005-0000-0000-00008E460000}"/>
    <cellStyle name="Normal 7 6 2 2 3 2 3" xfId="18064" xr:uid="{00000000-0005-0000-0000-00008F460000}"/>
    <cellStyle name="Normal 7 6 2 2 3 3" xfId="18065" xr:uid="{00000000-0005-0000-0000-000090460000}"/>
    <cellStyle name="Normal 7 6 2 2 3 3 2" xfId="18066" xr:uid="{00000000-0005-0000-0000-000091460000}"/>
    <cellStyle name="Normal 7 6 2 2 3 3 3" xfId="18067" xr:uid="{00000000-0005-0000-0000-000092460000}"/>
    <cellStyle name="Normal 7 6 2 2 3 4" xfId="18068" xr:uid="{00000000-0005-0000-0000-000093460000}"/>
    <cellStyle name="Normal 7 6 2 2 3 5" xfId="18069" xr:uid="{00000000-0005-0000-0000-000094460000}"/>
    <cellStyle name="Normal 7 6 2 2 4" xfId="18070" xr:uid="{00000000-0005-0000-0000-000095460000}"/>
    <cellStyle name="Normal 7 6 2 2 4 2" xfId="18071" xr:uid="{00000000-0005-0000-0000-000096460000}"/>
    <cellStyle name="Normal 7 6 2 2 4 3" xfId="18072" xr:uid="{00000000-0005-0000-0000-000097460000}"/>
    <cellStyle name="Normal 7 6 2 2 5" xfId="18073" xr:uid="{00000000-0005-0000-0000-000098460000}"/>
    <cellStyle name="Normal 7 6 2 2 5 2" xfId="18074" xr:uid="{00000000-0005-0000-0000-000099460000}"/>
    <cellStyle name="Normal 7 6 2 2 5 3" xfId="18075" xr:uid="{00000000-0005-0000-0000-00009A460000}"/>
    <cellStyle name="Normal 7 6 2 2 6" xfId="18076" xr:uid="{00000000-0005-0000-0000-00009B460000}"/>
    <cellStyle name="Normal 7 6 2 2 7" xfId="18077" xr:uid="{00000000-0005-0000-0000-00009C460000}"/>
    <cellStyle name="Normal 7 6 2 3" xfId="18078" xr:uid="{00000000-0005-0000-0000-00009D460000}"/>
    <cellStyle name="Normal 7 6 2 3 2" xfId="18079" xr:uid="{00000000-0005-0000-0000-00009E460000}"/>
    <cellStyle name="Normal 7 6 2 3 2 2" xfId="18080" xr:uid="{00000000-0005-0000-0000-00009F460000}"/>
    <cellStyle name="Normal 7 6 2 3 2 3" xfId="18081" xr:uid="{00000000-0005-0000-0000-0000A0460000}"/>
    <cellStyle name="Normal 7 6 2 3 3" xfId="18082" xr:uid="{00000000-0005-0000-0000-0000A1460000}"/>
    <cellStyle name="Normal 7 6 2 3 3 2" xfId="18083" xr:uid="{00000000-0005-0000-0000-0000A2460000}"/>
    <cellStyle name="Normal 7 6 2 3 3 3" xfId="18084" xr:uid="{00000000-0005-0000-0000-0000A3460000}"/>
    <cellStyle name="Normal 7 6 2 3 4" xfId="18085" xr:uid="{00000000-0005-0000-0000-0000A4460000}"/>
    <cellStyle name="Normal 7 6 2 3 5" xfId="18086" xr:uid="{00000000-0005-0000-0000-0000A5460000}"/>
    <cellStyle name="Normal 7 6 2 4" xfId="18087" xr:uid="{00000000-0005-0000-0000-0000A6460000}"/>
    <cellStyle name="Normal 7 6 2 4 2" xfId="18088" xr:uid="{00000000-0005-0000-0000-0000A7460000}"/>
    <cellStyle name="Normal 7 6 2 4 2 2" xfId="18089" xr:uid="{00000000-0005-0000-0000-0000A8460000}"/>
    <cellStyle name="Normal 7 6 2 4 2 3" xfId="18090" xr:uid="{00000000-0005-0000-0000-0000A9460000}"/>
    <cellStyle name="Normal 7 6 2 4 3" xfId="18091" xr:uid="{00000000-0005-0000-0000-0000AA460000}"/>
    <cellStyle name="Normal 7 6 2 4 3 2" xfId="18092" xr:uid="{00000000-0005-0000-0000-0000AB460000}"/>
    <cellStyle name="Normal 7 6 2 4 3 3" xfId="18093" xr:uid="{00000000-0005-0000-0000-0000AC460000}"/>
    <cellStyle name="Normal 7 6 2 4 4" xfId="18094" xr:uid="{00000000-0005-0000-0000-0000AD460000}"/>
    <cellStyle name="Normal 7 6 2 4 5" xfId="18095" xr:uid="{00000000-0005-0000-0000-0000AE460000}"/>
    <cellStyle name="Normal 7 6 2 5" xfId="18096" xr:uid="{00000000-0005-0000-0000-0000AF460000}"/>
    <cellStyle name="Normal 7 6 2 5 2" xfId="18097" xr:uid="{00000000-0005-0000-0000-0000B0460000}"/>
    <cellStyle name="Normal 7 6 2 5 3" xfId="18098" xr:uid="{00000000-0005-0000-0000-0000B1460000}"/>
    <cellStyle name="Normal 7 6 2 6" xfId="18099" xr:uid="{00000000-0005-0000-0000-0000B2460000}"/>
    <cellStyle name="Normal 7 6 2 6 2" xfId="18100" xr:uid="{00000000-0005-0000-0000-0000B3460000}"/>
    <cellStyle name="Normal 7 6 2 6 3" xfId="18101" xr:uid="{00000000-0005-0000-0000-0000B4460000}"/>
    <cellStyle name="Normal 7 6 2 7" xfId="18102" xr:uid="{00000000-0005-0000-0000-0000B5460000}"/>
    <cellStyle name="Normal 7 6 2 7 2" xfId="18103" xr:uid="{00000000-0005-0000-0000-0000B6460000}"/>
    <cellStyle name="Normal 7 6 2 7 3" xfId="18104" xr:uid="{00000000-0005-0000-0000-0000B7460000}"/>
    <cellStyle name="Normal 7 6 2 7 3 2" xfId="18105" xr:uid="{00000000-0005-0000-0000-0000B8460000}"/>
    <cellStyle name="Normal 7 6 2 7 4" xfId="18106" xr:uid="{00000000-0005-0000-0000-0000B9460000}"/>
    <cellStyle name="Normal 7 6 2 8" xfId="18107" xr:uid="{00000000-0005-0000-0000-0000BA460000}"/>
    <cellStyle name="Normal 7 6 2 9" xfId="18108" xr:uid="{00000000-0005-0000-0000-0000BB460000}"/>
    <cellStyle name="Normal 7 6 3" xfId="18109" xr:uid="{00000000-0005-0000-0000-0000BC460000}"/>
    <cellStyle name="Normal 7 6 3 2" xfId="18110" xr:uid="{00000000-0005-0000-0000-0000BD460000}"/>
    <cellStyle name="Normal 7 6 3 2 2" xfId="18111" xr:uid="{00000000-0005-0000-0000-0000BE460000}"/>
    <cellStyle name="Normal 7 6 3 2 2 2" xfId="18112" xr:uid="{00000000-0005-0000-0000-0000BF460000}"/>
    <cellStyle name="Normal 7 6 3 2 2 3" xfId="18113" xr:uid="{00000000-0005-0000-0000-0000C0460000}"/>
    <cellStyle name="Normal 7 6 3 2 3" xfId="18114" xr:uid="{00000000-0005-0000-0000-0000C1460000}"/>
    <cellStyle name="Normal 7 6 3 2 3 2" xfId="18115" xr:uid="{00000000-0005-0000-0000-0000C2460000}"/>
    <cellStyle name="Normal 7 6 3 2 3 3" xfId="18116" xr:uid="{00000000-0005-0000-0000-0000C3460000}"/>
    <cellStyle name="Normal 7 6 3 2 4" xfId="18117" xr:uid="{00000000-0005-0000-0000-0000C4460000}"/>
    <cellStyle name="Normal 7 6 3 2 5" xfId="18118" xr:uid="{00000000-0005-0000-0000-0000C5460000}"/>
    <cellStyle name="Normal 7 6 3 3" xfId="18119" xr:uid="{00000000-0005-0000-0000-0000C6460000}"/>
    <cellStyle name="Normal 7 6 3 3 2" xfId="18120" xr:uid="{00000000-0005-0000-0000-0000C7460000}"/>
    <cellStyle name="Normal 7 6 3 3 2 2" xfId="18121" xr:uid="{00000000-0005-0000-0000-0000C8460000}"/>
    <cellStyle name="Normal 7 6 3 3 2 3" xfId="18122" xr:uid="{00000000-0005-0000-0000-0000C9460000}"/>
    <cellStyle name="Normal 7 6 3 3 3" xfId="18123" xr:uid="{00000000-0005-0000-0000-0000CA460000}"/>
    <cellStyle name="Normal 7 6 3 3 3 2" xfId="18124" xr:uid="{00000000-0005-0000-0000-0000CB460000}"/>
    <cellStyle name="Normal 7 6 3 3 3 3" xfId="18125" xr:uid="{00000000-0005-0000-0000-0000CC460000}"/>
    <cellStyle name="Normal 7 6 3 3 4" xfId="18126" xr:uid="{00000000-0005-0000-0000-0000CD460000}"/>
    <cellStyle name="Normal 7 6 3 3 5" xfId="18127" xr:uid="{00000000-0005-0000-0000-0000CE460000}"/>
    <cellStyle name="Normal 7 6 3 4" xfId="18128" xr:uid="{00000000-0005-0000-0000-0000CF460000}"/>
    <cellStyle name="Normal 7 6 3 4 2" xfId="18129" xr:uid="{00000000-0005-0000-0000-0000D0460000}"/>
    <cellStyle name="Normal 7 6 3 4 3" xfId="18130" xr:uid="{00000000-0005-0000-0000-0000D1460000}"/>
    <cellStyle name="Normal 7 6 3 5" xfId="18131" xr:uid="{00000000-0005-0000-0000-0000D2460000}"/>
    <cellStyle name="Normal 7 6 3 5 2" xfId="18132" xr:uid="{00000000-0005-0000-0000-0000D3460000}"/>
    <cellStyle name="Normal 7 6 3 5 3" xfId="18133" xr:uid="{00000000-0005-0000-0000-0000D4460000}"/>
    <cellStyle name="Normal 7 6 3 6" xfId="18134" xr:uid="{00000000-0005-0000-0000-0000D5460000}"/>
    <cellStyle name="Normal 7 6 3 7" xfId="18135" xr:uid="{00000000-0005-0000-0000-0000D6460000}"/>
    <cellStyle name="Normal 7 6 4" xfId="18136" xr:uid="{00000000-0005-0000-0000-0000D7460000}"/>
    <cellStyle name="Normal 7 6 4 2" xfId="18137" xr:uid="{00000000-0005-0000-0000-0000D8460000}"/>
    <cellStyle name="Normal 7 6 4 2 2" xfId="18138" xr:uid="{00000000-0005-0000-0000-0000D9460000}"/>
    <cellStyle name="Normal 7 6 4 2 2 2" xfId="18139" xr:uid="{00000000-0005-0000-0000-0000DA460000}"/>
    <cellStyle name="Normal 7 6 4 2 2 3" xfId="18140" xr:uid="{00000000-0005-0000-0000-0000DB460000}"/>
    <cellStyle name="Normal 7 6 4 2 3" xfId="18141" xr:uid="{00000000-0005-0000-0000-0000DC460000}"/>
    <cellStyle name="Normal 7 6 4 2 3 2" xfId="18142" xr:uid="{00000000-0005-0000-0000-0000DD460000}"/>
    <cellStyle name="Normal 7 6 4 2 3 3" xfId="18143" xr:uid="{00000000-0005-0000-0000-0000DE460000}"/>
    <cellStyle name="Normal 7 6 4 2 4" xfId="18144" xr:uid="{00000000-0005-0000-0000-0000DF460000}"/>
    <cellStyle name="Normal 7 6 4 2 5" xfId="18145" xr:uid="{00000000-0005-0000-0000-0000E0460000}"/>
    <cellStyle name="Normal 7 6 4 3" xfId="18146" xr:uid="{00000000-0005-0000-0000-0000E1460000}"/>
    <cellStyle name="Normal 7 6 4 3 2" xfId="18147" xr:uid="{00000000-0005-0000-0000-0000E2460000}"/>
    <cellStyle name="Normal 7 6 4 3 2 2" xfId="18148" xr:uid="{00000000-0005-0000-0000-0000E3460000}"/>
    <cellStyle name="Normal 7 6 4 3 2 3" xfId="18149" xr:uid="{00000000-0005-0000-0000-0000E4460000}"/>
    <cellStyle name="Normal 7 6 4 3 3" xfId="18150" xr:uid="{00000000-0005-0000-0000-0000E5460000}"/>
    <cellStyle name="Normal 7 6 4 3 4" xfId="18151" xr:uid="{00000000-0005-0000-0000-0000E6460000}"/>
    <cellStyle name="Normal 7 6 4 4" xfId="18152" xr:uid="{00000000-0005-0000-0000-0000E7460000}"/>
    <cellStyle name="Normal 7 6 4 4 2" xfId="18153" xr:uid="{00000000-0005-0000-0000-0000E8460000}"/>
    <cellStyle name="Normal 7 6 4 4 3" xfId="18154" xr:uid="{00000000-0005-0000-0000-0000E9460000}"/>
    <cellStyle name="Normal 7 6 4 5" xfId="18155" xr:uid="{00000000-0005-0000-0000-0000EA460000}"/>
    <cellStyle name="Normal 7 6 4 5 2" xfId="18156" xr:uid="{00000000-0005-0000-0000-0000EB460000}"/>
    <cellStyle name="Normal 7 6 4 5 3" xfId="18157" xr:uid="{00000000-0005-0000-0000-0000EC460000}"/>
    <cellStyle name="Normal 7 6 4 6" xfId="18158" xr:uid="{00000000-0005-0000-0000-0000ED460000}"/>
    <cellStyle name="Normal 7 6 4 7" xfId="18159" xr:uid="{00000000-0005-0000-0000-0000EE460000}"/>
    <cellStyle name="Normal 7 6 5" xfId="18160" xr:uid="{00000000-0005-0000-0000-0000EF460000}"/>
    <cellStyle name="Normal 7 6 5 2" xfId="18161" xr:uid="{00000000-0005-0000-0000-0000F0460000}"/>
    <cellStyle name="Normal 7 6 5 2 2" xfId="18162" xr:uid="{00000000-0005-0000-0000-0000F1460000}"/>
    <cellStyle name="Normal 7 6 5 2 3" xfId="18163" xr:uid="{00000000-0005-0000-0000-0000F2460000}"/>
    <cellStyle name="Normal 7 6 5 3" xfId="18164" xr:uid="{00000000-0005-0000-0000-0000F3460000}"/>
    <cellStyle name="Normal 7 6 5 3 2" xfId="18165" xr:uid="{00000000-0005-0000-0000-0000F4460000}"/>
    <cellStyle name="Normal 7 6 5 3 3" xfId="18166" xr:uid="{00000000-0005-0000-0000-0000F5460000}"/>
    <cellStyle name="Normal 7 6 5 4" xfId="18167" xr:uid="{00000000-0005-0000-0000-0000F6460000}"/>
    <cellStyle name="Normal 7 6 5 5" xfId="18168" xr:uid="{00000000-0005-0000-0000-0000F7460000}"/>
    <cellStyle name="Normal 7 6 6" xfId="18169" xr:uid="{00000000-0005-0000-0000-0000F8460000}"/>
    <cellStyle name="Normal 7 6 6 2" xfId="18170" xr:uid="{00000000-0005-0000-0000-0000F9460000}"/>
    <cellStyle name="Normal 7 6 6 2 2" xfId="18171" xr:uid="{00000000-0005-0000-0000-0000FA460000}"/>
    <cellStyle name="Normal 7 6 6 2 3" xfId="18172" xr:uid="{00000000-0005-0000-0000-0000FB460000}"/>
    <cellStyle name="Normal 7 6 6 3" xfId="18173" xr:uid="{00000000-0005-0000-0000-0000FC460000}"/>
    <cellStyle name="Normal 7 6 6 3 2" xfId="18174" xr:uid="{00000000-0005-0000-0000-0000FD460000}"/>
    <cellStyle name="Normal 7 6 6 3 3" xfId="18175" xr:uid="{00000000-0005-0000-0000-0000FE460000}"/>
    <cellStyle name="Normal 7 6 6 4" xfId="18176" xr:uid="{00000000-0005-0000-0000-0000FF460000}"/>
    <cellStyle name="Normal 7 6 6 5" xfId="18177" xr:uid="{00000000-0005-0000-0000-000000470000}"/>
    <cellStyle name="Normal 7 6 7" xfId="18178" xr:uid="{00000000-0005-0000-0000-000001470000}"/>
    <cellStyle name="Normal 7 6 7 2" xfId="18179" xr:uid="{00000000-0005-0000-0000-000002470000}"/>
    <cellStyle name="Normal 7 6 7 2 2" xfId="18180" xr:uid="{00000000-0005-0000-0000-000003470000}"/>
    <cellStyle name="Normal 7 6 7 2 3" xfId="18181" xr:uid="{00000000-0005-0000-0000-000004470000}"/>
    <cellStyle name="Normal 7 6 7 3" xfId="18182" xr:uid="{00000000-0005-0000-0000-000005470000}"/>
    <cellStyle name="Normal 7 6 7 4" xfId="18183" xr:uid="{00000000-0005-0000-0000-000006470000}"/>
    <cellStyle name="Normal 7 6 8" xfId="18184" xr:uid="{00000000-0005-0000-0000-000007470000}"/>
    <cellStyle name="Normal 7 6 8 2" xfId="18185" xr:uid="{00000000-0005-0000-0000-000008470000}"/>
    <cellStyle name="Normal 7 6 8 3" xfId="18186" xr:uid="{00000000-0005-0000-0000-000009470000}"/>
    <cellStyle name="Normal 7 6 9" xfId="18187" xr:uid="{00000000-0005-0000-0000-00000A470000}"/>
    <cellStyle name="Normal 7 6 9 2" xfId="18188" xr:uid="{00000000-0005-0000-0000-00000B470000}"/>
    <cellStyle name="Normal 7 6 9 3" xfId="18189" xr:uid="{00000000-0005-0000-0000-00000C470000}"/>
    <cellStyle name="Normal 7 7" xfId="18190" xr:uid="{00000000-0005-0000-0000-00000D470000}"/>
    <cellStyle name="Normal 7 7 10" xfId="18191" xr:uid="{00000000-0005-0000-0000-00000E470000}"/>
    <cellStyle name="Normal 7 7 10 2" xfId="18192" xr:uid="{00000000-0005-0000-0000-00000F470000}"/>
    <cellStyle name="Normal 7 7 10 3" xfId="18193" xr:uid="{00000000-0005-0000-0000-000010470000}"/>
    <cellStyle name="Normal 7 7 10 3 2" xfId="18194" xr:uid="{00000000-0005-0000-0000-000011470000}"/>
    <cellStyle name="Normal 7 7 10 4" xfId="18195" xr:uid="{00000000-0005-0000-0000-000012470000}"/>
    <cellStyle name="Normal 7 7 11" xfId="18196" xr:uid="{00000000-0005-0000-0000-000013470000}"/>
    <cellStyle name="Normal 7 7 11 2" xfId="18197" xr:uid="{00000000-0005-0000-0000-000014470000}"/>
    <cellStyle name="Normal 7 7 11 2 2" xfId="18198" xr:uid="{00000000-0005-0000-0000-000015470000}"/>
    <cellStyle name="Normal 7 7 11 3" xfId="18199" xr:uid="{00000000-0005-0000-0000-000016470000}"/>
    <cellStyle name="Normal 7 7 12" xfId="18200" xr:uid="{00000000-0005-0000-0000-000017470000}"/>
    <cellStyle name="Normal 7 7 13" xfId="18201" xr:uid="{00000000-0005-0000-0000-000018470000}"/>
    <cellStyle name="Normal 7 7 2" xfId="18202" xr:uid="{00000000-0005-0000-0000-000019470000}"/>
    <cellStyle name="Normal 7 7 2 2" xfId="18203" xr:uid="{00000000-0005-0000-0000-00001A470000}"/>
    <cellStyle name="Normal 7 7 2 2 2" xfId="18204" xr:uid="{00000000-0005-0000-0000-00001B470000}"/>
    <cellStyle name="Normal 7 7 2 2 2 2" xfId="18205" xr:uid="{00000000-0005-0000-0000-00001C470000}"/>
    <cellStyle name="Normal 7 7 2 2 2 2 2" xfId="18206" xr:uid="{00000000-0005-0000-0000-00001D470000}"/>
    <cellStyle name="Normal 7 7 2 2 2 2 3" xfId="18207" xr:uid="{00000000-0005-0000-0000-00001E470000}"/>
    <cellStyle name="Normal 7 7 2 2 2 3" xfId="18208" xr:uid="{00000000-0005-0000-0000-00001F470000}"/>
    <cellStyle name="Normal 7 7 2 2 2 3 2" xfId="18209" xr:uid="{00000000-0005-0000-0000-000020470000}"/>
    <cellStyle name="Normal 7 7 2 2 2 3 3" xfId="18210" xr:uid="{00000000-0005-0000-0000-000021470000}"/>
    <cellStyle name="Normal 7 7 2 2 2 4" xfId="18211" xr:uid="{00000000-0005-0000-0000-000022470000}"/>
    <cellStyle name="Normal 7 7 2 2 2 5" xfId="18212" xr:uid="{00000000-0005-0000-0000-000023470000}"/>
    <cellStyle name="Normal 7 7 2 2 3" xfId="18213" xr:uid="{00000000-0005-0000-0000-000024470000}"/>
    <cellStyle name="Normal 7 7 2 2 3 2" xfId="18214" xr:uid="{00000000-0005-0000-0000-000025470000}"/>
    <cellStyle name="Normal 7 7 2 2 3 2 2" xfId="18215" xr:uid="{00000000-0005-0000-0000-000026470000}"/>
    <cellStyle name="Normal 7 7 2 2 3 2 3" xfId="18216" xr:uid="{00000000-0005-0000-0000-000027470000}"/>
    <cellStyle name="Normal 7 7 2 2 3 3" xfId="18217" xr:uid="{00000000-0005-0000-0000-000028470000}"/>
    <cellStyle name="Normal 7 7 2 2 3 3 2" xfId="18218" xr:uid="{00000000-0005-0000-0000-000029470000}"/>
    <cellStyle name="Normal 7 7 2 2 3 3 3" xfId="18219" xr:uid="{00000000-0005-0000-0000-00002A470000}"/>
    <cellStyle name="Normal 7 7 2 2 3 4" xfId="18220" xr:uid="{00000000-0005-0000-0000-00002B470000}"/>
    <cellStyle name="Normal 7 7 2 2 3 5" xfId="18221" xr:uid="{00000000-0005-0000-0000-00002C470000}"/>
    <cellStyle name="Normal 7 7 2 2 4" xfId="18222" xr:uid="{00000000-0005-0000-0000-00002D470000}"/>
    <cellStyle name="Normal 7 7 2 2 4 2" xfId="18223" xr:uid="{00000000-0005-0000-0000-00002E470000}"/>
    <cellStyle name="Normal 7 7 2 2 4 3" xfId="18224" xr:uid="{00000000-0005-0000-0000-00002F470000}"/>
    <cellStyle name="Normal 7 7 2 2 5" xfId="18225" xr:uid="{00000000-0005-0000-0000-000030470000}"/>
    <cellStyle name="Normal 7 7 2 2 5 2" xfId="18226" xr:uid="{00000000-0005-0000-0000-000031470000}"/>
    <cellStyle name="Normal 7 7 2 2 5 3" xfId="18227" xr:uid="{00000000-0005-0000-0000-000032470000}"/>
    <cellStyle name="Normal 7 7 2 2 6" xfId="18228" xr:uid="{00000000-0005-0000-0000-000033470000}"/>
    <cellStyle name="Normal 7 7 2 2 7" xfId="18229" xr:uid="{00000000-0005-0000-0000-000034470000}"/>
    <cellStyle name="Normal 7 7 2 3" xfId="18230" xr:uid="{00000000-0005-0000-0000-000035470000}"/>
    <cellStyle name="Normal 7 7 2 3 2" xfId="18231" xr:uid="{00000000-0005-0000-0000-000036470000}"/>
    <cellStyle name="Normal 7 7 2 3 2 2" xfId="18232" xr:uid="{00000000-0005-0000-0000-000037470000}"/>
    <cellStyle name="Normal 7 7 2 3 2 3" xfId="18233" xr:uid="{00000000-0005-0000-0000-000038470000}"/>
    <cellStyle name="Normal 7 7 2 3 3" xfId="18234" xr:uid="{00000000-0005-0000-0000-000039470000}"/>
    <cellStyle name="Normal 7 7 2 3 3 2" xfId="18235" xr:uid="{00000000-0005-0000-0000-00003A470000}"/>
    <cellStyle name="Normal 7 7 2 3 3 3" xfId="18236" xr:uid="{00000000-0005-0000-0000-00003B470000}"/>
    <cellStyle name="Normal 7 7 2 3 4" xfId="18237" xr:uid="{00000000-0005-0000-0000-00003C470000}"/>
    <cellStyle name="Normal 7 7 2 3 5" xfId="18238" xr:uid="{00000000-0005-0000-0000-00003D470000}"/>
    <cellStyle name="Normal 7 7 2 4" xfId="18239" xr:uid="{00000000-0005-0000-0000-00003E470000}"/>
    <cellStyle name="Normal 7 7 2 4 2" xfId="18240" xr:uid="{00000000-0005-0000-0000-00003F470000}"/>
    <cellStyle name="Normal 7 7 2 4 2 2" xfId="18241" xr:uid="{00000000-0005-0000-0000-000040470000}"/>
    <cellStyle name="Normal 7 7 2 4 2 3" xfId="18242" xr:uid="{00000000-0005-0000-0000-000041470000}"/>
    <cellStyle name="Normal 7 7 2 4 3" xfId="18243" xr:uid="{00000000-0005-0000-0000-000042470000}"/>
    <cellStyle name="Normal 7 7 2 4 3 2" xfId="18244" xr:uid="{00000000-0005-0000-0000-000043470000}"/>
    <cellStyle name="Normal 7 7 2 4 3 3" xfId="18245" xr:uid="{00000000-0005-0000-0000-000044470000}"/>
    <cellStyle name="Normal 7 7 2 4 4" xfId="18246" xr:uid="{00000000-0005-0000-0000-000045470000}"/>
    <cellStyle name="Normal 7 7 2 4 5" xfId="18247" xr:uid="{00000000-0005-0000-0000-000046470000}"/>
    <cellStyle name="Normal 7 7 2 5" xfId="18248" xr:uid="{00000000-0005-0000-0000-000047470000}"/>
    <cellStyle name="Normal 7 7 2 5 2" xfId="18249" xr:uid="{00000000-0005-0000-0000-000048470000}"/>
    <cellStyle name="Normal 7 7 2 5 3" xfId="18250" xr:uid="{00000000-0005-0000-0000-000049470000}"/>
    <cellStyle name="Normal 7 7 2 6" xfId="18251" xr:uid="{00000000-0005-0000-0000-00004A470000}"/>
    <cellStyle name="Normal 7 7 2 6 2" xfId="18252" xr:uid="{00000000-0005-0000-0000-00004B470000}"/>
    <cellStyle name="Normal 7 7 2 6 3" xfId="18253" xr:uid="{00000000-0005-0000-0000-00004C470000}"/>
    <cellStyle name="Normal 7 7 2 7" xfId="18254" xr:uid="{00000000-0005-0000-0000-00004D470000}"/>
    <cellStyle name="Normal 7 7 2 7 2" xfId="18255" xr:uid="{00000000-0005-0000-0000-00004E470000}"/>
    <cellStyle name="Normal 7 7 2 7 3" xfId="18256" xr:uid="{00000000-0005-0000-0000-00004F470000}"/>
    <cellStyle name="Normal 7 7 2 7 3 2" xfId="18257" xr:uid="{00000000-0005-0000-0000-000050470000}"/>
    <cellStyle name="Normal 7 7 2 7 4" xfId="18258" xr:uid="{00000000-0005-0000-0000-000051470000}"/>
    <cellStyle name="Normal 7 7 2 8" xfId="18259" xr:uid="{00000000-0005-0000-0000-000052470000}"/>
    <cellStyle name="Normal 7 7 2 9" xfId="18260" xr:uid="{00000000-0005-0000-0000-000053470000}"/>
    <cellStyle name="Normal 7 7 3" xfId="18261" xr:uid="{00000000-0005-0000-0000-000054470000}"/>
    <cellStyle name="Normal 7 7 3 2" xfId="18262" xr:uid="{00000000-0005-0000-0000-000055470000}"/>
    <cellStyle name="Normal 7 7 3 2 2" xfId="18263" xr:uid="{00000000-0005-0000-0000-000056470000}"/>
    <cellStyle name="Normal 7 7 3 2 2 2" xfId="18264" xr:uid="{00000000-0005-0000-0000-000057470000}"/>
    <cellStyle name="Normal 7 7 3 2 2 3" xfId="18265" xr:uid="{00000000-0005-0000-0000-000058470000}"/>
    <cellStyle name="Normal 7 7 3 2 3" xfId="18266" xr:uid="{00000000-0005-0000-0000-000059470000}"/>
    <cellStyle name="Normal 7 7 3 2 3 2" xfId="18267" xr:uid="{00000000-0005-0000-0000-00005A470000}"/>
    <cellStyle name="Normal 7 7 3 2 3 3" xfId="18268" xr:uid="{00000000-0005-0000-0000-00005B470000}"/>
    <cellStyle name="Normal 7 7 3 2 4" xfId="18269" xr:uid="{00000000-0005-0000-0000-00005C470000}"/>
    <cellStyle name="Normal 7 7 3 2 5" xfId="18270" xr:uid="{00000000-0005-0000-0000-00005D470000}"/>
    <cellStyle name="Normal 7 7 3 3" xfId="18271" xr:uid="{00000000-0005-0000-0000-00005E470000}"/>
    <cellStyle name="Normal 7 7 3 3 2" xfId="18272" xr:uid="{00000000-0005-0000-0000-00005F470000}"/>
    <cellStyle name="Normal 7 7 3 3 2 2" xfId="18273" xr:uid="{00000000-0005-0000-0000-000060470000}"/>
    <cellStyle name="Normal 7 7 3 3 2 3" xfId="18274" xr:uid="{00000000-0005-0000-0000-000061470000}"/>
    <cellStyle name="Normal 7 7 3 3 3" xfId="18275" xr:uid="{00000000-0005-0000-0000-000062470000}"/>
    <cellStyle name="Normal 7 7 3 3 3 2" xfId="18276" xr:uid="{00000000-0005-0000-0000-000063470000}"/>
    <cellStyle name="Normal 7 7 3 3 3 3" xfId="18277" xr:uid="{00000000-0005-0000-0000-000064470000}"/>
    <cellStyle name="Normal 7 7 3 3 4" xfId="18278" xr:uid="{00000000-0005-0000-0000-000065470000}"/>
    <cellStyle name="Normal 7 7 3 3 5" xfId="18279" xr:uid="{00000000-0005-0000-0000-000066470000}"/>
    <cellStyle name="Normal 7 7 3 4" xfId="18280" xr:uid="{00000000-0005-0000-0000-000067470000}"/>
    <cellStyle name="Normal 7 7 3 4 2" xfId="18281" xr:uid="{00000000-0005-0000-0000-000068470000}"/>
    <cellStyle name="Normal 7 7 3 4 3" xfId="18282" xr:uid="{00000000-0005-0000-0000-000069470000}"/>
    <cellStyle name="Normal 7 7 3 5" xfId="18283" xr:uid="{00000000-0005-0000-0000-00006A470000}"/>
    <cellStyle name="Normal 7 7 3 5 2" xfId="18284" xr:uid="{00000000-0005-0000-0000-00006B470000}"/>
    <cellStyle name="Normal 7 7 3 5 3" xfId="18285" xr:uid="{00000000-0005-0000-0000-00006C470000}"/>
    <cellStyle name="Normal 7 7 3 6" xfId="18286" xr:uid="{00000000-0005-0000-0000-00006D470000}"/>
    <cellStyle name="Normal 7 7 3 7" xfId="18287" xr:uid="{00000000-0005-0000-0000-00006E470000}"/>
    <cellStyle name="Normal 7 7 4" xfId="18288" xr:uid="{00000000-0005-0000-0000-00006F470000}"/>
    <cellStyle name="Normal 7 7 4 2" xfId="18289" xr:uid="{00000000-0005-0000-0000-000070470000}"/>
    <cellStyle name="Normal 7 7 4 2 2" xfId="18290" xr:uid="{00000000-0005-0000-0000-000071470000}"/>
    <cellStyle name="Normal 7 7 4 2 2 2" xfId="18291" xr:uid="{00000000-0005-0000-0000-000072470000}"/>
    <cellStyle name="Normal 7 7 4 2 2 3" xfId="18292" xr:uid="{00000000-0005-0000-0000-000073470000}"/>
    <cellStyle name="Normal 7 7 4 2 3" xfId="18293" xr:uid="{00000000-0005-0000-0000-000074470000}"/>
    <cellStyle name="Normal 7 7 4 2 3 2" xfId="18294" xr:uid="{00000000-0005-0000-0000-000075470000}"/>
    <cellStyle name="Normal 7 7 4 2 3 3" xfId="18295" xr:uid="{00000000-0005-0000-0000-000076470000}"/>
    <cellStyle name="Normal 7 7 4 2 4" xfId="18296" xr:uid="{00000000-0005-0000-0000-000077470000}"/>
    <cellStyle name="Normal 7 7 4 2 5" xfId="18297" xr:uid="{00000000-0005-0000-0000-000078470000}"/>
    <cellStyle name="Normal 7 7 4 3" xfId="18298" xr:uid="{00000000-0005-0000-0000-000079470000}"/>
    <cellStyle name="Normal 7 7 4 3 2" xfId="18299" xr:uid="{00000000-0005-0000-0000-00007A470000}"/>
    <cellStyle name="Normal 7 7 4 3 2 2" xfId="18300" xr:uid="{00000000-0005-0000-0000-00007B470000}"/>
    <cellStyle name="Normal 7 7 4 3 2 3" xfId="18301" xr:uid="{00000000-0005-0000-0000-00007C470000}"/>
    <cellStyle name="Normal 7 7 4 3 3" xfId="18302" xr:uid="{00000000-0005-0000-0000-00007D470000}"/>
    <cellStyle name="Normal 7 7 4 3 4" xfId="18303" xr:uid="{00000000-0005-0000-0000-00007E470000}"/>
    <cellStyle name="Normal 7 7 4 4" xfId="18304" xr:uid="{00000000-0005-0000-0000-00007F470000}"/>
    <cellStyle name="Normal 7 7 4 4 2" xfId="18305" xr:uid="{00000000-0005-0000-0000-000080470000}"/>
    <cellStyle name="Normal 7 7 4 4 3" xfId="18306" xr:uid="{00000000-0005-0000-0000-000081470000}"/>
    <cellStyle name="Normal 7 7 4 5" xfId="18307" xr:uid="{00000000-0005-0000-0000-000082470000}"/>
    <cellStyle name="Normal 7 7 4 5 2" xfId="18308" xr:uid="{00000000-0005-0000-0000-000083470000}"/>
    <cellStyle name="Normal 7 7 4 5 3" xfId="18309" xr:uid="{00000000-0005-0000-0000-000084470000}"/>
    <cellStyle name="Normal 7 7 4 6" xfId="18310" xr:uid="{00000000-0005-0000-0000-000085470000}"/>
    <cellStyle name="Normal 7 7 4 7" xfId="18311" xr:uid="{00000000-0005-0000-0000-000086470000}"/>
    <cellStyle name="Normal 7 7 5" xfId="18312" xr:uid="{00000000-0005-0000-0000-000087470000}"/>
    <cellStyle name="Normal 7 7 5 2" xfId="18313" xr:uid="{00000000-0005-0000-0000-000088470000}"/>
    <cellStyle name="Normal 7 7 5 2 2" xfId="18314" xr:uid="{00000000-0005-0000-0000-000089470000}"/>
    <cellStyle name="Normal 7 7 5 2 3" xfId="18315" xr:uid="{00000000-0005-0000-0000-00008A470000}"/>
    <cellStyle name="Normal 7 7 5 3" xfId="18316" xr:uid="{00000000-0005-0000-0000-00008B470000}"/>
    <cellStyle name="Normal 7 7 5 3 2" xfId="18317" xr:uid="{00000000-0005-0000-0000-00008C470000}"/>
    <cellStyle name="Normal 7 7 5 3 3" xfId="18318" xr:uid="{00000000-0005-0000-0000-00008D470000}"/>
    <cellStyle name="Normal 7 7 5 4" xfId="18319" xr:uid="{00000000-0005-0000-0000-00008E470000}"/>
    <cellStyle name="Normal 7 7 5 5" xfId="18320" xr:uid="{00000000-0005-0000-0000-00008F470000}"/>
    <cellStyle name="Normal 7 7 6" xfId="18321" xr:uid="{00000000-0005-0000-0000-000090470000}"/>
    <cellStyle name="Normal 7 7 6 2" xfId="18322" xr:uid="{00000000-0005-0000-0000-000091470000}"/>
    <cellStyle name="Normal 7 7 6 2 2" xfId="18323" xr:uid="{00000000-0005-0000-0000-000092470000}"/>
    <cellStyle name="Normal 7 7 6 2 3" xfId="18324" xr:uid="{00000000-0005-0000-0000-000093470000}"/>
    <cellStyle name="Normal 7 7 6 3" xfId="18325" xr:uid="{00000000-0005-0000-0000-000094470000}"/>
    <cellStyle name="Normal 7 7 6 3 2" xfId="18326" xr:uid="{00000000-0005-0000-0000-000095470000}"/>
    <cellStyle name="Normal 7 7 6 3 3" xfId="18327" xr:uid="{00000000-0005-0000-0000-000096470000}"/>
    <cellStyle name="Normal 7 7 6 4" xfId="18328" xr:uid="{00000000-0005-0000-0000-000097470000}"/>
    <cellStyle name="Normal 7 7 6 5" xfId="18329" xr:uid="{00000000-0005-0000-0000-000098470000}"/>
    <cellStyle name="Normal 7 7 7" xfId="18330" xr:uid="{00000000-0005-0000-0000-000099470000}"/>
    <cellStyle name="Normal 7 7 7 2" xfId="18331" xr:uid="{00000000-0005-0000-0000-00009A470000}"/>
    <cellStyle name="Normal 7 7 7 2 2" xfId="18332" xr:uid="{00000000-0005-0000-0000-00009B470000}"/>
    <cellStyle name="Normal 7 7 7 2 3" xfId="18333" xr:uid="{00000000-0005-0000-0000-00009C470000}"/>
    <cellStyle name="Normal 7 7 7 3" xfId="18334" xr:uid="{00000000-0005-0000-0000-00009D470000}"/>
    <cellStyle name="Normal 7 7 7 4" xfId="18335" xr:uid="{00000000-0005-0000-0000-00009E470000}"/>
    <cellStyle name="Normal 7 7 8" xfId="18336" xr:uid="{00000000-0005-0000-0000-00009F470000}"/>
    <cellStyle name="Normal 7 7 8 2" xfId="18337" xr:uid="{00000000-0005-0000-0000-0000A0470000}"/>
    <cellStyle name="Normal 7 7 8 3" xfId="18338" xr:uid="{00000000-0005-0000-0000-0000A1470000}"/>
    <cellStyle name="Normal 7 7 9" xfId="18339" xr:uid="{00000000-0005-0000-0000-0000A2470000}"/>
    <cellStyle name="Normal 7 7 9 2" xfId="18340" xr:uid="{00000000-0005-0000-0000-0000A3470000}"/>
    <cellStyle name="Normal 7 7 9 3" xfId="18341" xr:uid="{00000000-0005-0000-0000-0000A4470000}"/>
    <cellStyle name="Normal 7 8" xfId="18342" xr:uid="{00000000-0005-0000-0000-0000A5470000}"/>
    <cellStyle name="Normal 7 8 2" xfId="18343" xr:uid="{00000000-0005-0000-0000-0000A6470000}"/>
    <cellStyle name="Normal 7 8 2 2" xfId="18344" xr:uid="{00000000-0005-0000-0000-0000A7470000}"/>
    <cellStyle name="Normal 7 8 2 2 2" xfId="18345" xr:uid="{00000000-0005-0000-0000-0000A8470000}"/>
    <cellStyle name="Normal 7 8 2 2 2 2" xfId="18346" xr:uid="{00000000-0005-0000-0000-0000A9470000}"/>
    <cellStyle name="Normal 7 8 2 2 2 3" xfId="18347" xr:uid="{00000000-0005-0000-0000-0000AA470000}"/>
    <cellStyle name="Normal 7 8 2 2 3" xfId="18348" xr:uid="{00000000-0005-0000-0000-0000AB470000}"/>
    <cellStyle name="Normal 7 8 2 2 3 2" xfId="18349" xr:uid="{00000000-0005-0000-0000-0000AC470000}"/>
    <cellStyle name="Normal 7 8 2 2 3 3" xfId="18350" xr:uid="{00000000-0005-0000-0000-0000AD470000}"/>
    <cellStyle name="Normal 7 8 2 2 4" xfId="18351" xr:uid="{00000000-0005-0000-0000-0000AE470000}"/>
    <cellStyle name="Normal 7 8 2 2 5" xfId="18352" xr:uid="{00000000-0005-0000-0000-0000AF470000}"/>
    <cellStyle name="Normal 7 8 2 3" xfId="18353" xr:uid="{00000000-0005-0000-0000-0000B0470000}"/>
    <cellStyle name="Normal 7 8 2 3 2" xfId="18354" xr:uid="{00000000-0005-0000-0000-0000B1470000}"/>
    <cellStyle name="Normal 7 8 2 3 2 2" xfId="18355" xr:uid="{00000000-0005-0000-0000-0000B2470000}"/>
    <cellStyle name="Normal 7 8 2 3 2 3" xfId="18356" xr:uid="{00000000-0005-0000-0000-0000B3470000}"/>
    <cellStyle name="Normal 7 8 2 3 3" xfId="18357" xr:uid="{00000000-0005-0000-0000-0000B4470000}"/>
    <cellStyle name="Normal 7 8 2 3 3 2" xfId="18358" xr:uid="{00000000-0005-0000-0000-0000B5470000}"/>
    <cellStyle name="Normal 7 8 2 3 3 3" xfId="18359" xr:uid="{00000000-0005-0000-0000-0000B6470000}"/>
    <cellStyle name="Normal 7 8 2 3 4" xfId="18360" xr:uid="{00000000-0005-0000-0000-0000B7470000}"/>
    <cellStyle name="Normal 7 8 2 3 5" xfId="18361" xr:uid="{00000000-0005-0000-0000-0000B8470000}"/>
    <cellStyle name="Normal 7 8 2 4" xfId="18362" xr:uid="{00000000-0005-0000-0000-0000B9470000}"/>
    <cellStyle name="Normal 7 8 2 4 2" xfId="18363" xr:uid="{00000000-0005-0000-0000-0000BA470000}"/>
    <cellStyle name="Normal 7 8 2 4 3" xfId="18364" xr:uid="{00000000-0005-0000-0000-0000BB470000}"/>
    <cellStyle name="Normal 7 8 2 5" xfId="18365" xr:uid="{00000000-0005-0000-0000-0000BC470000}"/>
    <cellStyle name="Normal 7 8 2 5 2" xfId="18366" xr:uid="{00000000-0005-0000-0000-0000BD470000}"/>
    <cellStyle name="Normal 7 8 2 5 3" xfId="18367" xr:uid="{00000000-0005-0000-0000-0000BE470000}"/>
    <cellStyle name="Normal 7 8 2 6" xfId="18368" xr:uid="{00000000-0005-0000-0000-0000BF470000}"/>
    <cellStyle name="Normal 7 8 2 7" xfId="18369" xr:uid="{00000000-0005-0000-0000-0000C0470000}"/>
    <cellStyle name="Normal 7 8 3" xfId="18370" xr:uid="{00000000-0005-0000-0000-0000C1470000}"/>
    <cellStyle name="Normal 7 8 3 2" xfId="18371" xr:uid="{00000000-0005-0000-0000-0000C2470000}"/>
    <cellStyle name="Normal 7 8 3 2 2" xfId="18372" xr:uid="{00000000-0005-0000-0000-0000C3470000}"/>
    <cellStyle name="Normal 7 8 3 2 3" xfId="18373" xr:uid="{00000000-0005-0000-0000-0000C4470000}"/>
    <cellStyle name="Normal 7 8 3 3" xfId="18374" xr:uid="{00000000-0005-0000-0000-0000C5470000}"/>
    <cellStyle name="Normal 7 8 3 3 2" xfId="18375" xr:uid="{00000000-0005-0000-0000-0000C6470000}"/>
    <cellStyle name="Normal 7 8 3 3 3" xfId="18376" xr:uid="{00000000-0005-0000-0000-0000C7470000}"/>
    <cellStyle name="Normal 7 8 3 4" xfId="18377" xr:uid="{00000000-0005-0000-0000-0000C8470000}"/>
    <cellStyle name="Normal 7 8 3 5" xfId="18378" xr:uid="{00000000-0005-0000-0000-0000C9470000}"/>
    <cellStyle name="Normal 7 8 4" xfId="18379" xr:uid="{00000000-0005-0000-0000-0000CA470000}"/>
    <cellStyle name="Normal 7 8 4 2" xfId="18380" xr:uid="{00000000-0005-0000-0000-0000CB470000}"/>
    <cellStyle name="Normal 7 8 4 2 2" xfId="18381" xr:uid="{00000000-0005-0000-0000-0000CC470000}"/>
    <cellStyle name="Normal 7 8 4 2 3" xfId="18382" xr:uid="{00000000-0005-0000-0000-0000CD470000}"/>
    <cellStyle name="Normal 7 8 4 3" xfId="18383" xr:uid="{00000000-0005-0000-0000-0000CE470000}"/>
    <cellStyle name="Normal 7 8 4 3 2" xfId="18384" xr:uid="{00000000-0005-0000-0000-0000CF470000}"/>
    <cellStyle name="Normal 7 8 4 3 3" xfId="18385" xr:uid="{00000000-0005-0000-0000-0000D0470000}"/>
    <cellStyle name="Normal 7 8 4 4" xfId="18386" xr:uid="{00000000-0005-0000-0000-0000D1470000}"/>
    <cellStyle name="Normal 7 8 4 5" xfId="18387" xr:uid="{00000000-0005-0000-0000-0000D2470000}"/>
    <cellStyle name="Normal 7 8 5" xfId="18388" xr:uid="{00000000-0005-0000-0000-0000D3470000}"/>
    <cellStyle name="Normal 7 8 5 2" xfId="18389" xr:uid="{00000000-0005-0000-0000-0000D4470000}"/>
    <cellStyle name="Normal 7 8 5 3" xfId="18390" xr:uid="{00000000-0005-0000-0000-0000D5470000}"/>
    <cellStyle name="Normal 7 8 6" xfId="18391" xr:uid="{00000000-0005-0000-0000-0000D6470000}"/>
    <cellStyle name="Normal 7 8 6 2" xfId="18392" xr:uid="{00000000-0005-0000-0000-0000D7470000}"/>
    <cellStyle name="Normal 7 8 6 3" xfId="18393" xr:uid="{00000000-0005-0000-0000-0000D8470000}"/>
    <cellStyle name="Normal 7 8 7" xfId="18394" xr:uid="{00000000-0005-0000-0000-0000D9470000}"/>
    <cellStyle name="Normal 7 8 7 2" xfId="18395" xr:uid="{00000000-0005-0000-0000-0000DA470000}"/>
    <cellStyle name="Normal 7 8 7 3" xfId="18396" xr:uid="{00000000-0005-0000-0000-0000DB470000}"/>
    <cellStyle name="Normal 7 8 7 3 2" xfId="18397" xr:uid="{00000000-0005-0000-0000-0000DC470000}"/>
    <cellStyle name="Normal 7 8 7 4" xfId="18398" xr:uid="{00000000-0005-0000-0000-0000DD470000}"/>
    <cellStyle name="Normal 7 8 8" xfId="18399" xr:uid="{00000000-0005-0000-0000-0000DE470000}"/>
    <cellStyle name="Normal 7 8 9" xfId="18400" xr:uid="{00000000-0005-0000-0000-0000DF470000}"/>
    <cellStyle name="Normal 7 9" xfId="18401" xr:uid="{00000000-0005-0000-0000-0000E0470000}"/>
    <cellStyle name="Normal 7 9 2" xfId="18402" xr:uid="{00000000-0005-0000-0000-0000E1470000}"/>
    <cellStyle name="Normal 7 9 2 2" xfId="18403" xr:uid="{00000000-0005-0000-0000-0000E2470000}"/>
    <cellStyle name="Normal 7 9 2 2 2" xfId="18404" xr:uid="{00000000-0005-0000-0000-0000E3470000}"/>
    <cellStyle name="Normal 7 9 2 2 3" xfId="18405" xr:uid="{00000000-0005-0000-0000-0000E4470000}"/>
    <cellStyle name="Normal 7 9 2 3" xfId="18406" xr:uid="{00000000-0005-0000-0000-0000E5470000}"/>
    <cellStyle name="Normal 7 9 2 3 2" xfId="18407" xr:uid="{00000000-0005-0000-0000-0000E6470000}"/>
    <cellStyle name="Normal 7 9 2 3 3" xfId="18408" xr:uid="{00000000-0005-0000-0000-0000E7470000}"/>
    <cellStyle name="Normal 7 9 2 4" xfId="18409" xr:uid="{00000000-0005-0000-0000-0000E8470000}"/>
    <cellStyle name="Normal 7 9 2 5" xfId="18410" xr:uid="{00000000-0005-0000-0000-0000E9470000}"/>
    <cellStyle name="Normal 7 9 3" xfId="18411" xr:uid="{00000000-0005-0000-0000-0000EA470000}"/>
    <cellStyle name="Normal 7 9 3 2" xfId="18412" xr:uid="{00000000-0005-0000-0000-0000EB470000}"/>
    <cellStyle name="Normal 7 9 3 2 2" xfId="18413" xr:uid="{00000000-0005-0000-0000-0000EC470000}"/>
    <cellStyle name="Normal 7 9 3 2 3" xfId="18414" xr:uid="{00000000-0005-0000-0000-0000ED470000}"/>
    <cellStyle name="Normal 7 9 3 3" xfId="18415" xr:uid="{00000000-0005-0000-0000-0000EE470000}"/>
    <cellStyle name="Normal 7 9 3 3 2" xfId="18416" xr:uid="{00000000-0005-0000-0000-0000EF470000}"/>
    <cellStyle name="Normal 7 9 3 3 3" xfId="18417" xr:uid="{00000000-0005-0000-0000-0000F0470000}"/>
    <cellStyle name="Normal 7 9 3 4" xfId="18418" xr:uid="{00000000-0005-0000-0000-0000F1470000}"/>
    <cellStyle name="Normal 7 9 3 5" xfId="18419" xr:uid="{00000000-0005-0000-0000-0000F2470000}"/>
    <cellStyle name="Normal 7 9 4" xfId="18420" xr:uid="{00000000-0005-0000-0000-0000F3470000}"/>
    <cellStyle name="Normal 7 9 4 2" xfId="18421" xr:uid="{00000000-0005-0000-0000-0000F4470000}"/>
    <cellStyle name="Normal 7 9 4 3" xfId="18422" xr:uid="{00000000-0005-0000-0000-0000F5470000}"/>
    <cellStyle name="Normal 7 9 5" xfId="18423" xr:uid="{00000000-0005-0000-0000-0000F6470000}"/>
    <cellStyle name="Normal 7 9 5 2" xfId="18424" xr:uid="{00000000-0005-0000-0000-0000F7470000}"/>
    <cellStyle name="Normal 7 9 5 3" xfId="18425" xr:uid="{00000000-0005-0000-0000-0000F8470000}"/>
    <cellStyle name="Normal 7 9 6" xfId="18426" xr:uid="{00000000-0005-0000-0000-0000F9470000}"/>
    <cellStyle name="Normal 7 9 7" xfId="18427" xr:uid="{00000000-0005-0000-0000-0000FA470000}"/>
    <cellStyle name="Normal 70" xfId="18428" xr:uid="{00000000-0005-0000-0000-0000FB470000}"/>
    <cellStyle name="Normal 70 10" xfId="18429" xr:uid="{00000000-0005-0000-0000-0000FC470000}"/>
    <cellStyle name="Normal 70 10 2" xfId="18430" xr:uid="{00000000-0005-0000-0000-0000FD470000}"/>
    <cellStyle name="Normal 70 10 3" xfId="18431" xr:uid="{00000000-0005-0000-0000-0000FE470000}"/>
    <cellStyle name="Normal 70 10 3 2" xfId="18432" xr:uid="{00000000-0005-0000-0000-0000FF470000}"/>
    <cellStyle name="Normal 70 10 4" xfId="18433" xr:uid="{00000000-0005-0000-0000-000000480000}"/>
    <cellStyle name="Normal 70 11" xfId="18434" xr:uid="{00000000-0005-0000-0000-000001480000}"/>
    <cellStyle name="Normal 70 11 2" xfId="18435" xr:uid="{00000000-0005-0000-0000-000002480000}"/>
    <cellStyle name="Normal 70 11 2 2" xfId="18436" xr:uid="{00000000-0005-0000-0000-000003480000}"/>
    <cellStyle name="Normal 70 11 3" xfId="18437" xr:uid="{00000000-0005-0000-0000-000004480000}"/>
    <cellStyle name="Normal 70 12" xfId="18438" xr:uid="{00000000-0005-0000-0000-000005480000}"/>
    <cellStyle name="Normal 70 13" xfId="18439" xr:uid="{00000000-0005-0000-0000-000006480000}"/>
    <cellStyle name="Normal 70 2" xfId="18440" xr:uid="{00000000-0005-0000-0000-000007480000}"/>
    <cellStyle name="Normal 70 2 2" xfId="18441" xr:uid="{00000000-0005-0000-0000-000008480000}"/>
    <cellStyle name="Normal 70 2 2 2" xfId="18442" xr:uid="{00000000-0005-0000-0000-000009480000}"/>
    <cellStyle name="Normal 70 2 2 2 2" xfId="18443" xr:uid="{00000000-0005-0000-0000-00000A480000}"/>
    <cellStyle name="Normal 70 2 2 2 2 2" xfId="18444" xr:uid="{00000000-0005-0000-0000-00000B480000}"/>
    <cellStyle name="Normal 70 2 2 2 2 3" xfId="18445" xr:uid="{00000000-0005-0000-0000-00000C480000}"/>
    <cellStyle name="Normal 70 2 2 2 3" xfId="18446" xr:uid="{00000000-0005-0000-0000-00000D480000}"/>
    <cellStyle name="Normal 70 2 2 2 3 2" xfId="18447" xr:uid="{00000000-0005-0000-0000-00000E480000}"/>
    <cellStyle name="Normal 70 2 2 2 3 3" xfId="18448" xr:uid="{00000000-0005-0000-0000-00000F480000}"/>
    <cellStyle name="Normal 70 2 2 2 4" xfId="18449" xr:uid="{00000000-0005-0000-0000-000010480000}"/>
    <cellStyle name="Normal 70 2 2 2 5" xfId="18450" xr:uid="{00000000-0005-0000-0000-000011480000}"/>
    <cellStyle name="Normal 70 2 2 3" xfId="18451" xr:uid="{00000000-0005-0000-0000-000012480000}"/>
    <cellStyle name="Normal 70 2 2 3 2" xfId="18452" xr:uid="{00000000-0005-0000-0000-000013480000}"/>
    <cellStyle name="Normal 70 2 2 3 2 2" xfId="18453" xr:uid="{00000000-0005-0000-0000-000014480000}"/>
    <cellStyle name="Normal 70 2 2 3 2 3" xfId="18454" xr:uid="{00000000-0005-0000-0000-000015480000}"/>
    <cellStyle name="Normal 70 2 2 3 3" xfId="18455" xr:uid="{00000000-0005-0000-0000-000016480000}"/>
    <cellStyle name="Normal 70 2 2 3 3 2" xfId="18456" xr:uid="{00000000-0005-0000-0000-000017480000}"/>
    <cellStyle name="Normal 70 2 2 3 3 3" xfId="18457" xr:uid="{00000000-0005-0000-0000-000018480000}"/>
    <cellStyle name="Normal 70 2 2 3 4" xfId="18458" xr:uid="{00000000-0005-0000-0000-000019480000}"/>
    <cellStyle name="Normal 70 2 2 3 5" xfId="18459" xr:uid="{00000000-0005-0000-0000-00001A480000}"/>
    <cellStyle name="Normal 70 2 2 4" xfId="18460" xr:uid="{00000000-0005-0000-0000-00001B480000}"/>
    <cellStyle name="Normal 70 2 2 4 2" xfId="18461" xr:uid="{00000000-0005-0000-0000-00001C480000}"/>
    <cellStyle name="Normal 70 2 2 4 3" xfId="18462" xr:uid="{00000000-0005-0000-0000-00001D480000}"/>
    <cellStyle name="Normal 70 2 2 5" xfId="18463" xr:uid="{00000000-0005-0000-0000-00001E480000}"/>
    <cellStyle name="Normal 70 2 2 5 2" xfId="18464" xr:uid="{00000000-0005-0000-0000-00001F480000}"/>
    <cellStyle name="Normal 70 2 2 5 3" xfId="18465" xr:uid="{00000000-0005-0000-0000-000020480000}"/>
    <cellStyle name="Normal 70 2 2 6" xfId="18466" xr:uid="{00000000-0005-0000-0000-000021480000}"/>
    <cellStyle name="Normal 70 2 2 7" xfId="18467" xr:uid="{00000000-0005-0000-0000-000022480000}"/>
    <cellStyle name="Normal 70 2 3" xfId="18468" xr:uid="{00000000-0005-0000-0000-000023480000}"/>
    <cellStyle name="Normal 70 2 3 2" xfId="18469" xr:uid="{00000000-0005-0000-0000-000024480000}"/>
    <cellStyle name="Normal 70 2 3 2 2" xfId="18470" xr:uid="{00000000-0005-0000-0000-000025480000}"/>
    <cellStyle name="Normal 70 2 3 2 3" xfId="18471" xr:uid="{00000000-0005-0000-0000-000026480000}"/>
    <cellStyle name="Normal 70 2 3 3" xfId="18472" xr:uid="{00000000-0005-0000-0000-000027480000}"/>
    <cellStyle name="Normal 70 2 3 3 2" xfId="18473" xr:uid="{00000000-0005-0000-0000-000028480000}"/>
    <cellStyle name="Normal 70 2 3 3 3" xfId="18474" xr:uid="{00000000-0005-0000-0000-000029480000}"/>
    <cellStyle name="Normal 70 2 3 4" xfId="18475" xr:uid="{00000000-0005-0000-0000-00002A480000}"/>
    <cellStyle name="Normal 70 2 3 5" xfId="18476" xr:uid="{00000000-0005-0000-0000-00002B480000}"/>
    <cellStyle name="Normal 70 2 4" xfId="18477" xr:uid="{00000000-0005-0000-0000-00002C480000}"/>
    <cellStyle name="Normal 70 2 4 2" xfId="18478" xr:uid="{00000000-0005-0000-0000-00002D480000}"/>
    <cellStyle name="Normal 70 2 4 2 2" xfId="18479" xr:uid="{00000000-0005-0000-0000-00002E480000}"/>
    <cellStyle name="Normal 70 2 4 2 3" xfId="18480" xr:uid="{00000000-0005-0000-0000-00002F480000}"/>
    <cellStyle name="Normal 70 2 4 3" xfId="18481" xr:uid="{00000000-0005-0000-0000-000030480000}"/>
    <cellStyle name="Normal 70 2 4 3 2" xfId="18482" xr:uid="{00000000-0005-0000-0000-000031480000}"/>
    <cellStyle name="Normal 70 2 4 3 3" xfId="18483" xr:uid="{00000000-0005-0000-0000-000032480000}"/>
    <cellStyle name="Normal 70 2 4 4" xfId="18484" xr:uid="{00000000-0005-0000-0000-000033480000}"/>
    <cellStyle name="Normal 70 2 4 5" xfId="18485" xr:uid="{00000000-0005-0000-0000-000034480000}"/>
    <cellStyle name="Normal 70 2 5" xfId="18486" xr:uid="{00000000-0005-0000-0000-000035480000}"/>
    <cellStyle name="Normal 70 2 5 2" xfId="18487" xr:uid="{00000000-0005-0000-0000-000036480000}"/>
    <cellStyle name="Normal 70 2 5 3" xfId="18488" xr:uid="{00000000-0005-0000-0000-000037480000}"/>
    <cellStyle name="Normal 70 2 6" xfId="18489" xr:uid="{00000000-0005-0000-0000-000038480000}"/>
    <cellStyle name="Normal 70 2 6 2" xfId="18490" xr:uid="{00000000-0005-0000-0000-000039480000}"/>
    <cellStyle name="Normal 70 2 6 3" xfId="18491" xr:uid="{00000000-0005-0000-0000-00003A480000}"/>
    <cellStyle name="Normal 70 2 7" xfId="18492" xr:uid="{00000000-0005-0000-0000-00003B480000}"/>
    <cellStyle name="Normal 70 2 7 2" xfId="18493" xr:uid="{00000000-0005-0000-0000-00003C480000}"/>
    <cellStyle name="Normal 70 2 7 3" xfId="18494" xr:uid="{00000000-0005-0000-0000-00003D480000}"/>
    <cellStyle name="Normal 70 2 7 3 2" xfId="18495" xr:uid="{00000000-0005-0000-0000-00003E480000}"/>
    <cellStyle name="Normal 70 2 7 4" xfId="18496" xr:uid="{00000000-0005-0000-0000-00003F480000}"/>
    <cellStyle name="Normal 70 2 8" xfId="18497" xr:uid="{00000000-0005-0000-0000-000040480000}"/>
    <cellStyle name="Normal 70 2 9" xfId="18498" xr:uid="{00000000-0005-0000-0000-000041480000}"/>
    <cellStyle name="Normal 70 3" xfId="18499" xr:uid="{00000000-0005-0000-0000-000042480000}"/>
    <cellStyle name="Normal 70 3 2" xfId="18500" xr:uid="{00000000-0005-0000-0000-000043480000}"/>
    <cellStyle name="Normal 70 3 2 2" xfId="18501" xr:uid="{00000000-0005-0000-0000-000044480000}"/>
    <cellStyle name="Normal 70 3 2 2 2" xfId="18502" xr:uid="{00000000-0005-0000-0000-000045480000}"/>
    <cellStyle name="Normal 70 3 2 2 3" xfId="18503" xr:uid="{00000000-0005-0000-0000-000046480000}"/>
    <cellStyle name="Normal 70 3 2 3" xfId="18504" xr:uid="{00000000-0005-0000-0000-000047480000}"/>
    <cellStyle name="Normal 70 3 2 3 2" xfId="18505" xr:uid="{00000000-0005-0000-0000-000048480000}"/>
    <cellStyle name="Normal 70 3 2 3 3" xfId="18506" xr:uid="{00000000-0005-0000-0000-000049480000}"/>
    <cellStyle name="Normal 70 3 2 4" xfId="18507" xr:uid="{00000000-0005-0000-0000-00004A480000}"/>
    <cellStyle name="Normal 70 3 2 5" xfId="18508" xr:uid="{00000000-0005-0000-0000-00004B480000}"/>
    <cellStyle name="Normal 70 3 3" xfId="18509" xr:uid="{00000000-0005-0000-0000-00004C480000}"/>
    <cellStyle name="Normal 70 3 3 2" xfId="18510" xr:uid="{00000000-0005-0000-0000-00004D480000}"/>
    <cellStyle name="Normal 70 3 3 2 2" xfId="18511" xr:uid="{00000000-0005-0000-0000-00004E480000}"/>
    <cellStyle name="Normal 70 3 3 2 3" xfId="18512" xr:uid="{00000000-0005-0000-0000-00004F480000}"/>
    <cellStyle name="Normal 70 3 3 3" xfId="18513" xr:uid="{00000000-0005-0000-0000-000050480000}"/>
    <cellStyle name="Normal 70 3 3 3 2" xfId="18514" xr:uid="{00000000-0005-0000-0000-000051480000}"/>
    <cellStyle name="Normal 70 3 3 3 3" xfId="18515" xr:uid="{00000000-0005-0000-0000-000052480000}"/>
    <cellStyle name="Normal 70 3 3 4" xfId="18516" xr:uid="{00000000-0005-0000-0000-000053480000}"/>
    <cellStyle name="Normal 70 3 3 5" xfId="18517" xr:uid="{00000000-0005-0000-0000-000054480000}"/>
    <cellStyle name="Normal 70 3 4" xfId="18518" xr:uid="{00000000-0005-0000-0000-000055480000}"/>
    <cellStyle name="Normal 70 3 4 2" xfId="18519" xr:uid="{00000000-0005-0000-0000-000056480000}"/>
    <cellStyle name="Normal 70 3 4 3" xfId="18520" xr:uid="{00000000-0005-0000-0000-000057480000}"/>
    <cellStyle name="Normal 70 3 5" xfId="18521" xr:uid="{00000000-0005-0000-0000-000058480000}"/>
    <cellStyle name="Normal 70 3 5 2" xfId="18522" xr:uid="{00000000-0005-0000-0000-000059480000}"/>
    <cellStyle name="Normal 70 3 5 3" xfId="18523" xr:uid="{00000000-0005-0000-0000-00005A480000}"/>
    <cellStyle name="Normal 70 3 6" xfId="18524" xr:uid="{00000000-0005-0000-0000-00005B480000}"/>
    <cellStyle name="Normal 70 3 7" xfId="18525" xr:uid="{00000000-0005-0000-0000-00005C480000}"/>
    <cellStyle name="Normal 70 4" xfId="18526" xr:uid="{00000000-0005-0000-0000-00005D480000}"/>
    <cellStyle name="Normal 70 4 2" xfId="18527" xr:uid="{00000000-0005-0000-0000-00005E480000}"/>
    <cellStyle name="Normal 70 4 2 2" xfId="18528" xr:uid="{00000000-0005-0000-0000-00005F480000}"/>
    <cellStyle name="Normal 70 4 2 2 2" xfId="18529" xr:uid="{00000000-0005-0000-0000-000060480000}"/>
    <cellStyle name="Normal 70 4 2 2 3" xfId="18530" xr:uid="{00000000-0005-0000-0000-000061480000}"/>
    <cellStyle name="Normal 70 4 2 3" xfId="18531" xr:uid="{00000000-0005-0000-0000-000062480000}"/>
    <cellStyle name="Normal 70 4 2 3 2" xfId="18532" xr:uid="{00000000-0005-0000-0000-000063480000}"/>
    <cellStyle name="Normal 70 4 2 3 3" xfId="18533" xr:uid="{00000000-0005-0000-0000-000064480000}"/>
    <cellStyle name="Normal 70 4 2 4" xfId="18534" xr:uid="{00000000-0005-0000-0000-000065480000}"/>
    <cellStyle name="Normal 70 4 2 5" xfId="18535" xr:uid="{00000000-0005-0000-0000-000066480000}"/>
    <cellStyle name="Normal 70 4 3" xfId="18536" xr:uid="{00000000-0005-0000-0000-000067480000}"/>
    <cellStyle name="Normal 70 4 3 2" xfId="18537" xr:uid="{00000000-0005-0000-0000-000068480000}"/>
    <cellStyle name="Normal 70 4 3 2 2" xfId="18538" xr:uid="{00000000-0005-0000-0000-000069480000}"/>
    <cellStyle name="Normal 70 4 3 2 3" xfId="18539" xr:uid="{00000000-0005-0000-0000-00006A480000}"/>
    <cellStyle name="Normal 70 4 3 3" xfId="18540" xr:uid="{00000000-0005-0000-0000-00006B480000}"/>
    <cellStyle name="Normal 70 4 3 4" xfId="18541" xr:uid="{00000000-0005-0000-0000-00006C480000}"/>
    <cellStyle name="Normal 70 4 4" xfId="18542" xr:uid="{00000000-0005-0000-0000-00006D480000}"/>
    <cellStyle name="Normal 70 4 4 2" xfId="18543" xr:uid="{00000000-0005-0000-0000-00006E480000}"/>
    <cellStyle name="Normal 70 4 4 3" xfId="18544" xr:uid="{00000000-0005-0000-0000-00006F480000}"/>
    <cellStyle name="Normal 70 4 5" xfId="18545" xr:uid="{00000000-0005-0000-0000-000070480000}"/>
    <cellStyle name="Normal 70 4 5 2" xfId="18546" xr:uid="{00000000-0005-0000-0000-000071480000}"/>
    <cellStyle name="Normal 70 4 5 3" xfId="18547" xr:uid="{00000000-0005-0000-0000-000072480000}"/>
    <cellStyle name="Normal 70 4 6" xfId="18548" xr:uid="{00000000-0005-0000-0000-000073480000}"/>
    <cellStyle name="Normal 70 4 7" xfId="18549" xr:uid="{00000000-0005-0000-0000-000074480000}"/>
    <cellStyle name="Normal 70 5" xfId="18550" xr:uid="{00000000-0005-0000-0000-000075480000}"/>
    <cellStyle name="Normal 70 5 2" xfId="18551" xr:uid="{00000000-0005-0000-0000-000076480000}"/>
    <cellStyle name="Normal 70 5 2 2" xfId="18552" xr:uid="{00000000-0005-0000-0000-000077480000}"/>
    <cellStyle name="Normal 70 5 2 3" xfId="18553" xr:uid="{00000000-0005-0000-0000-000078480000}"/>
    <cellStyle name="Normal 70 5 3" xfId="18554" xr:uid="{00000000-0005-0000-0000-000079480000}"/>
    <cellStyle name="Normal 70 5 3 2" xfId="18555" xr:uid="{00000000-0005-0000-0000-00007A480000}"/>
    <cellStyle name="Normal 70 5 3 3" xfId="18556" xr:uid="{00000000-0005-0000-0000-00007B480000}"/>
    <cellStyle name="Normal 70 5 4" xfId="18557" xr:uid="{00000000-0005-0000-0000-00007C480000}"/>
    <cellStyle name="Normal 70 5 5" xfId="18558" xr:uid="{00000000-0005-0000-0000-00007D480000}"/>
    <cellStyle name="Normal 70 6" xfId="18559" xr:uid="{00000000-0005-0000-0000-00007E480000}"/>
    <cellStyle name="Normal 70 6 2" xfId="18560" xr:uid="{00000000-0005-0000-0000-00007F480000}"/>
    <cellStyle name="Normal 70 6 2 2" xfId="18561" xr:uid="{00000000-0005-0000-0000-000080480000}"/>
    <cellStyle name="Normal 70 6 2 3" xfId="18562" xr:uid="{00000000-0005-0000-0000-000081480000}"/>
    <cellStyle name="Normal 70 6 3" xfId="18563" xr:uid="{00000000-0005-0000-0000-000082480000}"/>
    <cellStyle name="Normal 70 6 3 2" xfId="18564" xr:uid="{00000000-0005-0000-0000-000083480000}"/>
    <cellStyle name="Normal 70 6 3 3" xfId="18565" xr:uid="{00000000-0005-0000-0000-000084480000}"/>
    <cellStyle name="Normal 70 6 4" xfId="18566" xr:uid="{00000000-0005-0000-0000-000085480000}"/>
    <cellStyle name="Normal 70 6 5" xfId="18567" xr:uid="{00000000-0005-0000-0000-000086480000}"/>
    <cellStyle name="Normal 70 7" xfId="18568" xr:uid="{00000000-0005-0000-0000-000087480000}"/>
    <cellStyle name="Normal 70 7 2" xfId="18569" xr:uid="{00000000-0005-0000-0000-000088480000}"/>
    <cellStyle name="Normal 70 7 2 2" xfId="18570" xr:uid="{00000000-0005-0000-0000-000089480000}"/>
    <cellStyle name="Normal 70 7 2 3" xfId="18571" xr:uid="{00000000-0005-0000-0000-00008A480000}"/>
    <cellStyle name="Normal 70 7 3" xfId="18572" xr:uid="{00000000-0005-0000-0000-00008B480000}"/>
    <cellStyle name="Normal 70 7 4" xfId="18573" xr:uid="{00000000-0005-0000-0000-00008C480000}"/>
    <cellStyle name="Normal 70 8" xfId="18574" xr:uid="{00000000-0005-0000-0000-00008D480000}"/>
    <cellStyle name="Normal 70 8 2" xfId="18575" xr:uid="{00000000-0005-0000-0000-00008E480000}"/>
    <cellStyle name="Normal 70 8 3" xfId="18576" xr:uid="{00000000-0005-0000-0000-00008F480000}"/>
    <cellStyle name="Normal 70 9" xfId="18577" xr:uid="{00000000-0005-0000-0000-000090480000}"/>
    <cellStyle name="Normal 70 9 2" xfId="18578" xr:uid="{00000000-0005-0000-0000-000091480000}"/>
    <cellStyle name="Normal 70 9 3" xfId="18579" xr:uid="{00000000-0005-0000-0000-000092480000}"/>
    <cellStyle name="Normal 71" xfId="18580" xr:uid="{00000000-0005-0000-0000-000093480000}"/>
    <cellStyle name="Normal 71 10" xfId="18581" xr:uid="{00000000-0005-0000-0000-000094480000}"/>
    <cellStyle name="Normal 71 10 2" xfId="18582" xr:uid="{00000000-0005-0000-0000-000095480000}"/>
    <cellStyle name="Normal 71 10 3" xfId="18583" xr:uid="{00000000-0005-0000-0000-000096480000}"/>
    <cellStyle name="Normal 71 10 3 2" xfId="18584" xr:uid="{00000000-0005-0000-0000-000097480000}"/>
    <cellStyle name="Normal 71 10 4" xfId="18585" xr:uid="{00000000-0005-0000-0000-000098480000}"/>
    <cellStyle name="Normal 71 11" xfId="18586" xr:uid="{00000000-0005-0000-0000-000099480000}"/>
    <cellStyle name="Normal 71 11 2" xfId="18587" xr:uid="{00000000-0005-0000-0000-00009A480000}"/>
    <cellStyle name="Normal 71 11 2 2" xfId="18588" xr:uid="{00000000-0005-0000-0000-00009B480000}"/>
    <cellStyle name="Normal 71 11 3" xfId="18589" xr:uid="{00000000-0005-0000-0000-00009C480000}"/>
    <cellStyle name="Normal 71 12" xfId="18590" xr:uid="{00000000-0005-0000-0000-00009D480000}"/>
    <cellStyle name="Normal 71 13" xfId="18591" xr:uid="{00000000-0005-0000-0000-00009E480000}"/>
    <cellStyle name="Normal 71 2" xfId="18592" xr:uid="{00000000-0005-0000-0000-00009F480000}"/>
    <cellStyle name="Normal 71 2 2" xfId="18593" xr:uid="{00000000-0005-0000-0000-0000A0480000}"/>
    <cellStyle name="Normal 71 2 2 2" xfId="18594" xr:uid="{00000000-0005-0000-0000-0000A1480000}"/>
    <cellStyle name="Normal 71 2 2 2 2" xfId="18595" xr:uid="{00000000-0005-0000-0000-0000A2480000}"/>
    <cellStyle name="Normal 71 2 2 2 2 2" xfId="18596" xr:uid="{00000000-0005-0000-0000-0000A3480000}"/>
    <cellStyle name="Normal 71 2 2 2 2 3" xfId="18597" xr:uid="{00000000-0005-0000-0000-0000A4480000}"/>
    <cellStyle name="Normal 71 2 2 2 3" xfId="18598" xr:uid="{00000000-0005-0000-0000-0000A5480000}"/>
    <cellStyle name="Normal 71 2 2 2 3 2" xfId="18599" xr:uid="{00000000-0005-0000-0000-0000A6480000}"/>
    <cellStyle name="Normal 71 2 2 2 3 3" xfId="18600" xr:uid="{00000000-0005-0000-0000-0000A7480000}"/>
    <cellStyle name="Normal 71 2 2 2 4" xfId="18601" xr:uid="{00000000-0005-0000-0000-0000A8480000}"/>
    <cellStyle name="Normal 71 2 2 2 5" xfId="18602" xr:uid="{00000000-0005-0000-0000-0000A9480000}"/>
    <cellStyle name="Normal 71 2 2 3" xfId="18603" xr:uid="{00000000-0005-0000-0000-0000AA480000}"/>
    <cellStyle name="Normal 71 2 2 3 2" xfId="18604" xr:uid="{00000000-0005-0000-0000-0000AB480000}"/>
    <cellStyle name="Normal 71 2 2 3 2 2" xfId="18605" xr:uid="{00000000-0005-0000-0000-0000AC480000}"/>
    <cellStyle name="Normal 71 2 2 3 2 3" xfId="18606" xr:uid="{00000000-0005-0000-0000-0000AD480000}"/>
    <cellStyle name="Normal 71 2 2 3 3" xfId="18607" xr:uid="{00000000-0005-0000-0000-0000AE480000}"/>
    <cellStyle name="Normal 71 2 2 3 3 2" xfId="18608" xr:uid="{00000000-0005-0000-0000-0000AF480000}"/>
    <cellStyle name="Normal 71 2 2 3 3 3" xfId="18609" xr:uid="{00000000-0005-0000-0000-0000B0480000}"/>
    <cellStyle name="Normal 71 2 2 3 4" xfId="18610" xr:uid="{00000000-0005-0000-0000-0000B1480000}"/>
    <cellStyle name="Normal 71 2 2 3 5" xfId="18611" xr:uid="{00000000-0005-0000-0000-0000B2480000}"/>
    <cellStyle name="Normal 71 2 2 4" xfId="18612" xr:uid="{00000000-0005-0000-0000-0000B3480000}"/>
    <cellStyle name="Normal 71 2 2 4 2" xfId="18613" xr:uid="{00000000-0005-0000-0000-0000B4480000}"/>
    <cellStyle name="Normal 71 2 2 4 3" xfId="18614" xr:uid="{00000000-0005-0000-0000-0000B5480000}"/>
    <cellStyle name="Normal 71 2 2 5" xfId="18615" xr:uid="{00000000-0005-0000-0000-0000B6480000}"/>
    <cellStyle name="Normal 71 2 2 5 2" xfId="18616" xr:uid="{00000000-0005-0000-0000-0000B7480000}"/>
    <cellStyle name="Normal 71 2 2 5 3" xfId="18617" xr:uid="{00000000-0005-0000-0000-0000B8480000}"/>
    <cellStyle name="Normal 71 2 2 6" xfId="18618" xr:uid="{00000000-0005-0000-0000-0000B9480000}"/>
    <cellStyle name="Normal 71 2 2 7" xfId="18619" xr:uid="{00000000-0005-0000-0000-0000BA480000}"/>
    <cellStyle name="Normal 71 2 3" xfId="18620" xr:uid="{00000000-0005-0000-0000-0000BB480000}"/>
    <cellStyle name="Normal 71 2 3 2" xfId="18621" xr:uid="{00000000-0005-0000-0000-0000BC480000}"/>
    <cellStyle name="Normal 71 2 3 2 2" xfId="18622" xr:uid="{00000000-0005-0000-0000-0000BD480000}"/>
    <cellStyle name="Normal 71 2 3 2 3" xfId="18623" xr:uid="{00000000-0005-0000-0000-0000BE480000}"/>
    <cellStyle name="Normal 71 2 3 3" xfId="18624" xr:uid="{00000000-0005-0000-0000-0000BF480000}"/>
    <cellStyle name="Normal 71 2 3 3 2" xfId="18625" xr:uid="{00000000-0005-0000-0000-0000C0480000}"/>
    <cellStyle name="Normal 71 2 3 3 3" xfId="18626" xr:uid="{00000000-0005-0000-0000-0000C1480000}"/>
    <cellStyle name="Normal 71 2 3 4" xfId="18627" xr:uid="{00000000-0005-0000-0000-0000C2480000}"/>
    <cellStyle name="Normal 71 2 3 5" xfId="18628" xr:uid="{00000000-0005-0000-0000-0000C3480000}"/>
    <cellStyle name="Normal 71 2 4" xfId="18629" xr:uid="{00000000-0005-0000-0000-0000C4480000}"/>
    <cellStyle name="Normal 71 2 4 2" xfId="18630" xr:uid="{00000000-0005-0000-0000-0000C5480000}"/>
    <cellStyle name="Normal 71 2 4 2 2" xfId="18631" xr:uid="{00000000-0005-0000-0000-0000C6480000}"/>
    <cellStyle name="Normal 71 2 4 2 3" xfId="18632" xr:uid="{00000000-0005-0000-0000-0000C7480000}"/>
    <cellStyle name="Normal 71 2 4 3" xfId="18633" xr:uid="{00000000-0005-0000-0000-0000C8480000}"/>
    <cellStyle name="Normal 71 2 4 3 2" xfId="18634" xr:uid="{00000000-0005-0000-0000-0000C9480000}"/>
    <cellStyle name="Normal 71 2 4 3 3" xfId="18635" xr:uid="{00000000-0005-0000-0000-0000CA480000}"/>
    <cellStyle name="Normal 71 2 4 4" xfId="18636" xr:uid="{00000000-0005-0000-0000-0000CB480000}"/>
    <cellStyle name="Normal 71 2 4 5" xfId="18637" xr:uid="{00000000-0005-0000-0000-0000CC480000}"/>
    <cellStyle name="Normal 71 2 5" xfId="18638" xr:uid="{00000000-0005-0000-0000-0000CD480000}"/>
    <cellStyle name="Normal 71 2 5 2" xfId="18639" xr:uid="{00000000-0005-0000-0000-0000CE480000}"/>
    <cellStyle name="Normal 71 2 5 3" xfId="18640" xr:uid="{00000000-0005-0000-0000-0000CF480000}"/>
    <cellStyle name="Normal 71 2 6" xfId="18641" xr:uid="{00000000-0005-0000-0000-0000D0480000}"/>
    <cellStyle name="Normal 71 2 6 2" xfId="18642" xr:uid="{00000000-0005-0000-0000-0000D1480000}"/>
    <cellStyle name="Normal 71 2 6 3" xfId="18643" xr:uid="{00000000-0005-0000-0000-0000D2480000}"/>
    <cellStyle name="Normal 71 2 7" xfId="18644" xr:uid="{00000000-0005-0000-0000-0000D3480000}"/>
    <cellStyle name="Normal 71 2 7 2" xfId="18645" xr:uid="{00000000-0005-0000-0000-0000D4480000}"/>
    <cellStyle name="Normal 71 2 7 3" xfId="18646" xr:uid="{00000000-0005-0000-0000-0000D5480000}"/>
    <cellStyle name="Normal 71 2 7 3 2" xfId="18647" xr:uid="{00000000-0005-0000-0000-0000D6480000}"/>
    <cellStyle name="Normal 71 2 7 4" xfId="18648" xr:uid="{00000000-0005-0000-0000-0000D7480000}"/>
    <cellStyle name="Normal 71 2 8" xfId="18649" xr:uid="{00000000-0005-0000-0000-0000D8480000}"/>
    <cellStyle name="Normal 71 2 9" xfId="18650" xr:uid="{00000000-0005-0000-0000-0000D9480000}"/>
    <cellStyle name="Normal 71 3" xfId="18651" xr:uid="{00000000-0005-0000-0000-0000DA480000}"/>
    <cellStyle name="Normal 71 3 2" xfId="18652" xr:uid="{00000000-0005-0000-0000-0000DB480000}"/>
    <cellStyle name="Normal 71 3 2 2" xfId="18653" xr:uid="{00000000-0005-0000-0000-0000DC480000}"/>
    <cellStyle name="Normal 71 3 2 2 2" xfId="18654" xr:uid="{00000000-0005-0000-0000-0000DD480000}"/>
    <cellStyle name="Normal 71 3 2 2 3" xfId="18655" xr:uid="{00000000-0005-0000-0000-0000DE480000}"/>
    <cellStyle name="Normal 71 3 2 3" xfId="18656" xr:uid="{00000000-0005-0000-0000-0000DF480000}"/>
    <cellStyle name="Normal 71 3 2 3 2" xfId="18657" xr:uid="{00000000-0005-0000-0000-0000E0480000}"/>
    <cellStyle name="Normal 71 3 2 3 3" xfId="18658" xr:uid="{00000000-0005-0000-0000-0000E1480000}"/>
    <cellStyle name="Normal 71 3 2 4" xfId="18659" xr:uid="{00000000-0005-0000-0000-0000E2480000}"/>
    <cellStyle name="Normal 71 3 2 5" xfId="18660" xr:uid="{00000000-0005-0000-0000-0000E3480000}"/>
    <cellStyle name="Normal 71 3 3" xfId="18661" xr:uid="{00000000-0005-0000-0000-0000E4480000}"/>
    <cellStyle name="Normal 71 3 3 2" xfId="18662" xr:uid="{00000000-0005-0000-0000-0000E5480000}"/>
    <cellStyle name="Normal 71 3 3 2 2" xfId="18663" xr:uid="{00000000-0005-0000-0000-0000E6480000}"/>
    <cellStyle name="Normal 71 3 3 2 3" xfId="18664" xr:uid="{00000000-0005-0000-0000-0000E7480000}"/>
    <cellStyle name="Normal 71 3 3 3" xfId="18665" xr:uid="{00000000-0005-0000-0000-0000E8480000}"/>
    <cellStyle name="Normal 71 3 3 3 2" xfId="18666" xr:uid="{00000000-0005-0000-0000-0000E9480000}"/>
    <cellStyle name="Normal 71 3 3 3 3" xfId="18667" xr:uid="{00000000-0005-0000-0000-0000EA480000}"/>
    <cellStyle name="Normal 71 3 3 4" xfId="18668" xr:uid="{00000000-0005-0000-0000-0000EB480000}"/>
    <cellStyle name="Normal 71 3 3 5" xfId="18669" xr:uid="{00000000-0005-0000-0000-0000EC480000}"/>
    <cellStyle name="Normal 71 3 4" xfId="18670" xr:uid="{00000000-0005-0000-0000-0000ED480000}"/>
    <cellStyle name="Normal 71 3 4 2" xfId="18671" xr:uid="{00000000-0005-0000-0000-0000EE480000}"/>
    <cellStyle name="Normal 71 3 4 3" xfId="18672" xr:uid="{00000000-0005-0000-0000-0000EF480000}"/>
    <cellStyle name="Normal 71 3 5" xfId="18673" xr:uid="{00000000-0005-0000-0000-0000F0480000}"/>
    <cellStyle name="Normal 71 3 5 2" xfId="18674" xr:uid="{00000000-0005-0000-0000-0000F1480000}"/>
    <cellStyle name="Normal 71 3 5 3" xfId="18675" xr:uid="{00000000-0005-0000-0000-0000F2480000}"/>
    <cellStyle name="Normal 71 3 6" xfId="18676" xr:uid="{00000000-0005-0000-0000-0000F3480000}"/>
    <cellStyle name="Normal 71 3 7" xfId="18677" xr:uid="{00000000-0005-0000-0000-0000F4480000}"/>
    <cellStyle name="Normal 71 4" xfId="18678" xr:uid="{00000000-0005-0000-0000-0000F5480000}"/>
    <cellStyle name="Normal 71 4 2" xfId="18679" xr:uid="{00000000-0005-0000-0000-0000F6480000}"/>
    <cellStyle name="Normal 71 4 2 2" xfId="18680" xr:uid="{00000000-0005-0000-0000-0000F7480000}"/>
    <cellStyle name="Normal 71 4 2 2 2" xfId="18681" xr:uid="{00000000-0005-0000-0000-0000F8480000}"/>
    <cellStyle name="Normal 71 4 2 2 3" xfId="18682" xr:uid="{00000000-0005-0000-0000-0000F9480000}"/>
    <cellStyle name="Normal 71 4 2 3" xfId="18683" xr:uid="{00000000-0005-0000-0000-0000FA480000}"/>
    <cellStyle name="Normal 71 4 2 3 2" xfId="18684" xr:uid="{00000000-0005-0000-0000-0000FB480000}"/>
    <cellStyle name="Normal 71 4 2 3 3" xfId="18685" xr:uid="{00000000-0005-0000-0000-0000FC480000}"/>
    <cellStyle name="Normal 71 4 2 4" xfId="18686" xr:uid="{00000000-0005-0000-0000-0000FD480000}"/>
    <cellStyle name="Normal 71 4 2 5" xfId="18687" xr:uid="{00000000-0005-0000-0000-0000FE480000}"/>
    <cellStyle name="Normal 71 4 3" xfId="18688" xr:uid="{00000000-0005-0000-0000-0000FF480000}"/>
    <cellStyle name="Normal 71 4 3 2" xfId="18689" xr:uid="{00000000-0005-0000-0000-000000490000}"/>
    <cellStyle name="Normal 71 4 3 2 2" xfId="18690" xr:uid="{00000000-0005-0000-0000-000001490000}"/>
    <cellStyle name="Normal 71 4 3 2 3" xfId="18691" xr:uid="{00000000-0005-0000-0000-000002490000}"/>
    <cellStyle name="Normal 71 4 3 3" xfId="18692" xr:uid="{00000000-0005-0000-0000-000003490000}"/>
    <cellStyle name="Normal 71 4 3 4" xfId="18693" xr:uid="{00000000-0005-0000-0000-000004490000}"/>
    <cellStyle name="Normal 71 4 4" xfId="18694" xr:uid="{00000000-0005-0000-0000-000005490000}"/>
    <cellStyle name="Normal 71 4 4 2" xfId="18695" xr:uid="{00000000-0005-0000-0000-000006490000}"/>
    <cellStyle name="Normal 71 4 4 3" xfId="18696" xr:uid="{00000000-0005-0000-0000-000007490000}"/>
    <cellStyle name="Normal 71 4 5" xfId="18697" xr:uid="{00000000-0005-0000-0000-000008490000}"/>
    <cellStyle name="Normal 71 4 5 2" xfId="18698" xr:uid="{00000000-0005-0000-0000-000009490000}"/>
    <cellStyle name="Normal 71 4 5 3" xfId="18699" xr:uid="{00000000-0005-0000-0000-00000A490000}"/>
    <cellStyle name="Normal 71 4 6" xfId="18700" xr:uid="{00000000-0005-0000-0000-00000B490000}"/>
    <cellStyle name="Normal 71 4 7" xfId="18701" xr:uid="{00000000-0005-0000-0000-00000C490000}"/>
    <cellStyle name="Normal 71 5" xfId="18702" xr:uid="{00000000-0005-0000-0000-00000D490000}"/>
    <cellStyle name="Normal 71 5 2" xfId="18703" xr:uid="{00000000-0005-0000-0000-00000E490000}"/>
    <cellStyle name="Normal 71 5 2 2" xfId="18704" xr:uid="{00000000-0005-0000-0000-00000F490000}"/>
    <cellStyle name="Normal 71 5 2 3" xfId="18705" xr:uid="{00000000-0005-0000-0000-000010490000}"/>
    <cellStyle name="Normal 71 5 3" xfId="18706" xr:uid="{00000000-0005-0000-0000-000011490000}"/>
    <cellStyle name="Normal 71 5 3 2" xfId="18707" xr:uid="{00000000-0005-0000-0000-000012490000}"/>
    <cellStyle name="Normal 71 5 3 3" xfId="18708" xr:uid="{00000000-0005-0000-0000-000013490000}"/>
    <cellStyle name="Normal 71 5 4" xfId="18709" xr:uid="{00000000-0005-0000-0000-000014490000}"/>
    <cellStyle name="Normal 71 5 5" xfId="18710" xr:uid="{00000000-0005-0000-0000-000015490000}"/>
    <cellStyle name="Normal 71 6" xfId="18711" xr:uid="{00000000-0005-0000-0000-000016490000}"/>
    <cellStyle name="Normal 71 6 2" xfId="18712" xr:uid="{00000000-0005-0000-0000-000017490000}"/>
    <cellStyle name="Normal 71 6 2 2" xfId="18713" xr:uid="{00000000-0005-0000-0000-000018490000}"/>
    <cellStyle name="Normal 71 6 2 3" xfId="18714" xr:uid="{00000000-0005-0000-0000-000019490000}"/>
    <cellStyle name="Normal 71 6 3" xfId="18715" xr:uid="{00000000-0005-0000-0000-00001A490000}"/>
    <cellStyle name="Normal 71 6 3 2" xfId="18716" xr:uid="{00000000-0005-0000-0000-00001B490000}"/>
    <cellStyle name="Normal 71 6 3 3" xfId="18717" xr:uid="{00000000-0005-0000-0000-00001C490000}"/>
    <cellStyle name="Normal 71 6 4" xfId="18718" xr:uid="{00000000-0005-0000-0000-00001D490000}"/>
    <cellStyle name="Normal 71 6 5" xfId="18719" xr:uid="{00000000-0005-0000-0000-00001E490000}"/>
    <cellStyle name="Normal 71 7" xfId="18720" xr:uid="{00000000-0005-0000-0000-00001F490000}"/>
    <cellStyle name="Normal 71 7 2" xfId="18721" xr:uid="{00000000-0005-0000-0000-000020490000}"/>
    <cellStyle name="Normal 71 7 2 2" xfId="18722" xr:uid="{00000000-0005-0000-0000-000021490000}"/>
    <cellStyle name="Normal 71 7 2 3" xfId="18723" xr:uid="{00000000-0005-0000-0000-000022490000}"/>
    <cellStyle name="Normal 71 7 3" xfId="18724" xr:uid="{00000000-0005-0000-0000-000023490000}"/>
    <cellStyle name="Normal 71 7 4" xfId="18725" xr:uid="{00000000-0005-0000-0000-000024490000}"/>
    <cellStyle name="Normal 71 8" xfId="18726" xr:uid="{00000000-0005-0000-0000-000025490000}"/>
    <cellStyle name="Normal 71 8 2" xfId="18727" xr:uid="{00000000-0005-0000-0000-000026490000}"/>
    <cellStyle name="Normal 71 8 3" xfId="18728" xr:uid="{00000000-0005-0000-0000-000027490000}"/>
    <cellStyle name="Normal 71 9" xfId="18729" xr:uid="{00000000-0005-0000-0000-000028490000}"/>
    <cellStyle name="Normal 71 9 2" xfId="18730" xr:uid="{00000000-0005-0000-0000-000029490000}"/>
    <cellStyle name="Normal 71 9 3" xfId="18731" xr:uid="{00000000-0005-0000-0000-00002A490000}"/>
    <cellStyle name="Normal 72" xfId="18732" xr:uid="{00000000-0005-0000-0000-00002B490000}"/>
    <cellStyle name="Normal 72 10" xfId="18733" xr:uid="{00000000-0005-0000-0000-00002C490000}"/>
    <cellStyle name="Normal 72 10 2" xfId="18734" xr:uid="{00000000-0005-0000-0000-00002D490000}"/>
    <cellStyle name="Normal 72 10 3" xfId="18735" xr:uid="{00000000-0005-0000-0000-00002E490000}"/>
    <cellStyle name="Normal 72 10 3 2" xfId="18736" xr:uid="{00000000-0005-0000-0000-00002F490000}"/>
    <cellStyle name="Normal 72 10 4" xfId="18737" xr:uid="{00000000-0005-0000-0000-000030490000}"/>
    <cellStyle name="Normal 72 11" xfId="18738" xr:uid="{00000000-0005-0000-0000-000031490000}"/>
    <cellStyle name="Normal 72 11 2" xfId="18739" xr:uid="{00000000-0005-0000-0000-000032490000}"/>
    <cellStyle name="Normal 72 11 2 2" xfId="18740" xr:uid="{00000000-0005-0000-0000-000033490000}"/>
    <cellStyle name="Normal 72 11 3" xfId="18741" xr:uid="{00000000-0005-0000-0000-000034490000}"/>
    <cellStyle name="Normal 72 12" xfId="18742" xr:uid="{00000000-0005-0000-0000-000035490000}"/>
    <cellStyle name="Normal 72 13" xfId="18743" xr:uid="{00000000-0005-0000-0000-000036490000}"/>
    <cellStyle name="Normal 72 2" xfId="18744" xr:uid="{00000000-0005-0000-0000-000037490000}"/>
    <cellStyle name="Normal 72 2 2" xfId="18745" xr:uid="{00000000-0005-0000-0000-000038490000}"/>
    <cellStyle name="Normal 72 2 2 2" xfId="18746" xr:uid="{00000000-0005-0000-0000-000039490000}"/>
    <cellStyle name="Normal 72 2 2 2 2" xfId="18747" xr:uid="{00000000-0005-0000-0000-00003A490000}"/>
    <cellStyle name="Normal 72 2 2 2 2 2" xfId="18748" xr:uid="{00000000-0005-0000-0000-00003B490000}"/>
    <cellStyle name="Normal 72 2 2 2 2 3" xfId="18749" xr:uid="{00000000-0005-0000-0000-00003C490000}"/>
    <cellStyle name="Normal 72 2 2 2 3" xfId="18750" xr:uid="{00000000-0005-0000-0000-00003D490000}"/>
    <cellStyle name="Normal 72 2 2 2 3 2" xfId="18751" xr:uid="{00000000-0005-0000-0000-00003E490000}"/>
    <cellStyle name="Normal 72 2 2 2 3 3" xfId="18752" xr:uid="{00000000-0005-0000-0000-00003F490000}"/>
    <cellStyle name="Normal 72 2 2 2 4" xfId="18753" xr:uid="{00000000-0005-0000-0000-000040490000}"/>
    <cellStyle name="Normal 72 2 2 2 5" xfId="18754" xr:uid="{00000000-0005-0000-0000-000041490000}"/>
    <cellStyle name="Normal 72 2 2 3" xfId="18755" xr:uid="{00000000-0005-0000-0000-000042490000}"/>
    <cellStyle name="Normal 72 2 2 3 2" xfId="18756" xr:uid="{00000000-0005-0000-0000-000043490000}"/>
    <cellStyle name="Normal 72 2 2 3 2 2" xfId="18757" xr:uid="{00000000-0005-0000-0000-000044490000}"/>
    <cellStyle name="Normal 72 2 2 3 2 3" xfId="18758" xr:uid="{00000000-0005-0000-0000-000045490000}"/>
    <cellStyle name="Normal 72 2 2 3 3" xfId="18759" xr:uid="{00000000-0005-0000-0000-000046490000}"/>
    <cellStyle name="Normal 72 2 2 3 3 2" xfId="18760" xr:uid="{00000000-0005-0000-0000-000047490000}"/>
    <cellStyle name="Normal 72 2 2 3 3 3" xfId="18761" xr:uid="{00000000-0005-0000-0000-000048490000}"/>
    <cellStyle name="Normal 72 2 2 3 4" xfId="18762" xr:uid="{00000000-0005-0000-0000-000049490000}"/>
    <cellStyle name="Normal 72 2 2 3 5" xfId="18763" xr:uid="{00000000-0005-0000-0000-00004A490000}"/>
    <cellStyle name="Normal 72 2 2 4" xfId="18764" xr:uid="{00000000-0005-0000-0000-00004B490000}"/>
    <cellStyle name="Normal 72 2 2 4 2" xfId="18765" xr:uid="{00000000-0005-0000-0000-00004C490000}"/>
    <cellStyle name="Normal 72 2 2 4 3" xfId="18766" xr:uid="{00000000-0005-0000-0000-00004D490000}"/>
    <cellStyle name="Normal 72 2 2 5" xfId="18767" xr:uid="{00000000-0005-0000-0000-00004E490000}"/>
    <cellStyle name="Normal 72 2 2 5 2" xfId="18768" xr:uid="{00000000-0005-0000-0000-00004F490000}"/>
    <cellStyle name="Normal 72 2 2 5 3" xfId="18769" xr:uid="{00000000-0005-0000-0000-000050490000}"/>
    <cellStyle name="Normal 72 2 2 6" xfId="18770" xr:uid="{00000000-0005-0000-0000-000051490000}"/>
    <cellStyle name="Normal 72 2 2 7" xfId="18771" xr:uid="{00000000-0005-0000-0000-000052490000}"/>
    <cellStyle name="Normal 72 2 3" xfId="18772" xr:uid="{00000000-0005-0000-0000-000053490000}"/>
    <cellStyle name="Normal 72 2 3 2" xfId="18773" xr:uid="{00000000-0005-0000-0000-000054490000}"/>
    <cellStyle name="Normal 72 2 3 2 2" xfId="18774" xr:uid="{00000000-0005-0000-0000-000055490000}"/>
    <cellStyle name="Normal 72 2 3 2 3" xfId="18775" xr:uid="{00000000-0005-0000-0000-000056490000}"/>
    <cellStyle name="Normal 72 2 3 3" xfId="18776" xr:uid="{00000000-0005-0000-0000-000057490000}"/>
    <cellStyle name="Normal 72 2 3 3 2" xfId="18777" xr:uid="{00000000-0005-0000-0000-000058490000}"/>
    <cellStyle name="Normal 72 2 3 3 3" xfId="18778" xr:uid="{00000000-0005-0000-0000-000059490000}"/>
    <cellStyle name="Normal 72 2 3 4" xfId="18779" xr:uid="{00000000-0005-0000-0000-00005A490000}"/>
    <cellStyle name="Normal 72 2 3 5" xfId="18780" xr:uid="{00000000-0005-0000-0000-00005B490000}"/>
    <cellStyle name="Normal 72 2 4" xfId="18781" xr:uid="{00000000-0005-0000-0000-00005C490000}"/>
    <cellStyle name="Normal 72 2 4 2" xfId="18782" xr:uid="{00000000-0005-0000-0000-00005D490000}"/>
    <cellStyle name="Normal 72 2 4 2 2" xfId="18783" xr:uid="{00000000-0005-0000-0000-00005E490000}"/>
    <cellStyle name="Normal 72 2 4 2 3" xfId="18784" xr:uid="{00000000-0005-0000-0000-00005F490000}"/>
    <cellStyle name="Normal 72 2 4 3" xfId="18785" xr:uid="{00000000-0005-0000-0000-000060490000}"/>
    <cellStyle name="Normal 72 2 4 3 2" xfId="18786" xr:uid="{00000000-0005-0000-0000-000061490000}"/>
    <cellStyle name="Normal 72 2 4 3 3" xfId="18787" xr:uid="{00000000-0005-0000-0000-000062490000}"/>
    <cellStyle name="Normal 72 2 4 4" xfId="18788" xr:uid="{00000000-0005-0000-0000-000063490000}"/>
    <cellStyle name="Normal 72 2 4 5" xfId="18789" xr:uid="{00000000-0005-0000-0000-000064490000}"/>
    <cellStyle name="Normal 72 2 5" xfId="18790" xr:uid="{00000000-0005-0000-0000-000065490000}"/>
    <cellStyle name="Normal 72 2 5 2" xfId="18791" xr:uid="{00000000-0005-0000-0000-000066490000}"/>
    <cellStyle name="Normal 72 2 5 3" xfId="18792" xr:uid="{00000000-0005-0000-0000-000067490000}"/>
    <cellStyle name="Normal 72 2 6" xfId="18793" xr:uid="{00000000-0005-0000-0000-000068490000}"/>
    <cellStyle name="Normal 72 2 6 2" xfId="18794" xr:uid="{00000000-0005-0000-0000-000069490000}"/>
    <cellStyle name="Normal 72 2 6 3" xfId="18795" xr:uid="{00000000-0005-0000-0000-00006A490000}"/>
    <cellStyle name="Normal 72 2 7" xfId="18796" xr:uid="{00000000-0005-0000-0000-00006B490000}"/>
    <cellStyle name="Normal 72 2 7 2" xfId="18797" xr:uid="{00000000-0005-0000-0000-00006C490000}"/>
    <cellStyle name="Normal 72 2 7 3" xfId="18798" xr:uid="{00000000-0005-0000-0000-00006D490000}"/>
    <cellStyle name="Normal 72 2 7 3 2" xfId="18799" xr:uid="{00000000-0005-0000-0000-00006E490000}"/>
    <cellStyle name="Normal 72 2 7 4" xfId="18800" xr:uid="{00000000-0005-0000-0000-00006F490000}"/>
    <cellStyle name="Normal 72 2 8" xfId="18801" xr:uid="{00000000-0005-0000-0000-000070490000}"/>
    <cellStyle name="Normal 72 2 9" xfId="18802" xr:uid="{00000000-0005-0000-0000-000071490000}"/>
    <cellStyle name="Normal 72 3" xfId="18803" xr:uid="{00000000-0005-0000-0000-000072490000}"/>
    <cellStyle name="Normal 72 3 2" xfId="18804" xr:uid="{00000000-0005-0000-0000-000073490000}"/>
    <cellStyle name="Normal 72 3 2 2" xfId="18805" xr:uid="{00000000-0005-0000-0000-000074490000}"/>
    <cellStyle name="Normal 72 3 2 2 2" xfId="18806" xr:uid="{00000000-0005-0000-0000-000075490000}"/>
    <cellStyle name="Normal 72 3 2 2 3" xfId="18807" xr:uid="{00000000-0005-0000-0000-000076490000}"/>
    <cellStyle name="Normal 72 3 2 3" xfId="18808" xr:uid="{00000000-0005-0000-0000-000077490000}"/>
    <cellStyle name="Normal 72 3 2 3 2" xfId="18809" xr:uid="{00000000-0005-0000-0000-000078490000}"/>
    <cellStyle name="Normal 72 3 2 3 3" xfId="18810" xr:uid="{00000000-0005-0000-0000-000079490000}"/>
    <cellStyle name="Normal 72 3 2 4" xfId="18811" xr:uid="{00000000-0005-0000-0000-00007A490000}"/>
    <cellStyle name="Normal 72 3 2 5" xfId="18812" xr:uid="{00000000-0005-0000-0000-00007B490000}"/>
    <cellStyle name="Normal 72 3 3" xfId="18813" xr:uid="{00000000-0005-0000-0000-00007C490000}"/>
    <cellStyle name="Normal 72 3 3 2" xfId="18814" xr:uid="{00000000-0005-0000-0000-00007D490000}"/>
    <cellStyle name="Normal 72 3 3 2 2" xfId="18815" xr:uid="{00000000-0005-0000-0000-00007E490000}"/>
    <cellStyle name="Normal 72 3 3 2 3" xfId="18816" xr:uid="{00000000-0005-0000-0000-00007F490000}"/>
    <cellStyle name="Normal 72 3 3 3" xfId="18817" xr:uid="{00000000-0005-0000-0000-000080490000}"/>
    <cellStyle name="Normal 72 3 3 3 2" xfId="18818" xr:uid="{00000000-0005-0000-0000-000081490000}"/>
    <cellStyle name="Normal 72 3 3 3 3" xfId="18819" xr:uid="{00000000-0005-0000-0000-000082490000}"/>
    <cellStyle name="Normal 72 3 3 4" xfId="18820" xr:uid="{00000000-0005-0000-0000-000083490000}"/>
    <cellStyle name="Normal 72 3 3 5" xfId="18821" xr:uid="{00000000-0005-0000-0000-000084490000}"/>
    <cellStyle name="Normal 72 3 4" xfId="18822" xr:uid="{00000000-0005-0000-0000-000085490000}"/>
    <cellStyle name="Normal 72 3 4 2" xfId="18823" xr:uid="{00000000-0005-0000-0000-000086490000}"/>
    <cellStyle name="Normal 72 3 4 3" xfId="18824" xr:uid="{00000000-0005-0000-0000-000087490000}"/>
    <cellStyle name="Normal 72 3 5" xfId="18825" xr:uid="{00000000-0005-0000-0000-000088490000}"/>
    <cellStyle name="Normal 72 3 5 2" xfId="18826" xr:uid="{00000000-0005-0000-0000-000089490000}"/>
    <cellStyle name="Normal 72 3 5 3" xfId="18827" xr:uid="{00000000-0005-0000-0000-00008A490000}"/>
    <cellStyle name="Normal 72 3 6" xfId="18828" xr:uid="{00000000-0005-0000-0000-00008B490000}"/>
    <cellStyle name="Normal 72 3 7" xfId="18829" xr:uid="{00000000-0005-0000-0000-00008C490000}"/>
    <cellStyle name="Normal 72 4" xfId="18830" xr:uid="{00000000-0005-0000-0000-00008D490000}"/>
    <cellStyle name="Normal 72 4 2" xfId="18831" xr:uid="{00000000-0005-0000-0000-00008E490000}"/>
    <cellStyle name="Normal 72 4 2 2" xfId="18832" xr:uid="{00000000-0005-0000-0000-00008F490000}"/>
    <cellStyle name="Normal 72 4 2 2 2" xfId="18833" xr:uid="{00000000-0005-0000-0000-000090490000}"/>
    <cellStyle name="Normal 72 4 2 2 3" xfId="18834" xr:uid="{00000000-0005-0000-0000-000091490000}"/>
    <cellStyle name="Normal 72 4 2 3" xfId="18835" xr:uid="{00000000-0005-0000-0000-000092490000}"/>
    <cellStyle name="Normal 72 4 2 3 2" xfId="18836" xr:uid="{00000000-0005-0000-0000-000093490000}"/>
    <cellStyle name="Normal 72 4 2 3 3" xfId="18837" xr:uid="{00000000-0005-0000-0000-000094490000}"/>
    <cellStyle name="Normal 72 4 2 4" xfId="18838" xr:uid="{00000000-0005-0000-0000-000095490000}"/>
    <cellStyle name="Normal 72 4 2 5" xfId="18839" xr:uid="{00000000-0005-0000-0000-000096490000}"/>
    <cellStyle name="Normal 72 4 3" xfId="18840" xr:uid="{00000000-0005-0000-0000-000097490000}"/>
    <cellStyle name="Normal 72 4 3 2" xfId="18841" xr:uid="{00000000-0005-0000-0000-000098490000}"/>
    <cellStyle name="Normal 72 4 3 2 2" xfId="18842" xr:uid="{00000000-0005-0000-0000-000099490000}"/>
    <cellStyle name="Normal 72 4 3 2 3" xfId="18843" xr:uid="{00000000-0005-0000-0000-00009A490000}"/>
    <cellStyle name="Normal 72 4 3 3" xfId="18844" xr:uid="{00000000-0005-0000-0000-00009B490000}"/>
    <cellStyle name="Normal 72 4 3 4" xfId="18845" xr:uid="{00000000-0005-0000-0000-00009C490000}"/>
    <cellStyle name="Normal 72 4 4" xfId="18846" xr:uid="{00000000-0005-0000-0000-00009D490000}"/>
    <cellStyle name="Normal 72 4 4 2" xfId="18847" xr:uid="{00000000-0005-0000-0000-00009E490000}"/>
    <cellStyle name="Normal 72 4 4 3" xfId="18848" xr:uid="{00000000-0005-0000-0000-00009F490000}"/>
    <cellStyle name="Normal 72 4 5" xfId="18849" xr:uid="{00000000-0005-0000-0000-0000A0490000}"/>
    <cellStyle name="Normal 72 4 5 2" xfId="18850" xr:uid="{00000000-0005-0000-0000-0000A1490000}"/>
    <cellStyle name="Normal 72 4 5 3" xfId="18851" xr:uid="{00000000-0005-0000-0000-0000A2490000}"/>
    <cellStyle name="Normal 72 4 6" xfId="18852" xr:uid="{00000000-0005-0000-0000-0000A3490000}"/>
    <cellStyle name="Normal 72 4 7" xfId="18853" xr:uid="{00000000-0005-0000-0000-0000A4490000}"/>
    <cellStyle name="Normal 72 5" xfId="18854" xr:uid="{00000000-0005-0000-0000-0000A5490000}"/>
    <cellStyle name="Normal 72 5 2" xfId="18855" xr:uid="{00000000-0005-0000-0000-0000A6490000}"/>
    <cellStyle name="Normal 72 5 2 2" xfId="18856" xr:uid="{00000000-0005-0000-0000-0000A7490000}"/>
    <cellStyle name="Normal 72 5 2 3" xfId="18857" xr:uid="{00000000-0005-0000-0000-0000A8490000}"/>
    <cellStyle name="Normal 72 5 3" xfId="18858" xr:uid="{00000000-0005-0000-0000-0000A9490000}"/>
    <cellStyle name="Normal 72 5 3 2" xfId="18859" xr:uid="{00000000-0005-0000-0000-0000AA490000}"/>
    <cellStyle name="Normal 72 5 3 3" xfId="18860" xr:uid="{00000000-0005-0000-0000-0000AB490000}"/>
    <cellStyle name="Normal 72 5 4" xfId="18861" xr:uid="{00000000-0005-0000-0000-0000AC490000}"/>
    <cellStyle name="Normal 72 5 5" xfId="18862" xr:uid="{00000000-0005-0000-0000-0000AD490000}"/>
    <cellStyle name="Normal 72 6" xfId="18863" xr:uid="{00000000-0005-0000-0000-0000AE490000}"/>
    <cellStyle name="Normal 72 6 2" xfId="18864" xr:uid="{00000000-0005-0000-0000-0000AF490000}"/>
    <cellStyle name="Normal 72 6 2 2" xfId="18865" xr:uid="{00000000-0005-0000-0000-0000B0490000}"/>
    <cellStyle name="Normal 72 6 2 3" xfId="18866" xr:uid="{00000000-0005-0000-0000-0000B1490000}"/>
    <cellStyle name="Normal 72 6 3" xfId="18867" xr:uid="{00000000-0005-0000-0000-0000B2490000}"/>
    <cellStyle name="Normal 72 6 3 2" xfId="18868" xr:uid="{00000000-0005-0000-0000-0000B3490000}"/>
    <cellStyle name="Normal 72 6 3 3" xfId="18869" xr:uid="{00000000-0005-0000-0000-0000B4490000}"/>
    <cellStyle name="Normal 72 6 4" xfId="18870" xr:uid="{00000000-0005-0000-0000-0000B5490000}"/>
    <cellStyle name="Normal 72 6 5" xfId="18871" xr:uid="{00000000-0005-0000-0000-0000B6490000}"/>
    <cellStyle name="Normal 72 7" xfId="18872" xr:uid="{00000000-0005-0000-0000-0000B7490000}"/>
    <cellStyle name="Normal 72 7 2" xfId="18873" xr:uid="{00000000-0005-0000-0000-0000B8490000}"/>
    <cellStyle name="Normal 72 7 2 2" xfId="18874" xr:uid="{00000000-0005-0000-0000-0000B9490000}"/>
    <cellStyle name="Normal 72 7 2 3" xfId="18875" xr:uid="{00000000-0005-0000-0000-0000BA490000}"/>
    <cellStyle name="Normal 72 7 3" xfId="18876" xr:uid="{00000000-0005-0000-0000-0000BB490000}"/>
    <cellStyle name="Normal 72 7 4" xfId="18877" xr:uid="{00000000-0005-0000-0000-0000BC490000}"/>
    <cellStyle name="Normal 72 8" xfId="18878" xr:uid="{00000000-0005-0000-0000-0000BD490000}"/>
    <cellStyle name="Normal 72 8 2" xfId="18879" xr:uid="{00000000-0005-0000-0000-0000BE490000}"/>
    <cellStyle name="Normal 72 8 3" xfId="18880" xr:uid="{00000000-0005-0000-0000-0000BF490000}"/>
    <cellStyle name="Normal 72 9" xfId="18881" xr:uid="{00000000-0005-0000-0000-0000C0490000}"/>
    <cellStyle name="Normal 72 9 2" xfId="18882" xr:uid="{00000000-0005-0000-0000-0000C1490000}"/>
    <cellStyle name="Normal 72 9 3" xfId="18883" xr:uid="{00000000-0005-0000-0000-0000C2490000}"/>
    <cellStyle name="Normal 73" xfId="18884" xr:uid="{00000000-0005-0000-0000-0000C3490000}"/>
    <cellStyle name="Normal 73 10" xfId="18885" xr:uid="{00000000-0005-0000-0000-0000C4490000}"/>
    <cellStyle name="Normal 73 10 2" xfId="18886" xr:uid="{00000000-0005-0000-0000-0000C5490000}"/>
    <cellStyle name="Normal 73 10 3" xfId="18887" xr:uid="{00000000-0005-0000-0000-0000C6490000}"/>
    <cellStyle name="Normal 73 10 3 2" xfId="18888" xr:uid="{00000000-0005-0000-0000-0000C7490000}"/>
    <cellStyle name="Normal 73 10 4" xfId="18889" xr:uid="{00000000-0005-0000-0000-0000C8490000}"/>
    <cellStyle name="Normal 73 11" xfId="18890" xr:uid="{00000000-0005-0000-0000-0000C9490000}"/>
    <cellStyle name="Normal 73 11 2" xfId="18891" xr:uid="{00000000-0005-0000-0000-0000CA490000}"/>
    <cellStyle name="Normal 73 11 2 2" xfId="18892" xr:uid="{00000000-0005-0000-0000-0000CB490000}"/>
    <cellStyle name="Normal 73 11 3" xfId="18893" xr:uid="{00000000-0005-0000-0000-0000CC490000}"/>
    <cellStyle name="Normal 73 12" xfId="18894" xr:uid="{00000000-0005-0000-0000-0000CD490000}"/>
    <cellStyle name="Normal 73 13" xfId="18895" xr:uid="{00000000-0005-0000-0000-0000CE490000}"/>
    <cellStyle name="Normal 73 2" xfId="18896" xr:uid="{00000000-0005-0000-0000-0000CF490000}"/>
    <cellStyle name="Normal 73 2 2" xfId="18897" xr:uid="{00000000-0005-0000-0000-0000D0490000}"/>
    <cellStyle name="Normal 73 2 2 2" xfId="18898" xr:uid="{00000000-0005-0000-0000-0000D1490000}"/>
    <cellStyle name="Normal 73 2 2 2 2" xfId="18899" xr:uid="{00000000-0005-0000-0000-0000D2490000}"/>
    <cellStyle name="Normal 73 2 2 2 2 2" xfId="18900" xr:uid="{00000000-0005-0000-0000-0000D3490000}"/>
    <cellStyle name="Normal 73 2 2 2 2 3" xfId="18901" xr:uid="{00000000-0005-0000-0000-0000D4490000}"/>
    <cellStyle name="Normal 73 2 2 2 3" xfId="18902" xr:uid="{00000000-0005-0000-0000-0000D5490000}"/>
    <cellStyle name="Normal 73 2 2 2 3 2" xfId="18903" xr:uid="{00000000-0005-0000-0000-0000D6490000}"/>
    <cellStyle name="Normal 73 2 2 2 3 3" xfId="18904" xr:uid="{00000000-0005-0000-0000-0000D7490000}"/>
    <cellStyle name="Normal 73 2 2 2 4" xfId="18905" xr:uid="{00000000-0005-0000-0000-0000D8490000}"/>
    <cellStyle name="Normal 73 2 2 2 5" xfId="18906" xr:uid="{00000000-0005-0000-0000-0000D9490000}"/>
    <cellStyle name="Normal 73 2 2 3" xfId="18907" xr:uid="{00000000-0005-0000-0000-0000DA490000}"/>
    <cellStyle name="Normal 73 2 2 3 2" xfId="18908" xr:uid="{00000000-0005-0000-0000-0000DB490000}"/>
    <cellStyle name="Normal 73 2 2 3 2 2" xfId="18909" xr:uid="{00000000-0005-0000-0000-0000DC490000}"/>
    <cellStyle name="Normal 73 2 2 3 2 3" xfId="18910" xr:uid="{00000000-0005-0000-0000-0000DD490000}"/>
    <cellStyle name="Normal 73 2 2 3 3" xfId="18911" xr:uid="{00000000-0005-0000-0000-0000DE490000}"/>
    <cellStyle name="Normal 73 2 2 3 3 2" xfId="18912" xr:uid="{00000000-0005-0000-0000-0000DF490000}"/>
    <cellStyle name="Normal 73 2 2 3 3 3" xfId="18913" xr:uid="{00000000-0005-0000-0000-0000E0490000}"/>
    <cellStyle name="Normal 73 2 2 3 4" xfId="18914" xr:uid="{00000000-0005-0000-0000-0000E1490000}"/>
    <cellStyle name="Normal 73 2 2 3 5" xfId="18915" xr:uid="{00000000-0005-0000-0000-0000E2490000}"/>
    <cellStyle name="Normal 73 2 2 4" xfId="18916" xr:uid="{00000000-0005-0000-0000-0000E3490000}"/>
    <cellStyle name="Normal 73 2 2 4 2" xfId="18917" xr:uid="{00000000-0005-0000-0000-0000E4490000}"/>
    <cellStyle name="Normal 73 2 2 4 3" xfId="18918" xr:uid="{00000000-0005-0000-0000-0000E5490000}"/>
    <cellStyle name="Normal 73 2 2 5" xfId="18919" xr:uid="{00000000-0005-0000-0000-0000E6490000}"/>
    <cellStyle name="Normal 73 2 2 5 2" xfId="18920" xr:uid="{00000000-0005-0000-0000-0000E7490000}"/>
    <cellStyle name="Normal 73 2 2 5 3" xfId="18921" xr:uid="{00000000-0005-0000-0000-0000E8490000}"/>
    <cellStyle name="Normal 73 2 2 6" xfId="18922" xr:uid="{00000000-0005-0000-0000-0000E9490000}"/>
    <cellStyle name="Normal 73 2 2 7" xfId="18923" xr:uid="{00000000-0005-0000-0000-0000EA490000}"/>
    <cellStyle name="Normal 73 2 3" xfId="18924" xr:uid="{00000000-0005-0000-0000-0000EB490000}"/>
    <cellStyle name="Normal 73 2 3 2" xfId="18925" xr:uid="{00000000-0005-0000-0000-0000EC490000}"/>
    <cellStyle name="Normal 73 2 3 2 2" xfId="18926" xr:uid="{00000000-0005-0000-0000-0000ED490000}"/>
    <cellStyle name="Normal 73 2 3 2 3" xfId="18927" xr:uid="{00000000-0005-0000-0000-0000EE490000}"/>
    <cellStyle name="Normal 73 2 3 3" xfId="18928" xr:uid="{00000000-0005-0000-0000-0000EF490000}"/>
    <cellStyle name="Normal 73 2 3 3 2" xfId="18929" xr:uid="{00000000-0005-0000-0000-0000F0490000}"/>
    <cellStyle name="Normal 73 2 3 3 3" xfId="18930" xr:uid="{00000000-0005-0000-0000-0000F1490000}"/>
    <cellStyle name="Normal 73 2 3 4" xfId="18931" xr:uid="{00000000-0005-0000-0000-0000F2490000}"/>
    <cellStyle name="Normal 73 2 3 5" xfId="18932" xr:uid="{00000000-0005-0000-0000-0000F3490000}"/>
    <cellStyle name="Normal 73 2 4" xfId="18933" xr:uid="{00000000-0005-0000-0000-0000F4490000}"/>
    <cellStyle name="Normal 73 2 4 2" xfId="18934" xr:uid="{00000000-0005-0000-0000-0000F5490000}"/>
    <cellStyle name="Normal 73 2 4 2 2" xfId="18935" xr:uid="{00000000-0005-0000-0000-0000F6490000}"/>
    <cellStyle name="Normal 73 2 4 2 3" xfId="18936" xr:uid="{00000000-0005-0000-0000-0000F7490000}"/>
    <cellStyle name="Normal 73 2 4 3" xfId="18937" xr:uid="{00000000-0005-0000-0000-0000F8490000}"/>
    <cellStyle name="Normal 73 2 4 3 2" xfId="18938" xr:uid="{00000000-0005-0000-0000-0000F9490000}"/>
    <cellStyle name="Normal 73 2 4 3 3" xfId="18939" xr:uid="{00000000-0005-0000-0000-0000FA490000}"/>
    <cellStyle name="Normal 73 2 4 4" xfId="18940" xr:uid="{00000000-0005-0000-0000-0000FB490000}"/>
    <cellStyle name="Normal 73 2 4 5" xfId="18941" xr:uid="{00000000-0005-0000-0000-0000FC490000}"/>
    <cellStyle name="Normal 73 2 5" xfId="18942" xr:uid="{00000000-0005-0000-0000-0000FD490000}"/>
    <cellStyle name="Normal 73 2 5 2" xfId="18943" xr:uid="{00000000-0005-0000-0000-0000FE490000}"/>
    <cellStyle name="Normal 73 2 5 3" xfId="18944" xr:uid="{00000000-0005-0000-0000-0000FF490000}"/>
    <cellStyle name="Normal 73 2 6" xfId="18945" xr:uid="{00000000-0005-0000-0000-0000004A0000}"/>
    <cellStyle name="Normal 73 2 6 2" xfId="18946" xr:uid="{00000000-0005-0000-0000-0000014A0000}"/>
    <cellStyle name="Normal 73 2 6 3" xfId="18947" xr:uid="{00000000-0005-0000-0000-0000024A0000}"/>
    <cellStyle name="Normal 73 2 7" xfId="18948" xr:uid="{00000000-0005-0000-0000-0000034A0000}"/>
    <cellStyle name="Normal 73 2 7 2" xfId="18949" xr:uid="{00000000-0005-0000-0000-0000044A0000}"/>
    <cellStyle name="Normal 73 2 7 3" xfId="18950" xr:uid="{00000000-0005-0000-0000-0000054A0000}"/>
    <cellStyle name="Normal 73 2 7 3 2" xfId="18951" xr:uid="{00000000-0005-0000-0000-0000064A0000}"/>
    <cellStyle name="Normal 73 2 7 4" xfId="18952" xr:uid="{00000000-0005-0000-0000-0000074A0000}"/>
    <cellStyle name="Normal 73 2 8" xfId="18953" xr:uid="{00000000-0005-0000-0000-0000084A0000}"/>
    <cellStyle name="Normal 73 2 9" xfId="18954" xr:uid="{00000000-0005-0000-0000-0000094A0000}"/>
    <cellStyle name="Normal 73 3" xfId="18955" xr:uid="{00000000-0005-0000-0000-00000A4A0000}"/>
    <cellStyle name="Normal 73 3 2" xfId="18956" xr:uid="{00000000-0005-0000-0000-00000B4A0000}"/>
    <cellStyle name="Normal 73 3 2 2" xfId="18957" xr:uid="{00000000-0005-0000-0000-00000C4A0000}"/>
    <cellStyle name="Normal 73 3 2 2 2" xfId="18958" xr:uid="{00000000-0005-0000-0000-00000D4A0000}"/>
    <cellStyle name="Normal 73 3 2 2 3" xfId="18959" xr:uid="{00000000-0005-0000-0000-00000E4A0000}"/>
    <cellStyle name="Normal 73 3 2 3" xfId="18960" xr:uid="{00000000-0005-0000-0000-00000F4A0000}"/>
    <cellStyle name="Normal 73 3 2 3 2" xfId="18961" xr:uid="{00000000-0005-0000-0000-0000104A0000}"/>
    <cellStyle name="Normal 73 3 2 3 3" xfId="18962" xr:uid="{00000000-0005-0000-0000-0000114A0000}"/>
    <cellStyle name="Normal 73 3 2 4" xfId="18963" xr:uid="{00000000-0005-0000-0000-0000124A0000}"/>
    <cellStyle name="Normal 73 3 2 5" xfId="18964" xr:uid="{00000000-0005-0000-0000-0000134A0000}"/>
    <cellStyle name="Normal 73 3 3" xfId="18965" xr:uid="{00000000-0005-0000-0000-0000144A0000}"/>
    <cellStyle name="Normal 73 3 3 2" xfId="18966" xr:uid="{00000000-0005-0000-0000-0000154A0000}"/>
    <cellStyle name="Normal 73 3 3 2 2" xfId="18967" xr:uid="{00000000-0005-0000-0000-0000164A0000}"/>
    <cellStyle name="Normal 73 3 3 2 3" xfId="18968" xr:uid="{00000000-0005-0000-0000-0000174A0000}"/>
    <cellStyle name="Normal 73 3 3 3" xfId="18969" xr:uid="{00000000-0005-0000-0000-0000184A0000}"/>
    <cellStyle name="Normal 73 3 3 3 2" xfId="18970" xr:uid="{00000000-0005-0000-0000-0000194A0000}"/>
    <cellStyle name="Normal 73 3 3 3 3" xfId="18971" xr:uid="{00000000-0005-0000-0000-00001A4A0000}"/>
    <cellStyle name="Normal 73 3 3 4" xfId="18972" xr:uid="{00000000-0005-0000-0000-00001B4A0000}"/>
    <cellStyle name="Normal 73 3 3 5" xfId="18973" xr:uid="{00000000-0005-0000-0000-00001C4A0000}"/>
    <cellStyle name="Normal 73 3 4" xfId="18974" xr:uid="{00000000-0005-0000-0000-00001D4A0000}"/>
    <cellStyle name="Normal 73 3 4 2" xfId="18975" xr:uid="{00000000-0005-0000-0000-00001E4A0000}"/>
    <cellStyle name="Normal 73 3 4 3" xfId="18976" xr:uid="{00000000-0005-0000-0000-00001F4A0000}"/>
    <cellStyle name="Normal 73 3 5" xfId="18977" xr:uid="{00000000-0005-0000-0000-0000204A0000}"/>
    <cellStyle name="Normal 73 3 5 2" xfId="18978" xr:uid="{00000000-0005-0000-0000-0000214A0000}"/>
    <cellStyle name="Normal 73 3 5 3" xfId="18979" xr:uid="{00000000-0005-0000-0000-0000224A0000}"/>
    <cellStyle name="Normal 73 3 6" xfId="18980" xr:uid="{00000000-0005-0000-0000-0000234A0000}"/>
    <cellStyle name="Normal 73 3 7" xfId="18981" xr:uid="{00000000-0005-0000-0000-0000244A0000}"/>
    <cellStyle name="Normal 73 4" xfId="18982" xr:uid="{00000000-0005-0000-0000-0000254A0000}"/>
    <cellStyle name="Normal 73 4 2" xfId="18983" xr:uid="{00000000-0005-0000-0000-0000264A0000}"/>
    <cellStyle name="Normal 73 4 2 2" xfId="18984" xr:uid="{00000000-0005-0000-0000-0000274A0000}"/>
    <cellStyle name="Normal 73 4 2 2 2" xfId="18985" xr:uid="{00000000-0005-0000-0000-0000284A0000}"/>
    <cellStyle name="Normal 73 4 2 2 3" xfId="18986" xr:uid="{00000000-0005-0000-0000-0000294A0000}"/>
    <cellStyle name="Normal 73 4 2 3" xfId="18987" xr:uid="{00000000-0005-0000-0000-00002A4A0000}"/>
    <cellStyle name="Normal 73 4 2 3 2" xfId="18988" xr:uid="{00000000-0005-0000-0000-00002B4A0000}"/>
    <cellStyle name="Normal 73 4 2 3 3" xfId="18989" xr:uid="{00000000-0005-0000-0000-00002C4A0000}"/>
    <cellStyle name="Normal 73 4 2 4" xfId="18990" xr:uid="{00000000-0005-0000-0000-00002D4A0000}"/>
    <cellStyle name="Normal 73 4 2 5" xfId="18991" xr:uid="{00000000-0005-0000-0000-00002E4A0000}"/>
    <cellStyle name="Normal 73 4 3" xfId="18992" xr:uid="{00000000-0005-0000-0000-00002F4A0000}"/>
    <cellStyle name="Normal 73 4 3 2" xfId="18993" xr:uid="{00000000-0005-0000-0000-0000304A0000}"/>
    <cellStyle name="Normal 73 4 3 2 2" xfId="18994" xr:uid="{00000000-0005-0000-0000-0000314A0000}"/>
    <cellStyle name="Normal 73 4 3 2 3" xfId="18995" xr:uid="{00000000-0005-0000-0000-0000324A0000}"/>
    <cellStyle name="Normal 73 4 3 3" xfId="18996" xr:uid="{00000000-0005-0000-0000-0000334A0000}"/>
    <cellStyle name="Normal 73 4 3 4" xfId="18997" xr:uid="{00000000-0005-0000-0000-0000344A0000}"/>
    <cellStyle name="Normal 73 4 4" xfId="18998" xr:uid="{00000000-0005-0000-0000-0000354A0000}"/>
    <cellStyle name="Normal 73 4 4 2" xfId="18999" xr:uid="{00000000-0005-0000-0000-0000364A0000}"/>
    <cellStyle name="Normal 73 4 4 3" xfId="19000" xr:uid="{00000000-0005-0000-0000-0000374A0000}"/>
    <cellStyle name="Normal 73 4 5" xfId="19001" xr:uid="{00000000-0005-0000-0000-0000384A0000}"/>
    <cellStyle name="Normal 73 4 5 2" xfId="19002" xr:uid="{00000000-0005-0000-0000-0000394A0000}"/>
    <cellStyle name="Normal 73 4 5 3" xfId="19003" xr:uid="{00000000-0005-0000-0000-00003A4A0000}"/>
    <cellStyle name="Normal 73 4 6" xfId="19004" xr:uid="{00000000-0005-0000-0000-00003B4A0000}"/>
    <cellStyle name="Normal 73 4 7" xfId="19005" xr:uid="{00000000-0005-0000-0000-00003C4A0000}"/>
    <cellStyle name="Normal 73 5" xfId="19006" xr:uid="{00000000-0005-0000-0000-00003D4A0000}"/>
    <cellStyle name="Normal 73 5 2" xfId="19007" xr:uid="{00000000-0005-0000-0000-00003E4A0000}"/>
    <cellStyle name="Normal 73 5 2 2" xfId="19008" xr:uid="{00000000-0005-0000-0000-00003F4A0000}"/>
    <cellStyle name="Normal 73 5 2 3" xfId="19009" xr:uid="{00000000-0005-0000-0000-0000404A0000}"/>
    <cellStyle name="Normal 73 5 3" xfId="19010" xr:uid="{00000000-0005-0000-0000-0000414A0000}"/>
    <cellStyle name="Normal 73 5 3 2" xfId="19011" xr:uid="{00000000-0005-0000-0000-0000424A0000}"/>
    <cellStyle name="Normal 73 5 3 3" xfId="19012" xr:uid="{00000000-0005-0000-0000-0000434A0000}"/>
    <cellStyle name="Normal 73 5 4" xfId="19013" xr:uid="{00000000-0005-0000-0000-0000444A0000}"/>
    <cellStyle name="Normal 73 5 5" xfId="19014" xr:uid="{00000000-0005-0000-0000-0000454A0000}"/>
    <cellStyle name="Normal 73 6" xfId="19015" xr:uid="{00000000-0005-0000-0000-0000464A0000}"/>
    <cellStyle name="Normal 73 6 2" xfId="19016" xr:uid="{00000000-0005-0000-0000-0000474A0000}"/>
    <cellStyle name="Normal 73 6 2 2" xfId="19017" xr:uid="{00000000-0005-0000-0000-0000484A0000}"/>
    <cellStyle name="Normal 73 6 2 3" xfId="19018" xr:uid="{00000000-0005-0000-0000-0000494A0000}"/>
    <cellStyle name="Normal 73 6 3" xfId="19019" xr:uid="{00000000-0005-0000-0000-00004A4A0000}"/>
    <cellStyle name="Normal 73 6 3 2" xfId="19020" xr:uid="{00000000-0005-0000-0000-00004B4A0000}"/>
    <cellStyle name="Normal 73 6 3 3" xfId="19021" xr:uid="{00000000-0005-0000-0000-00004C4A0000}"/>
    <cellStyle name="Normal 73 6 4" xfId="19022" xr:uid="{00000000-0005-0000-0000-00004D4A0000}"/>
    <cellStyle name="Normal 73 6 5" xfId="19023" xr:uid="{00000000-0005-0000-0000-00004E4A0000}"/>
    <cellStyle name="Normal 73 7" xfId="19024" xr:uid="{00000000-0005-0000-0000-00004F4A0000}"/>
    <cellStyle name="Normal 73 7 2" xfId="19025" xr:uid="{00000000-0005-0000-0000-0000504A0000}"/>
    <cellStyle name="Normal 73 7 2 2" xfId="19026" xr:uid="{00000000-0005-0000-0000-0000514A0000}"/>
    <cellStyle name="Normal 73 7 2 3" xfId="19027" xr:uid="{00000000-0005-0000-0000-0000524A0000}"/>
    <cellStyle name="Normal 73 7 3" xfId="19028" xr:uid="{00000000-0005-0000-0000-0000534A0000}"/>
    <cellStyle name="Normal 73 7 4" xfId="19029" xr:uid="{00000000-0005-0000-0000-0000544A0000}"/>
    <cellStyle name="Normal 73 8" xfId="19030" xr:uid="{00000000-0005-0000-0000-0000554A0000}"/>
    <cellStyle name="Normal 73 8 2" xfId="19031" xr:uid="{00000000-0005-0000-0000-0000564A0000}"/>
    <cellStyle name="Normal 73 8 3" xfId="19032" xr:uid="{00000000-0005-0000-0000-0000574A0000}"/>
    <cellStyle name="Normal 73 9" xfId="19033" xr:uid="{00000000-0005-0000-0000-0000584A0000}"/>
    <cellStyle name="Normal 73 9 2" xfId="19034" xr:uid="{00000000-0005-0000-0000-0000594A0000}"/>
    <cellStyle name="Normal 73 9 3" xfId="19035" xr:uid="{00000000-0005-0000-0000-00005A4A0000}"/>
    <cellStyle name="Normal 74" xfId="19036" xr:uid="{00000000-0005-0000-0000-00005B4A0000}"/>
    <cellStyle name="Normal 74 10" xfId="19037" xr:uid="{00000000-0005-0000-0000-00005C4A0000}"/>
    <cellStyle name="Normal 74 10 2" xfId="19038" xr:uid="{00000000-0005-0000-0000-00005D4A0000}"/>
    <cellStyle name="Normal 74 10 3" xfId="19039" xr:uid="{00000000-0005-0000-0000-00005E4A0000}"/>
    <cellStyle name="Normal 74 10 3 2" xfId="19040" xr:uid="{00000000-0005-0000-0000-00005F4A0000}"/>
    <cellStyle name="Normal 74 10 4" xfId="19041" xr:uid="{00000000-0005-0000-0000-0000604A0000}"/>
    <cellStyle name="Normal 74 11" xfId="19042" xr:uid="{00000000-0005-0000-0000-0000614A0000}"/>
    <cellStyle name="Normal 74 11 2" xfId="19043" xr:uid="{00000000-0005-0000-0000-0000624A0000}"/>
    <cellStyle name="Normal 74 11 2 2" xfId="19044" xr:uid="{00000000-0005-0000-0000-0000634A0000}"/>
    <cellStyle name="Normal 74 11 3" xfId="19045" xr:uid="{00000000-0005-0000-0000-0000644A0000}"/>
    <cellStyle name="Normal 74 12" xfId="19046" xr:uid="{00000000-0005-0000-0000-0000654A0000}"/>
    <cellStyle name="Normal 74 13" xfId="19047" xr:uid="{00000000-0005-0000-0000-0000664A0000}"/>
    <cellStyle name="Normal 74 2" xfId="19048" xr:uid="{00000000-0005-0000-0000-0000674A0000}"/>
    <cellStyle name="Normal 74 2 2" xfId="19049" xr:uid="{00000000-0005-0000-0000-0000684A0000}"/>
    <cellStyle name="Normal 74 2 2 2" xfId="19050" xr:uid="{00000000-0005-0000-0000-0000694A0000}"/>
    <cellStyle name="Normal 74 2 2 2 2" xfId="19051" xr:uid="{00000000-0005-0000-0000-00006A4A0000}"/>
    <cellStyle name="Normal 74 2 2 2 2 2" xfId="19052" xr:uid="{00000000-0005-0000-0000-00006B4A0000}"/>
    <cellStyle name="Normal 74 2 2 2 2 3" xfId="19053" xr:uid="{00000000-0005-0000-0000-00006C4A0000}"/>
    <cellStyle name="Normal 74 2 2 2 3" xfId="19054" xr:uid="{00000000-0005-0000-0000-00006D4A0000}"/>
    <cellStyle name="Normal 74 2 2 2 3 2" xfId="19055" xr:uid="{00000000-0005-0000-0000-00006E4A0000}"/>
    <cellStyle name="Normal 74 2 2 2 3 3" xfId="19056" xr:uid="{00000000-0005-0000-0000-00006F4A0000}"/>
    <cellStyle name="Normal 74 2 2 2 4" xfId="19057" xr:uid="{00000000-0005-0000-0000-0000704A0000}"/>
    <cellStyle name="Normal 74 2 2 2 5" xfId="19058" xr:uid="{00000000-0005-0000-0000-0000714A0000}"/>
    <cellStyle name="Normal 74 2 2 3" xfId="19059" xr:uid="{00000000-0005-0000-0000-0000724A0000}"/>
    <cellStyle name="Normal 74 2 2 3 2" xfId="19060" xr:uid="{00000000-0005-0000-0000-0000734A0000}"/>
    <cellStyle name="Normal 74 2 2 3 2 2" xfId="19061" xr:uid="{00000000-0005-0000-0000-0000744A0000}"/>
    <cellStyle name="Normal 74 2 2 3 2 3" xfId="19062" xr:uid="{00000000-0005-0000-0000-0000754A0000}"/>
    <cellStyle name="Normal 74 2 2 3 3" xfId="19063" xr:uid="{00000000-0005-0000-0000-0000764A0000}"/>
    <cellStyle name="Normal 74 2 2 3 3 2" xfId="19064" xr:uid="{00000000-0005-0000-0000-0000774A0000}"/>
    <cellStyle name="Normal 74 2 2 3 3 3" xfId="19065" xr:uid="{00000000-0005-0000-0000-0000784A0000}"/>
    <cellStyle name="Normal 74 2 2 3 4" xfId="19066" xr:uid="{00000000-0005-0000-0000-0000794A0000}"/>
    <cellStyle name="Normal 74 2 2 3 5" xfId="19067" xr:uid="{00000000-0005-0000-0000-00007A4A0000}"/>
    <cellStyle name="Normal 74 2 2 4" xfId="19068" xr:uid="{00000000-0005-0000-0000-00007B4A0000}"/>
    <cellStyle name="Normal 74 2 2 4 2" xfId="19069" xr:uid="{00000000-0005-0000-0000-00007C4A0000}"/>
    <cellStyle name="Normal 74 2 2 4 3" xfId="19070" xr:uid="{00000000-0005-0000-0000-00007D4A0000}"/>
    <cellStyle name="Normal 74 2 2 5" xfId="19071" xr:uid="{00000000-0005-0000-0000-00007E4A0000}"/>
    <cellStyle name="Normal 74 2 2 5 2" xfId="19072" xr:uid="{00000000-0005-0000-0000-00007F4A0000}"/>
    <cellStyle name="Normal 74 2 2 5 3" xfId="19073" xr:uid="{00000000-0005-0000-0000-0000804A0000}"/>
    <cellStyle name="Normal 74 2 2 6" xfId="19074" xr:uid="{00000000-0005-0000-0000-0000814A0000}"/>
    <cellStyle name="Normal 74 2 2 7" xfId="19075" xr:uid="{00000000-0005-0000-0000-0000824A0000}"/>
    <cellStyle name="Normal 74 2 3" xfId="19076" xr:uid="{00000000-0005-0000-0000-0000834A0000}"/>
    <cellStyle name="Normal 74 2 3 2" xfId="19077" xr:uid="{00000000-0005-0000-0000-0000844A0000}"/>
    <cellStyle name="Normal 74 2 3 2 2" xfId="19078" xr:uid="{00000000-0005-0000-0000-0000854A0000}"/>
    <cellStyle name="Normal 74 2 3 2 3" xfId="19079" xr:uid="{00000000-0005-0000-0000-0000864A0000}"/>
    <cellStyle name="Normal 74 2 3 3" xfId="19080" xr:uid="{00000000-0005-0000-0000-0000874A0000}"/>
    <cellStyle name="Normal 74 2 3 3 2" xfId="19081" xr:uid="{00000000-0005-0000-0000-0000884A0000}"/>
    <cellStyle name="Normal 74 2 3 3 3" xfId="19082" xr:uid="{00000000-0005-0000-0000-0000894A0000}"/>
    <cellStyle name="Normal 74 2 3 4" xfId="19083" xr:uid="{00000000-0005-0000-0000-00008A4A0000}"/>
    <cellStyle name="Normal 74 2 3 5" xfId="19084" xr:uid="{00000000-0005-0000-0000-00008B4A0000}"/>
    <cellStyle name="Normal 74 2 4" xfId="19085" xr:uid="{00000000-0005-0000-0000-00008C4A0000}"/>
    <cellStyle name="Normal 74 2 4 2" xfId="19086" xr:uid="{00000000-0005-0000-0000-00008D4A0000}"/>
    <cellStyle name="Normal 74 2 4 2 2" xfId="19087" xr:uid="{00000000-0005-0000-0000-00008E4A0000}"/>
    <cellStyle name="Normal 74 2 4 2 3" xfId="19088" xr:uid="{00000000-0005-0000-0000-00008F4A0000}"/>
    <cellStyle name="Normal 74 2 4 3" xfId="19089" xr:uid="{00000000-0005-0000-0000-0000904A0000}"/>
    <cellStyle name="Normal 74 2 4 3 2" xfId="19090" xr:uid="{00000000-0005-0000-0000-0000914A0000}"/>
    <cellStyle name="Normal 74 2 4 3 3" xfId="19091" xr:uid="{00000000-0005-0000-0000-0000924A0000}"/>
    <cellStyle name="Normal 74 2 4 4" xfId="19092" xr:uid="{00000000-0005-0000-0000-0000934A0000}"/>
    <cellStyle name="Normal 74 2 4 5" xfId="19093" xr:uid="{00000000-0005-0000-0000-0000944A0000}"/>
    <cellStyle name="Normal 74 2 5" xfId="19094" xr:uid="{00000000-0005-0000-0000-0000954A0000}"/>
    <cellStyle name="Normal 74 2 5 2" xfId="19095" xr:uid="{00000000-0005-0000-0000-0000964A0000}"/>
    <cellStyle name="Normal 74 2 5 3" xfId="19096" xr:uid="{00000000-0005-0000-0000-0000974A0000}"/>
    <cellStyle name="Normal 74 2 6" xfId="19097" xr:uid="{00000000-0005-0000-0000-0000984A0000}"/>
    <cellStyle name="Normal 74 2 6 2" xfId="19098" xr:uid="{00000000-0005-0000-0000-0000994A0000}"/>
    <cellStyle name="Normal 74 2 6 3" xfId="19099" xr:uid="{00000000-0005-0000-0000-00009A4A0000}"/>
    <cellStyle name="Normal 74 2 7" xfId="19100" xr:uid="{00000000-0005-0000-0000-00009B4A0000}"/>
    <cellStyle name="Normal 74 2 7 2" xfId="19101" xr:uid="{00000000-0005-0000-0000-00009C4A0000}"/>
    <cellStyle name="Normal 74 2 7 3" xfId="19102" xr:uid="{00000000-0005-0000-0000-00009D4A0000}"/>
    <cellStyle name="Normal 74 2 7 3 2" xfId="19103" xr:uid="{00000000-0005-0000-0000-00009E4A0000}"/>
    <cellStyle name="Normal 74 2 7 4" xfId="19104" xr:uid="{00000000-0005-0000-0000-00009F4A0000}"/>
    <cellStyle name="Normal 74 2 8" xfId="19105" xr:uid="{00000000-0005-0000-0000-0000A04A0000}"/>
    <cellStyle name="Normal 74 2 9" xfId="19106" xr:uid="{00000000-0005-0000-0000-0000A14A0000}"/>
    <cellStyle name="Normal 74 3" xfId="19107" xr:uid="{00000000-0005-0000-0000-0000A24A0000}"/>
    <cellStyle name="Normal 74 3 2" xfId="19108" xr:uid="{00000000-0005-0000-0000-0000A34A0000}"/>
    <cellStyle name="Normal 74 3 2 2" xfId="19109" xr:uid="{00000000-0005-0000-0000-0000A44A0000}"/>
    <cellStyle name="Normal 74 3 2 2 2" xfId="19110" xr:uid="{00000000-0005-0000-0000-0000A54A0000}"/>
    <cellStyle name="Normal 74 3 2 2 3" xfId="19111" xr:uid="{00000000-0005-0000-0000-0000A64A0000}"/>
    <cellStyle name="Normal 74 3 2 3" xfId="19112" xr:uid="{00000000-0005-0000-0000-0000A74A0000}"/>
    <cellStyle name="Normal 74 3 2 3 2" xfId="19113" xr:uid="{00000000-0005-0000-0000-0000A84A0000}"/>
    <cellStyle name="Normal 74 3 2 3 3" xfId="19114" xr:uid="{00000000-0005-0000-0000-0000A94A0000}"/>
    <cellStyle name="Normal 74 3 2 4" xfId="19115" xr:uid="{00000000-0005-0000-0000-0000AA4A0000}"/>
    <cellStyle name="Normal 74 3 2 5" xfId="19116" xr:uid="{00000000-0005-0000-0000-0000AB4A0000}"/>
    <cellStyle name="Normal 74 3 3" xfId="19117" xr:uid="{00000000-0005-0000-0000-0000AC4A0000}"/>
    <cellStyle name="Normal 74 3 3 2" xfId="19118" xr:uid="{00000000-0005-0000-0000-0000AD4A0000}"/>
    <cellStyle name="Normal 74 3 3 2 2" xfId="19119" xr:uid="{00000000-0005-0000-0000-0000AE4A0000}"/>
    <cellStyle name="Normal 74 3 3 2 3" xfId="19120" xr:uid="{00000000-0005-0000-0000-0000AF4A0000}"/>
    <cellStyle name="Normal 74 3 3 3" xfId="19121" xr:uid="{00000000-0005-0000-0000-0000B04A0000}"/>
    <cellStyle name="Normal 74 3 3 3 2" xfId="19122" xr:uid="{00000000-0005-0000-0000-0000B14A0000}"/>
    <cellStyle name="Normal 74 3 3 3 3" xfId="19123" xr:uid="{00000000-0005-0000-0000-0000B24A0000}"/>
    <cellStyle name="Normal 74 3 3 4" xfId="19124" xr:uid="{00000000-0005-0000-0000-0000B34A0000}"/>
    <cellStyle name="Normal 74 3 3 5" xfId="19125" xr:uid="{00000000-0005-0000-0000-0000B44A0000}"/>
    <cellStyle name="Normal 74 3 4" xfId="19126" xr:uid="{00000000-0005-0000-0000-0000B54A0000}"/>
    <cellStyle name="Normal 74 3 4 2" xfId="19127" xr:uid="{00000000-0005-0000-0000-0000B64A0000}"/>
    <cellStyle name="Normal 74 3 4 3" xfId="19128" xr:uid="{00000000-0005-0000-0000-0000B74A0000}"/>
    <cellStyle name="Normal 74 3 5" xfId="19129" xr:uid="{00000000-0005-0000-0000-0000B84A0000}"/>
    <cellStyle name="Normal 74 3 5 2" xfId="19130" xr:uid="{00000000-0005-0000-0000-0000B94A0000}"/>
    <cellStyle name="Normal 74 3 5 3" xfId="19131" xr:uid="{00000000-0005-0000-0000-0000BA4A0000}"/>
    <cellStyle name="Normal 74 3 6" xfId="19132" xr:uid="{00000000-0005-0000-0000-0000BB4A0000}"/>
    <cellStyle name="Normal 74 3 7" xfId="19133" xr:uid="{00000000-0005-0000-0000-0000BC4A0000}"/>
    <cellStyle name="Normal 74 4" xfId="19134" xr:uid="{00000000-0005-0000-0000-0000BD4A0000}"/>
    <cellStyle name="Normal 74 4 2" xfId="19135" xr:uid="{00000000-0005-0000-0000-0000BE4A0000}"/>
    <cellStyle name="Normal 74 4 2 2" xfId="19136" xr:uid="{00000000-0005-0000-0000-0000BF4A0000}"/>
    <cellStyle name="Normal 74 4 2 2 2" xfId="19137" xr:uid="{00000000-0005-0000-0000-0000C04A0000}"/>
    <cellStyle name="Normal 74 4 2 2 3" xfId="19138" xr:uid="{00000000-0005-0000-0000-0000C14A0000}"/>
    <cellStyle name="Normal 74 4 2 3" xfId="19139" xr:uid="{00000000-0005-0000-0000-0000C24A0000}"/>
    <cellStyle name="Normal 74 4 2 3 2" xfId="19140" xr:uid="{00000000-0005-0000-0000-0000C34A0000}"/>
    <cellStyle name="Normal 74 4 2 3 3" xfId="19141" xr:uid="{00000000-0005-0000-0000-0000C44A0000}"/>
    <cellStyle name="Normal 74 4 2 4" xfId="19142" xr:uid="{00000000-0005-0000-0000-0000C54A0000}"/>
    <cellStyle name="Normal 74 4 2 5" xfId="19143" xr:uid="{00000000-0005-0000-0000-0000C64A0000}"/>
    <cellStyle name="Normal 74 4 3" xfId="19144" xr:uid="{00000000-0005-0000-0000-0000C74A0000}"/>
    <cellStyle name="Normal 74 4 3 2" xfId="19145" xr:uid="{00000000-0005-0000-0000-0000C84A0000}"/>
    <cellStyle name="Normal 74 4 3 2 2" xfId="19146" xr:uid="{00000000-0005-0000-0000-0000C94A0000}"/>
    <cellStyle name="Normal 74 4 3 2 3" xfId="19147" xr:uid="{00000000-0005-0000-0000-0000CA4A0000}"/>
    <cellStyle name="Normal 74 4 3 3" xfId="19148" xr:uid="{00000000-0005-0000-0000-0000CB4A0000}"/>
    <cellStyle name="Normal 74 4 3 4" xfId="19149" xr:uid="{00000000-0005-0000-0000-0000CC4A0000}"/>
    <cellStyle name="Normal 74 4 4" xfId="19150" xr:uid="{00000000-0005-0000-0000-0000CD4A0000}"/>
    <cellStyle name="Normal 74 4 4 2" xfId="19151" xr:uid="{00000000-0005-0000-0000-0000CE4A0000}"/>
    <cellStyle name="Normal 74 4 4 3" xfId="19152" xr:uid="{00000000-0005-0000-0000-0000CF4A0000}"/>
    <cellStyle name="Normal 74 4 5" xfId="19153" xr:uid="{00000000-0005-0000-0000-0000D04A0000}"/>
    <cellStyle name="Normal 74 4 5 2" xfId="19154" xr:uid="{00000000-0005-0000-0000-0000D14A0000}"/>
    <cellStyle name="Normal 74 4 5 3" xfId="19155" xr:uid="{00000000-0005-0000-0000-0000D24A0000}"/>
    <cellStyle name="Normal 74 4 6" xfId="19156" xr:uid="{00000000-0005-0000-0000-0000D34A0000}"/>
    <cellStyle name="Normal 74 4 7" xfId="19157" xr:uid="{00000000-0005-0000-0000-0000D44A0000}"/>
    <cellStyle name="Normal 74 5" xfId="19158" xr:uid="{00000000-0005-0000-0000-0000D54A0000}"/>
    <cellStyle name="Normal 74 5 2" xfId="19159" xr:uid="{00000000-0005-0000-0000-0000D64A0000}"/>
    <cellStyle name="Normal 74 5 2 2" xfId="19160" xr:uid="{00000000-0005-0000-0000-0000D74A0000}"/>
    <cellStyle name="Normal 74 5 2 3" xfId="19161" xr:uid="{00000000-0005-0000-0000-0000D84A0000}"/>
    <cellStyle name="Normal 74 5 3" xfId="19162" xr:uid="{00000000-0005-0000-0000-0000D94A0000}"/>
    <cellStyle name="Normal 74 5 3 2" xfId="19163" xr:uid="{00000000-0005-0000-0000-0000DA4A0000}"/>
    <cellStyle name="Normal 74 5 3 3" xfId="19164" xr:uid="{00000000-0005-0000-0000-0000DB4A0000}"/>
    <cellStyle name="Normal 74 5 4" xfId="19165" xr:uid="{00000000-0005-0000-0000-0000DC4A0000}"/>
    <cellStyle name="Normal 74 5 5" xfId="19166" xr:uid="{00000000-0005-0000-0000-0000DD4A0000}"/>
    <cellStyle name="Normal 74 6" xfId="19167" xr:uid="{00000000-0005-0000-0000-0000DE4A0000}"/>
    <cellStyle name="Normal 74 6 2" xfId="19168" xr:uid="{00000000-0005-0000-0000-0000DF4A0000}"/>
    <cellStyle name="Normal 74 6 2 2" xfId="19169" xr:uid="{00000000-0005-0000-0000-0000E04A0000}"/>
    <cellStyle name="Normal 74 6 2 3" xfId="19170" xr:uid="{00000000-0005-0000-0000-0000E14A0000}"/>
    <cellStyle name="Normal 74 6 3" xfId="19171" xr:uid="{00000000-0005-0000-0000-0000E24A0000}"/>
    <cellStyle name="Normal 74 6 3 2" xfId="19172" xr:uid="{00000000-0005-0000-0000-0000E34A0000}"/>
    <cellStyle name="Normal 74 6 3 3" xfId="19173" xr:uid="{00000000-0005-0000-0000-0000E44A0000}"/>
    <cellStyle name="Normal 74 6 4" xfId="19174" xr:uid="{00000000-0005-0000-0000-0000E54A0000}"/>
    <cellStyle name="Normal 74 6 5" xfId="19175" xr:uid="{00000000-0005-0000-0000-0000E64A0000}"/>
    <cellStyle name="Normal 74 7" xfId="19176" xr:uid="{00000000-0005-0000-0000-0000E74A0000}"/>
    <cellStyle name="Normal 74 7 2" xfId="19177" xr:uid="{00000000-0005-0000-0000-0000E84A0000}"/>
    <cellStyle name="Normal 74 7 2 2" xfId="19178" xr:uid="{00000000-0005-0000-0000-0000E94A0000}"/>
    <cellStyle name="Normal 74 7 2 3" xfId="19179" xr:uid="{00000000-0005-0000-0000-0000EA4A0000}"/>
    <cellStyle name="Normal 74 7 3" xfId="19180" xr:uid="{00000000-0005-0000-0000-0000EB4A0000}"/>
    <cellStyle name="Normal 74 7 4" xfId="19181" xr:uid="{00000000-0005-0000-0000-0000EC4A0000}"/>
    <cellStyle name="Normal 74 8" xfId="19182" xr:uid="{00000000-0005-0000-0000-0000ED4A0000}"/>
    <cellStyle name="Normal 74 8 2" xfId="19183" xr:uid="{00000000-0005-0000-0000-0000EE4A0000}"/>
    <cellStyle name="Normal 74 8 3" xfId="19184" xr:uid="{00000000-0005-0000-0000-0000EF4A0000}"/>
    <cellStyle name="Normal 74 9" xfId="19185" xr:uid="{00000000-0005-0000-0000-0000F04A0000}"/>
    <cellStyle name="Normal 74 9 2" xfId="19186" xr:uid="{00000000-0005-0000-0000-0000F14A0000}"/>
    <cellStyle name="Normal 74 9 3" xfId="19187" xr:uid="{00000000-0005-0000-0000-0000F24A0000}"/>
    <cellStyle name="Normal 75" xfId="19188" xr:uid="{00000000-0005-0000-0000-0000F34A0000}"/>
    <cellStyle name="Normal 75 10" xfId="19189" xr:uid="{00000000-0005-0000-0000-0000F44A0000}"/>
    <cellStyle name="Normal 75 10 2" xfId="19190" xr:uid="{00000000-0005-0000-0000-0000F54A0000}"/>
    <cellStyle name="Normal 75 10 3" xfId="19191" xr:uid="{00000000-0005-0000-0000-0000F64A0000}"/>
    <cellStyle name="Normal 75 10 3 2" xfId="19192" xr:uid="{00000000-0005-0000-0000-0000F74A0000}"/>
    <cellStyle name="Normal 75 10 4" xfId="19193" xr:uid="{00000000-0005-0000-0000-0000F84A0000}"/>
    <cellStyle name="Normal 75 11" xfId="19194" xr:uid="{00000000-0005-0000-0000-0000F94A0000}"/>
    <cellStyle name="Normal 75 11 2" xfId="19195" xr:uid="{00000000-0005-0000-0000-0000FA4A0000}"/>
    <cellStyle name="Normal 75 11 2 2" xfId="19196" xr:uid="{00000000-0005-0000-0000-0000FB4A0000}"/>
    <cellStyle name="Normal 75 11 3" xfId="19197" xr:uid="{00000000-0005-0000-0000-0000FC4A0000}"/>
    <cellStyle name="Normal 75 12" xfId="19198" xr:uid="{00000000-0005-0000-0000-0000FD4A0000}"/>
    <cellStyle name="Normal 75 13" xfId="19199" xr:uid="{00000000-0005-0000-0000-0000FE4A0000}"/>
    <cellStyle name="Normal 75 2" xfId="19200" xr:uid="{00000000-0005-0000-0000-0000FF4A0000}"/>
    <cellStyle name="Normal 75 2 2" xfId="19201" xr:uid="{00000000-0005-0000-0000-0000004B0000}"/>
    <cellStyle name="Normal 75 2 2 2" xfId="19202" xr:uid="{00000000-0005-0000-0000-0000014B0000}"/>
    <cellStyle name="Normal 75 2 2 2 2" xfId="19203" xr:uid="{00000000-0005-0000-0000-0000024B0000}"/>
    <cellStyle name="Normal 75 2 2 2 2 2" xfId="19204" xr:uid="{00000000-0005-0000-0000-0000034B0000}"/>
    <cellStyle name="Normal 75 2 2 2 2 3" xfId="19205" xr:uid="{00000000-0005-0000-0000-0000044B0000}"/>
    <cellStyle name="Normal 75 2 2 2 3" xfId="19206" xr:uid="{00000000-0005-0000-0000-0000054B0000}"/>
    <cellStyle name="Normal 75 2 2 2 3 2" xfId="19207" xr:uid="{00000000-0005-0000-0000-0000064B0000}"/>
    <cellStyle name="Normal 75 2 2 2 3 3" xfId="19208" xr:uid="{00000000-0005-0000-0000-0000074B0000}"/>
    <cellStyle name="Normal 75 2 2 2 4" xfId="19209" xr:uid="{00000000-0005-0000-0000-0000084B0000}"/>
    <cellStyle name="Normal 75 2 2 2 5" xfId="19210" xr:uid="{00000000-0005-0000-0000-0000094B0000}"/>
    <cellStyle name="Normal 75 2 2 3" xfId="19211" xr:uid="{00000000-0005-0000-0000-00000A4B0000}"/>
    <cellStyle name="Normal 75 2 2 3 2" xfId="19212" xr:uid="{00000000-0005-0000-0000-00000B4B0000}"/>
    <cellStyle name="Normal 75 2 2 3 2 2" xfId="19213" xr:uid="{00000000-0005-0000-0000-00000C4B0000}"/>
    <cellStyle name="Normal 75 2 2 3 2 3" xfId="19214" xr:uid="{00000000-0005-0000-0000-00000D4B0000}"/>
    <cellStyle name="Normal 75 2 2 3 3" xfId="19215" xr:uid="{00000000-0005-0000-0000-00000E4B0000}"/>
    <cellStyle name="Normal 75 2 2 3 3 2" xfId="19216" xr:uid="{00000000-0005-0000-0000-00000F4B0000}"/>
    <cellStyle name="Normal 75 2 2 3 3 3" xfId="19217" xr:uid="{00000000-0005-0000-0000-0000104B0000}"/>
    <cellStyle name="Normal 75 2 2 3 4" xfId="19218" xr:uid="{00000000-0005-0000-0000-0000114B0000}"/>
    <cellStyle name="Normal 75 2 2 3 5" xfId="19219" xr:uid="{00000000-0005-0000-0000-0000124B0000}"/>
    <cellStyle name="Normal 75 2 2 4" xfId="19220" xr:uid="{00000000-0005-0000-0000-0000134B0000}"/>
    <cellStyle name="Normal 75 2 2 4 2" xfId="19221" xr:uid="{00000000-0005-0000-0000-0000144B0000}"/>
    <cellStyle name="Normal 75 2 2 4 3" xfId="19222" xr:uid="{00000000-0005-0000-0000-0000154B0000}"/>
    <cellStyle name="Normal 75 2 2 5" xfId="19223" xr:uid="{00000000-0005-0000-0000-0000164B0000}"/>
    <cellStyle name="Normal 75 2 2 5 2" xfId="19224" xr:uid="{00000000-0005-0000-0000-0000174B0000}"/>
    <cellStyle name="Normal 75 2 2 5 3" xfId="19225" xr:uid="{00000000-0005-0000-0000-0000184B0000}"/>
    <cellStyle name="Normal 75 2 2 6" xfId="19226" xr:uid="{00000000-0005-0000-0000-0000194B0000}"/>
    <cellStyle name="Normal 75 2 2 7" xfId="19227" xr:uid="{00000000-0005-0000-0000-00001A4B0000}"/>
    <cellStyle name="Normal 75 2 3" xfId="19228" xr:uid="{00000000-0005-0000-0000-00001B4B0000}"/>
    <cellStyle name="Normal 75 2 3 2" xfId="19229" xr:uid="{00000000-0005-0000-0000-00001C4B0000}"/>
    <cellStyle name="Normal 75 2 3 2 2" xfId="19230" xr:uid="{00000000-0005-0000-0000-00001D4B0000}"/>
    <cellStyle name="Normal 75 2 3 2 3" xfId="19231" xr:uid="{00000000-0005-0000-0000-00001E4B0000}"/>
    <cellStyle name="Normal 75 2 3 3" xfId="19232" xr:uid="{00000000-0005-0000-0000-00001F4B0000}"/>
    <cellStyle name="Normal 75 2 3 3 2" xfId="19233" xr:uid="{00000000-0005-0000-0000-0000204B0000}"/>
    <cellStyle name="Normal 75 2 3 3 3" xfId="19234" xr:uid="{00000000-0005-0000-0000-0000214B0000}"/>
    <cellStyle name="Normal 75 2 3 4" xfId="19235" xr:uid="{00000000-0005-0000-0000-0000224B0000}"/>
    <cellStyle name="Normal 75 2 3 5" xfId="19236" xr:uid="{00000000-0005-0000-0000-0000234B0000}"/>
    <cellStyle name="Normal 75 2 4" xfId="19237" xr:uid="{00000000-0005-0000-0000-0000244B0000}"/>
    <cellStyle name="Normal 75 2 4 2" xfId="19238" xr:uid="{00000000-0005-0000-0000-0000254B0000}"/>
    <cellStyle name="Normal 75 2 4 2 2" xfId="19239" xr:uid="{00000000-0005-0000-0000-0000264B0000}"/>
    <cellStyle name="Normal 75 2 4 2 3" xfId="19240" xr:uid="{00000000-0005-0000-0000-0000274B0000}"/>
    <cellStyle name="Normal 75 2 4 3" xfId="19241" xr:uid="{00000000-0005-0000-0000-0000284B0000}"/>
    <cellStyle name="Normal 75 2 4 3 2" xfId="19242" xr:uid="{00000000-0005-0000-0000-0000294B0000}"/>
    <cellStyle name="Normal 75 2 4 3 3" xfId="19243" xr:uid="{00000000-0005-0000-0000-00002A4B0000}"/>
    <cellStyle name="Normal 75 2 4 4" xfId="19244" xr:uid="{00000000-0005-0000-0000-00002B4B0000}"/>
    <cellStyle name="Normal 75 2 4 5" xfId="19245" xr:uid="{00000000-0005-0000-0000-00002C4B0000}"/>
    <cellStyle name="Normal 75 2 5" xfId="19246" xr:uid="{00000000-0005-0000-0000-00002D4B0000}"/>
    <cellStyle name="Normal 75 2 5 2" xfId="19247" xr:uid="{00000000-0005-0000-0000-00002E4B0000}"/>
    <cellStyle name="Normal 75 2 5 3" xfId="19248" xr:uid="{00000000-0005-0000-0000-00002F4B0000}"/>
    <cellStyle name="Normal 75 2 6" xfId="19249" xr:uid="{00000000-0005-0000-0000-0000304B0000}"/>
    <cellStyle name="Normal 75 2 6 2" xfId="19250" xr:uid="{00000000-0005-0000-0000-0000314B0000}"/>
    <cellStyle name="Normal 75 2 6 3" xfId="19251" xr:uid="{00000000-0005-0000-0000-0000324B0000}"/>
    <cellStyle name="Normal 75 2 7" xfId="19252" xr:uid="{00000000-0005-0000-0000-0000334B0000}"/>
    <cellStyle name="Normal 75 2 7 2" xfId="19253" xr:uid="{00000000-0005-0000-0000-0000344B0000}"/>
    <cellStyle name="Normal 75 2 7 3" xfId="19254" xr:uid="{00000000-0005-0000-0000-0000354B0000}"/>
    <cellStyle name="Normal 75 2 7 3 2" xfId="19255" xr:uid="{00000000-0005-0000-0000-0000364B0000}"/>
    <cellStyle name="Normal 75 2 7 4" xfId="19256" xr:uid="{00000000-0005-0000-0000-0000374B0000}"/>
    <cellStyle name="Normal 75 2 8" xfId="19257" xr:uid="{00000000-0005-0000-0000-0000384B0000}"/>
    <cellStyle name="Normal 75 2 9" xfId="19258" xr:uid="{00000000-0005-0000-0000-0000394B0000}"/>
    <cellStyle name="Normal 75 3" xfId="19259" xr:uid="{00000000-0005-0000-0000-00003A4B0000}"/>
    <cellStyle name="Normal 75 3 2" xfId="19260" xr:uid="{00000000-0005-0000-0000-00003B4B0000}"/>
    <cellStyle name="Normal 75 3 2 2" xfId="19261" xr:uid="{00000000-0005-0000-0000-00003C4B0000}"/>
    <cellStyle name="Normal 75 3 2 2 2" xfId="19262" xr:uid="{00000000-0005-0000-0000-00003D4B0000}"/>
    <cellStyle name="Normal 75 3 2 2 3" xfId="19263" xr:uid="{00000000-0005-0000-0000-00003E4B0000}"/>
    <cellStyle name="Normal 75 3 2 3" xfId="19264" xr:uid="{00000000-0005-0000-0000-00003F4B0000}"/>
    <cellStyle name="Normal 75 3 2 3 2" xfId="19265" xr:uid="{00000000-0005-0000-0000-0000404B0000}"/>
    <cellStyle name="Normal 75 3 2 3 3" xfId="19266" xr:uid="{00000000-0005-0000-0000-0000414B0000}"/>
    <cellStyle name="Normal 75 3 2 4" xfId="19267" xr:uid="{00000000-0005-0000-0000-0000424B0000}"/>
    <cellStyle name="Normal 75 3 2 5" xfId="19268" xr:uid="{00000000-0005-0000-0000-0000434B0000}"/>
    <cellStyle name="Normal 75 3 3" xfId="19269" xr:uid="{00000000-0005-0000-0000-0000444B0000}"/>
    <cellStyle name="Normal 75 3 3 2" xfId="19270" xr:uid="{00000000-0005-0000-0000-0000454B0000}"/>
    <cellStyle name="Normal 75 3 3 2 2" xfId="19271" xr:uid="{00000000-0005-0000-0000-0000464B0000}"/>
    <cellStyle name="Normal 75 3 3 2 3" xfId="19272" xr:uid="{00000000-0005-0000-0000-0000474B0000}"/>
    <cellStyle name="Normal 75 3 3 3" xfId="19273" xr:uid="{00000000-0005-0000-0000-0000484B0000}"/>
    <cellStyle name="Normal 75 3 3 3 2" xfId="19274" xr:uid="{00000000-0005-0000-0000-0000494B0000}"/>
    <cellStyle name="Normal 75 3 3 3 3" xfId="19275" xr:uid="{00000000-0005-0000-0000-00004A4B0000}"/>
    <cellStyle name="Normal 75 3 3 4" xfId="19276" xr:uid="{00000000-0005-0000-0000-00004B4B0000}"/>
    <cellStyle name="Normal 75 3 3 5" xfId="19277" xr:uid="{00000000-0005-0000-0000-00004C4B0000}"/>
    <cellStyle name="Normal 75 3 4" xfId="19278" xr:uid="{00000000-0005-0000-0000-00004D4B0000}"/>
    <cellStyle name="Normal 75 3 4 2" xfId="19279" xr:uid="{00000000-0005-0000-0000-00004E4B0000}"/>
    <cellStyle name="Normal 75 3 4 3" xfId="19280" xr:uid="{00000000-0005-0000-0000-00004F4B0000}"/>
    <cellStyle name="Normal 75 3 5" xfId="19281" xr:uid="{00000000-0005-0000-0000-0000504B0000}"/>
    <cellStyle name="Normal 75 3 5 2" xfId="19282" xr:uid="{00000000-0005-0000-0000-0000514B0000}"/>
    <cellStyle name="Normal 75 3 5 3" xfId="19283" xr:uid="{00000000-0005-0000-0000-0000524B0000}"/>
    <cellStyle name="Normal 75 3 6" xfId="19284" xr:uid="{00000000-0005-0000-0000-0000534B0000}"/>
    <cellStyle name="Normal 75 3 7" xfId="19285" xr:uid="{00000000-0005-0000-0000-0000544B0000}"/>
    <cellStyle name="Normal 75 4" xfId="19286" xr:uid="{00000000-0005-0000-0000-0000554B0000}"/>
    <cellStyle name="Normal 75 4 2" xfId="19287" xr:uid="{00000000-0005-0000-0000-0000564B0000}"/>
    <cellStyle name="Normal 75 4 2 2" xfId="19288" xr:uid="{00000000-0005-0000-0000-0000574B0000}"/>
    <cellStyle name="Normal 75 4 2 2 2" xfId="19289" xr:uid="{00000000-0005-0000-0000-0000584B0000}"/>
    <cellStyle name="Normal 75 4 2 2 3" xfId="19290" xr:uid="{00000000-0005-0000-0000-0000594B0000}"/>
    <cellStyle name="Normal 75 4 2 3" xfId="19291" xr:uid="{00000000-0005-0000-0000-00005A4B0000}"/>
    <cellStyle name="Normal 75 4 2 3 2" xfId="19292" xr:uid="{00000000-0005-0000-0000-00005B4B0000}"/>
    <cellStyle name="Normal 75 4 2 3 3" xfId="19293" xr:uid="{00000000-0005-0000-0000-00005C4B0000}"/>
    <cellStyle name="Normal 75 4 2 4" xfId="19294" xr:uid="{00000000-0005-0000-0000-00005D4B0000}"/>
    <cellStyle name="Normal 75 4 2 5" xfId="19295" xr:uid="{00000000-0005-0000-0000-00005E4B0000}"/>
    <cellStyle name="Normal 75 4 3" xfId="19296" xr:uid="{00000000-0005-0000-0000-00005F4B0000}"/>
    <cellStyle name="Normal 75 4 3 2" xfId="19297" xr:uid="{00000000-0005-0000-0000-0000604B0000}"/>
    <cellStyle name="Normal 75 4 3 2 2" xfId="19298" xr:uid="{00000000-0005-0000-0000-0000614B0000}"/>
    <cellStyle name="Normal 75 4 3 2 3" xfId="19299" xr:uid="{00000000-0005-0000-0000-0000624B0000}"/>
    <cellStyle name="Normal 75 4 3 3" xfId="19300" xr:uid="{00000000-0005-0000-0000-0000634B0000}"/>
    <cellStyle name="Normal 75 4 3 4" xfId="19301" xr:uid="{00000000-0005-0000-0000-0000644B0000}"/>
    <cellStyle name="Normal 75 4 4" xfId="19302" xr:uid="{00000000-0005-0000-0000-0000654B0000}"/>
    <cellStyle name="Normal 75 4 4 2" xfId="19303" xr:uid="{00000000-0005-0000-0000-0000664B0000}"/>
    <cellStyle name="Normal 75 4 4 3" xfId="19304" xr:uid="{00000000-0005-0000-0000-0000674B0000}"/>
    <cellStyle name="Normal 75 4 5" xfId="19305" xr:uid="{00000000-0005-0000-0000-0000684B0000}"/>
    <cellStyle name="Normal 75 4 5 2" xfId="19306" xr:uid="{00000000-0005-0000-0000-0000694B0000}"/>
    <cellStyle name="Normal 75 4 5 3" xfId="19307" xr:uid="{00000000-0005-0000-0000-00006A4B0000}"/>
    <cellStyle name="Normal 75 4 6" xfId="19308" xr:uid="{00000000-0005-0000-0000-00006B4B0000}"/>
    <cellStyle name="Normal 75 4 7" xfId="19309" xr:uid="{00000000-0005-0000-0000-00006C4B0000}"/>
    <cellStyle name="Normal 75 5" xfId="19310" xr:uid="{00000000-0005-0000-0000-00006D4B0000}"/>
    <cellStyle name="Normal 75 5 2" xfId="19311" xr:uid="{00000000-0005-0000-0000-00006E4B0000}"/>
    <cellStyle name="Normal 75 5 2 2" xfId="19312" xr:uid="{00000000-0005-0000-0000-00006F4B0000}"/>
    <cellStyle name="Normal 75 5 2 3" xfId="19313" xr:uid="{00000000-0005-0000-0000-0000704B0000}"/>
    <cellStyle name="Normal 75 5 3" xfId="19314" xr:uid="{00000000-0005-0000-0000-0000714B0000}"/>
    <cellStyle name="Normal 75 5 3 2" xfId="19315" xr:uid="{00000000-0005-0000-0000-0000724B0000}"/>
    <cellStyle name="Normal 75 5 3 3" xfId="19316" xr:uid="{00000000-0005-0000-0000-0000734B0000}"/>
    <cellStyle name="Normal 75 5 4" xfId="19317" xr:uid="{00000000-0005-0000-0000-0000744B0000}"/>
    <cellStyle name="Normal 75 5 5" xfId="19318" xr:uid="{00000000-0005-0000-0000-0000754B0000}"/>
    <cellStyle name="Normal 75 6" xfId="19319" xr:uid="{00000000-0005-0000-0000-0000764B0000}"/>
    <cellStyle name="Normal 75 6 2" xfId="19320" xr:uid="{00000000-0005-0000-0000-0000774B0000}"/>
    <cellStyle name="Normal 75 6 2 2" xfId="19321" xr:uid="{00000000-0005-0000-0000-0000784B0000}"/>
    <cellStyle name="Normal 75 6 2 3" xfId="19322" xr:uid="{00000000-0005-0000-0000-0000794B0000}"/>
    <cellStyle name="Normal 75 6 3" xfId="19323" xr:uid="{00000000-0005-0000-0000-00007A4B0000}"/>
    <cellStyle name="Normal 75 6 3 2" xfId="19324" xr:uid="{00000000-0005-0000-0000-00007B4B0000}"/>
    <cellStyle name="Normal 75 6 3 3" xfId="19325" xr:uid="{00000000-0005-0000-0000-00007C4B0000}"/>
    <cellStyle name="Normal 75 6 4" xfId="19326" xr:uid="{00000000-0005-0000-0000-00007D4B0000}"/>
    <cellStyle name="Normal 75 6 5" xfId="19327" xr:uid="{00000000-0005-0000-0000-00007E4B0000}"/>
    <cellStyle name="Normal 75 7" xfId="19328" xr:uid="{00000000-0005-0000-0000-00007F4B0000}"/>
    <cellStyle name="Normal 75 7 2" xfId="19329" xr:uid="{00000000-0005-0000-0000-0000804B0000}"/>
    <cellStyle name="Normal 75 7 2 2" xfId="19330" xr:uid="{00000000-0005-0000-0000-0000814B0000}"/>
    <cellStyle name="Normal 75 7 2 3" xfId="19331" xr:uid="{00000000-0005-0000-0000-0000824B0000}"/>
    <cellStyle name="Normal 75 7 3" xfId="19332" xr:uid="{00000000-0005-0000-0000-0000834B0000}"/>
    <cellStyle name="Normal 75 7 4" xfId="19333" xr:uid="{00000000-0005-0000-0000-0000844B0000}"/>
    <cellStyle name="Normal 75 8" xfId="19334" xr:uid="{00000000-0005-0000-0000-0000854B0000}"/>
    <cellStyle name="Normal 75 8 2" xfId="19335" xr:uid="{00000000-0005-0000-0000-0000864B0000}"/>
    <cellStyle name="Normal 75 8 3" xfId="19336" xr:uid="{00000000-0005-0000-0000-0000874B0000}"/>
    <cellStyle name="Normal 75 9" xfId="19337" xr:uid="{00000000-0005-0000-0000-0000884B0000}"/>
    <cellStyle name="Normal 75 9 2" xfId="19338" xr:uid="{00000000-0005-0000-0000-0000894B0000}"/>
    <cellStyle name="Normal 75 9 3" xfId="19339" xr:uid="{00000000-0005-0000-0000-00008A4B0000}"/>
    <cellStyle name="Normal 76" xfId="19340" xr:uid="{00000000-0005-0000-0000-00008B4B0000}"/>
    <cellStyle name="Normal 76 10" xfId="19341" xr:uid="{00000000-0005-0000-0000-00008C4B0000}"/>
    <cellStyle name="Normal 76 10 2" xfId="19342" xr:uid="{00000000-0005-0000-0000-00008D4B0000}"/>
    <cellStyle name="Normal 76 10 3" xfId="19343" xr:uid="{00000000-0005-0000-0000-00008E4B0000}"/>
    <cellStyle name="Normal 76 10 3 2" xfId="19344" xr:uid="{00000000-0005-0000-0000-00008F4B0000}"/>
    <cellStyle name="Normal 76 10 4" xfId="19345" xr:uid="{00000000-0005-0000-0000-0000904B0000}"/>
    <cellStyle name="Normal 76 11" xfId="19346" xr:uid="{00000000-0005-0000-0000-0000914B0000}"/>
    <cellStyle name="Normal 76 11 2" xfId="19347" xr:uid="{00000000-0005-0000-0000-0000924B0000}"/>
    <cellStyle name="Normal 76 11 2 2" xfId="19348" xr:uid="{00000000-0005-0000-0000-0000934B0000}"/>
    <cellStyle name="Normal 76 11 3" xfId="19349" xr:uid="{00000000-0005-0000-0000-0000944B0000}"/>
    <cellStyle name="Normal 76 12" xfId="19350" xr:uid="{00000000-0005-0000-0000-0000954B0000}"/>
    <cellStyle name="Normal 76 13" xfId="19351" xr:uid="{00000000-0005-0000-0000-0000964B0000}"/>
    <cellStyle name="Normal 76 2" xfId="19352" xr:uid="{00000000-0005-0000-0000-0000974B0000}"/>
    <cellStyle name="Normal 76 2 2" xfId="19353" xr:uid="{00000000-0005-0000-0000-0000984B0000}"/>
    <cellStyle name="Normal 76 2 2 2" xfId="19354" xr:uid="{00000000-0005-0000-0000-0000994B0000}"/>
    <cellStyle name="Normal 76 2 2 2 2" xfId="19355" xr:uid="{00000000-0005-0000-0000-00009A4B0000}"/>
    <cellStyle name="Normal 76 2 2 2 2 2" xfId="19356" xr:uid="{00000000-0005-0000-0000-00009B4B0000}"/>
    <cellStyle name="Normal 76 2 2 2 2 3" xfId="19357" xr:uid="{00000000-0005-0000-0000-00009C4B0000}"/>
    <cellStyle name="Normal 76 2 2 2 3" xfId="19358" xr:uid="{00000000-0005-0000-0000-00009D4B0000}"/>
    <cellStyle name="Normal 76 2 2 2 3 2" xfId="19359" xr:uid="{00000000-0005-0000-0000-00009E4B0000}"/>
    <cellStyle name="Normal 76 2 2 2 3 3" xfId="19360" xr:uid="{00000000-0005-0000-0000-00009F4B0000}"/>
    <cellStyle name="Normal 76 2 2 2 4" xfId="19361" xr:uid="{00000000-0005-0000-0000-0000A04B0000}"/>
    <cellStyle name="Normal 76 2 2 2 5" xfId="19362" xr:uid="{00000000-0005-0000-0000-0000A14B0000}"/>
    <cellStyle name="Normal 76 2 2 3" xfId="19363" xr:uid="{00000000-0005-0000-0000-0000A24B0000}"/>
    <cellStyle name="Normal 76 2 2 3 2" xfId="19364" xr:uid="{00000000-0005-0000-0000-0000A34B0000}"/>
    <cellStyle name="Normal 76 2 2 3 2 2" xfId="19365" xr:uid="{00000000-0005-0000-0000-0000A44B0000}"/>
    <cellStyle name="Normal 76 2 2 3 2 3" xfId="19366" xr:uid="{00000000-0005-0000-0000-0000A54B0000}"/>
    <cellStyle name="Normal 76 2 2 3 3" xfId="19367" xr:uid="{00000000-0005-0000-0000-0000A64B0000}"/>
    <cellStyle name="Normal 76 2 2 3 3 2" xfId="19368" xr:uid="{00000000-0005-0000-0000-0000A74B0000}"/>
    <cellStyle name="Normal 76 2 2 3 3 3" xfId="19369" xr:uid="{00000000-0005-0000-0000-0000A84B0000}"/>
    <cellStyle name="Normal 76 2 2 3 4" xfId="19370" xr:uid="{00000000-0005-0000-0000-0000A94B0000}"/>
    <cellStyle name="Normal 76 2 2 3 5" xfId="19371" xr:uid="{00000000-0005-0000-0000-0000AA4B0000}"/>
    <cellStyle name="Normal 76 2 2 4" xfId="19372" xr:uid="{00000000-0005-0000-0000-0000AB4B0000}"/>
    <cellStyle name="Normal 76 2 2 4 2" xfId="19373" xr:uid="{00000000-0005-0000-0000-0000AC4B0000}"/>
    <cellStyle name="Normal 76 2 2 4 3" xfId="19374" xr:uid="{00000000-0005-0000-0000-0000AD4B0000}"/>
    <cellStyle name="Normal 76 2 2 5" xfId="19375" xr:uid="{00000000-0005-0000-0000-0000AE4B0000}"/>
    <cellStyle name="Normal 76 2 2 5 2" xfId="19376" xr:uid="{00000000-0005-0000-0000-0000AF4B0000}"/>
    <cellStyle name="Normal 76 2 2 5 3" xfId="19377" xr:uid="{00000000-0005-0000-0000-0000B04B0000}"/>
    <cellStyle name="Normal 76 2 2 6" xfId="19378" xr:uid="{00000000-0005-0000-0000-0000B14B0000}"/>
    <cellStyle name="Normal 76 2 2 7" xfId="19379" xr:uid="{00000000-0005-0000-0000-0000B24B0000}"/>
    <cellStyle name="Normal 76 2 3" xfId="19380" xr:uid="{00000000-0005-0000-0000-0000B34B0000}"/>
    <cellStyle name="Normal 76 2 3 2" xfId="19381" xr:uid="{00000000-0005-0000-0000-0000B44B0000}"/>
    <cellStyle name="Normal 76 2 3 2 2" xfId="19382" xr:uid="{00000000-0005-0000-0000-0000B54B0000}"/>
    <cellStyle name="Normal 76 2 3 2 3" xfId="19383" xr:uid="{00000000-0005-0000-0000-0000B64B0000}"/>
    <cellStyle name="Normal 76 2 3 3" xfId="19384" xr:uid="{00000000-0005-0000-0000-0000B74B0000}"/>
    <cellStyle name="Normal 76 2 3 3 2" xfId="19385" xr:uid="{00000000-0005-0000-0000-0000B84B0000}"/>
    <cellStyle name="Normal 76 2 3 3 3" xfId="19386" xr:uid="{00000000-0005-0000-0000-0000B94B0000}"/>
    <cellStyle name="Normal 76 2 3 4" xfId="19387" xr:uid="{00000000-0005-0000-0000-0000BA4B0000}"/>
    <cellStyle name="Normal 76 2 3 5" xfId="19388" xr:uid="{00000000-0005-0000-0000-0000BB4B0000}"/>
    <cellStyle name="Normal 76 2 4" xfId="19389" xr:uid="{00000000-0005-0000-0000-0000BC4B0000}"/>
    <cellStyle name="Normal 76 2 4 2" xfId="19390" xr:uid="{00000000-0005-0000-0000-0000BD4B0000}"/>
    <cellStyle name="Normal 76 2 4 2 2" xfId="19391" xr:uid="{00000000-0005-0000-0000-0000BE4B0000}"/>
    <cellStyle name="Normal 76 2 4 2 3" xfId="19392" xr:uid="{00000000-0005-0000-0000-0000BF4B0000}"/>
    <cellStyle name="Normal 76 2 4 3" xfId="19393" xr:uid="{00000000-0005-0000-0000-0000C04B0000}"/>
    <cellStyle name="Normal 76 2 4 3 2" xfId="19394" xr:uid="{00000000-0005-0000-0000-0000C14B0000}"/>
    <cellStyle name="Normal 76 2 4 3 3" xfId="19395" xr:uid="{00000000-0005-0000-0000-0000C24B0000}"/>
    <cellStyle name="Normal 76 2 4 4" xfId="19396" xr:uid="{00000000-0005-0000-0000-0000C34B0000}"/>
    <cellStyle name="Normal 76 2 4 5" xfId="19397" xr:uid="{00000000-0005-0000-0000-0000C44B0000}"/>
    <cellStyle name="Normal 76 2 5" xfId="19398" xr:uid="{00000000-0005-0000-0000-0000C54B0000}"/>
    <cellStyle name="Normal 76 2 5 2" xfId="19399" xr:uid="{00000000-0005-0000-0000-0000C64B0000}"/>
    <cellStyle name="Normal 76 2 5 3" xfId="19400" xr:uid="{00000000-0005-0000-0000-0000C74B0000}"/>
    <cellStyle name="Normal 76 2 6" xfId="19401" xr:uid="{00000000-0005-0000-0000-0000C84B0000}"/>
    <cellStyle name="Normal 76 2 6 2" xfId="19402" xr:uid="{00000000-0005-0000-0000-0000C94B0000}"/>
    <cellStyle name="Normal 76 2 6 3" xfId="19403" xr:uid="{00000000-0005-0000-0000-0000CA4B0000}"/>
    <cellStyle name="Normal 76 2 7" xfId="19404" xr:uid="{00000000-0005-0000-0000-0000CB4B0000}"/>
    <cellStyle name="Normal 76 2 7 2" xfId="19405" xr:uid="{00000000-0005-0000-0000-0000CC4B0000}"/>
    <cellStyle name="Normal 76 2 7 3" xfId="19406" xr:uid="{00000000-0005-0000-0000-0000CD4B0000}"/>
    <cellStyle name="Normal 76 2 7 3 2" xfId="19407" xr:uid="{00000000-0005-0000-0000-0000CE4B0000}"/>
    <cellStyle name="Normal 76 2 7 4" xfId="19408" xr:uid="{00000000-0005-0000-0000-0000CF4B0000}"/>
    <cellStyle name="Normal 76 2 8" xfId="19409" xr:uid="{00000000-0005-0000-0000-0000D04B0000}"/>
    <cellStyle name="Normal 76 2 9" xfId="19410" xr:uid="{00000000-0005-0000-0000-0000D14B0000}"/>
    <cellStyle name="Normal 76 3" xfId="19411" xr:uid="{00000000-0005-0000-0000-0000D24B0000}"/>
    <cellStyle name="Normal 76 3 2" xfId="19412" xr:uid="{00000000-0005-0000-0000-0000D34B0000}"/>
    <cellStyle name="Normal 76 3 2 2" xfId="19413" xr:uid="{00000000-0005-0000-0000-0000D44B0000}"/>
    <cellStyle name="Normal 76 3 2 2 2" xfId="19414" xr:uid="{00000000-0005-0000-0000-0000D54B0000}"/>
    <cellStyle name="Normal 76 3 2 2 3" xfId="19415" xr:uid="{00000000-0005-0000-0000-0000D64B0000}"/>
    <cellStyle name="Normal 76 3 2 3" xfId="19416" xr:uid="{00000000-0005-0000-0000-0000D74B0000}"/>
    <cellStyle name="Normal 76 3 2 3 2" xfId="19417" xr:uid="{00000000-0005-0000-0000-0000D84B0000}"/>
    <cellStyle name="Normal 76 3 2 3 3" xfId="19418" xr:uid="{00000000-0005-0000-0000-0000D94B0000}"/>
    <cellStyle name="Normal 76 3 2 4" xfId="19419" xr:uid="{00000000-0005-0000-0000-0000DA4B0000}"/>
    <cellStyle name="Normal 76 3 2 5" xfId="19420" xr:uid="{00000000-0005-0000-0000-0000DB4B0000}"/>
    <cellStyle name="Normal 76 3 3" xfId="19421" xr:uid="{00000000-0005-0000-0000-0000DC4B0000}"/>
    <cellStyle name="Normal 76 3 3 2" xfId="19422" xr:uid="{00000000-0005-0000-0000-0000DD4B0000}"/>
    <cellStyle name="Normal 76 3 3 2 2" xfId="19423" xr:uid="{00000000-0005-0000-0000-0000DE4B0000}"/>
    <cellStyle name="Normal 76 3 3 2 3" xfId="19424" xr:uid="{00000000-0005-0000-0000-0000DF4B0000}"/>
    <cellStyle name="Normal 76 3 3 3" xfId="19425" xr:uid="{00000000-0005-0000-0000-0000E04B0000}"/>
    <cellStyle name="Normal 76 3 3 3 2" xfId="19426" xr:uid="{00000000-0005-0000-0000-0000E14B0000}"/>
    <cellStyle name="Normal 76 3 3 3 3" xfId="19427" xr:uid="{00000000-0005-0000-0000-0000E24B0000}"/>
    <cellStyle name="Normal 76 3 3 4" xfId="19428" xr:uid="{00000000-0005-0000-0000-0000E34B0000}"/>
    <cellStyle name="Normal 76 3 3 5" xfId="19429" xr:uid="{00000000-0005-0000-0000-0000E44B0000}"/>
    <cellStyle name="Normal 76 3 4" xfId="19430" xr:uid="{00000000-0005-0000-0000-0000E54B0000}"/>
    <cellStyle name="Normal 76 3 4 2" xfId="19431" xr:uid="{00000000-0005-0000-0000-0000E64B0000}"/>
    <cellStyle name="Normal 76 3 4 3" xfId="19432" xr:uid="{00000000-0005-0000-0000-0000E74B0000}"/>
    <cellStyle name="Normal 76 3 5" xfId="19433" xr:uid="{00000000-0005-0000-0000-0000E84B0000}"/>
    <cellStyle name="Normal 76 3 5 2" xfId="19434" xr:uid="{00000000-0005-0000-0000-0000E94B0000}"/>
    <cellStyle name="Normal 76 3 5 3" xfId="19435" xr:uid="{00000000-0005-0000-0000-0000EA4B0000}"/>
    <cellStyle name="Normal 76 3 6" xfId="19436" xr:uid="{00000000-0005-0000-0000-0000EB4B0000}"/>
    <cellStyle name="Normal 76 3 7" xfId="19437" xr:uid="{00000000-0005-0000-0000-0000EC4B0000}"/>
    <cellStyle name="Normal 76 4" xfId="19438" xr:uid="{00000000-0005-0000-0000-0000ED4B0000}"/>
    <cellStyle name="Normal 76 4 2" xfId="19439" xr:uid="{00000000-0005-0000-0000-0000EE4B0000}"/>
    <cellStyle name="Normal 76 4 2 2" xfId="19440" xr:uid="{00000000-0005-0000-0000-0000EF4B0000}"/>
    <cellStyle name="Normal 76 4 2 2 2" xfId="19441" xr:uid="{00000000-0005-0000-0000-0000F04B0000}"/>
    <cellStyle name="Normal 76 4 2 2 3" xfId="19442" xr:uid="{00000000-0005-0000-0000-0000F14B0000}"/>
    <cellStyle name="Normal 76 4 2 3" xfId="19443" xr:uid="{00000000-0005-0000-0000-0000F24B0000}"/>
    <cellStyle name="Normal 76 4 2 3 2" xfId="19444" xr:uid="{00000000-0005-0000-0000-0000F34B0000}"/>
    <cellStyle name="Normal 76 4 2 3 3" xfId="19445" xr:uid="{00000000-0005-0000-0000-0000F44B0000}"/>
    <cellStyle name="Normal 76 4 2 4" xfId="19446" xr:uid="{00000000-0005-0000-0000-0000F54B0000}"/>
    <cellStyle name="Normal 76 4 2 5" xfId="19447" xr:uid="{00000000-0005-0000-0000-0000F64B0000}"/>
    <cellStyle name="Normal 76 4 3" xfId="19448" xr:uid="{00000000-0005-0000-0000-0000F74B0000}"/>
    <cellStyle name="Normal 76 4 3 2" xfId="19449" xr:uid="{00000000-0005-0000-0000-0000F84B0000}"/>
    <cellStyle name="Normal 76 4 3 2 2" xfId="19450" xr:uid="{00000000-0005-0000-0000-0000F94B0000}"/>
    <cellStyle name="Normal 76 4 3 2 3" xfId="19451" xr:uid="{00000000-0005-0000-0000-0000FA4B0000}"/>
    <cellStyle name="Normal 76 4 3 3" xfId="19452" xr:uid="{00000000-0005-0000-0000-0000FB4B0000}"/>
    <cellStyle name="Normal 76 4 3 4" xfId="19453" xr:uid="{00000000-0005-0000-0000-0000FC4B0000}"/>
    <cellStyle name="Normal 76 4 4" xfId="19454" xr:uid="{00000000-0005-0000-0000-0000FD4B0000}"/>
    <cellStyle name="Normal 76 4 4 2" xfId="19455" xr:uid="{00000000-0005-0000-0000-0000FE4B0000}"/>
    <cellStyle name="Normal 76 4 4 3" xfId="19456" xr:uid="{00000000-0005-0000-0000-0000FF4B0000}"/>
    <cellStyle name="Normal 76 4 5" xfId="19457" xr:uid="{00000000-0005-0000-0000-0000004C0000}"/>
    <cellStyle name="Normal 76 4 5 2" xfId="19458" xr:uid="{00000000-0005-0000-0000-0000014C0000}"/>
    <cellStyle name="Normal 76 4 5 3" xfId="19459" xr:uid="{00000000-0005-0000-0000-0000024C0000}"/>
    <cellStyle name="Normal 76 4 6" xfId="19460" xr:uid="{00000000-0005-0000-0000-0000034C0000}"/>
    <cellStyle name="Normal 76 4 7" xfId="19461" xr:uid="{00000000-0005-0000-0000-0000044C0000}"/>
    <cellStyle name="Normal 76 5" xfId="19462" xr:uid="{00000000-0005-0000-0000-0000054C0000}"/>
    <cellStyle name="Normal 76 5 2" xfId="19463" xr:uid="{00000000-0005-0000-0000-0000064C0000}"/>
    <cellStyle name="Normal 76 5 2 2" xfId="19464" xr:uid="{00000000-0005-0000-0000-0000074C0000}"/>
    <cellStyle name="Normal 76 5 2 3" xfId="19465" xr:uid="{00000000-0005-0000-0000-0000084C0000}"/>
    <cellStyle name="Normal 76 5 3" xfId="19466" xr:uid="{00000000-0005-0000-0000-0000094C0000}"/>
    <cellStyle name="Normal 76 5 3 2" xfId="19467" xr:uid="{00000000-0005-0000-0000-00000A4C0000}"/>
    <cellStyle name="Normal 76 5 3 3" xfId="19468" xr:uid="{00000000-0005-0000-0000-00000B4C0000}"/>
    <cellStyle name="Normal 76 5 4" xfId="19469" xr:uid="{00000000-0005-0000-0000-00000C4C0000}"/>
    <cellStyle name="Normal 76 5 5" xfId="19470" xr:uid="{00000000-0005-0000-0000-00000D4C0000}"/>
    <cellStyle name="Normal 76 6" xfId="19471" xr:uid="{00000000-0005-0000-0000-00000E4C0000}"/>
    <cellStyle name="Normal 76 6 2" xfId="19472" xr:uid="{00000000-0005-0000-0000-00000F4C0000}"/>
    <cellStyle name="Normal 76 6 2 2" xfId="19473" xr:uid="{00000000-0005-0000-0000-0000104C0000}"/>
    <cellStyle name="Normal 76 6 2 3" xfId="19474" xr:uid="{00000000-0005-0000-0000-0000114C0000}"/>
    <cellStyle name="Normal 76 6 3" xfId="19475" xr:uid="{00000000-0005-0000-0000-0000124C0000}"/>
    <cellStyle name="Normal 76 6 3 2" xfId="19476" xr:uid="{00000000-0005-0000-0000-0000134C0000}"/>
    <cellStyle name="Normal 76 6 3 3" xfId="19477" xr:uid="{00000000-0005-0000-0000-0000144C0000}"/>
    <cellStyle name="Normal 76 6 4" xfId="19478" xr:uid="{00000000-0005-0000-0000-0000154C0000}"/>
    <cellStyle name="Normal 76 6 5" xfId="19479" xr:uid="{00000000-0005-0000-0000-0000164C0000}"/>
    <cellStyle name="Normal 76 7" xfId="19480" xr:uid="{00000000-0005-0000-0000-0000174C0000}"/>
    <cellStyle name="Normal 76 7 2" xfId="19481" xr:uid="{00000000-0005-0000-0000-0000184C0000}"/>
    <cellStyle name="Normal 76 7 2 2" xfId="19482" xr:uid="{00000000-0005-0000-0000-0000194C0000}"/>
    <cellStyle name="Normal 76 7 2 3" xfId="19483" xr:uid="{00000000-0005-0000-0000-00001A4C0000}"/>
    <cellStyle name="Normal 76 7 3" xfId="19484" xr:uid="{00000000-0005-0000-0000-00001B4C0000}"/>
    <cellStyle name="Normal 76 7 4" xfId="19485" xr:uid="{00000000-0005-0000-0000-00001C4C0000}"/>
    <cellStyle name="Normal 76 8" xfId="19486" xr:uid="{00000000-0005-0000-0000-00001D4C0000}"/>
    <cellStyle name="Normal 76 8 2" xfId="19487" xr:uid="{00000000-0005-0000-0000-00001E4C0000}"/>
    <cellStyle name="Normal 76 8 3" xfId="19488" xr:uid="{00000000-0005-0000-0000-00001F4C0000}"/>
    <cellStyle name="Normal 76 9" xfId="19489" xr:uid="{00000000-0005-0000-0000-0000204C0000}"/>
    <cellStyle name="Normal 76 9 2" xfId="19490" xr:uid="{00000000-0005-0000-0000-0000214C0000}"/>
    <cellStyle name="Normal 76 9 3" xfId="19491" xr:uid="{00000000-0005-0000-0000-0000224C0000}"/>
    <cellStyle name="Normal 77" xfId="19492" xr:uid="{00000000-0005-0000-0000-0000234C0000}"/>
    <cellStyle name="Normal 78" xfId="19493" xr:uid="{00000000-0005-0000-0000-0000244C0000}"/>
    <cellStyle name="Normal 79" xfId="19494" xr:uid="{00000000-0005-0000-0000-0000254C0000}"/>
    <cellStyle name="Normal 8" xfId="19495" xr:uid="{00000000-0005-0000-0000-0000264C0000}"/>
    <cellStyle name="Normal 8 10" xfId="19496" xr:uid="{00000000-0005-0000-0000-0000274C0000}"/>
    <cellStyle name="Normal 8 10 2" xfId="19497" xr:uid="{00000000-0005-0000-0000-0000284C0000}"/>
    <cellStyle name="Normal 8 10 2 2" xfId="19498" xr:uid="{00000000-0005-0000-0000-0000294C0000}"/>
    <cellStyle name="Normal 8 10 2 2 2" xfId="19499" xr:uid="{00000000-0005-0000-0000-00002A4C0000}"/>
    <cellStyle name="Normal 8 10 2 2 3" xfId="19500" xr:uid="{00000000-0005-0000-0000-00002B4C0000}"/>
    <cellStyle name="Normal 8 10 2 3" xfId="19501" xr:uid="{00000000-0005-0000-0000-00002C4C0000}"/>
    <cellStyle name="Normal 8 10 2 3 2" xfId="19502" xr:uid="{00000000-0005-0000-0000-00002D4C0000}"/>
    <cellStyle name="Normal 8 10 2 3 3" xfId="19503" xr:uid="{00000000-0005-0000-0000-00002E4C0000}"/>
    <cellStyle name="Normal 8 10 2 4" xfId="19504" xr:uid="{00000000-0005-0000-0000-00002F4C0000}"/>
    <cellStyle name="Normal 8 10 2 5" xfId="19505" xr:uid="{00000000-0005-0000-0000-0000304C0000}"/>
    <cellStyle name="Normal 8 10 3" xfId="19506" xr:uid="{00000000-0005-0000-0000-0000314C0000}"/>
    <cellStyle name="Normal 8 10 3 2" xfId="19507" xr:uid="{00000000-0005-0000-0000-0000324C0000}"/>
    <cellStyle name="Normal 8 10 3 2 2" xfId="19508" xr:uid="{00000000-0005-0000-0000-0000334C0000}"/>
    <cellStyle name="Normal 8 10 3 2 3" xfId="19509" xr:uid="{00000000-0005-0000-0000-0000344C0000}"/>
    <cellStyle name="Normal 8 10 3 3" xfId="19510" xr:uid="{00000000-0005-0000-0000-0000354C0000}"/>
    <cellStyle name="Normal 8 10 3 4" xfId="19511" xr:uid="{00000000-0005-0000-0000-0000364C0000}"/>
    <cellStyle name="Normal 8 10 4" xfId="19512" xr:uid="{00000000-0005-0000-0000-0000374C0000}"/>
    <cellStyle name="Normal 8 10 4 2" xfId="19513" xr:uid="{00000000-0005-0000-0000-0000384C0000}"/>
    <cellStyle name="Normal 8 10 4 3" xfId="19514" xr:uid="{00000000-0005-0000-0000-0000394C0000}"/>
    <cellStyle name="Normal 8 10 5" xfId="19515" xr:uid="{00000000-0005-0000-0000-00003A4C0000}"/>
    <cellStyle name="Normal 8 10 5 2" xfId="19516" xr:uid="{00000000-0005-0000-0000-00003B4C0000}"/>
    <cellStyle name="Normal 8 10 5 3" xfId="19517" xr:uid="{00000000-0005-0000-0000-00003C4C0000}"/>
    <cellStyle name="Normal 8 10 6" xfId="19518" xr:uid="{00000000-0005-0000-0000-00003D4C0000}"/>
    <cellStyle name="Normal 8 10 7" xfId="19519" xr:uid="{00000000-0005-0000-0000-00003E4C0000}"/>
    <cellStyle name="Normal 8 11" xfId="19520" xr:uid="{00000000-0005-0000-0000-00003F4C0000}"/>
    <cellStyle name="Normal 8 11 2" xfId="19521" xr:uid="{00000000-0005-0000-0000-0000404C0000}"/>
    <cellStyle name="Normal 8 11 2 2" xfId="19522" xr:uid="{00000000-0005-0000-0000-0000414C0000}"/>
    <cellStyle name="Normal 8 11 2 3" xfId="19523" xr:uid="{00000000-0005-0000-0000-0000424C0000}"/>
    <cellStyle name="Normal 8 11 3" xfId="19524" xr:uid="{00000000-0005-0000-0000-0000434C0000}"/>
    <cellStyle name="Normal 8 11 3 2" xfId="19525" xr:uid="{00000000-0005-0000-0000-0000444C0000}"/>
    <cellStyle name="Normal 8 11 3 3" xfId="19526" xr:uid="{00000000-0005-0000-0000-0000454C0000}"/>
    <cellStyle name="Normal 8 11 4" xfId="19527" xr:uid="{00000000-0005-0000-0000-0000464C0000}"/>
    <cellStyle name="Normal 8 11 5" xfId="19528" xr:uid="{00000000-0005-0000-0000-0000474C0000}"/>
    <cellStyle name="Normal 8 12" xfId="19529" xr:uid="{00000000-0005-0000-0000-0000484C0000}"/>
    <cellStyle name="Normal 8 12 2" xfId="19530" xr:uid="{00000000-0005-0000-0000-0000494C0000}"/>
    <cellStyle name="Normal 8 12 2 2" xfId="19531" xr:uid="{00000000-0005-0000-0000-00004A4C0000}"/>
    <cellStyle name="Normal 8 12 2 3" xfId="19532" xr:uid="{00000000-0005-0000-0000-00004B4C0000}"/>
    <cellStyle name="Normal 8 12 3" xfId="19533" xr:uid="{00000000-0005-0000-0000-00004C4C0000}"/>
    <cellStyle name="Normal 8 12 3 2" xfId="19534" xr:uid="{00000000-0005-0000-0000-00004D4C0000}"/>
    <cellStyle name="Normal 8 12 3 3" xfId="19535" xr:uid="{00000000-0005-0000-0000-00004E4C0000}"/>
    <cellStyle name="Normal 8 12 4" xfId="19536" xr:uid="{00000000-0005-0000-0000-00004F4C0000}"/>
    <cellStyle name="Normal 8 12 5" xfId="19537" xr:uid="{00000000-0005-0000-0000-0000504C0000}"/>
    <cellStyle name="Normal 8 13" xfId="19538" xr:uid="{00000000-0005-0000-0000-0000514C0000}"/>
    <cellStyle name="Normal 8 13 2" xfId="19539" xr:uid="{00000000-0005-0000-0000-0000524C0000}"/>
    <cellStyle name="Normal 8 13 2 2" xfId="19540" xr:uid="{00000000-0005-0000-0000-0000534C0000}"/>
    <cellStyle name="Normal 8 13 2 3" xfId="19541" xr:uid="{00000000-0005-0000-0000-0000544C0000}"/>
    <cellStyle name="Normal 8 13 3" xfId="19542" xr:uid="{00000000-0005-0000-0000-0000554C0000}"/>
    <cellStyle name="Normal 8 13 4" xfId="19543" xr:uid="{00000000-0005-0000-0000-0000564C0000}"/>
    <cellStyle name="Normal 8 14" xfId="19544" xr:uid="{00000000-0005-0000-0000-0000574C0000}"/>
    <cellStyle name="Normal 8 14 2" xfId="19545" xr:uid="{00000000-0005-0000-0000-0000584C0000}"/>
    <cellStyle name="Normal 8 14 3" xfId="19546" xr:uid="{00000000-0005-0000-0000-0000594C0000}"/>
    <cellStyle name="Normal 8 15" xfId="19547" xr:uid="{00000000-0005-0000-0000-00005A4C0000}"/>
    <cellStyle name="Normal 8 15 2" xfId="19548" xr:uid="{00000000-0005-0000-0000-00005B4C0000}"/>
    <cellStyle name="Normal 8 15 3" xfId="19549" xr:uid="{00000000-0005-0000-0000-00005C4C0000}"/>
    <cellStyle name="Normal 8 16" xfId="19550" xr:uid="{00000000-0005-0000-0000-00005D4C0000}"/>
    <cellStyle name="Normal 8 16 2" xfId="19551" xr:uid="{00000000-0005-0000-0000-00005E4C0000}"/>
    <cellStyle name="Normal 8 16 3" xfId="19552" xr:uid="{00000000-0005-0000-0000-00005F4C0000}"/>
    <cellStyle name="Normal 8 16 3 2" xfId="19553" xr:uid="{00000000-0005-0000-0000-0000604C0000}"/>
    <cellStyle name="Normal 8 16 4" xfId="19554" xr:uid="{00000000-0005-0000-0000-0000614C0000}"/>
    <cellStyle name="Normal 8 17" xfId="19555" xr:uid="{00000000-0005-0000-0000-0000624C0000}"/>
    <cellStyle name="Normal 8 17 2" xfId="19556" xr:uid="{00000000-0005-0000-0000-0000634C0000}"/>
    <cellStyle name="Normal 8 17 2 2" xfId="19557" xr:uid="{00000000-0005-0000-0000-0000644C0000}"/>
    <cellStyle name="Normal 8 17 3" xfId="19558" xr:uid="{00000000-0005-0000-0000-0000654C0000}"/>
    <cellStyle name="Normal 8 18" xfId="19559" xr:uid="{00000000-0005-0000-0000-0000664C0000}"/>
    <cellStyle name="Normal 8 19" xfId="19560" xr:uid="{00000000-0005-0000-0000-0000674C0000}"/>
    <cellStyle name="Normal 8 2" xfId="19561" xr:uid="{00000000-0005-0000-0000-0000684C0000}"/>
    <cellStyle name="Normal 8 2 10" xfId="19562" xr:uid="{00000000-0005-0000-0000-0000694C0000}"/>
    <cellStyle name="Normal 8 2 10 2" xfId="19563" xr:uid="{00000000-0005-0000-0000-00006A4C0000}"/>
    <cellStyle name="Normal 8 2 10 2 2" xfId="19564" xr:uid="{00000000-0005-0000-0000-00006B4C0000}"/>
    <cellStyle name="Normal 8 2 10 2 3" xfId="19565" xr:uid="{00000000-0005-0000-0000-00006C4C0000}"/>
    <cellStyle name="Normal 8 2 10 3" xfId="19566" xr:uid="{00000000-0005-0000-0000-00006D4C0000}"/>
    <cellStyle name="Normal 8 2 10 3 2" xfId="19567" xr:uid="{00000000-0005-0000-0000-00006E4C0000}"/>
    <cellStyle name="Normal 8 2 10 3 3" xfId="19568" xr:uid="{00000000-0005-0000-0000-00006F4C0000}"/>
    <cellStyle name="Normal 8 2 10 4" xfId="19569" xr:uid="{00000000-0005-0000-0000-0000704C0000}"/>
    <cellStyle name="Normal 8 2 10 5" xfId="19570" xr:uid="{00000000-0005-0000-0000-0000714C0000}"/>
    <cellStyle name="Normal 8 2 11" xfId="19571" xr:uid="{00000000-0005-0000-0000-0000724C0000}"/>
    <cellStyle name="Normal 8 2 11 2" xfId="19572" xr:uid="{00000000-0005-0000-0000-0000734C0000}"/>
    <cellStyle name="Normal 8 2 11 2 2" xfId="19573" xr:uid="{00000000-0005-0000-0000-0000744C0000}"/>
    <cellStyle name="Normal 8 2 11 2 3" xfId="19574" xr:uid="{00000000-0005-0000-0000-0000754C0000}"/>
    <cellStyle name="Normal 8 2 11 3" xfId="19575" xr:uid="{00000000-0005-0000-0000-0000764C0000}"/>
    <cellStyle name="Normal 8 2 11 3 2" xfId="19576" xr:uid="{00000000-0005-0000-0000-0000774C0000}"/>
    <cellStyle name="Normal 8 2 11 3 3" xfId="19577" xr:uid="{00000000-0005-0000-0000-0000784C0000}"/>
    <cellStyle name="Normal 8 2 11 4" xfId="19578" xr:uid="{00000000-0005-0000-0000-0000794C0000}"/>
    <cellStyle name="Normal 8 2 11 5" xfId="19579" xr:uid="{00000000-0005-0000-0000-00007A4C0000}"/>
    <cellStyle name="Normal 8 2 12" xfId="19580" xr:uid="{00000000-0005-0000-0000-00007B4C0000}"/>
    <cellStyle name="Normal 8 2 12 2" xfId="19581" xr:uid="{00000000-0005-0000-0000-00007C4C0000}"/>
    <cellStyle name="Normal 8 2 12 2 2" xfId="19582" xr:uid="{00000000-0005-0000-0000-00007D4C0000}"/>
    <cellStyle name="Normal 8 2 12 2 3" xfId="19583" xr:uid="{00000000-0005-0000-0000-00007E4C0000}"/>
    <cellStyle name="Normal 8 2 12 3" xfId="19584" xr:uid="{00000000-0005-0000-0000-00007F4C0000}"/>
    <cellStyle name="Normal 8 2 12 4" xfId="19585" xr:uid="{00000000-0005-0000-0000-0000804C0000}"/>
    <cellStyle name="Normal 8 2 13" xfId="19586" xr:uid="{00000000-0005-0000-0000-0000814C0000}"/>
    <cellStyle name="Normal 8 2 13 2" xfId="19587" xr:uid="{00000000-0005-0000-0000-0000824C0000}"/>
    <cellStyle name="Normal 8 2 13 3" xfId="19588" xr:uid="{00000000-0005-0000-0000-0000834C0000}"/>
    <cellStyle name="Normal 8 2 14" xfId="19589" xr:uid="{00000000-0005-0000-0000-0000844C0000}"/>
    <cellStyle name="Normal 8 2 14 2" xfId="19590" xr:uid="{00000000-0005-0000-0000-0000854C0000}"/>
    <cellStyle name="Normal 8 2 14 3" xfId="19591" xr:uid="{00000000-0005-0000-0000-0000864C0000}"/>
    <cellStyle name="Normal 8 2 15" xfId="19592" xr:uid="{00000000-0005-0000-0000-0000874C0000}"/>
    <cellStyle name="Normal 8 2 15 2" xfId="19593" xr:uid="{00000000-0005-0000-0000-0000884C0000}"/>
    <cellStyle name="Normal 8 2 15 3" xfId="19594" xr:uid="{00000000-0005-0000-0000-0000894C0000}"/>
    <cellStyle name="Normal 8 2 15 3 2" xfId="19595" xr:uid="{00000000-0005-0000-0000-00008A4C0000}"/>
    <cellStyle name="Normal 8 2 15 4" xfId="19596" xr:uid="{00000000-0005-0000-0000-00008B4C0000}"/>
    <cellStyle name="Normal 8 2 16" xfId="19597" xr:uid="{00000000-0005-0000-0000-00008C4C0000}"/>
    <cellStyle name="Normal 8 2 16 2" xfId="19598" xr:uid="{00000000-0005-0000-0000-00008D4C0000}"/>
    <cellStyle name="Normal 8 2 16 2 2" xfId="19599" xr:uid="{00000000-0005-0000-0000-00008E4C0000}"/>
    <cellStyle name="Normal 8 2 16 3" xfId="19600" xr:uid="{00000000-0005-0000-0000-00008F4C0000}"/>
    <cellStyle name="Normal 8 2 17" xfId="19601" xr:uid="{00000000-0005-0000-0000-0000904C0000}"/>
    <cellStyle name="Normal 8 2 18" xfId="19602" xr:uid="{00000000-0005-0000-0000-0000914C0000}"/>
    <cellStyle name="Normal 8 2 2" xfId="19603" xr:uid="{00000000-0005-0000-0000-0000924C0000}"/>
    <cellStyle name="Normal 8 2 2 2" xfId="19604" xr:uid="{00000000-0005-0000-0000-0000934C0000}"/>
    <cellStyle name="Normal 8 2 2 2 2" xfId="19605" xr:uid="{00000000-0005-0000-0000-0000944C0000}"/>
    <cellStyle name="Normal 8 2 2 2 2 2" xfId="19606" xr:uid="{00000000-0005-0000-0000-0000954C0000}"/>
    <cellStyle name="Normal 8 2 2 2 2 3" xfId="19607" xr:uid="{00000000-0005-0000-0000-0000964C0000}"/>
    <cellStyle name="Normal 8 2 2 2 2 3 2" xfId="19608" xr:uid="{00000000-0005-0000-0000-0000974C0000}"/>
    <cellStyle name="Normal 8 2 2 2 3" xfId="19609" xr:uid="{00000000-0005-0000-0000-0000984C0000}"/>
    <cellStyle name="Normal 8 2 2 2 3 2" xfId="19610" xr:uid="{00000000-0005-0000-0000-0000994C0000}"/>
    <cellStyle name="Normal 8 2 2 2 3 3" xfId="19611" xr:uid="{00000000-0005-0000-0000-00009A4C0000}"/>
    <cellStyle name="Normal 8 2 2 2 3 3 2" xfId="19612" xr:uid="{00000000-0005-0000-0000-00009B4C0000}"/>
    <cellStyle name="Normal 8 2 2 2 4" xfId="19613" xr:uid="{00000000-0005-0000-0000-00009C4C0000}"/>
    <cellStyle name="Normal 8 2 2 2 5" xfId="19614" xr:uid="{00000000-0005-0000-0000-00009D4C0000}"/>
    <cellStyle name="Normal 8 2 2 3" xfId="19615" xr:uid="{00000000-0005-0000-0000-00009E4C0000}"/>
    <cellStyle name="Normal 8 2 2 3 2" xfId="19616" xr:uid="{00000000-0005-0000-0000-00009F4C0000}"/>
    <cellStyle name="Normal 8 2 2 3 2 2" xfId="19617" xr:uid="{00000000-0005-0000-0000-0000A04C0000}"/>
    <cellStyle name="Normal 8 2 2 3 2 2 2" xfId="19618" xr:uid="{00000000-0005-0000-0000-0000A14C0000}"/>
    <cellStyle name="Normal 8 2 2 3 2 2 3" xfId="19619" xr:uid="{00000000-0005-0000-0000-0000A24C0000}"/>
    <cellStyle name="Normal 8 2 2 3 2 3" xfId="19620" xr:uid="{00000000-0005-0000-0000-0000A34C0000}"/>
    <cellStyle name="Normal 8 2 2 3 2 3 2" xfId="19621" xr:uid="{00000000-0005-0000-0000-0000A44C0000}"/>
    <cellStyle name="Normal 8 2 2 3 2 3 3" xfId="19622" xr:uid="{00000000-0005-0000-0000-0000A54C0000}"/>
    <cellStyle name="Normal 8 2 2 3 2 4" xfId="19623" xr:uid="{00000000-0005-0000-0000-0000A64C0000}"/>
    <cellStyle name="Normal 8 2 2 3 2 5" xfId="19624" xr:uid="{00000000-0005-0000-0000-0000A74C0000}"/>
    <cellStyle name="Normal 8 2 2 3 3" xfId="19625" xr:uid="{00000000-0005-0000-0000-0000A84C0000}"/>
    <cellStyle name="Normal 8 2 2 3 3 2" xfId="19626" xr:uid="{00000000-0005-0000-0000-0000A94C0000}"/>
    <cellStyle name="Normal 8 2 2 3 3 2 2" xfId="19627" xr:uid="{00000000-0005-0000-0000-0000AA4C0000}"/>
    <cellStyle name="Normal 8 2 2 3 3 2 3" xfId="19628" xr:uid="{00000000-0005-0000-0000-0000AB4C0000}"/>
    <cellStyle name="Normal 8 2 2 3 3 3" xfId="19629" xr:uid="{00000000-0005-0000-0000-0000AC4C0000}"/>
    <cellStyle name="Normal 8 2 2 3 3 3 2" xfId="19630" xr:uid="{00000000-0005-0000-0000-0000AD4C0000}"/>
    <cellStyle name="Normal 8 2 2 3 3 3 3" xfId="19631" xr:uid="{00000000-0005-0000-0000-0000AE4C0000}"/>
    <cellStyle name="Normal 8 2 2 3 3 4" xfId="19632" xr:uid="{00000000-0005-0000-0000-0000AF4C0000}"/>
    <cellStyle name="Normal 8 2 2 3 3 5" xfId="19633" xr:uid="{00000000-0005-0000-0000-0000B04C0000}"/>
    <cellStyle name="Normal 8 2 2 3 4" xfId="19634" xr:uid="{00000000-0005-0000-0000-0000B14C0000}"/>
    <cellStyle name="Normal 8 2 2 3 4 2" xfId="19635" xr:uid="{00000000-0005-0000-0000-0000B24C0000}"/>
    <cellStyle name="Normal 8 2 2 3 4 3" xfId="19636" xr:uid="{00000000-0005-0000-0000-0000B34C0000}"/>
    <cellStyle name="Normal 8 2 2 3 5" xfId="19637" xr:uid="{00000000-0005-0000-0000-0000B44C0000}"/>
    <cellStyle name="Normal 8 2 2 3 5 2" xfId="19638" xr:uid="{00000000-0005-0000-0000-0000B54C0000}"/>
    <cellStyle name="Normal 8 2 2 3 5 3" xfId="19639" xr:uid="{00000000-0005-0000-0000-0000B64C0000}"/>
    <cellStyle name="Normal 8 2 2 3 6" xfId="19640" xr:uid="{00000000-0005-0000-0000-0000B74C0000}"/>
    <cellStyle name="Normal 8 2 2 3 7" xfId="19641" xr:uid="{00000000-0005-0000-0000-0000B84C0000}"/>
    <cellStyle name="Normal 8 2 2 4" xfId="19642" xr:uid="{00000000-0005-0000-0000-0000B94C0000}"/>
    <cellStyle name="Normal 8 2 2 4 2" xfId="19643" xr:uid="{00000000-0005-0000-0000-0000BA4C0000}"/>
    <cellStyle name="Normal 8 2 2 4 2 2" xfId="19644" xr:uid="{00000000-0005-0000-0000-0000BB4C0000}"/>
    <cellStyle name="Normal 8 2 2 4 2 2 2" xfId="19645" xr:uid="{00000000-0005-0000-0000-0000BC4C0000}"/>
    <cellStyle name="Normal 8 2 2 4 2 2 3" xfId="19646" xr:uid="{00000000-0005-0000-0000-0000BD4C0000}"/>
    <cellStyle name="Normal 8 2 2 4 2 3" xfId="19647" xr:uid="{00000000-0005-0000-0000-0000BE4C0000}"/>
    <cellStyle name="Normal 8 2 2 4 2 3 2" xfId="19648" xr:uid="{00000000-0005-0000-0000-0000BF4C0000}"/>
    <cellStyle name="Normal 8 2 2 4 2 3 3" xfId="19649" xr:uid="{00000000-0005-0000-0000-0000C04C0000}"/>
    <cellStyle name="Normal 8 2 2 4 2 4" xfId="19650" xr:uid="{00000000-0005-0000-0000-0000C14C0000}"/>
    <cellStyle name="Normal 8 2 2 4 2 5" xfId="19651" xr:uid="{00000000-0005-0000-0000-0000C24C0000}"/>
    <cellStyle name="Normal 8 2 2 4 3" xfId="19652" xr:uid="{00000000-0005-0000-0000-0000C34C0000}"/>
    <cellStyle name="Normal 8 2 2 4 3 2" xfId="19653" xr:uid="{00000000-0005-0000-0000-0000C44C0000}"/>
    <cellStyle name="Normal 8 2 2 4 3 2 2" xfId="19654" xr:uid="{00000000-0005-0000-0000-0000C54C0000}"/>
    <cellStyle name="Normal 8 2 2 4 3 2 3" xfId="19655" xr:uid="{00000000-0005-0000-0000-0000C64C0000}"/>
    <cellStyle name="Normal 8 2 2 4 3 3" xfId="19656" xr:uid="{00000000-0005-0000-0000-0000C74C0000}"/>
    <cellStyle name="Normal 8 2 2 4 3 3 2" xfId="19657" xr:uid="{00000000-0005-0000-0000-0000C84C0000}"/>
    <cellStyle name="Normal 8 2 2 4 3 3 3" xfId="19658" xr:uid="{00000000-0005-0000-0000-0000C94C0000}"/>
    <cellStyle name="Normal 8 2 2 4 3 4" xfId="19659" xr:uid="{00000000-0005-0000-0000-0000CA4C0000}"/>
    <cellStyle name="Normal 8 2 2 4 3 5" xfId="19660" xr:uid="{00000000-0005-0000-0000-0000CB4C0000}"/>
    <cellStyle name="Normal 8 2 2 4 4" xfId="19661" xr:uid="{00000000-0005-0000-0000-0000CC4C0000}"/>
    <cellStyle name="Normal 8 2 2 4 4 2" xfId="19662" xr:uid="{00000000-0005-0000-0000-0000CD4C0000}"/>
    <cellStyle name="Normal 8 2 2 4 4 3" xfId="19663" xr:uid="{00000000-0005-0000-0000-0000CE4C0000}"/>
    <cellStyle name="Normal 8 2 2 4 5" xfId="19664" xr:uid="{00000000-0005-0000-0000-0000CF4C0000}"/>
    <cellStyle name="Normal 8 2 2 4 5 2" xfId="19665" xr:uid="{00000000-0005-0000-0000-0000D04C0000}"/>
    <cellStyle name="Normal 8 2 2 4 5 3" xfId="19666" xr:uid="{00000000-0005-0000-0000-0000D14C0000}"/>
    <cellStyle name="Normal 8 2 2 4 6" xfId="19667" xr:uid="{00000000-0005-0000-0000-0000D24C0000}"/>
    <cellStyle name="Normal 8 2 2 4 7" xfId="19668" xr:uid="{00000000-0005-0000-0000-0000D34C0000}"/>
    <cellStyle name="Normal 8 2 2 5" xfId="19669" xr:uid="{00000000-0005-0000-0000-0000D44C0000}"/>
    <cellStyle name="Normal 8 2 2 5 2" xfId="19670" xr:uid="{00000000-0005-0000-0000-0000D54C0000}"/>
    <cellStyle name="Normal 8 2 2 5 3" xfId="19671" xr:uid="{00000000-0005-0000-0000-0000D64C0000}"/>
    <cellStyle name="Normal 8 2 2 5 3 2" xfId="19672" xr:uid="{00000000-0005-0000-0000-0000D74C0000}"/>
    <cellStyle name="Normal 8 2 2 6" xfId="19673" xr:uid="{00000000-0005-0000-0000-0000D84C0000}"/>
    <cellStyle name="Normal 8 2 2 6 2" xfId="19674" xr:uid="{00000000-0005-0000-0000-0000D94C0000}"/>
    <cellStyle name="Normal 8 2 2 6 3" xfId="19675" xr:uid="{00000000-0005-0000-0000-0000DA4C0000}"/>
    <cellStyle name="Normal 8 2 2 6 3 2" xfId="19676" xr:uid="{00000000-0005-0000-0000-0000DB4C0000}"/>
    <cellStyle name="Normal 8 2 2 7" xfId="19677" xr:uid="{00000000-0005-0000-0000-0000DC4C0000}"/>
    <cellStyle name="Normal 8 2 2 8" xfId="19678" xr:uid="{00000000-0005-0000-0000-0000DD4C0000}"/>
    <cellStyle name="Normal 8 2 3" xfId="19679" xr:uid="{00000000-0005-0000-0000-0000DE4C0000}"/>
    <cellStyle name="Normal 8 2 3 10" xfId="19680" xr:uid="{00000000-0005-0000-0000-0000DF4C0000}"/>
    <cellStyle name="Normal 8 2 3 10 2" xfId="19681" xr:uid="{00000000-0005-0000-0000-0000E04C0000}"/>
    <cellStyle name="Normal 8 2 3 10 3" xfId="19682" xr:uid="{00000000-0005-0000-0000-0000E14C0000}"/>
    <cellStyle name="Normal 8 2 3 11" xfId="19683" xr:uid="{00000000-0005-0000-0000-0000E24C0000}"/>
    <cellStyle name="Normal 8 2 3 11 2" xfId="19684" xr:uid="{00000000-0005-0000-0000-0000E34C0000}"/>
    <cellStyle name="Normal 8 2 3 11 3" xfId="19685" xr:uid="{00000000-0005-0000-0000-0000E44C0000}"/>
    <cellStyle name="Normal 8 2 3 11 3 2" xfId="19686" xr:uid="{00000000-0005-0000-0000-0000E54C0000}"/>
    <cellStyle name="Normal 8 2 3 11 4" xfId="19687" xr:uid="{00000000-0005-0000-0000-0000E64C0000}"/>
    <cellStyle name="Normal 8 2 3 12" xfId="19688" xr:uid="{00000000-0005-0000-0000-0000E74C0000}"/>
    <cellStyle name="Normal 8 2 3 12 2" xfId="19689" xr:uid="{00000000-0005-0000-0000-0000E84C0000}"/>
    <cellStyle name="Normal 8 2 3 12 2 2" xfId="19690" xr:uid="{00000000-0005-0000-0000-0000E94C0000}"/>
    <cellStyle name="Normal 8 2 3 12 3" xfId="19691" xr:uid="{00000000-0005-0000-0000-0000EA4C0000}"/>
    <cellStyle name="Normal 8 2 3 13" xfId="19692" xr:uid="{00000000-0005-0000-0000-0000EB4C0000}"/>
    <cellStyle name="Normal 8 2 3 14" xfId="19693" xr:uid="{00000000-0005-0000-0000-0000EC4C0000}"/>
    <cellStyle name="Normal 8 2 3 2" xfId="19694" xr:uid="{00000000-0005-0000-0000-0000ED4C0000}"/>
    <cellStyle name="Normal 8 2 3 2 10" xfId="19695" xr:uid="{00000000-0005-0000-0000-0000EE4C0000}"/>
    <cellStyle name="Normal 8 2 3 2 10 2" xfId="19696" xr:uid="{00000000-0005-0000-0000-0000EF4C0000}"/>
    <cellStyle name="Normal 8 2 3 2 10 3" xfId="19697" xr:uid="{00000000-0005-0000-0000-0000F04C0000}"/>
    <cellStyle name="Normal 8 2 3 2 10 3 2" xfId="19698" xr:uid="{00000000-0005-0000-0000-0000F14C0000}"/>
    <cellStyle name="Normal 8 2 3 2 10 4" xfId="19699" xr:uid="{00000000-0005-0000-0000-0000F24C0000}"/>
    <cellStyle name="Normal 8 2 3 2 11" xfId="19700" xr:uid="{00000000-0005-0000-0000-0000F34C0000}"/>
    <cellStyle name="Normal 8 2 3 2 11 2" xfId="19701" xr:uid="{00000000-0005-0000-0000-0000F44C0000}"/>
    <cellStyle name="Normal 8 2 3 2 11 2 2" xfId="19702" xr:uid="{00000000-0005-0000-0000-0000F54C0000}"/>
    <cellStyle name="Normal 8 2 3 2 11 3" xfId="19703" xr:uid="{00000000-0005-0000-0000-0000F64C0000}"/>
    <cellStyle name="Normal 8 2 3 2 12" xfId="19704" xr:uid="{00000000-0005-0000-0000-0000F74C0000}"/>
    <cellStyle name="Normal 8 2 3 2 13" xfId="19705" xr:uid="{00000000-0005-0000-0000-0000F84C0000}"/>
    <cellStyle name="Normal 8 2 3 2 2" xfId="19706" xr:uid="{00000000-0005-0000-0000-0000F94C0000}"/>
    <cellStyle name="Normal 8 2 3 2 2 2" xfId="19707" xr:uid="{00000000-0005-0000-0000-0000FA4C0000}"/>
    <cellStyle name="Normal 8 2 3 2 2 2 2" xfId="19708" xr:uid="{00000000-0005-0000-0000-0000FB4C0000}"/>
    <cellStyle name="Normal 8 2 3 2 2 2 2 2" xfId="19709" xr:uid="{00000000-0005-0000-0000-0000FC4C0000}"/>
    <cellStyle name="Normal 8 2 3 2 2 2 2 2 2" xfId="19710" xr:uid="{00000000-0005-0000-0000-0000FD4C0000}"/>
    <cellStyle name="Normal 8 2 3 2 2 2 2 2 3" xfId="19711" xr:uid="{00000000-0005-0000-0000-0000FE4C0000}"/>
    <cellStyle name="Normal 8 2 3 2 2 2 2 3" xfId="19712" xr:uid="{00000000-0005-0000-0000-0000FF4C0000}"/>
    <cellStyle name="Normal 8 2 3 2 2 2 2 3 2" xfId="19713" xr:uid="{00000000-0005-0000-0000-0000004D0000}"/>
    <cellStyle name="Normal 8 2 3 2 2 2 2 3 3" xfId="19714" xr:uid="{00000000-0005-0000-0000-0000014D0000}"/>
    <cellStyle name="Normal 8 2 3 2 2 2 2 4" xfId="19715" xr:uid="{00000000-0005-0000-0000-0000024D0000}"/>
    <cellStyle name="Normal 8 2 3 2 2 2 2 5" xfId="19716" xr:uid="{00000000-0005-0000-0000-0000034D0000}"/>
    <cellStyle name="Normal 8 2 3 2 2 2 3" xfId="19717" xr:uid="{00000000-0005-0000-0000-0000044D0000}"/>
    <cellStyle name="Normal 8 2 3 2 2 2 3 2" xfId="19718" xr:uid="{00000000-0005-0000-0000-0000054D0000}"/>
    <cellStyle name="Normal 8 2 3 2 2 2 3 2 2" xfId="19719" xr:uid="{00000000-0005-0000-0000-0000064D0000}"/>
    <cellStyle name="Normal 8 2 3 2 2 2 3 2 3" xfId="19720" xr:uid="{00000000-0005-0000-0000-0000074D0000}"/>
    <cellStyle name="Normal 8 2 3 2 2 2 3 3" xfId="19721" xr:uid="{00000000-0005-0000-0000-0000084D0000}"/>
    <cellStyle name="Normal 8 2 3 2 2 2 3 3 2" xfId="19722" xr:uid="{00000000-0005-0000-0000-0000094D0000}"/>
    <cellStyle name="Normal 8 2 3 2 2 2 3 3 3" xfId="19723" xr:uid="{00000000-0005-0000-0000-00000A4D0000}"/>
    <cellStyle name="Normal 8 2 3 2 2 2 3 4" xfId="19724" xr:uid="{00000000-0005-0000-0000-00000B4D0000}"/>
    <cellStyle name="Normal 8 2 3 2 2 2 3 5" xfId="19725" xr:uid="{00000000-0005-0000-0000-00000C4D0000}"/>
    <cellStyle name="Normal 8 2 3 2 2 2 4" xfId="19726" xr:uid="{00000000-0005-0000-0000-00000D4D0000}"/>
    <cellStyle name="Normal 8 2 3 2 2 2 4 2" xfId="19727" xr:uid="{00000000-0005-0000-0000-00000E4D0000}"/>
    <cellStyle name="Normal 8 2 3 2 2 2 4 3" xfId="19728" xr:uid="{00000000-0005-0000-0000-00000F4D0000}"/>
    <cellStyle name="Normal 8 2 3 2 2 2 5" xfId="19729" xr:uid="{00000000-0005-0000-0000-0000104D0000}"/>
    <cellStyle name="Normal 8 2 3 2 2 2 5 2" xfId="19730" xr:uid="{00000000-0005-0000-0000-0000114D0000}"/>
    <cellStyle name="Normal 8 2 3 2 2 2 5 3" xfId="19731" xr:uid="{00000000-0005-0000-0000-0000124D0000}"/>
    <cellStyle name="Normal 8 2 3 2 2 2 6" xfId="19732" xr:uid="{00000000-0005-0000-0000-0000134D0000}"/>
    <cellStyle name="Normal 8 2 3 2 2 2 7" xfId="19733" xr:uid="{00000000-0005-0000-0000-0000144D0000}"/>
    <cellStyle name="Normal 8 2 3 2 2 3" xfId="19734" xr:uid="{00000000-0005-0000-0000-0000154D0000}"/>
    <cellStyle name="Normal 8 2 3 2 2 3 2" xfId="19735" xr:uid="{00000000-0005-0000-0000-0000164D0000}"/>
    <cellStyle name="Normal 8 2 3 2 2 3 2 2" xfId="19736" xr:uid="{00000000-0005-0000-0000-0000174D0000}"/>
    <cellStyle name="Normal 8 2 3 2 2 3 2 3" xfId="19737" xr:uid="{00000000-0005-0000-0000-0000184D0000}"/>
    <cellStyle name="Normal 8 2 3 2 2 3 3" xfId="19738" xr:uid="{00000000-0005-0000-0000-0000194D0000}"/>
    <cellStyle name="Normal 8 2 3 2 2 3 3 2" xfId="19739" xr:uid="{00000000-0005-0000-0000-00001A4D0000}"/>
    <cellStyle name="Normal 8 2 3 2 2 3 3 3" xfId="19740" xr:uid="{00000000-0005-0000-0000-00001B4D0000}"/>
    <cellStyle name="Normal 8 2 3 2 2 3 4" xfId="19741" xr:uid="{00000000-0005-0000-0000-00001C4D0000}"/>
    <cellStyle name="Normal 8 2 3 2 2 3 5" xfId="19742" xr:uid="{00000000-0005-0000-0000-00001D4D0000}"/>
    <cellStyle name="Normal 8 2 3 2 2 4" xfId="19743" xr:uid="{00000000-0005-0000-0000-00001E4D0000}"/>
    <cellStyle name="Normal 8 2 3 2 2 4 2" xfId="19744" xr:uid="{00000000-0005-0000-0000-00001F4D0000}"/>
    <cellStyle name="Normal 8 2 3 2 2 4 2 2" xfId="19745" xr:uid="{00000000-0005-0000-0000-0000204D0000}"/>
    <cellStyle name="Normal 8 2 3 2 2 4 2 3" xfId="19746" xr:uid="{00000000-0005-0000-0000-0000214D0000}"/>
    <cellStyle name="Normal 8 2 3 2 2 4 3" xfId="19747" xr:uid="{00000000-0005-0000-0000-0000224D0000}"/>
    <cellStyle name="Normal 8 2 3 2 2 4 3 2" xfId="19748" xr:uid="{00000000-0005-0000-0000-0000234D0000}"/>
    <cellStyle name="Normal 8 2 3 2 2 4 3 3" xfId="19749" xr:uid="{00000000-0005-0000-0000-0000244D0000}"/>
    <cellStyle name="Normal 8 2 3 2 2 4 4" xfId="19750" xr:uid="{00000000-0005-0000-0000-0000254D0000}"/>
    <cellStyle name="Normal 8 2 3 2 2 4 5" xfId="19751" xr:uid="{00000000-0005-0000-0000-0000264D0000}"/>
    <cellStyle name="Normal 8 2 3 2 2 5" xfId="19752" xr:uid="{00000000-0005-0000-0000-0000274D0000}"/>
    <cellStyle name="Normal 8 2 3 2 2 5 2" xfId="19753" xr:uid="{00000000-0005-0000-0000-0000284D0000}"/>
    <cellStyle name="Normal 8 2 3 2 2 5 3" xfId="19754" xr:uid="{00000000-0005-0000-0000-0000294D0000}"/>
    <cellStyle name="Normal 8 2 3 2 2 6" xfId="19755" xr:uid="{00000000-0005-0000-0000-00002A4D0000}"/>
    <cellStyle name="Normal 8 2 3 2 2 6 2" xfId="19756" xr:uid="{00000000-0005-0000-0000-00002B4D0000}"/>
    <cellStyle name="Normal 8 2 3 2 2 6 3" xfId="19757" xr:uid="{00000000-0005-0000-0000-00002C4D0000}"/>
    <cellStyle name="Normal 8 2 3 2 2 7" xfId="19758" xr:uid="{00000000-0005-0000-0000-00002D4D0000}"/>
    <cellStyle name="Normal 8 2 3 2 2 7 2" xfId="19759" xr:uid="{00000000-0005-0000-0000-00002E4D0000}"/>
    <cellStyle name="Normal 8 2 3 2 2 7 3" xfId="19760" xr:uid="{00000000-0005-0000-0000-00002F4D0000}"/>
    <cellStyle name="Normal 8 2 3 2 2 7 3 2" xfId="19761" xr:uid="{00000000-0005-0000-0000-0000304D0000}"/>
    <cellStyle name="Normal 8 2 3 2 2 7 4" xfId="19762" xr:uid="{00000000-0005-0000-0000-0000314D0000}"/>
    <cellStyle name="Normal 8 2 3 2 2 8" xfId="19763" xr:uid="{00000000-0005-0000-0000-0000324D0000}"/>
    <cellStyle name="Normal 8 2 3 2 2 9" xfId="19764" xr:uid="{00000000-0005-0000-0000-0000334D0000}"/>
    <cellStyle name="Normal 8 2 3 2 3" xfId="19765" xr:uid="{00000000-0005-0000-0000-0000344D0000}"/>
    <cellStyle name="Normal 8 2 3 2 3 2" xfId="19766" xr:uid="{00000000-0005-0000-0000-0000354D0000}"/>
    <cellStyle name="Normal 8 2 3 2 3 2 2" xfId="19767" xr:uid="{00000000-0005-0000-0000-0000364D0000}"/>
    <cellStyle name="Normal 8 2 3 2 3 2 2 2" xfId="19768" xr:uid="{00000000-0005-0000-0000-0000374D0000}"/>
    <cellStyle name="Normal 8 2 3 2 3 2 2 3" xfId="19769" xr:uid="{00000000-0005-0000-0000-0000384D0000}"/>
    <cellStyle name="Normal 8 2 3 2 3 2 3" xfId="19770" xr:uid="{00000000-0005-0000-0000-0000394D0000}"/>
    <cellStyle name="Normal 8 2 3 2 3 2 3 2" xfId="19771" xr:uid="{00000000-0005-0000-0000-00003A4D0000}"/>
    <cellStyle name="Normal 8 2 3 2 3 2 3 3" xfId="19772" xr:uid="{00000000-0005-0000-0000-00003B4D0000}"/>
    <cellStyle name="Normal 8 2 3 2 3 2 4" xfId="19773" xr:uid="{00000000-0005-0000-0000-00003C4D0000}"/>
    <cellStyle name="Normal 8 2 3 2 3 2 5" xfId="19774" xr:uid="{00000000-0005-0000-0000-00003D4D0000}"/>
    <cellStyle name="Normal 8 2 3 2 3 3" xfId="19775" xr:uid="{00000000-0005-0000-0000-00003E4D0000}"/>
    <cellStyle name="Normal 8 2 3 2 3 3 2" xfId="19776" xr:uid="{00000000-0005-0000-0000-00003F4D0000}"/>
    <cellStyle name="Normal 8 2 3 2 3 3 2 2" xfId="19777" xr:uid="{00000000-0005-0000-0000-0000404D0000}"/>
    <cellStyle name="Normal 8 2 3 2 3 3 2 3" xfId="19778" xr:uid="{00000000-0005-0000-0000-0000414D0000}"/>
    <cellStyle name="Normal 8 2 3 2 3 3 3" xfId="19779" xr:uid="{00000000-0005-0000-0000-0000424D0000}"/>
    <cellStyle name="Normal 8 2 3 2 3 3 3 2" xfId="19780" xr:uid="{00000000-0005-0000-0000-0000434D0000}"/>
    <cellStyle name="Normal 8 2 3 2 3 3 3 3" xfId="19781" xr:uid="{00000000-0005-0000-0000-0000444D0000}"/>
    <cellStyle name="Normal 8 2 3 2 3 3 4" xfId="19782" xr:uid="{00000000-0005-0000-0000-0000454D0000}"/>
    <cellStyle name="Normal 8 2 3 2 3 3 5" xfId="19783" xr:uid="{00000000-0005-0000-0000-0000464D0000}"/>
    <cellStyle name="Normal 8 2 3 2 3 4" xfId="19784" xr:uid="{00000000-0005-0000-0000-0000474D0000}"/>
    <cellStyle name="Normal 8 2 3 2 3 4 2" xfId="19785" xr:uid="{00000000-0005-0000-0000-0000484D0000}"/>
    <cellStyle name="Normal 8 2 3 2 3 4 3" xfId="19786" xr:uid="{00000000-0005-0000-0000-0000494D0000}"/>
    <cellStyle name="Normal 8 2 3 2 3 5" xfId="19787" xr:uid="{00000000-0005-0000-0000-00004A4D0000}"/>
    <cellStyle name="Normal 8 2 3 2 3 5 2" xfId="19788" xr:uid="{00000000-0005-0000-0000-00004B4D0000}"/>
    <cellStyle name="Normal 8 2 3 2 3 5 3" xfId="19789" xr:uid="{00000000-0005-0000-0000-00004C4D0000}"/>
    <cellStyle name="Normal 8 2 3 2 3 6" xfId="19790" xr:uid="{00000000-0005-0000-0000-00004D4D0000}"/>
    <cellStyle name="Normal 8 2 3 2 3 7" xfId="19791" xr:uid="{00000000-0005-0000-0000-00004E4D0000}"/>
    <cellStyle name="Normal 8 2 3 2 4" xfId="19792" xr:uid="{00000000-0005-0000-0000-00004F4D0000}"/>
    <cellStyle name="Normal 8 2 3 2 4 2" xfId="19793" xr:uid="{00000000-0005-0000-0000-0000504D0000}"/>
    <cellStyle name="Normal 8 2 3 2 4 2 2" xfId="19794" xr:uid="{00000000-0005-0000-0000-0000514D0000}"/>
    <cellStyle name="Normal 8 2 3 2 4 2 2 2" xfId="19795" xr:uid="{00000000-0005-0000-0000-0000524D0000}"/>
    <cellStyle name="Normal 8 2 3 2 4 2 2 3" xfId="19796" xr:uid="{00000000-0005-0000-0000-0000534D0000}"/>
    <cellStyle name="Normal 8 2 3 2 4 2 3" xfId="19797" xr:uid="{00000000-0005-0000-0000-0000544D0000}"/>
    <cellStyle name="Normal 8 2 3 2 4 2 3 2" xfId="19798" xr:uid="{00000000-0005-0000-0000-0000554D0000}"/>
    <cellStyle name="Normal 8 2 3 2 4 2 3 3" xfId="19799" xr:uid="{00000000-0005-0000-0000-0000564D0000}"/>
    <cellStyle name="Normal 8 2 3 2 4 2 4" xfId="19800" xr:uid="{00000000-0005-0000-0000-0000574D0000}"/>
    <cellStyle name="Normal 8 2 3 2 4 2 5" xfId="19801" xr:uid="{00000000-0005-0000-0000-0000584D0000}"/>
    <cellStyle name="Normal 8 2 3 2 4 3" xfId="19802" xr:uid="{00000000-0005-0000-0000-0000594D0000}"/>
    <cellStyle name="Normal 8 2 3 2 4 3 2" xfId="19803" xr:uid="{00000000-0005-0000-0000-00005A4D0000}"/>
    <cellStyle name="Normal 8 2 3 2 4 3 2 2" xfId="19804" xr:uid="{00000000-0005-0000-0000-00005B4D0000}"/>
    <cellStyle name="Normal 8 2 3 2 4 3 2 3" xfId="19805" xr:uid="{00000000-0005-0000-0000-00005C4D0000}"/>
    <cellStyle name="Normal 8 2 3 2 4 3 3" xfId="19806" xr:uid="{00000000-0005-0000-0000-00005D4D0000}"/>
    <cellStyle name="Normal 8 2 3 2 4 3 4" xfId="19807" xr:uid="{00000000-0005-0000-0000-00005E4D0000}"/>
    <cellStyle name="Normal 8 2 3 2 4 4" xfId="19808" xr:uid="{00000000-0005-0000-0000-00005F4D0000}"/>
    <cellStyle name="Normal 8 2 3 2 4 4 2" xfId="19809" xr:uid="{00000000-0005-0000-0000-0000604D0000}"/>
    <cellStyle name="Normal 8 2 3 2 4 4 3" xfId="19810" xr:uid="{00000000-0005-0000-0000-0000614D0000}"/>
    <cellStyle name="Normal 8 2 3 2 4 5" xfId="19811" xr:uid="{00000000-0005-0000-0000-0000624D0000}"/>
    <cellStyle name="Normal 8 2 3 2 4 5 2" xfId="19812" xr:uid="{00000000-0005-0000-0000-0000634D0000}"/>
    <cellStyle name="Normal 8 2 3 2 4 5 3" xfId="19813" xr:uid="{00000000-0005-0000-0000-0000644D0000}"/>
    <cellStyle name="Normal 8 2 3 2 4 6" xfId="19814" xr:uid="{00000000-0005-0000-0000-0000654D0000}"/>
    <cellStyle name="Normal 8 2 3 2 4 7" xfId="19815" xr:uid="{00000000-0005-0000-0000-0000664D0000}"/>
    <cellStyle name="Normal 8 2 3 2 5" xfId="19816" xr:uid="{00000000-0005-0000-0000-0000674D0000}"/>
    <cellStyle name="Normal 8 2 3 2 5 2" xfId="19817" xr:uid="{00000000-0005-0000-0000-0000684D0000}"/>
    <cellStyle name="Normal 8 2 3 2 5 2 2" xfId="19818" xr:uid="{00000000-0005-0000-0000-0000694D0000}"/>
    <cellStyle name="Normal 8 2 3 2 5 2 3" xfId="19819" xr:uid="{00000000-0005-0000-0000-00006A4D0000}"/>
    <cellStyle name="Normal 8 2 3 2 5 3" xfId="19820" xr:uid="{00000000-0005-0000-0000-00006B4D0000}"/>
    <cellStyle name="Normal 8 2 3 2 5 3 2" xfId="19821" xr:uid="{00000000-0005-0000-0000-00006C4D0000}"/>
    <cellStyle name="Normal 8 2 3 2 5 3 3" xfId="19822" xr:uid="{00000000-0005-0000-0000-00006D4D0000}"/>
    <cellStyle name="Normal 8 2 3 2 5 4" xfId="19823" xr:uid="{00000000-0005-0000-0000-00006E4D0000}"/>
    <cellStyle name="Normal 8 2 3 2 5 5" xfId="19824" xr:uid="{00000000-0005-0000-0000-00006F4D0000}"/>
    <cellStyle name="Normal 8 2 3 2 6" xfId="19825" xr:uid="{00000000-0005-0000-0000-0000704D0000}"/>
    <cellStyle name="Normal 8 2 3 2 6 2" xfId="19826" xr:uid="{00000000-0005-0000-0000-0000714D0000}"/>
    <cellStyle name="Normal 8 2 3 2 6 2 2" xfId="19827" xr:uid="{00000000-0005-0000-0000-0000724D0000}"/>
    <cellStyle name="Normal 8 2 3 2 6 2 3" xfId="19828" xr:uid="{00000000-0005-0000-0000-0000734D0000}"/>
    <cellStyle name="Normal 8 2 3 2 6 3" xfId="19829" xr:uid="{00000000-0005-0000-0000-0000744D0000}"/>
    <cellStyle name="Normal 8 2 3 2 6 3 2" xfId="19830" xr:uid="{00000000-0005-0000-0000-0000754D0000}"/>
    <cellStyle name="Normal 8 2 3 2 6 3 3" xfId="19831" xr:uid="{00000000-0005-0000-0000-0000764D0000}"/>
    <cellStyle name="Normal 8 2 3 2 6 4" xfId="19832" xr:uid="{00000000-0005-0000-0000-0000774D0000}"/>
    <cellStyle name="Normal 8 2 3 2 6 5" xfId="19833" xr:uid="{00000000-0005-0000-0000-0000784D0000}"/>
    <cellStyle name="Normal 8 2 3 2 7" xfId="19834" xr:uid="{00000000-0005-0000-0000-0000794D0000}"/>
    <cellStyle name="Normal 8 2 3 2 7 2" xfId="19835" xr:uid="{00000000-0005-0000-0000-00007A4D0000}"/>
    <cellStyle name="Normal 8 2 3 2 7 2 2" xfId="19836" xr:uid="{00000000-0005-0000-0000-00007B4D0000}"/>
    <cellStyle name="Normal 8 2 3 2 7 2 3" xfId="19837" xr:uid="{00000000-0005-0000-0000-00007C4D0000}"/>
    <cellStyle name="Normal 8 2 3 2 7 3" xfId="19838" xr:uid="{00000000-0005-0000-0000-00007D4D0000}"/>
    <cellStyle name="Normal 8 2 3 2 7 4" xfId="19839" xr:uid="{00000000-0005-0000-0000-00007E4D0000}"/>
    <cellStyle name="Normal 8 2 3 2 8" xfId="19840" xr:uid="{00000000-0005-0000-0000-00007F4D0000}"/>
    <cellStyle name="Normal 8 2 3 2 8 2" xfId="19841" xr:uid="{00000000-0005-0000-0000-0000804D0000}"/>
    <cellStyle name="Normal 8 2 3 2 8 3" xfId="19842" xr:uid="{00000000-0005-0000-0000-0000814D0000}"/>
    <cellStyle name="Normal 8 2 3 2 9" xfId="19843" xr:uid="{00000000-0005-0000-0000-0000824D0000}"/>
    <cellStyle name="Normal 8 2 3 2 9 2" xfId="19844" xr:uid="{00000000-0005-0000-0000-0000834D0000}"/>
    <cellStyle name="Normal 8 2 3 2 9 3" xfId="19845" xr:uid="{00000000-0005-0000-0000-0000844D0000}"/>
    <cellStyle name="Normal 8 2 3 3" xfId="19846" xr:uid="{00000000-0005-0000-0000-0000854D0000}"/>
    <cellStyle name="Normal 8 2 3 3 2" xfId="19847" xr:uid="{00000000-0005-0000-0000-0000864D0000}"/>
    <cellStyle name="Normal 8 2 3 3 2 2" xfId="19848" xr:uid="{00000000-0005-0000-0000-0000874D0000}"/>
    <cellStyle name="Normal 8 2 3 3 2 2 2" xfId="19849" xr:uid="{00000000-0005-0000-0000-0000884D0000}"/>
    <cellStyle name="Normal 8 2 3 3 2 2 2 2" xfId="19850" xr:uid="{00000000-0005-0000-0000-0000894D0000}"/>
    <cellStyle name="Normal 8 2 3 3 2 2 2 3" xfId="19851" xr:uid="{00000000-0005-0000-0000-00008A4D0000}"/>
    <cellStyle name="Normal 8 2 3 3 2 2 3" xfId="19852" xr:uid="{00000000-0005-0000-0000-00008B4D0000}"/>
    <cellStyle name="Normal 8 2 3 3 2 2 3 2" xfId="19853" xr:uid="{00000000-0005-0000-0000-00008C4D0000}"/>
    <cellStyle name="Normal 8 2 3 3 2 2 3 3" xfId="19854" xr:uid="{00000000-0005-0000-0000-00008D4D0000}"/>
    <cellStyle name="Normal 8 2 3 3 2 2 4" xfId="19855" xr:uid="{00000000-0005-0000-0000-00008E4D0000}"/>
    <cellStyle name="Normal 8 2 3 3 2 2 5" xfId="19856" xr:uid="{00000000-0005-0000-0000-00008F4D0000}"/>
    <cellStyle name="Normal 8 2 3 3 2 3" xfId="19857" xr:uid="{00000000-0005-0000-0000-0000904D0000}"/>
    <cellStyle name="Normal 8 2 3 3 2 3 2" xfId="19858" xr:uid="{00000000-0005-0000-0000-0000914D0000}"/>
    <cellStyle name="Normal 8 2 3 3 2 3 2 2" xfId="19859" xr:uid="{00000000-0005-0000-0000-0000924D0000}"/>
    <cellStyle name="Normal 8 2 3 3 2 3 2 3" xfId="19860" xr:uid="{00000000-0005-0000-0000-0000934D0000}"/>
    <cellStyle name="Normal 8 2 3 3 2 3 3" xfId="19861" xr:uid="{00000000-0005-0000-0000-0000944D0000}"/>
    <cellStyle name="Normal 8 2 3 3 2 3 3 2" xfId="19862" xr:uid="{00000000-0005-0000-0000-0000954D0000}"/>
    <cellStyle name="Normal 8 2 3 3 2 3 3 3" xfId="19863" xr:uid="{00000000-0005-0000-0000-0000964D0000}"/>
    <cellStyle name="Normal 8 2 3 3 2 3 4" xfId="19864" xr:uid="{00000000-0005-0000-0000-0000974D0000}"/>
    <cellStyle name="Normal 8 2 3 3 2 3 5" xfId="19865" xr:uid="{00000000-0005-0000-0000-0000984D0000}"/>
    <cellStyle name="Normal 8 2 3 3 2 4" xfId="19866" xr:uid="{00000000-0005-0000-0000-0000994D0000}"/>
    <cellStyle name="Normal 8 2 3 3 2 4 2" xfId="19867" xr:uid="{00000000-0005-0000-0000-00009A4D0000}"/>
    <cellStyle name="Normal 8 2 3 3 2 4 3" xfId="19868" xr:uid="{00000000-0005-0000-0000-00009B4D0000}"/>
    <cellStyle name="Normal 8 2 3 3 2 5" xfId="19869" xr:uid="{00000000-0005-0000-0000-00009C4D0000}"/>
    <cellStyle name="Normal 8 2 3 3 2 5 2" xfId="19870" xr:uid="{00000000-0005-0000-0000-00009D4D0000}"/>
    <cellStyle name="Normal 8 2 3 3 2 5 3" xfId="19871" xr:uid="{00000000-0005-0000-0000-00009E4D0000}"/>
    <cellStyle name="Normal 8 2 3 3 2 6" xfId="19872" xr:uid="{00000000-0005-0000-0000-00009F4D0000}"/>
    <cellStyle name="Normal 8 2 3 3 2 7" xfId="19873" xr:uid="{00000000-0005-0000-0000-0000A04D0000}"/>
    <cellStyle name="Normal 8 2 3 3 3" xfId="19874" xr:uid="{00000000-0005-0000-0000-0000A14D0000}"/>
    <cellStyle name="Normal 8 2 3 3 3 2" xfId="19875" xr:uid="{00000000-0005-0000-0000-0000A24D0000}"/>
    <cellStyle name="Normal 8 2 3 3 3 2 2" xfId="19876" xr:uid="{00000000-0005-0000-0000-0000A34D0000}"/>
    <cellStyle name="Normal 8 2 3 3 3 2 3" xfId="19877" xr:uid="{00000000-0005-0000-0000-0000A44D0000}"/>
    <cellStyle name="Normal 8 2 3 3 3 3" xfId="19878" xr:uid="{00000000-0005-0000-0000-0000A54D0000}"/>
    <cellStyle name="Normal 8 2 3 3 3 3 2" xfId="19879" xr:uid="{00000000-0005-0000-0000-0000A64D0000}"/>
    <cellStyle name="Normal 8 2 3 3 3 3 3" xfId="19880" xr:uid="{00000000-0005-0000-0000-0000A74D0000}"/>
    <cellStyle name="Normal 8 2 3 3 3 4" xfId="19881" xr:uid="{00000000-0005-0000-0000-0000A84D0000}"/>
    <cellStyle name="Normal 8 2 3 3 3 5" xfId="19882" xr:uid="{00000000-0005-0000-0000-0000A94D0000}"/>
    <cellStyle name="Normal 8 2 3 3 4" xfId="19883" xr:uid="{00000000-0005-0000-0000-0000AA4D0000}"/>
    <cellStyle name="Normal 8 2 3 3 4 2" xfId="19884" xr:uid="{00000000-0005-0000-0000-0000AB4D0000}"/>
    <cellStyle name="Normal 8 2 3 3 4 2 2" xfId="19885" xr:uid="{00000000-0005-0000-0000-0000AC4D0000}"/>
    <cellStyle name="Normal 8 2 3 3 4 2 3" xfId="19886" xr:uid="{00000000-0005-0000-0000-0000AD4D0000}"/>
    <cellStyle name="Normal 8 2 3 3 4 3" xfId="19887" xr:uid="{00000000-0005-0000-0000-0000AE4D0000}"/>
    <cellStyle name="Normal 8 2 3 3 4 3 2" xfId="19888" xr:uid="{00000000-0005-0000-0000-0000AF4D0000}"/>
    <cellStyle name="Normal 8 2 3 3 4 3 3" xfId="19889" xr:uid="{00000000-0005-0000-0000-0000B04D0000}"/>
    <cellStyle name="Normal 8 2 3 3 4 4" xfId="19890" xr:uid="{00000000-0005-0000-0000-0000B14D0000}"/>
    <cellStyle name="Normal 8 2 3 3 4 5" xfId="19891" xr:uid="{00000000-0005-0000-0000-0000B24D0000}"/>
    <cellStyle name="Normal 8 2 3 3 5" xfId="19892" xr:uid="{00000000-0005-0000-0000-0000B34D0000}"/>
    <cellStyle name="Normal 8 2 3 3 5 2" xfId="19893" xr:uid="{00000000-0005-0000-0000-0000B44D0000}"/>
    <cellStyle name="Normal 8 2 3 3 5 3" xfId="19894" xr:uid="{00000000-0005-0000-0000-0000B54D0000}"/>
    <cellStyle name="Normal 8 2 3 3 6" xfId="19895" xr:uid="{00000000-0005-0000-0000-0000B64D0000}"/>
    <cellStyle name="Normal 8 2 3 3 6 2" xfId="19896" xr:uid="{00000000-0005-0000-0000-0000B74D0000}"/>
    <cellStyle name="Normal 8 2 3 3 6 3" xfId="19897" xr:uid="{00000000-0005-0000-0000-0000B84D0000}"/>
    <cellStyle name="Normal 8 2 3 3 7" xfId="19898" xr:uid="{00000000-0005-0000-0000-0000B94D0000}"/>
    <cellStyle name="Normal 8 2 3 3 7 2" xfId="19899" xr:uid="{00000000-0005-0000-0000-0000BA4D0000}"/>
    <cellStyle name="Normal 8 2 3 3 7 3" xfId="19900" xr:uid="{00000000-0005-0000-0000-0000BB4D0000}"/>
    <cellStyle name="Normal 8 2 3 3 7 3 2" xfId="19901" xr:uid="{00000000-0005-0000-0000-0000BC4D0000}"/>
    <cellStyle name="Normal 8 2 3 3 7 4" xfId="19902" xr:uid="{00000000-0005-0000-0000-0000BD4D0000}"/>
    <cellStyle name="Normal 8 2 3 3 8" xfId="19903" xr:uid="{00000000-0005-0000-0000-0000BE4D0000}"/>
    <cellStyle name="Normal 8 2 3 3 9" xfId="19904" xr:uid="{00000000-0005-0000-0000-0000BF4D0000}"/>
    <cellStyle name="Normal 8 2 3 4" xfId="19905" xr:uid="{00000000-0005-0000-0000-0000C04D0000}"/>
    <cellStyle name="Normal 8 2 3 4 2" xfId="19906" xr:uid="{00000000-0005-0000-0000-0000C14D0000}"/>
    <cellStyle name="Normal 8 2 3 4 2 2" xfId="19907" xr:uid="{00000000-0005-0000-0000-0000C24D0000}"/>
    <cellStyle name="Normal 8 2 3 4 2 2 2" xfId="19908" xr:uid="{00000000-0005-0000-0000-0000C34D0000}"/>
    <cellStyle name="Normal 8 2 3 4 2 2 3" xfId="19909" xr:uid="{00000000-0005-0000-0000-0000C44D0000}"/>
    <cellStyle name="Normal 8 2 3 4 2 3" xfId="19910" xr:uid="{00000000-0005-0000-0000-0000C54D0000}"/>
    <cellStyle name="Normal 8 2 3 4 2 3 2" xfId="19911" xr:uid="{00000000-0005-0000-0000-0000C64D0000}"/>
    <cellStyle name="Normal 8 2 3 4 2 3 3" xfId="19912" xr:uid="{00000000-0005-0000-0000-0000C74D0000}"/>
    <cellStyle name="Normal 8 2 3 4 2 4" xfId="19913" xr:uid="{00000000-0005-0000-0000-0000C84D0000}"/>
    <cellStyle name="Normal 8 2 3 4 2 5" xfId="19914" xr:uid="{00000000-0005-0000-0000-0000C94D0000}"/>
    <cellStyle name="Normal 8 2 3 4 3" xfId="19915" xr:uid="{00000000-0005-0000-0000-0000CA4D0000}"/>
    <cellStyle name="Normal 8 2 3 4 3 2" xfId="19916" xr:uid="{00000000-0005-0000-0000-0000CB4D0000}"/>
    <cellStyle name="Normal 8 2 3 4 3 2 2" xfId="19917" xr:uid="{00000000-0005-0000-0000-0000CC4D0000}"/>
    <cellStyle name="Normal 8 2 3 4 3 2 3" xfId="19918" xr:uid="{00000000-0005-0000-0000-0000CD4D0000}"/>
    <cellStyle name="Normal 8 2 3 4 3 3" xfId="19919" xr:uid="{00000000-0005-0000-0000-0000CE4D0000}"/>
    <cellStyle name="Normal 8 2 3 4 3 3 2" xfId="19920" xr:uid="{00000000-0005-0000-0000-0000CF4D0000}"/>
    <cellStyle name="Normal 8 2 3 4 3 3 3" xfId="19921" xr:uid="{00000000-0005-0000-0000-0000D04D0000}"/>
    <cellStyle name="Normal 8 2 3 4 3 4" xfId="19922" xr:uid="{00000000-0005-0000-0000-0000D14D0000}"/>
    <cellStyle name="Normal 8 2 3 4 3 5" xfId="19923" xr:uid="{00000000-0005-0000-0000-0000D24D0000}"/>
    <cellStyle name="Normal 8 2 3 4 4" xfId="19924" xr:uid="{00000000-0005-0000-0000-0000D34D0000}"/>
    <cellStyle name="Normal 8 2 3 4 4 2" xfId="19925" xr:uid="{00000000-0005-0000-0000-0000D44D0000}"/>
    <cellStyle name="Normal 8 2 3 4 4 3" xfId="19926" xr:uid="{00000000-0005-0000-0000-0000D54D0000}"/>
    <cellStyle name="Normal 8 2 3 4 5" xfId="19927" xr:uid="{00000000-0005-0000-0000-0000D64D0000}"/>
    <cellStyle name="Normal 8 2 3 4 5 2" xfId="19928" xr:uid="{00000000-0005-0000-0000-0000D74D0000}"/>
    <cellStyle name="Normal 8 2 3 4 5 3" xfId="19929" xr:uid="{00000000-0005-0000-0000-0000D84D0000}"/>
    <cellStyle name="Normal 8 2 3 4 6" xfId="19930" xr:uid="{00000000-0005-0000-0000-0000D94D0000}"/>
    <cellStyle name="Normal 8 2 3 4 7" xfId="19931" xr:uid="{00000000-0005-0000-0000-0000DA4D0000}"/>
    <cellStyle name="Normal 8 2 3 5" xfId="19932" xr:uid="{00000000-0005-0000-0000-0000DB4D0000}"/>
    <cellStyle name="Normal 8 2 3 5 2" xfId="19933" xr:uid="{00000000-0005-0000-0000-0000DC4D0000}"/>
    <cellStyle name="Normal 8 2 3 5 2 2" xfId="19934" xr:uid="{00000000-0005-0000-0000-0000DD4D0000}"/>
    <cellStyle name="Normal 8 2 3 5 2 2 2" xfId="19935" xr:uid="{00000000-0005-0000-0000-0000DE4D0000}"/>
    <cellStyle name="Normal 8 2 3 5 2 2 3" xfId="19936" xr:uid="{00000000-0005-0000-0000-0000DF4D0000}"/>
    <cellStyle name="Normal 8 2 3 5 2 3" xfId="19937" xr:uid="{00000000-0005-0000-0000-0000E04D0000}"/>
    <cellStyle name="Normal 8 2 3 5 2 3 2" xfId="19938" xr:uid="{00000000-0005-0000-0000-0000E14D0000}"/>
    <cellStyle name="Normal 8 2 3 5 2 3 3" xfId="19939" xr:uid="{00000000-0005-0000-0000-0000E24D0000}"/>
    <cellStyle name="Normal 8 2 3 5 2 4" xfId="19940" xr:uid="{00000000-0005-0000-0000-0000E34D0000}"/>
    <cellStyle name="Normal 8 2 3 5 2 5" xfId="19941" xr:uid="{00000000-0005-0000-0000-0000E44D0000}"/>
    <cellStyle name="Normal 8 2 3 5 3" xfId="19942" xr:uid="{00000000-0005-0000-0000-0000E54D0000}"/>
    <cellStyle name="Normal 8 2 3 5 3 2" xfId="19943" xr:uid="{00000000-0005-0000-0000-0000E64D0000}"/>
    <cellStyle name="Normal 8 2 3 5 3 2 2" xfId="19944" xr:uid="{00000000-0005-0000-0000-0000E74D0000}"/>
    <cellStyle name="Normal 8 2 3 5 3 2 3" xfId="19945" xr:uid="{00000000-0005-0000-0000-0000E84D0000}"/>
    <cellStyle name="Normal 8 2 3 5 3 3" xfId="19946" xr:uid="{00000000-0005-0000-0000-0000E94D0000}"/>
    <cellStyle name="Normal 8 2 3 5 3 4" xfId="19947" xr:uid="{00000000-0005-0000-0000-0000EA4D0000}"/>
    <cellStyle name="Normal 8 2 3 5 4" xfId="19948" xr:uid="{00000000-0005-0000-0000-0000EB4D0000}"/>
    <cellStyle name="Normal 8 2 3 5 4 2" xfId="19949" xr:uid="{00000000-0005-0000-0000-0000EC4D0000}"/>
    <cellStyle name="Normal 8 2 3 5 4 3" xfId="19950" xr:uid="{00000000-0005-0000-0000-0000ED4D0000}"/>
    <cellStyle name="Normal 8 2 3 5 5" xfId="19951" xr:uid="{00000000-0005-0000-0000-0000EE4D0000}"/>
    <cellStyle name="Normal 8 2 3 5 5 2" xfId="19952" xr:uid="{00000000-0005-0000-0000-0000EF4D0000}"/>
    <cellStyle name="Normal 8 2 3 5 5 3" xfId="19953" xr:uid="{00000000-0005-0000-0000-0000F04D0000}"/>
    <cellStyle name="Normal 8 2 3 5 6" xfId="19954" xr:uid="{00000000-0005-0000-0000-0000F14D0000}"/>
    <cellStyle name="Normal 8 2 3 5 7" xfId="19955" xr:uid="{00000000-0005-0000-0000-0000F24D0000}"/>
    <cellStyle name="Normal 8 2 3 6" xfId="19956" xr:uid="{00000000-0005-0000-0000-0000F34D0000}"/>
    <cellStyle name="Normal 8 2 3 6 2" xfId="19957" xr:uid="{00000000-0005-0000-0000-0000F44D0000}"/>
    <cellStyle name="Normal 8 2 3 6 2 2" xfId="19958" xr:uid="{00000000-0005-0000-0000-0000F54D0000}"/>
    <cellStyle name="Normal 8 2 3 6 2 3" xfId="19959" xr:uid="{00000000-0005-0000-0000-0000F64D0000}"/>
    <cellStyle name="Normal 8 2 3 6 3" xfId="19960" xr:uid="{00000000-0005-0000-0000-0000F74D0000}"/>
    <cellStyle name="Normal 8 2 3 6 3 2" xfId="19961" xr:uid="{00000000-0005-0000-0000-0000F84D0000}"/>
    <cellStyle name="Normal 8 2 3 6 3 3" xfId="19962" xr:uid="{00000000-0005-0000-0000-0000F94D0000}"/>
    <cellStyle name="Normal 8 2 3 6 4" xfId="19963" xr:uid="{00000000-0005-0000-0000-0000FA4D0000}"/>
    <cellStyle name="Normal 8 2 3 6 5" xfId="19964" xr:uid="{00000000-0005-0000-0000-0000FB4D0000}"/>
    <cellStyle name="Normal 8 2 3 7" xfId="19965" xr:uid="{00000000-0005-0000-0000-0000FC4D0000}"/>
    <cellStyle name="Normal 8 2 3 7 2" xfId="19966" xr:uid="{00000000-0005-0000-0000-0000FD4D0000}"/>
    <cellStyle name="Normal 8 2 3 7 2 2" xfId="19967" xr:uid="{00000000-0005-0000-0000-0000FE4D0000}"/>
    <cellStyle name="Normal 8 2 3 7 2 3" xfId="19968" xr:uid="{00000000-0005-0000-0000-0000FF4D0000}"/>
    <cellStyle name="Normal 8 2 3 7 3" xfId="19969" xr:uid="{00000000-0005-0000-0000-0000004E0000}"/>
    <cellStyle name="Normal 8 2 3 7 3 2" xfId="19970" xr:uid="{00000000-0005-0000-0000-0000014E0000}"/>
    <cellStyle name="Normal 8 2 3 7 3 3" xfId="19971" xr:uid="{00000000-0005-0000-0000-0000024E0000}"/>
    <cellStyle name="Normal 8 2 3 7 4" xfId="19972" xr:uid="{00000000-0005-0000-0000-0000034E0000}"/>
    <cellStyle name="Normal 8 2 3 7 5" xfId="19973" xr:uid="{00000000-0005-0000-0000-0000044E0000}"/>
    <cellStyle name="Normal 8 2 3 8" xfId="19974" xr:uid="{00000000-0005-0000-0000-0000054E0000}"/>
    <cellStyle name="Normal 8 2 3 8 2" xfId="19975" xr:uid="{00000000-0005-0000-0000-0000064E0000}"/>
    <cellStyle name="Normal 8 2 3 8 2 2" xfId="19976" xr:uid="{00000000-0005-0000-0000-0000074E0000}"/>
    <cellStyle name="Normal 8 2 3 8 2 3" xfId="19977" xr:uid="{00000000-0005-0000-0000-0000084E0000}"/>
    <cellStyle name="Normal 8 2 3 8 3" xfId="19978" xr:uid="{00000000-0005-0000-0000-0000094E0000}"/>
    <cellStyle name="Normal 8 2 3 8 4" xfId="19979" xr:uid="{00000000-0005-0000-0000-00000A4E0000}"/>
    <cellStyle name="Normal 8 2 3 9" xfId="19980" xr:uid="{00000000-0005-0000-0000-00000B4E0000}"/>
    <cellStyle name="Normal 8 2 3 9 2" xfId="19981" xr:uid="{00000000-0005-0000-0000-00000C4E0000}"/>
    <cellStyle name="Normal 8 2 3 9 3" xfId="19982" xr:uid="{00000000-0005-0000-0000-00000D4E0000}"/>
    <cellStyle name="Normal 8 2 4" xfId="19983" xr:uid="{00000000-0005-0000-0000-00000E4E0000}"/>
    <cellStyle name="Normal 8 2 4 10" xfId="19984" xr:uid="{00000000-0005-0000-0000-00000F4E0000}"/>
    <cellStyle name="Normal 8 2 4 10 2" xfId="19985" xr:uid="{00000000-0005-0000-0000-0000104E0000}"/>
    <cellStyle name="Normal 8 2 4 10 3" xfId="19986" xr:uid="{00000000-0005-0000-0000-0000114E0000}"/>
    <cellStyle name="Normal 8 2 4 10 3 2" xfId="19987" xr:uid="{00000000-0005-0000-0000-0000124E0000}"/>
    <cellStyle name="Normal 8 2 4 10 4" xfId="19988" xr:uid="{00000000-0005-0000-0000-0000134E0000}"/>
    <cellStyle name="Normal 8 2 4 11" xfId="19989" xr:uid="{00000000-0005-0000-0000-0000144E0000}"/>
    <cellStyle name="Normal 8 2 4 11 2" xfId="19990" xr:uid="{00000000-0005-0000-0000-0000154E0000}"/>
    <cellStyle name="Normal 8 2 4 11 2 2" xfId="19991" xr:uid="{00000000-0005-0000-0000-0000164E0000}"/>
    <cellStyle name="Normal 8 2 4 11 3" xfId="19992" xr:uid="{00000000-0005-0000-0000-0000174E0000}"/>
    <cellStyle name="Normal 8 2 4 12" xfId="19993" xr:uid="{00000000-0005-0000-0000-0000184E0000}"/>
    <cellStyle name="Normal 8 2 4 13" xfId="19994" xr:uid="{00000000-0005-0000-0000-0000194E0000}"/>
    <cellStyle name="Normal 8 2 4 2" xfId="19995" xr:uid="{00000000-0005-0000-0000-00001A4E0000}"/>
    <cellStyle name="Normal 8 2 4 2 2" xfId="19996" xr:uid="{00000000-0005-0000-0000-00001B4E0000}"/>
    <cellStyle name="Normal 8 2 4 2 2 2" xfId="19997" xr:uid="{00000000-0005-0000-0000-00001C4E0000}"/>
    <cellStyle name="Normal 8 2 4 2 2 2 2" xfId="19998" xr:uid="{00000000-0005-0000-0000-00001D4E0000}"/>
    <cellStyle name="Normal 8 2 4 2 2 2 2 2" xfId="19999" xr:uid="{00000000-0005-0000-0000-00001E4E0000}"/>
    <cellStyle name="Normal 8 2 4 2 2 2 2 3" xfId="20000" xr:uid="{00000000-0005-0000-0000-00001F4E0000}"/>
    <cellStyle name="Normal 8 2 4 2 2 2 3" xfId="20001" xr:uid="{00000000-0005-0000-0000-0000204E0000}"/>
    <cellStyle name="Normal 8 2 4 2 2 2 3 2" xfId="20002" xr:uid="{00000000-0005-0000-0000-0000214E0000}"/>
    <cellStyle name="Normal 8 2 4 2 2 2 3 3" xfId="20003" xr:uid="{00000000-0005-0000-0000-0000224E0000}"/>
    <cellStyle name="Normal 8 2 4 2 2 2 4" xfId="20004" xr:uid="{00000000-0005-0000-0000-0000234E0000}"/>
    <cellStyle name="Normal 8 2 4 2 2 2 5" xfId="20005" xr:uid="{00000000-0005-0000-0000-0000244E0000}"/>
    <cellStyle name="Normal 8 2 4 2 2 3" xfId="20006" xr:uid="{00000000-0005-0000-0000-0000254E0000}"/>
    <cellStyle name="Normal 8 2 4 2 2 3 2" xfId="20007" xr:uid="{00000000-0005-0000-0000-0000264E0000}"/>
    <cellStyle name="Normal 8 2 4 2 2 3 2 2" xfId="20008" xr:uid="{00000000-0005-0000-0000-0000274E0000}"/>
    <cellStyle name="Normal 8 2 4 2 2 3 2 3" xfId="20009" xr:uid="{00000000-0005-0000-0000-0000284E0000}"/>
    <cellStyle name="Normal 8 2 4 2 2 3 3" xfId="20010" xr:uid="{00000000-0005-0000-0000-0000294E0000}"/>
    <cellStyle name="Normal 8 2 4 2 2 3 3 2" xfId="20011" xr:uid="{00000000-0005-0000-0000-00002A4E0000}"/>
    <cellStyle name="Normal 8 2 4 2 2 3 3 3" xfId="20012" xr:uid="{00000000-0005-0000-0000-00002B4E0000}"/>
    <cellStyle name="Normal 8 2 4 2 2 3 4" xfId="20013" xr:uid="{00000000-0005-0000-0000-00002C4E0000}"/>
    <cellStyle name="Normal 8 2 4 2 2 3 5" xfId="20014" xr:uid="{00000000-0005-0000-0000-00002D4E0000}"/>
    <cellStyle name="Normal 8 2 4 2 2 4" xfId="20015" xr:uid="{00000000-0005-0000-0000-00002E4E0000}"/>
    <cellStyle name="Normal 8 2 4 2 2 4 2" xfId="20016" xr:uid="{00000000-0005-0000-0000-00002F4E0000}"/>
    <cellStyle name="Normal 8 2 4 2 2 4 3" xfId="20017" xr:uid="{00000000-0005-0000-0000-0000304E0000}"/>
    <cellStyle name="Normal 8 2 4 2 2 5" xfId="20018" xr:uid="{00000000-0005-0000-0000-0000314E0000}"/>
    <cellStyle name="Normal 8 2 4 2 2 5 2" xfId="20019" xr:uid="{00000000-0005-0000-0000-0000324E0000}"/>
    <cellStyle name="Normal 8 2 4 2 2 5 3" xfId="20020" xr:uid="{00000000-0005-0000-0000-0000334E0000}"/>
    <cellStyle name="Normal 8 2 4 2 2 6" xfId="20021" xr:uid="{00000000-0005-0000-0000-0000344E0000}"/>
    <cellStyle name="Normal 8 2 4 2 2 7" xfId="20022" xr:uid="{00000000-0005-0000-0000-0000354E0000}"/>
    <cellStyle name="Normal 8 2 4 2 3" xfId="20023" xr:uid="{00000000-0005-0000-0000-0000364E0000}"/>
    <cellStyle name="Normal 8 2 4 2 3 2" xfId="20024" xr:uid="{00000000-0005-0000-0000-0000374E0000}"/>
    <cellStyle name="Normal 8 2 4 2 3 2 2" xfId="20025" xr:uid="{00000000-0005-0000-0000-0000384E0000}"/>
    <cellStyle name="Normal 8 2 4 2 3 2 3" xfId="20026" xr:uid="{00000000-0005-0000-0000-0000394E0000}"/>
    <cellStyle name="Normal 8 2 4 2 3 3" xfId="20027" xr:uid="{00000000-0005-0000-0000-00003A4E0000}"/>
    <cellStyle name="Normal 8 2 4 2 3 3 2" xfId="20028" xr:uid="{00000000-0005-0000-0000-00003B4E0000}"/>
    <cellStyle name="Normal 8 2 4 2 3 3 3" xfId="20029" xr:uid="{00000000-0005-0000-0000-00003C4E0000}"/>
    <cellStyle name="Normal 8 2 4 2 3 4" xfId="20030" xr:uid="{00000000-0005-0000-0000-00003D4E0000}"/>
    <cellStyle name="Normal 8 2 4 2 3 5" xfId="20031" xr:uid="{00000000-0005-0000-0000-00003E4E0000}"/>
    <cellStyle name="Normal 8 2 4 2 4" xfId="20032" xr:uid="{00000000-0005-0000-0000-00003F4E0000}"/>
    <cellStyle name="Normal 8 2 4 2 4 2" xfId="20033" xr:uid="{00000000-0005-0000-0000-0000404E0000}"/>
    <cellStyle name="Normal 8 2 4 2 4 2 2" xfId="20034" xr:uid="{00000000-0005-0000-0000-0000414E0000}"/>
    <cellStyle name="Normal 8 2 4 2 4 2 3" xfId="20035" xr:uid="{00000000-0005-0000-0000-0000424E0000}"/>
    <cellStyle name="Normal 8 2 4 2 4 3" xfId="20036" xr:uid="{00000000-0005-0000-0000-0000434E0000}"/>
    <cellStyle name="Normal 8 2 4 2 4 3 2" xfId="20037" xr:uid="{00000000-0005-0000-0000-0000444E0000}"/>
    <cellStyle name="Normal 8 2 4 2 4 3 3" xfId="20038" xr:uid="{00000000-0005-0000-0000-0000454E0000}"/>
    <cellStyle name="Normal 8 2 4 2 4 4" xfId="20039" xr:uid="{00000000-0005-0000-0000-0000464E0000}"/>
    <cellStyle name="Normal 8 2 4 2 4 5" xfId="20040" xr:uid="{00000000-0005-0000-0000-0000474E0000}"/>
    <cellStyle name="Normal 8 2 4 2 5" xfId="20041" xr:uid="{00000000-0005-0000-0000-0000484E0000}"/>
    <cellStyle name="Normal 8 2 4 2 5 2" xfId="20042" xr:uid="{00000000-0005-0000-0000-0000494E0000}"/>
    <cellStyle name="Normal 8 2 4 2 5 3" xfId="20043" xr:uid="{00000000-0005-0000-0000-00004A4E0000}"/>
    <cellStyle name="Normal 8 2 4 2 6" xfId="20044" xr:uid="{00000000-0005-0000-0000-00004B4E0000}"/>
    <cellStyle name="Normal 8 2 4 2 6 2" xfId="20045" xr:uid="{00000000-0005-0000-0000-00004C4E0000}"/>
    <cellStyle name="Normal 8 2 4 2 6 3" xfId="20046" xr:uid="{00000000-0005-0000-0000-00004D4E0000}"/>
    <cellStyle name="Normal 8 2 4 2 7" xfId="20047" xr:uid="{00000000-0005-0000-0000-00004E4E0000}"/>
    <cellStyle name="Normal 8 2 4 2 7 2" xfId="20048" xr:uid="{00000000-0005-0000-0000-00004F4E0000}"/>
    <cellStyle name="Normal 8 2 4 2 7 3" xfId="20049" xr:uid="{00000000-0005-0000-0000-0000504E0000}"/>
    <cellStyle name="Normal 8 2 4 2 7 3 2" xfId="20050" xr:uid="{00000000-0005-0000-0000-0000514E0000}"/>
    <cellStyle name="Normal 8 2 4 2 7 4" xfId="20051" xr:uid="{00000000-0005-0000-0000-0000524E0000}"/>
    <cellStyle name="Normal 8 2 4 2 8" xfId="20052" xr:uid="{00000000-0005-0000-0000-0000534E0000}"/>
    <cellStyle name="Normal 8 2 4 2 9" xfId="20053" xr:uid="{00000000-0005-0000-0000-0000544E0000}"/>
    <cellStyle name="Normal 8 2 4 3" xfId="20054" xr:uid="{00000000-0005-0000-0000-0000554E0000}"/>
    <cellStyle name="Normal 8 2 4 3 2" xfId="20055" xr:uid="{00000000-0005-0000-0000-0000564E0000}"/>
    <cellStyle name="Normal 8 2 4 3 2 2" xfId="20056" xr:uid="{00000000-0005-0000-0000-0000574E0000}"/>
    <cellStyle name="Normal 8 2 4 3 2 2 2" xfId="20057" xr:uid="{00000000-0005-0000-0000-0000584E0000}"/>
    <cellStyle name="Normal 8 2 4 3 2 2 3" xfId="20058" xr:uid="{00000000-0005-0000-0000-0000594E0000}"/>
    <cellStyle name="Normal 8 2 4 3 2 3" xfId="20059" xr:uid="{00000000-0005-0000-0000-00005A4E0000}"/>
    <cellStyle name="Normal 8 2 4 3 2 3 2" xfId="20060" xr:uid="{00000000-0005-0000-0000-00005B4E0000}"/>
    <cellStyle name="Normal 8 2 4 3 2 3 3" xfId="20061" xr:uid="{00000000-0005-0000-0000-00005C4E0000}"/>
    <cellStyle name="Normal 8 2 4 3 2 4" xfId="20062" xr:uid="{00000000-0005-0000-0000-00005D4E0000}"/>
    <cellStyle name="Normal 8 2 4 3 2 5" xfId="20063" xr:uid="{00000000-0005-0000-0000-00005E4E0000}"/>
    <cellStyle name="Normal 8 2 4 3 3" xfId="20064" xr:uid="{00000000-0005-0000-0000-00005F4E0000}"/>
    <cellStyle name="Normal 8 2 4 3 3 2" xfId="20065" xr:uid="{00000000-0005-0000-0000-0000604E0000}"/>
    <cellStyle name="Normal 8 2 4 3 3 2 2" xfId="20066" xr:uid="{00000000-0005-0000-0000-0000614E0000}"/>
    <cellStyle name="Normal 8 2 4 3 3 2 3" xfId="20067" xr:uid="{00000000-0005-0000-0000-0000624E0000}"/>
    <cellStyle name="Normal 8 2 4 3 3 3" xfId="20068" xr:uid="{00000000-0005-0000-0000-0000634E0000}"/>
    <cellStyle name="Normal 8 2 4 3 3 3 2" xfId="20069" xr:uid="{00000000-0005-0000-0000-0000644E0000}"/>
    <cellStyle name="Normal 8 2 4 3 3 3 3" xfId="20070" xr:uid="{00000000-0005-0000-0000-0000654E0000}"/>
    <cellStyle name="Normal 8 2 4 3 3 4" xfId="20071" xr:uid="{00000000-0005-0000-0000-0000664E0000}"/>
    <cellStyle name="Normal 8 2 4 3 3 5" xfId="20072" xr:uid="{00000000-0005-0000-0000-0000674E0000}"/>
    <cellStyle name="Normal 8 2 4 3 4" xfId="20073" xr:uid="{00000000-0005-0000-0000-0000684E0000}"/>
    <cellStyle name="Normal 8 2 4 3 4 2" xfId="20074" xr:uid="{00000000-0005-0000-0000-0000694E0000}"/>
    <cellStyle name="Normal 8 2 4 3 4 3" xfId="20075" xr:uid="{00000000-0005-0000-0000-00006A4E0000}"/>
    <cellStyle name="Normal 8 2 4 3 5" xfId="20076" xr:uid="{00000000-0005-0000-0000-00006B4E0000}"/>
    <cellStyle name="Normal 8 2 4 3 5 2" xfId="20077" xr:uid="{00000000-0005-0000-0000-00006C4E0000}"/>
    <cellStyle name="Normal 8 2 4 3 5 3" xfId="20078" xr:uid="{00000000-0005-0000-0000-00006D4E0000}"/>
    <cellStyle name="Normal 8 2 4 3 6" xfId="20079" xr:uid="{00000000-0005-0000-0000-00006E4E0000}"/>
    <cellStyle name="Normal 8 2 4 3 7" xfId="20080" xr:uid="{00000000-0005-0000-0000-00006F4E0000}"/>
    <cellStyle name="Normal 8 2 4 4" xfId="20081" xr:uid="{00000000-0005-0000-0000-0000704E0000}"/>
    <cellStyle name="Normal 8 2 4 4 2" xfId="20082" xr:uid="{00000000-0005-0000-0000-0000714E0000}"/>
    <cellStyle name="Normal 8 2 4 4 2 2" xfId="20083" xr:uid="{00000000-0005-0000-0000-0000724E0000}"/>
    <cellStyle name="Normal 8 2 4 4 2 2 2" xfId="20084" xr:uid="{00000000-0005-0000-0000-0000734E0000}"/>
    <cellStyle name="Normal 8 2 4 4 2 2 3" xfId="20085" xr:uid="{00000000-0005-0000-0000-0000744E0000}"/>
    <cellStyle name="Normal 8 2 4 4 2 3" xfId="20086" xr:uid="{00000000-0005-0000-0000-0000754E0000}"/>
    <cellStyle name="Normal 8 2 4 4 2 3 2" xfId="20087" xr:uid="{00000000-0005-0000-0000-0000764E0000}"/>
    <cellStyle name="Normal 8 2 4 4 2 3 3" xfId="20088" xr:uid="{00000000-0005-0000-0000-0000774E0000}"/>
    <cellStyle name="Normal 8 2 4 4 2 4" xfId="20089" xr:uid="{00000000-0005-0000-0000-0000784E0000}"/>
    <cellStyle name="Normal 8 2 4 4 2 5" xfId="20090" xr:uid="{00000000-0005-0000-0000-0000794E0000}"/>
    <cellStyle name="Normal 8 2 4 4 3" xfId="20091" xr:uid="{00000000-0005-0000-0000-00007A4E0000}"/>
    <cellStyle name="Normal 8 2 4 4 3 2" xfId="20092" xr:uid="{00000000-0005-0000-0000-00007B4E0000}"/>
    <cellStyle name="Normal 8 2 4 4 3 2 2" xfId="20093" xr:uid="{00000000-0005-0000-0000-00007C4E0000}"/>
    <cellStyle name="Normal 8 2 4 4 3 2 3" xfId="20094" xr:uid="{00000000-0005-0000-0000-00007D4E0000}"/>
    <cellStyle name="Normal 8 2 4 4 3 3" xfId="20095" xr:uid="{00000000-0005-0000-0000-00007E4E0000}"/>
    <cellStyle name="Normal 8 2 4 4 3 4" xfId="20096" xr:uid="{00000000-0005-0000-0000-00007F4E0000}"/>
    <cellStyle name="Normal 8 2 4 4 4" xfId="20097" xr:uid="{00000000-0005-0000-0000-0000804E0000}"/>
    <cellStyle name="Normal 8 2 4 4 4 2" xfId="20098" xr:uid="{00000000-0005-0000-0000-0000814E0000}"/>
    <cellStyle name="Normal 8 2 4 4 4 3" xfId="20099" xr:uid="{00000000-0005-0000-0000-0000824E0000}"/>
    <cellStyle name="Normal 8 2 4 4 5" xfId="20100" xr:uid="{00000000-0005-0000-0000-0000834E0000}"/>
    <cellStyle name="Normal 8 2 4 4 5 2" xfId="20101" xr:uid="{00000000-0005-0000-0000-0000844E0000}"/>
    <cellStyle name="Normal 8 2 4 4 5 3" xfId="20102" xr:uid="{00000000-0005-0000-0000-0000854E0000}"/>
    <cellStyle name="Normal 8 2 4 4 6" xfId="20103" xr:uid="{00000000-0005-0000-0000-0000864E0000}"/>
    <cellStyle name="Normal 8 2 4 4 7" xfId="20104" xr:uid="{00000000-0005-0000-0000-0000874E0000}"/>
    <cellStyle name="Normal 8 2 4 5" xfId="20105" xr:uid="{00000000-0005-0000-0000-0000884E0000}"/>
    <cellStyle name="Normal 8 2 4 5 2" xfId="20106" xr:uid="{00000000-0005-0000-0000-0000894E0000}"/>
    <cellStyle name="Normal 8 2 4 5 2 2" xfId="20107" xr:uid="{00000000-0005-0000-0000-00008A4E0000}"/>
    <cellStyle name="Normal 8 2 4 5 2 3" xfId="20108" xr:uid="{00000000-0005-0000-0000-00008B4E0000}"/>
    <cellStyle name="Normal 8 2 4 5 3" xfId="20109" xr:uid="{00000000-0005-0000-0000-00008C4E0000}"/>
    <cellStyle name="Normal 8 2 4 5 3 2" xfId="20110" xr:uid="{00000000-0005-0000-0000-00008D4E0000}"/>
    <cellStyle name="Normal 8 2 4 5 3 3" xfId="20111" xr:uid="{00000000-0005-0000-0000-00008E4E0000}"/>
    <cellStyle name="Normal 8 2 4 5 4" xfId="20112" xr:uid="{00000000-0005-0000-0000-00008F4E0000}"/>
    <cellStyle name="Normal 8 2 4 5 5" xfId="20113" xr:uid="{00000000-0005-0000-0000-0000904E0000}"/>
    <cellStyle name="Normal 8 2 4 6" xfId="20114" xr:uid="{00000000-0005-0000-0000-0000914E0000}"/>
    <cellStyle name="Normal 8 2 4 6 2" xfId="20115" xr:uid="{00000000-0005-0000-0000-0000924E0000}"/>
    <cellStyle name="Normal 8 2 4 6 2 2" xfId="20116" xr:uid="{00000000-0005-0000-0000-0000934E0000}"/>
    <cellStyle name="Normal 8 2 4 6 2 3" xfId="20117" xr:uid="{00000000-0005-0000-0000-0000944E0000}"/>
    <cellStyle name="Normal 8 2 4 6 3" xfId="20118" xr:uid="{00000000-0005-0000-0000-0000954E0000}"/>
    <cellStyle name="Normal 8 2 4 6 3 2" xfId="20119" xr:uid="{00000000-0005-0000-0000-0000964E0000}"/>
    <cellStyle name="Normal 8 2 4 6 3 3" xfId="20120" xr:uid="{00000000-0005-0000-0000-0000974E0000}"/>
    <cellStyle name="Normal 8 2 4 6 4" xfId="20121" xr:uid="{00000000-0005-0000-0000-0000984E0000}"/>
    <cellStyle name="Normal 8 2 4 6 5" xfId="20122" xr:uid="{00000000-0005-0000-0000-0000994E0000}"/>
    <cellStyle name="Normal 8 2 4 7" xfId="20123" xr:uid="{00000000-0005-0000-0000-00009A4E0000}"/>
    <cellStyle name="Normal 8 2 4 7 2" xfId="20124" xr:uid="{00000000-0005-0000-0000-00009B4E0000}"/>
    <cellStyle name="Normal 8 2 4 7 2 2" xfId="20125" xr:uid="{00000000-0005-0000-0000-00009C4E0000}"/>
    <cellStyle name="Normal 8 2 4 7 2 3" xfId="20126" xr:uid="{00000000-0005-0000-0000-00009D4E0000}"/>
    <cellStyle name="Normal 8 2 4 7 3" xfId="20127" xr:uid="{00000000-0005-0000-0000-00009E4E0000}"/>
    <cellStyle name="Normal 8 2 4 7 4" xfId="20128" xr:uid="{00000000-0005-0000-0000-00009F4E0000}"/>
    <cellStyle name="Normal 8 2 4 8" xfId="20129" xr:uid="{00000000-0005-0000-0000-0000A04E0000}"/>
    <cellStyle name="Normal 8 2 4 8 2" xfId="20130" xr:uid="{00000000-0005-0000-0000-0000A14E0000}"/>
    <cellStyle name="Normal 8 2 4 8 3" xfId="20131" xr:uid="{00000000-0005-0000-0000-0000A24E0000}"/>
    <cellStyle name="Normal 8 2 4 9" xfId="20132" xr:uid="{00000000-0005-0000-0000-0000A34E0000}"/>
    <cellStyle name="Normal 8 2 4 9 2" xfId="20133" xr:uid="{00000000-0005-0000-0000-0000A44E0000}"/>
    <cellStyle name="Normal 8 2 4 9 3" xfId="20134" xr:uid="{00000000-0005-0000-0000-0000A54E0000}"/>
    <cellStyle name="Normal 8 2 5" xfId="20135" xr:uid="{00000000-0005-0000-0000-0000A64E0000}"/>
    <cellStyle name="Normal 8 2 5 10" xfId="20136" xr:uid="{00000000-0005-0000-0000-0000A74E0000}"/>
    <cellStyle name="Normal 8 2 5 10 2" xfId="20137" xr:uid="{00000000-0005-0000-0000-0000A84E0000}"/>
    <cellStyle name="Normal 8 2 5 10 3" xfId="20138" xr:uid="{00000000-0005-0000-0000-0000A94E0000}"/>
    <cellStyle name="Normal 8 2 5 10 3 2" xfId="20139" xr:uid="{00000000-0005-0000-0000-0000AA4E0000}"/>
    <cellStyle name="Normal 8 2 5 10 4" xfId="20140" xr:uid="{00000000-0005-0000-0000-0000AB4E0000}"/>
    <cellStyle name="Normal 8 2 5 11" xfId="20141" xr:uid="{00000000-0005-0000-0000-0000AC4E0000}"/>
    <cellStyle name="Normal 8 2 5 11 2" xfId="20142" xr:uid="{00000000-0005-0000-0000-0000AD4E0000}"/>
    <cellStyle name="Normal 8 2 5 11 3" xfId="20143" xr:uid="{00000000-0005-0000-0000-0000AE4E0000}"/>
    <cellStyle name="Normal 8 2 5 11 3 2" xfId="20144" xr:uid="{00000000-0005-0000-0000-0000AF4E0000}"/>
    <cellStyle name="Normal 8 2 5 11 4" xfId="20145" xr:uid="{00000000-0005-0000-0000-0000B04E0000}"/>
    <cellStyle name="Normal 8 2 5 12" xfId="20146" xr:uid="{00000000-0005-0000-0000-0000B14E0000}"/>
    <cellStyle name="Normal 8 2 5 13" xfId="20147" xr:uid="{00000000-0005-0000-0000-0000B24E0000}"/>
    <cellStyle name="Normal 8 2 5 2" xfId="20148" xr:uid="{00000000-0005-0000-0000-0000B34E0000}"/>
    <cellStyle name="Normal 8 2 5 2 2" xfId="20149" xr:uid="{00000000-0005-0000-0000-0000B44E0000}"/>
    <cellStyle name="Normal 8 2 5 2 2 2" xfId="20150" xr:uid="{00000000-0005-0000-0000-0000B54E0000}"/>
    <cellStyle name="Normal 8 2 5 2 2 2 2" xfId="20151" xr:uid="{00000000-0005-0000-0000-0000B64E0000}"/>
    <cellStyle name="Normal 8 2 5 2 2 2 2 2" xfId="20152" xr:uid="{00000000-0005-0000-0000-0000B74E0000}"/>
    <cellStyle name="Normal 8 2 5 2 2 2 2 3" xfId="20153" xr:uid="{00000000-0005-0000-0000-0000B84E0000}"/>
    <cellStyle name="Normal 8 2 5 2 2 2 3" xfId="20154" xr:uid="{00000000-0005-0000-0000-0000B94E0000}"/>
    <cellStyle name="Normal 8 2 5 2 2 2 3 2" xfId="20155" xr:uid="{00000000-0005-0000-0000-0000BA4E0000}"/>
    <cellStyle name="Normal 8 2 5 2 2 2 3 3" xfId="20156" xr:uid="{00000000-0005-0000-0000-0000BB4E0000}"/>
    <cellStyle name="Normal 8 2 5 2 2 2 4" xfId="20157" xr:uid="{00000000-0005-0000-0000-0000BC4E0000}"/>
    <cellStyle name="Normal 8 2 5 2 2 2 5" xfId="20158" xr:uid="{00000000-0005-0000-0000-0000BD4E0000}"/>
    <cellStyle name="Normal 8 2 5 2 2 3" xfId="20159" xr:uid="{00000000-0005-0000-0000-0000BE4E0000}"/>
    <cellStyle name="Normal 8 2 5 2 2 3 2" xfId="20160" xr:uid="{00000000-0005-0000-0000-0000BF4E0000}"/>
    <cellStyle name="Normal 8 2 5 2 2 3 2 2" xfId="20161" xr:uid="{00000000-0005-0000-0000-0000C04E0000}"/>
    <cellStyle name="Normal 8 2 5 2 2 3 2 3" xfId="20162" xr:uid="{00000000-0005-0000-0000-0000C14E0000}"/>
    <cellStyle name="Normal 8 2 5 2 2 3 3" xfId="20163" xr:uid="{00000000-0005-0000-0000-0000C24E0000}"/>
    <cellStyle name="Normal 8 2 5 2 2 3 3 2" xfId="20164" xr:uid="{00000000-0005-0000-0000-0000C34E0000}"/>
    <cellStyle name="Normal 8 2 5 2 2 3 3 3" xfId="20165" xr:uid="{00000000-0005-0000-0000-0000C44E0000}"/>
    <cellStyle name="Normal 8 2 5 2 2 3 4" xfId="20166" xr:uid="{00000000-0005-0000-0000-0000C54E0000}"/>
    <cellStyle name="Normal 8 2 5 2 2 3 5" xfId="20167" xr:uid="{00000000-0005-0000-0000-0000C64E0000}"/>
    <cellStyle name="Normal 8 2 5 2 2 4" xfId="20168" xr:uid="{00000000-0005-0000-0000-0000C74E0000}"/>
    <cellStyle name="Normal 8 2 5 2 2 4 2" xfId="20169" xr:uid="{00000000-0005-0000-0000-0000C84E0000}"/>
    <cellStyle name="Normal 8 2 5 2 2 4 3" xfId="20170" xr:uid="{00000000-0005-0000-0000-0000C94E0000}"/>
    <cellStyle name="Normal 8 2 5 2 2 5" xfId="20171" xr:uid="{00000000-0005-0000-0000-0000CA4E0000}"/>
    <cellStyle name="Normal 8 2 5 2 2 5 2" xfId="20172" xr:uid="{00000000-0005-0000-0000-0000CB4E0000}"/>
    <cellStyle name="Normal 8 2 5 2 2 5 3" xfId="20173" xr:uid="{00000000-0005-0000-0000-0000CC4E0000}"/>
    <cellStyle name="Normal 8 2 5 2 2 6" xfId="20174" xr:uid="{00000000-0005-0000-0000-0000CD4E0000}"/>
    <cellStyle name="Normal 8 2 5 2 2 7" xfId="20175" xr:uid="{00000000-0005-0000-0000-0000CE4E0000}"/>
    <cellStyle name="Normal 8 2 5 2 3" xfId="20176" xr:uid="{00000000-0005-0000-0000-0000CF4E0000}"/>
    <cellStyle name="Normal 8 2 5 2 3 2" xfId="20177" xr:uid="{00000000-0005-0000-0000-0000D04E0000}"/>
    <cellStyle name="Normal 8 2 5 2 3 2 2" xfId="20178" xr:uid="{00000000-0005-0000-0000-0000D14E0000}"/>
    <cellStyle name="Normal 8 2 5 2 3 2 3" xfId="20179" xr:uid="{00000000-0005-0000-0000-0000D24E0000}"/>
    <cellStyle name="Normal 8 2 5 2 3 3" xfId="20180" xr:uid="{00000000-0005-0000-0000-0000D34E0000}"/>
    <cellStyle name="Normal 8 2 5 2 3 3 2" xfId="20181" xr:uid="{00000000-0005-0000-0000-0000D44E0000}"/>
    <cellStyle name="Normal 8 2 5 2 3 3 3" xfId="20182" xr:uid="{00000000-0005-0000-0000-0000D54E0000}"/>
    <cellStyle name="Normal 8 2 5 2 3 4" xfId="20183" xr:uid="{00000000-0005-0000-0000-0000D64E0000}"/>
    <cellStyle name="Normal 8 2 5 2 3 5" xfId="20184" xr:uid="{00000000-0005-0000-0000-0000D74E0000}"/>
    <cellStyle name="Normal 8 2 5 2 4" xfId="20185" xr:uid="{00000000-0005-0000-0000-0000D84E0000}"/>
    <cellStyle name="Normal 8 2 5 2 4 2" xfId="20186" xr:uid="{00000000-0005-0000-0000-0000D94E0000}"/>
    <cellStyle name="Normal 8 2 5 2 4 2 2" xfId="20187" xr:uid="{00000000-0005-0000-0000-0000DA4E0000}"/>
    <cellStyle name="Normal 8 2 5 2 4 2 3" xfId="20188" xr:uid="{00000000-0005-0000-0000-0000DB4E0000}"/>
    <cellStyle name="Normal 8 2 5 2 4 3" xfId="20189" xr:uid="{00000000-0005-0000-0000-0000DC4E0000}"/>
    <cellStyle name="Normal 8 2 5 2 4 3 2" xfId="20190" xr:uid="{00000000-0005-0000-0000-0000DD4E0000}"/>
    <cellStyle name="Normal 8 2 5 2 4 3 3" xfId="20191" xr:uid="{00000000-0005-0000-0000-0000DE4E0000}"/>
    <cellStyle name="Normal 8 2 5 2 4 4" xfId="20192" xr:uid="{00000000-0005-0000-0000-0000DF4E0000}"/>
    <cellStyle name="Normal 8 2 5 2 4 5" xfId="20193" xr:uid="{00000000-0005-0000-0000-0000E04E0000}"/>
    <cellStyle name="Normal 8 2 5 2 5" xfId="20194" xr:uid="{00000000-0005-0000-0000-0000E14E0000}"/>
    <cellStyle name="Normal 8 2 5 2 5 2" xfId="20195" xr:uid="{00000000-0005-0000-0000-0000E24E0000}"/>
    <cellStyle name="Normal 8 2 5 2 5 3" xfId="20196" xr:uid="{00000000-0005-0000-0000-0000E34E0000}"/>
    <cellStyle name="Normal 8 2 5 2 6" xfId="20197" xr:uid="{00000000-0005-0000-0000-0000E44E0000}"/>
    <cellStyle name="Normal 8 2 5 2 6 2" xfId="20198" xr:uid="{00000000-0005-0000-0000-0000E54E0000}"/>
    <cellStyle name="Normal 8 2 5 2 6 3" xfId="20199" xr:uid="{00000000-0005-0000-0000-0000E64E0000}"/>
    <cellStyle name="Normal 8 2 5 2 7" xfId="20200" xr:uid="{00000000-0005-0000-0000-0000E74E0000}"/>
    <cellStyle name="Normal 8 2 5 2 7 2" xfId="20201" xr:uid="{00000000-0005-0000-0000-0000E84E0000}"/>
    <cellStyle name="Normal 8 2 5 2 7 3" xfId="20202" xr:uid="{00000000-0005-0000-0000-0000E94E0000}"/>
    <cellStyle name="Normal 8 2 5 2 7 3 2" xfId="20203" xr:uid="{00000000-0005-0000-0000-0000EA4E0000}"/>
    <cellStyle name="Normal 8 2 5 2 7 4" xfId="20204" xr:uid="{00000000-0005-0000-0000-0000EB4E0000}"/>
    <cellStyle name="Normal 8 2 5 2 8" xfId="20205" xr:uid="{00000000-0005-0000-0000-0000EC4E0000}"/>
    <cellStyle name="Normal 8 2 5 2 9" xfId="20206" xr:uid="{00000000-0005-0000-0000-0000ED4E0000}"/>
    <cellStyle name="Normal 8 2 5 3" xfId="20207" xr:uid="{00000000-0005-0000-0000-0000EE4E0000}"/>
    <cellStyle name="Normal 8 2 5 3 2" xfId="20208" xr:uid="{00000000-0005-0000-0000-0000EF4E0000}"/>
    <cellStyle name="Normal 8 2 5 3 2 2" xfId="20209" xr:uid="{00000000-0005-0000-0000-0000F04E0000}"/>
    <cellStyle name="Normal 8 2 5 3 2 2 2" xfId="20210" xr:uid="{00000000-0005-0000-0000-0000F14E0000}"/>
    <cellStyle name="Normal 8 2 5 3 2 2 3" xfId="20211" xr:uid="{00000000-0005-0000-0000-0000F24E0000}"/>
    <cellStyle name="Normal 8 2 5 3 2 3" xfId="20212" xr:uid="{00000000-0005-0000-0000-0000F34E0000}"/>
    <cellStyle name="Normal 8 2 5 3 2 3 2" xfId="20213" xr:uid="{00000000-0005-0000-0000-0000F44E0000}"/>
    <cellStyle name="Normal 8 2 5 3 2 3 3" xfId="20214" xr:uid="{00000000-0005-0000-0000-0000F54E0000}"/>
    <cellStyle name="Normal 8 2 5 3 2 4" xfId="20215" xr:uid="{00000000-0005-0000-0000-0000F64E0000}"/>
    <cellStyle name="Normal 8 2 5 3 2 5" xfId="20216" xr:uid="{00000000-0005-0000-0000-0000F74E0000}"/>
    <cellStyle name="Normal 8 2 5 3 3" xfId="20217" xr:uid="{00000000-0005-0000-0000-0000F84E0000}"/>
    <cellStyle name="Normal 8 2 5 3 3 2" xfId="20218" xr:uid="{00000000-0005-0000-0000-0000F94E0000}"/>
    <cellStyle name="Normal 8 2 5 3 3 2 2" xfId="20219" xr:uid="{00000000-0005-0000-0000-0000FA4E0000}"/>
    <cellStyle name="Normal 8 2 5 3 3 2 3" xfId="20220" xr:uid="{00000000-0005-0000-0000-0000FB4E0000}"/>
    <cellStyle name="Normal 8 2 5 3 3 3" xfId="20221" xr:uid="{00000000-0005-0000-0000-0000FC4E0000}"/>
    <cellStyle name="Normal 8 2 5 3 3 3 2" xfId="20222" xr:uid="{00000000-0005-0000-0000-0000FD4E0000}"/>
    <cellStyle name="Normal 8 2 5 3 3 3 3" xfId="20223" xr:uid="{00000000-0005-0000-0000-0000FE4E0000}"/>
    <cellStyle name="Normal 8 2 5 3 3 4" xfId="20224" xr:uid="{00000000-0005-0000-0000-0000FF4E0000}"/>
    <cellStyle name="Normal 8 2 5 3 3 5" xfId="20225" xr:uid="{00000000-0005-0000-0000-0000004F0000}"/>
    <cellStyle name="Normal 8 2 5 3 4" xfId="20226" xr:uid="{00000000-0005-0000-0000-0000014F0000}"/>
    <cellStyle name="Normal 8 2 5 3 4 2" xfId="20227" xr:uid="{00000000-0005-0000-0000-0000024F0000}"/>
    <cellStyle name="Normal 8 2 5 3 4 3" xfId="20228" xr:uid="{00000000-0005-0000-0000-0000034F0000}"/>
    <cellStyle name="Normal 8 2 5 3 5" xfId="20229" xr:uid="{00000000-0005-0000-0000-0000044F0000}"/>
    <cellStyle name="Normal 8 2 5 3 5 2" xfId="20230" xr:uid="{00000000-0005-0000-0000-0000054F0000}"/>
    <cellStyle name="Normal 8 2 5 3 5 3" xfId="20231" xr:uid="{00000000-0005-0000-0000-0000064F0000}"/>
    <cellStyle name="Normal 8 2 5 3 6" xfId="20232" xr:uid="{00000000-0005-0000-0000-0000074F0000}"/>
    <cellStyle name="Normal 8 2 5 3 7" xfId="20233" xr:uid="{00000000-0005-0000-0000-0000084F0000}"/>
    <cellStyle name="Normal 8 2 5 4" xfId="20234" xr:uid="{00000000-0005-0000-0000-0000094F0000}"/>
    <cellStyle name="Normal 8 2 5 4 2" xfId="20235" xr:uid="{00000000-0005-0000-0000-00000A4F0000}"/>
    <cellStyle name="Normal 8 2 5 4 2 2" xfId="20236" xr:uid="{00000000-0005-0000-0000-00000B4F0000}"/>
    <cellStyle name="Normal 8 2 5 4 2 2 2" xfId="20237" xr:uid="{00000000-0005-0000-0000-00000C4F0000}"/>
    <cellStyle name="Normal 8 2 5 4 2 2 3" xfId="20238" xr:uid="{00000000-0005-0000-0000-00000D4F0000}"/>
    <cellStyle name="Normal 8 2 5 4 2 3" xfId="20239" xr:uid="{00000000-0005-0000-0000-00000E4F0000}"/>
    <cellStyle name="Normal 8 2 5 4 2 3 2" xfId="20240" xr:uid="{00000000-0005-0000-0000-00000F4F0000}"/>
    <cellStyle name="Normal 8 2 5 4 2 3 3" xfId="20241" xr:uid="{00000000-0005-0000-0000-0000104F0000}"/>
    <cellStyle name="Normal 8 2 5 4 2 4" xfId="20242" xr:uid="{00000000-0005-0000-0000-0000114F0000}"/>
    <cellStyle name="Normal 8 2 5 4 2 5" xfId="20243" xr:uid="{00000000-0005-0000-0000-0000124F0000}"/>
    <cellStyle name="Normal 8 2 5 4 3" xfId="20244" xr:uid="{00000000-0005-0000-0000-0000134F0000}"/>
    <cellStyle name="Normal 8 2 5 4 3 2" xfId="20245" xr:uid="{00000000-0005-0000-0000-0000144F0000}"/>
    <cellStyle name="Normal 8 2 5 4 3 2 2" xfId="20246" xr:uid="{00000000-0005-0000-0000-0000154F0000}"/>
    <cellStyle name="Normal 8 2 5 4 3 2 3" xfId="20247" xr:uid="{00000000-0005-0000-0000-0000164F0000}"/>
    <cellStyle name="Normal 8 2 5 4 3 3" xfId="20248" xr:uid="{00000000-0005-0000-0000-0000174F0000}"/>
    <cellStyle name="Normal 8 2 5 4 3 4" xfId="20249" xr:uid="{00000000-0005-0000-0000-0000184F0000}"/>
    <cellStyle name="Normal 8 2 5 4 4" xfId="20250" xr:uid="{00000000-0005-0000-0000-0000194F0000}"/>
    <cellStyle name="Normal 8 2 5 4 4 2" xfId="20251" xr:uid="{00000000-0005-0000-0000-00001A4F0000}"/>
    <cellStyle name="Normal 8 2 5 4 4 3" xfId="20252" xr:uid="{00000000-0005-0000-0000-00001B4F0000}"/>
    <cellStyle name="Normal 8 2 5 4 5" xfId="20253" xr:uid="{00000000-0005-0000-0000-00001C4F0000}"/>
    <cellStyle name="Normal 8 2 5 4 5 2" xfId="20254" xr:uid="{00000000-0005-0000-0000-00001D4F0000}"/>
    <cellStyle name="Normal 8 2 5 4 5 3" xfId="20255" xr:uid="{00000000-0005-0000-0000-00001E4F0000}"/>
    <cellStyle name="Normal 8 2 5 4 6" xfId="20256" xr:uid="{00000000-0005-0000-0000-00001F4F0000}"/>
    <cellStyle name="Normal 8 2 5 4 7" xfId="20257" xr:uid="{00000000-0005-0000-0000-0000204F0000}"/>
    <cellStyle name="Normal 8 2 5 5" xfId="20258" xr:uid="{00000000-0005-0000-0000-0000214F0000}"/>
    <cellStyle name="Normal 8 2 5 5 2" xfId="20259" xr:uid="{00000000-0005-0000-0000-0000224F0000}"/>
    <cellStyle name="Normal 8 2 5 5 2 2" xfId="20260" xr:uid="{00000000-0005-0000-0000-0000234F0000}"/>
    <cellStyle name="Normal 8 2 5 5 2 3" xfId="20261" xr:uid="{00000000-0005-0000-0000-0000244F0000}"/>
    <cellStyle name="Normal 8 2 5 5 3" xfId="20262" xr:uid="{00000000-0005-0000-0000-0000254F0000}"/>
    <cellStyle name="Normal 8 2 5 5 3 2" xfId="20263" xr:uid="{00000000-0005-0000-0000-0000264F0000}"/>
    <cellStyle name="Normal 8 2 5 5 3 3" xfId="20264" xr:uid="{00000000-0005-0000-0000-0000274F0000}"/>
    <cellStyle name="Normal 8 2 5 5 4" xfId="20265" xr:uid="{00000000-0005-0000-0000-0000284F0000}"/>
    <cellStyle name="Normal 8 2 5 5 5" xfId="20266" xr:uid="{00000000-0005-0000-0000-0000294F0000}"/>
    <cellStyle name="Normal 8 2 5 6" xfId="20267" xr:uid="{00000000-0005-0000-0000-00002A4F0000}"/>
    <cellStyle name="Normal 8 2 5 6 2" xfId="20268" xr:uid="{00000000-0005-0000-0000-00002B4F0000}"/>
    <cellStyle name="Normal 8 2 5 6 2 2" xfId="20269" xr:uid="{00000000-0005-0000-0000-00002C4F0000}"/>
    <cellStyle name="Normal 8 2 5 6 2 3" xfId="20270" xr:uid="{00000000-0005-0000-0000-00002D4F0000}"/>
    <cellStyle name="Normal 8 2 5 6 3" xfId="20271" xr:uid="{00000000-0005-0000-0000-00002E4F0000}"/>
    <cellStyle name="Normal 8 2 5 6 3 2" xfId="20272" xr:uid="{00000000-0005-0000-0000-00002F4F0000}"/>
    <cellStyle name="Normal 8 2 5 6 3 3" xfId="20273" xr:uid="{00000000-0005-0000-0000-0000304F0000}"/>
    <cellStyle name="Normal 8 2 5 6 4" xfId="20274" xr:uid="{00000000-0005-0000-0000-0000314F0000}"/>
    <cellStyle name="Normal 8 2 5 6 5" xfId="20275" xr:uid="{00000000-0005-0000-0000-0000324F0000}"/>
    <cellStyle name="Normal 8 2 5 7" xfId="20276" xr:uid="{00000000-0005-0000-0000-0000334F0000}"/>
    <cellStyle name="Normal 8 2 5 7 2" xfId="20277" xr:uid="{00000000-0005-0000-0000-0000344F0000}"/>
    <cellStyle name="Normal 8 2 5 7 2 2" xfId="20278" xr:uid="{00000000-0005-0000-0000-0000354F0000}"/>
    <cellStyle name="Normal 8 2 5 7 2 3" xfId="20279" xr:uid="{00000000-0005-0000-0000-0000364F0000}"/>
    <cellStyle name="Normal 8 2 5 7 3" xfId="20280" xr:uid="{00000000-0005-0000-0000-0000374F0000}"/>
    <cellStyle name="Normal 8 2 5 7 4" xfId="20281" xr:uid="{00000000-0005-0000-0000-0000384F0000}"/>
    <cellStyle name="Normal 8 2 5 8" xfId="20282" xr:uid="{00000000-0005-0000-0000-0000394F0000}"/>
    <cellStyle name="Normal 8 2 5 8 2" xfId="20283" xr:uid="{00000000-0005-0000-0000-00003A4F0000}"/>
    <cellStyle name="Normal 8 2 5 8 3" xfId="20284" xr:uid="{00000000-0005-0000-0000-00003B4F0000}"/>
    <cellStyle name="Normal 8 2 5 9" xfId="20285" xr:uid="{00000000-0005-0000-0000-00003C4F0000}"/>
    <cellStyle name="Normal 8 2 5 9 2" xfId="20286" xr:uid="{00000000-0005-0000-0000-00003D4F0000}"/>
    <cellStyle name="Normal 8 2 5 9 3" xfId="20287" xr:uid="{00000000-0005-0000-0000-00003E4F0000}"/>
    <cellStyle name="Normal 8 2 6" xfId="20288" xr:uid="{00000000-0005-0000-0000-00003F4F0000}"/>
    <cellStyle name="Normal 8 2 6 10" xfId="20289" xr:uid="{00000000-0005-0000-0000-0000404F0000}"/>
    <cellStyle name="Normal 8 2 6 10 2" xfId="20290" xr:uid="{00000000-0005-0000-0000-0000414F0000}"/>
    <cellStyle name="Normal 8 2 6 10 3" xfId="20291" xr:uid="{00000000-0005-0000-0000-0000424F0000}"/>
    <cellStyle name="Normal 8 2 6 10 3 2" xfId="20292" xr:uid="{00000000-0005-0000-0000-0000434F0000}"/>
    <cellStyle name="Normal 8 2 6 10 4" xfId="20293" xr:uid="{00000000-0005-0000-0000-0000444F0000}"/>
    <cellStyle name="Normal 8 2 6 11" xfId="20294" xr:uid="{00000000-0005-0000-0000-0000454F0000}"/>
    <cellStyle name="Normal 8 2 6 11 2" xfId="20295" xr:uid="{00000000-0005-0000-0000-0000464F0000}"/>
    <cellStyle name="Normal 8 2 6 11 2 2" xfId="20296" xr:uid="{00000000-0005-0000-0000-0000474F0000}"/>
    <cellStyle name="Normal 8 2 6 11 3" xfId="20297" xr:uid="{00000000-0005-0000-0000-0000484F0000}"/>
    <cellStyle name="Normal 8 2 6 12" xfId="20298" xr:uid="{00000000-0005-0000-0000-0000494F0000}"/>
    <cellStyle name="Normal 8 2 6 13" xfId="20299" xr:uid="{00000000-0005-0000-0000-00004A4F0000}"/>
    <cellStyle name="Normal 8 2 6 2" xfId="20300" xr:uid="{00000000-0005-0000-0000-00004B4F0000}"/>
    <cellStyle name="Normal 8 2 6 2 2" xfId="20301" xr:uid="{00000000-0005-0000-0000-00004C4F0000}"/>
    <cellStyle name="Normal 8 2 6 2 2 2" xfId="20302" xr:uid="{00000000-0005-0000-0000-00004D4F0000}"/>
    <cellStyle name="Normal 8 2 6 2 2 2 2" xfId="20303" xr:uid="{00000000-0005-0000-0000-00004E4F0000}"/>
    <cellStyle name="Normal 8 2 6 2 2 2 2 2" xfId="20304" xr:uid="{00000000-0005-0000-0000-00004F4F0000}"/>
    <cellStyle name="Normal 8 2 6 2 2 2 2 3" xfId="20305" xr:uid="{00000000-0005-0000-0000-0000504F0000}"/>
    <cellStyle name="Normal 8 2 6 2 2 2 3" xfId="20306" xr:uid="{00000000-0005-0000-0000-0000514F0000}"/>
    <cellStyle name="Normal 8 2 6 2 2 2 3 2" xfId="20307" xr:uid="{00000000-0005-0000-0000-0000524F0000}"/>
    <cellStyle name="Normal 8 2 6 2 2 2 3 3" xfId="20308" xr:uid="{00000000-0005-0000-0000-0000534F0000}"/>
    <cellStyle name="Normal 8 2 6 2 2 2 4" xfId="20309" xr:uid="{00000000-0005-0000-0000-0000544F0000}"/>
    <cellStyle name="Normal 8 2 6 2 2 2 5" xfId="20310" xr:uid="{00000000-0005-0000-0000-0000554F0000}"/>
    <cellStyle name="Normal 8 2 6 2 2 3" xfId="20311" xr:uid="{00000000-0005-0000-0000-0000564F0000}"/>
    <cellStyle name="Normal 8 2 6 2 2 3 2" xfId="20312" xr:uid="{00000000-0005-0000-0000-0000574F0000}"/>
    <cellStyle name="Normal 8 2 6 2 2 3 2 2" xfId="20313" xr:uid="{00000000-0005-0000-0000-0000584F0000}"/>
    <cellStyle name="Normal 8 2 6 2 2 3 2 3" xfId="20314" xr:uid="{00000000-0005-0000-0000-0000594F0000}"/>
    <cellStyle name="Normal 8 2 6 2 2 3 3" xfId="20315" xr:uid="{00000000-0005-0000-0000-00005A4F0000}"/>
    <cellStyle name="Normal 8 2 6 2 2 3 3 2" xfId="20316" xr:uid="{00000000-0005-0000-0000-00005B4F0000}"/>
    <cellStyle name="Normal 8 2 6 2 2 3 3 3" xfId="20317" xr:uid="{00000000-0005-0000-0000-00005C4F0000}"/>
    <cellStyle name="Normal 8 2 6 2 2 3 4" xfId="20318" xr:uid="{00000000-0005-0000-0000-00005D4F0000}"/>
    <cellStyle name="Normal 8 2 6 2 2 3 5" xfId="20319" xr:uid="{00000000-0005-0000-0000-00005E4F0000}"/>
    <cellStyle name="Normal 8 2 6 2 2 4" xfId="20320" xr:uid="{00000000-0005-0000-0000-00005F4F0000}"/>
    <cellStyle name="Normal 8 2 6 2 2 4 2" xfId="20321" xr:uid="{00000000-0005-0000-0000-0000604F0000}"/>
    <cellStyle name="Normal 8 2 6 2 2 4 3" xfId="20322" xr:uid="{00000000-0005-0000-0000-0000614F0000}"/>
    <cellStyle name="Normal 8 2 6 2 2 5" xfId="20323" xr:uid="{00000000-0005-0000-0000-0000624F0000}"/>
    <cellStyle name="Normal 8 2 6 2 2 5 2" xfId="20324" xr:uid="{00000000-0005-0000-0000-0000634F0000}"/>
    <cellStyle name="Normal 8 2 6 2 2 5 3" xfId="20325" xr:uid="{00000000-0005-0000-0000-0000644F0000}"/>
    <cellStyle name="Normal 8 2 6 2 2 6" xfId="20326" xr:uid="{00000000-0005-0000-0000-0000654F0000}"/>
    <cellStyle name="Normal 8 2 6 2 2 7" xfId="20327" xr:uid="{00000000-0005-0000-0000-0000664F0000}"/>
    <cellStyle name="Normal 8 2 6 2 3" xfId="20328" xr:uid="{00000000-0005-0000-0000-0000674F0000}"/>
    <cellStyle name="Normal 8 2 6 2 3 2" xfId="20329" xr:uid="{00000000-0005-0000-0000-0000684F0000}"/>
    <cellStyle name="Normal 8 2 6 2 3 2 2" xfId="20330" xr:uid="{00000000-0005-0000-0000-0000694F0000}"/>
    <cellStyle name="Normal 8 2 6 2 3 2 3" xfId="20331" xr:uid="{00000000-0005-0000-0000-00006A4F0000}"/>
    <cellStyle name="Normal 8 2 6 2 3 3" xfId="20332" xr:uid="{00000000-0005-0000-0000-00006B4F0000}"/>
    <cellStyle name="Normal 8 2 6 2 3 3 2" xfId="20333" xr:uid="{00000000-0005-0000-0000-00006C4F0000}"/>
    <cellStyle name="Normal 8 2 6 2 3 3 3" xfId="20334" xr:uid="{00000000-0005-0000-0000-00006D4F0000}"/>
    <cellStyle name="Normal 8 2 6 2 3 4" xfId="20335" xr:uid="{00000000-0005-0000-0000-00006E4F0000}"/>
    <cellStyle name="Normal 8 2 6 2 3 5" xfId="20336" xr:uid="{00000000-0005-0000-0000-00006F4F0000}"/>
    <cellStyle name="Normal 8 2 6 2 4" xfId="20337" xr:uid="{00000000-0005-0000-0000-0000704F0000}"/>
    <cellStyle name="Normal 8 2 6 2 4 2" xfId="20338" xr:uid="{00000000-0005-0000-0000-0000714F0000}"/>
    <cellStyle name="Normal 8 2 6 2 4 2 2" xfId="20339" xr:uid="{00000000-0005-0000-0000-0000724F0000}"/>
    <cellStyle name="Normal 8 2 6 2 4 2 3" xfId="20340" xr:uid="{00000000-0005-0000-0000-0000734F0000}"/>
    <cellStyle name="Normal 8 2 6 2 4 3" xfId="20341" xr:uid="{00000000-0005-0000-0000-0000744F0000}"/>
    <cellStyle name="Normal 8 2 6 2 4 3 2" xfId="20342" xr:uid="{00000000-0005-0000-0000-0000754F0000}"/>
    <cellStyle name="Normal 8 2 6 2 4 3 3" xfId="20343" xr:uid="{00000000-0005-0000-0000-0000764F0000}"/>
    <cellStyle name="Normal 8 2 6 2 4 4" xfId="20344" xr:uid="{00000000-0005-0000-0000-0000774F0000}"/>
    <cellStyle name="Normal 8 2 6 2 4 5" xfId="20345" xr:uid="{00000000-0005-0000-0000-0000784F0000}"/>
    <cellStyle name="Normal 8 2 6 2 5" xfId="20346" xr:uid="{00000000-0005-0000-0000-0000794F0000}"/>
    <cellStyle name="Normal 8 2 6 2 5 2" xfId="20347" xr:uid="{00000000-0005-0000-0000-00007A4F0000}"/>
    <cellStyle name="Normal 8 2 6 2 5 3" xfId="20348" xr:uid="{00000000-0005-0000-0000-00007B4F0000}"/>
    <cellStyle name="Normal 8 2 6 2 6" xfId="20349" xr:uid="{00000000-0005-0000-0000-00007C4F0000}"/>
    <cellStyle name="Normal 8 2 6 2 6 2" xfId="20350" xr:uid="{00000000-0005-0000-0000-00007D4F0000}"/>
    <cellStyle name="Normal 8 2 6 2 6 3" xfId="20351" xr:uid="{00000000-0005-0000-0000-00007E4F0000}"/>
    <cellStyle name="Normal 8 2 6 2 7" xfId="20352" xr:uid="{00000000-0005-0000-0000-00007F4F0000}"/>
    <cellStyle name="Normal 8 2 6 2 7 2" xfId="20353" xr:uid="{00000000-0005-0000-0000-0000804F0000}"/>
    <cellStyle name="Normal 8 2 6 2 7 3" xfId="20354" xr:uid="{00000000-0005-0000-0000-0000814F0000}"/>
    <cellStyle name="Normal 8 2 6 2 7 3 2" xfId="20355" xr:uid="{00000000-0005-0000-0000-0000824F0000}"/>
    <cellStyle name="Normal 8 2 6 2 7 4" xfId="20356" xr:uid="{00000000-0005-0000-0000-0000834F0000}"/>
    <cellStyle name="Normal 8 2 6 2 8" xfId="20357" xr:uid="{00000000-0005-0000-0000-0000844F0000}"/>
    <cellStyle name="Normal 8 2 6 2 9" xfId="20358" xr:uid="{00000000-0005-0000-0000-0000854F0000}"/>
    <cellStyle name="Normal 8 2 6 3" xfId="20359" xr:uid="{00000000-0005-0000-0000-0000864F0000}"/>
    <cellStyle name="Normal 8 2 6 3 2" xfId="20360" xr:uid="{00000000-0005-0000-0000-0000874F0000}"/>
    <cellStyle name="Normal 8 2 6 3 2 2" xfId="20361" xr:uid="{00000000-0005-0000-0000-0000884F0000}"/>
    <cellStyle name="Normal 8 2 6 3 2 2 2" xfId="20362" xr:uid="{00000000-0005-0000-0000-0000894F0000}"/>
    <cellStyle name="Normal 8 2 6 3 2 2 3" xfId="20363" xr:uid="{00000000-0005-0000-0000-00008A4F0000}"/>
    <cellStyle name="Normal 8 2 6 3 2 3" xfId="20364" xr:uid="{00000000-0005-0000-0000-00008B4F0000}"/>
    <cellStyle name="Normal 8 2 6 3 2 3 2" xfId="20365" xr:uid="{00000000-0005-0000-0000-00008C4F0000}"/>
    <cellStyle name="Normal 8 2 6 3 2 3 3" xfId="20366" xr:uid="{00000000-0005-0000-0000-00008D4F0000}"/>
    <cellStyle name="Normal 8 2 6 3 2 4" xfId="20367" xr:uid="{00000000-0005-0000-0000-00008E4F0000}"/>
    <cellStyle name="Normal 8 2 6 3 2 5" xfId="20368" xr:uid="{00000000-0005-0000-0000-00008F4F0000}"/>
    <cellStyle name="Normal 8 2 6 3 3" xfId="20369" xr:uid="{00000000-0005-0000-0000-0000904F0000}"/>
    <cellStyle name="Normal 8 2 6 3 3 2" xfId="20370" xr:uid="{00000000-0005-0000-0000-0000914F0000}"/>
    <cellStyle name="Normal 8 2 6 3 3 2 2" xfId="20371" xr:uid="{00000000-0005-0000-0000-0000924F0000}"/>
    <cellStyle name="Normal 8 2 6 3 3 2 3" xfId="20372" xr:uid="{00000000-0005-0000-0000-0000934F0000}"/>
    <cellStyle name="Normal 8 2 6 3 3 3" xfId="20373" xr:uid="{00000000-0005-0000-0000-0000944F0000}"/>
    <cellStyle name="Normal 8 2 6 3 3 3 2" xfId="20374" xr:uid="{00000000-0005-0000-0000-0000954F0000}"/>
    <cellStyle name="Normal 8 2 6 3 3 3 3" xfId="20375" xr:uid="{00000000-0005-0000-0000-0000964F0000}"/>
    <cellStyle name="Normal 8 2 6 3 3 4" xfId="20376" xr:uid="{00000000-0005-0000-0000-0000974F0000}"/>
    <cellStyle name="Normal 8 2 6 3 3 5" xfId="20377" xr:uid="{00000000-0005-0000-0000-0000984F0000}"/>
    <cellStyle name="Normal 8 2 6 3 4" xfId="20378" xr:uid="{00000000-0005-0000-0000-0000994F0000}"/>
    <cellStyle name="Normal 8 2 6 3 4 2" xfId="20379" xr:uid="{00000000-0005-0000-0000-00009A4F0000}"/>
    <cellStyle name="Normal 8 2 6 3 4 3" xfId="20380" xr:uid="{00000000-0005-0000-0000-00009B4F0000}"/>
    <cellStyle name="Normal 8 2 6 3 5" xfId="20381" xr:uid="{00000000-0005-0000-0000-00009C4F0000}"/>
    <cellStyle name="Normal 8 2 6 3 5 2" xfId="20382" xr:uid="{00000000-0005-0000-0000-00009D4F0000}"/>
    <cellStyle name="Normal 8 2 6 3 5 3" xfId="20383" xr:uid="{00000000-0005-0000-0000-00009E4F0000}"/>
    <cellStyle name="Normal 8 2 6 3 6" xfId="20384" xr:uid="{00000000-0005-0000-0000-00009F4F0000}"/>
    <cellStyle name="Normal 8 2 6 3 7" xfId="20385" xr:uid="{00000000-0005-0000-0000-0000A04F0000}"/>
    <cellStyle name="Normal 8 2 6 4" xfId="20386" xr:uid="{00000000-0005-0000-0000-0000A14F0000}"/>
    <cellStyle name="Normal 8 2 6 4 2" xfId="20387" xr:uid="{00000000-0005-0000-0000-0000A24F0000}"/>
    <cellStyle name="Normal 8 2 6 4 2 2" xfId="20388" xr:uid="{00000000-0005-0000-0000-0000A34F0000}"/>
    <cellStyle name="Normal 8 2 6 4 2 2 2" xfId="20389" xr:uid="{00000000-0005-0000-0000-0000A44F0000}"/>
    <cellStyle name="Normal 8 2 6 4 2 2 3" xfId="20390" xr:uid="{00000000-0005-0000-0000-0000A54F0000}"/>
    <cellStyle name="Normal 8 2 6 4 2 3" xfId="20391" xr:uid="{00000000-0005-0000-0000-0000A64F0000}"/>
    <cellStyle name="Normal 8 2 6 4 2 3 2" xfId="20392" xr:uid="{00000000-0005-0000-0000-0000A74F0000}"/>
    <cellStyle name="Normal 8 2 6 4 2 3 3" xfId="20393" xr:uid="{00000000-0005-0000-0000-0000A84F0000}"/>
    <cellStyle name="Normal 8 2 6 4 2 4" xfId="20394" xr:uid="{00000000-0005-0000-0000-0000A94F0000}"/>
    <cellStyle name="Normal 8 2 6 4 2 5" xfId="20395" xr:uid="{00000000-0005-0000-0000-0000AA4F0000}"/>
    <cellStyle name="Normal 8 2 6 4 3" xfId="20396" xr:uid="{00000000-0005-0000-0000-0000AB4F0000}"/>
    <cellStyle name="Normal 8 2 6 4 3 2" xfId="20397" xr:uid="{00000000-0005-0000-0000-0000AC4F0000}"/>
    <cellStyle name="Normal 8 2 6 4 3 2 2" xfId="20398" xr:uid="{00000000-0005-0000-0000-0000AD4F0000}"/>
    <cellStyle name="Normal 8 2 6 4 3 2 3" xfId="20399" xr:uid="{00000000-0005-0000-0000-0000AE4F0000}"/>
    <cellStyle name="Normal 8 2 6 4 3 3" xfId="20400" xr:uid="{00000000-0005-0000-0000-0000AF4F0000}"/>
    <cellStyle name="Normal 8 2 6 4 3 4" xfId="20401" xr:uid="{00000000-0005-0000-0000-0000B04F0000}"/>
    <cellStyle name="Normal 8 2 6 4 4" xfId="20402" xr:uid="{00000000-0005-0000-0000-0000B14F0000}"/>
    <cellStyle name="Normal 8 2 6 4 4 2" xfId="20403" xr:uid="{00000000-0005-0000-0000-0000B24F0000}"/>
    <cellStyle name="Normal 8 2 6 4 4 3" xfId="20404" xr:uid="{00000000-0005-0000-0000-0000B34F0000}"/>
    <cellStyle name="Normal 8 2 6 4 5" xfId="20405" xr:uid="{00000000-0005-0000-0000-0000B44F0000}"/>
    <cellStyle name="Normal 8 2 6 4 5 2" xfId="20406" xr:uid="{00000000-0005-0000-0000-0000B54F0000}"/>
    <cellStyle name="Normal 8 2 6 4 5 3" xfId="20407" xr:uid="{00000000-0005-0000-0000-0000B64F0000}"/>
    <cellStyle name="Normal 8 2 6 4 6" xfId="20408" xr:uid="{00000000-0005-0000-0000-0000B74F0000}"/>
    <cellStyle name="Normal 8 2 6 4 7" xfId="20409" xr:uid="{00000000-0005-0000-0000-0000B84F0000}"/>
    <cellStyle name="Normal 8 2 6 5" xfId="20410" xr:uid="{00000000-0005-0000-0000-0000B94F0000}"/>
    <cellStyle name="Normal 8 2 6 5 2" xfId="20411" xr:uid="{00000000-0005-0000-0000-0000BA4F0000}"/>
    <cellStyle name="Normal 8 2 6 5 2 2" xfId="20412" xr:uid="{00000000-0005-0000-0000-0000BB4F0000}"/>
    <cellStyle name="Normal 8 2 6 5 2 3" xfId="20413" xr:uid="{00000000-0005-0000-0000-0000BC4F0000}"/>
    <cellStyle name="Normal 8 2 6 5 3" xfId="20414" xr:uid="{00000000-0005-0000-0000-0000BD4F0000}"/>
    <cellStyle name="Normal 8 2 6 5 3 2" xfId="20415" xr:uid="{00000000-0005-0000-0000-0000BE4F0000}"/>
    <cellStyle name="Normal 8 2 6 5 3 3" xfId="20416" xr:uid="{00000000-0005-0000-0000-0000BF4F0000}"/>
    <cellStyle name="Normal 8 2 6 5 4" xfId="20417" xr:uid="{00000000-0005-0000-0000-0000C04F0000}"/>
    <cellStyle name="Normal 8 2 6 5 5" xfId="20418" xr:uid="{00000000-0005-0000-0000-0000C14F0000}"/>
    <cellStyle name="Normal 8 2 6 6" xfId="20419" xr:uid="{00000000-0005-0000-0000-0000C24F0000}"/>
    <cellStyle name="Normal 8 2 6 6 2" xfId="20420" xr:uid="{00000000-0005-0000-0000-0000C34F0000}"/>
    <cellStyle name="Normal 8 2 6 6 2 2" xfId="20421" xr:uid="{00000000-0005-0000-0000-0000C44F0000}"/>
    <cellStyle name="Normal 8 2 6 6 2 3" xfId="20422" xr:uid="{00000000-0005-0000-0000-0000C54F0000}"/>
    <cellStyle name="Normal 8 2 6 6 3" xfId="20423" xr:uid="{00000000-0005-0000-0000-0000C64F0000}"/>
    <cellStyle name="Normal 8 2 6 6 3 2" xfId="20424" xr:uid="{00000000-0005-0000-0000-0000C74F0000}"/>
    <cellStyle name="Normal 8 2 6 6 3 3" xfId="20425" xr:uid="{00000000-0005-0000-0000-0000C84F0000}"/>
    <cellStyle name="Normal 8 2 6 6 4" xfId="20426" xr:uid="{00000000-0005-0000-0000-0000C94F0000}"/>
    <cellStyle name="Normal 8 2 6 6 5" xfId="20427" xr:uid="{00000000-0005-0000-0000-0000CA4F0000}"/>
    <cellStyle name="Normal 8 2 6 7" xfId="20428" xr:uid="{00000000-0005-0000-0000-0000CB4F0000}"/>
    <cellStyle name="Normal 8 2 6 7 2" xfId="20429" xr:uid="{00000000-0005-0000-0000-0000CC4F0000}"/>
    <cellStyle name="Normal 8 2 6 7 2 2" xfId="20430" xr:uid="{00000000-0005-0000-0000-0000CD4F0000}"/>
    <cellStyle name="Normal 8 2 6 7 2 3" xfId="20431" xr:uid="{00000000-0005-0000-0000-0000CE4F0000}"/>
    <cellStyle name="Normal 8 2 6 7 3" xfId="20432" xr:uid="{00000000-0005-0000-0000-0000CF4F0000}"/>
    <cellStyle name="Normal 8 2 6 7 4" xfId="20433" xr:uid="{00000000-0005-0000-0000-0000D04F0000}"/>
    <cellStyle name="Normal 8 2 6 8" xfId="20434" xr:uid="{00000000-0005-0000-0000-0000D14F0000}"/>
    <cellStyle name="Normal 8 2 6 8 2" xfId="20435" xr:uid="{00000000-0005-0000-0000-0000D24F0000}"/>
    <cellStyle name="Normal 8 2 6 8 3" xfId="20436" xr:uid="{00000000-0005-0000-0000-0000D34F0000}"/>
    <cellStyle name="Normal 8 2 6 9" xfId="20437" xr:uid="{00000000-0005-0000-0000-0000D44F0000}"/>
    <cellStyle name="Normal 8 2 6 9 2" xfId="20438" xr:uid="{00000000-0005-0000-0000-0000D54F0000}"/>
    <cellStyle name="Normal 8 2 6 9 3" xfId="20439" xr:uid="{00000000-0005-0000-0000-0000D64F0000}"/>
    <cellStyle name="Normal 8 2 7" xfId="20440" xr:uid="{00000000-0005-0000-0000-0000D74F0000}"/>
    <cellStyle name="Normal 8 2 7 2" xfId="20441" xr:uid="{00000000-0005-0000-0000-0000D84F0000}"/>
    <cellStyle name="Normal 8 2 7 2 2" xfId="20442" xr:uid="{00000000-0005-0000-0000-0000D94F0000}"/>
    <cellStyle name="Normal 8 2 7 2 2 2" xfId="20443" xr:uid="{00000000-0005-0000-0000-0000DA4F0000}"/>
    <cellStyle name="Normal 8 2 7 2 2 2 2" xfId="20444" xr:uid="{00000000-0005-0000-0000-0000DB4F0000}"/>
    <cellStyle name="Normal 8 2 7 2 2 2 3" xfId="20445" xr:uid="{00000000-0005-0000-0000-0000DC4F0000}"/>
    <cellStyle name="Normal 8 2 7 2 2 3" xfId="20446" xr:uid="{00000000-0005-0000-0000-0000DD4F0000}"/>
    <cellStyle name="Normal 8 2 7 2 2 3 2" xfId="20447" xr:uid="{00000000-0005-0000-0000-0000DE4F0000}"/>
    <cellStyle name="Normal 8 2 7 2 2 3 3" xfId="20448" xr:uid="{00000000-0005-0000-0000-0000DF4F0000}"/>
    <cellStyle name="Normal 8 2 7 2 2 4" xfId="20449" xr:uid="{00000000-0005-0000-0000-0000E04F0000}"/>
    <cellStyle name="Normal 8 2 7 2 2 5" xfId="20450" xr:uid="{00000000-0005-0000-0000-0000E14F0000}"/>
    <cellStyle name="Normal 8 2 7 2 3" xfId="20451" xr:uid="{00000000-0005-0000-0000-0000E24F0000}"/>
    <cellStyle name="Normal 8 2 7 2 3 2" xfId="20452" xr:uid="{00000000-0005-0000-0000-0000E34F0000}"/>
    <cellStyle name="Normal 8 2 7 2 3 2 2" xfId="20453" xr:uid="{00000000-0005-0000-0000-0000E44F0000}"/>
    <cellStyle name="Normal 8 2 7 2 3 2 3" xfId="20454" xr:uid="{00000000-0005-0000-0000-0000E54F0000}"/>
    <cellStyle name="Normal 8 2 7 2 3 3" xfId="20455" xr:uid="{00000000-0005-0000-0000-0000E64F0000}"/>
    <cellStyle name="Normal 8 2 7 2 3 3 2" xfId="20456" xr:uid="{00000000-0005-0000-0000-0000E74F0000}"/>
    <cellStyle name="Normal 8 2 7 2 3 3 3" xfId="20457" xr:uid="{00000000-0005-0000-0000-0000E84F0000}"/>
    <cellStyle name="Normal 8 2 7 2 3 4" xfId="20458" xr:uid="{00000000-0005-0000-0000-0000E94F0000}"/>
    <cellStyle name="Normal 8 2 7 2 3 5" xfId="20459" xr:uid="{00000000-0005-0000-0000-0000EA4F0000}"/>
    <cellStyle name="Normal 8 2 7 2 4" xfId="20460" xr:uid="{00000000-0005-0000-0000-0000EB4F0000}"/>
    <cellStyle name="Normal 8 2 7 2 4 2" xfId="20461" xr:uid="{00000000-0005-0000-0000-0000EC4F0000}"/>
    <cellStyle name="Normal 8 2 7 2 4 3" xfId="20462" xr:uid="{00000000-0005-0000-0000-0000ED4F0000}"/>
    <cellStyle name="Normal 8 2 7 2 5" xfId="20463" xr:uid="{00000000-0005-0000-0000-0000EE4F0000}"/>
    <cellStyle name="Normal 8 2 7 2 5 2" xfId="20464" xr:uid="{00000000-0005-0000-0000-0000EF4F0000}"/>
    <cellStyle name="Normal 8 2 7 2 5 3" xfId="20465" xr:uid="{00000000-0005-0000-0000-0000F04F0000}"/>
    <cellStyle name="Normal 8 2 7 2 6" xfId="20466" xr:uid="{00000000-0005-0000-0000-0000F14F0000}"/>
    <cellStyle name="Normal 8 2 7 2 7" xfId="20467" xr:uid="{00000000-0005-0000-0000-0000F24F0000}"/>
    <cellStyle name="Normal 8 2 7 3" xfId="20468" xr:uid="{00000000-0005-0000-0000-0000F34F0000}"/>
    <cellStyle name="Normal 8 2 7 3 2" xfId="20469" xr:uid="{00000000-0005-0000-0000-0000F44F0000}"/>
    <cellStyle name="Normal 8 2 7 3 2 2" xfId="20470" xr:uid="{00000000-0005-0000-0000-0000F54F0000}"/>
    <cellStyle name="Normal 8 2 7 3 2 3" xfId="20471" xr:uid="{00000000-0005-0000-0000-0000F64F0000}"/>
    <cellStyle name="Normal 8 2 7 3 3" xfId="20472" xr:uid="{00000000-0005-0000-0000-0000F74F0000}"/>
    <cellStyle name="Normal 8 2 7 3 3 2" xfId="20473" xr:uid="{00000000-0005-0000-0000-0000F84F0000}"/>
    <cellStyle name="Normal 8 2 7 3 3 3" xfId="20474" xr:uid="{00000000-0005-0000-0000-0000F94F0000}"/>
    <cellStyle name="Normal 8 2 7 3 4" xfId="20475" xr:uid="{00000000-0005-0000-0000-0000FA4F0000}"/>
    <cellStyle name="Normal 8 2 7 3 5" xfId="20476" xr:uid="{00000000-0005-0000-0000-0000FB4F0000}"/>
    <cellStyle name="Normal 8 2 7 4" xfId="20477" xr:uid="{00000000-0005-0000-0000-0000FC4F0000}"/>
    <cellStyle name="Normal 8 2 7 4 2" xfId="20478" xr:uid="{00000000-0005-0000-0000-0000FD4F0000}"/>
    <cellStyle name="Normal 8 2 7 4 2 2" xfId="20479" xr:uid="{00000000-0005-0000-0000-0000FE4F0000}"/>
    <cellStyle name="Normal 8 2 7 4 2 3" xfId="20480" xr:uid="{00000000-0005-0000-0000-0000FF4F0000}"/>
    <cellStyle name="Normal 8 2 7 4 3" xfId="20481" xr:uid="{00000000-0005-0000-0000-000000500000}"/>
    <cellStyle name="Normal 8 2 7 4 3 2" xfId="20482" xr:uid="{00000000-0005-0000-0000-000001500000}"/>
    <cellStyle name="Normal 8 2 7 4 3 3" xfId="20483" xr:uid="{00000000-0005-0000-0000-000002500000}"/>
    <cellStyle name="Normal 8 2 7 4 4" xfId="20484" xr:uid="{00000000-0005-0000-0000-000003500000}"/>
    <cellStyle name="Normal 8 2 7 4 5" xfId="20485" xr:uid="{00000000-0005-0000-0000-000004500000}"/>
    <cellStyle name="Normal 8 2 7 5" xfId="20486" xr:uid="{00000000-0005-0000-0000-000005500000}"/>
    <cellStyle name="Normal 8 2 7 5 2" xfId="20487" xr:uid="{00000000-0005-0000-0000-000006500000}"/>
    <cellStyle name="Normal 8 2 7 5 3" xfId="20488" xr:uid="{00000000-0005-0000-0000-000007500000}"/>
    <cellStyle name="Normal 8 2 7 6" xfId="20489" xr:uid="{00000000-0005-0000-0000-000008500000}"/>
    <cellStyle name="Normal 8 2 7 6 2" xfId="20490" xr:uid="{00000000-0005-0000-0000-000009500000}"/>
    <cellStyle name="Normal 8 2 7 6 3" xfId="20491" xr:uid="{00000000-0005-0000-0000-00000A500000}"/>
    <cellStyle name="Normal 8 2 7 7" xfId="20492" xr:uid="{00000000-0005-0000-0000-00000B500000}"/>
    <cellStyle name="Normal 8 2 7 7 2" xfId="20493" xr:uid="{00000000-0005-0000-0000-00000C500000}"/>
    <cellStyle name="Normal 8 2 7 7 3" xfId="20494" xr:uid="{00000000-0005-0000-0000-00000D500000}"/>
    <cellStyle name="Normal 8 2 7 7 3 2" xfId="20495" xr:uid="{00000000-0005-0000-0000-00000E500000}"/>
    <cellStyle name="Normal 8 2 7 7 4" xfId="20496" xr:uid="{00000000-0005-0000-0000-00000F500000}"/>
    <cellStyle name="Normal 8 2 7 8" xfId="20497" xr:uid="{00000000-0005-0000-0000-000010500000}"/>
    <cellStyle name="Normal 8 2 7 9" xfId="20498" xr:uid="{00000000-0005-0000-0000-000011500000}"/>
    <cellStyle name="Normal 8 2 8" xfId="20499" xr:uid="{00000000-0005-0000-0000-000012500000}"/>
    <cellStyle name="Normal 8 2 8 2" xfId="20500" xr:uid="{00000000-0005-0000-0000-000013500000}"/>
    <cellStyle name="Normal 8 2 8 2 2" xfId="20501" xr:uid="{00000000-0005-0000-0000-000014500000}"/>
    <cellStyle name="Normal 8 2 8 2 2 2" xfId="20502" xr:uid="{00000000-0005-0000-0000-000015500000}"/>
    <cellStyle name="Normal 8 2 8 2 2 3" xfId="20503" xr:uid="{00000000-0005-0000-0000-000016500000}"/>
    <cellStyle name="Normal 8 2 8 2 3" xfId="20504" xr:uid="{00000000-0005-0000-0000-000017500000}"/>
    <cellStyle name="Normal 8 2 8 2 3 2" xfId="20505" xr:uid="{00000000-0005-0000-0000-000018500000}"/>
    <cellStyle name="Normal 8 2 8 2 3 3" xfId="20506" xr:uid="{00000000-0005-0000-0000-000019500000}"/>
    <cellStyle name="Normal 8 2 8 2 4" xfId="20507" xr:uid="{00000000-0005-0000-0000-00001A500000}"/>
    <cellStyle name="Normal 8 2 8 2 5" xfId="20508" xr:uid="{00000000-0005-0000-0000-00001B500000}"/>
    <cellStyle name="Normal 8 2 8 3" xfId="20509" xr:uid="{00000000-0005-0000-0000-00001C500000}"/>
    <cellStyle name="Normal 8 2 8 3 2" xfId="20510" xr:uid="{00000000-0005-0000-0000-00001D500000}"/>
    <cellStyle name="Normal 8 2 8 3 2 2" xfId="20511" xr:uid="{00000000-0005-0000-0000-00001E500000}"/>
    <cellStyle name="Normal 8 2 8 3 2 3" xfId="20512" xr:uid="{00000000-0005-0000-0000-00001F500000}"/>
    <cellStyle name="Normal 8 2 8 3 3" xfId="20513" xr:uid="{00000000-0005-0000-0000-000020500000}"/>
    <cellStyle name="Normal 8 2 8 3 3 2" xfId="20514" xr:uid="{00000000-0005-0000-0000-000021500000}"/>
    <cellStyle name="Normal 8 2 8 3 3 3" xfId="20515" xr:uid="{00000000-0005-0000-0000-000022500000}"/>
    <cellStyle name="Normal 8 2 8 3 4" xfId="20516" xr:uid="{00000000-0005-0000-0000-000023500000}"/>
    <cellStyle name="Normal 8 2 8 3 5" xfId="20517" xr:uid="{00000000-0005-0000-0000-000024500000}"/>
    <cellStyle name="Normal 8 2 8 4" xfId="20518" xr:uid="{00000000-0005-0000-0000-000025500000}"/>
    <cellStyle name="Normal 8 2 8 4 2" xfId="20519" xr:uid="{00000000-0005-0000-0000-000026500000}"/>
    <cellStyle name="Normal 8 2 8 4 3" xfId="20520" xr:uid="{00000000-0005-0000-0000-000027500000}"/>
    <cellStyle name="Normal 8 2 8 5" xfId="20521" xr:uid="{00000000-0005-0000-0000-000028500000}"/>
    <cellStyle name="Normal 8 2 8 5 2" xfId="20522" xr:uid="{00000000-0005-0000-0000-000029500000}"/>
    <cellStyle name="Normal 8 2 8 5 3" xfId="20523" xr:uid="{00000000-0005-0000-0000-00002A500000}"/>
    <cellStyle name="Normal 8 2 8 6" xfId="20524" xr:uid="{00000000-0005-0000-0000-00002B500000}"/>
    <cellStyle name="Normal 8 2 8 7" xfId="20525" xr:uid="{00000000-0005-0000-0000-00002C500000}"/>
    <cellStyle name="Normal 8 2 9" xfId="20526" xr:uid="{00000000-0005-0000-0000-00002D500000}"/>
    <cellStyle name="Normal 8 2 9 2" xfId="20527" xr:uid="{00000000-0005-0000-0000-00002E500000}"/>
    <cellStyle name="Normal 8 2 9 2 2" xfId="20528" xr:uid="{00000000-0005-0000-0000-00002F500000}"/>
    <cellStyle name="Normal 8 2 9 2 2 2" xfId="20529" xr:uid="{00000000-0005-0000-0000-000030500000}"/>
    <cellStyle name="Normal 8 2 9 2 2 3" xfId="20530" xr:uid="{00000000-0005-0000-0000-000031500000}"/>
    <cellStyle name="Normal 8 2 9 2 3" xfId="20531" xr:uid="{00000000-0005-0000-0000-000032500000}"/>
    <cellStyle name="Normal 8 2 9 2 3 2" xfId="20532" xr:uid="{00000000-0005-0000-0000-000033500000}"/>
    <cellStyle name="Normal 8 2 9 2 3 3" xfId="20533" xr:uid="{00000000-0005-0000-0000-000034500000}"/>
    <cellStyle name="Normal 8 2 9 2 4" xfId="20534" xr:uid="{00000000-0005-0000-0000-000035500000}"/>
    <cellStyle name="Normal 8 2 9 2 5" xfId="20535" xr:uid="{00000000-0005-0000-0000-000036500000}"/>
    <cellStyle name="Normal 8 2 9 3" xfId="20536" xr:uid="{00000000-0005-0000-0000-000037500000}"/>
    <cellStyle name="Normal 8 2 9 3 2" xfId="20537" xr:uid="{00000000-0005-0000-0000-000038500000}"/>
    <cellStyle name="Normal 8 2 9 3 2 2" xfId="20538" xr:uid="{00000000-0005-0000-0000-000039500000}"/>
    <cellStyle name="Normal 8 2 9 3 2 3" xfId="20539" xr:uid="{00000000-0005-0000-0000-00003A500000}"/>
    <cellStyle name="Normal 8 2 9 3 3" xfId="20540" xr:uid="{00000000-0005-0000-0000-00003B500000}"/>
    <cellStyle name="Normal 8 2 9 3 4" xfId="20541" xr:uid="{00000000-0005-0000-0000-00003C500000}"/>
    <cellStyle name="Normal 8 2 9 4" xfId="20542" xr:uid="{00000000-0005-0000-0000-00003D500000}"/>
    <cellStyle name="Normal 8 2 9 4 2" xfId="20543" xr:uid="{00000000-0005-0000-0000-00003E500000}"/>
    <cellStyle name="Normal 8 2 9 4 3" xfId="20544" xr:uid="{00000000-0005-0000-0000-00003F500000}"/>
    <cellStyle name="Normal 8 2 9 5" xfId="20545" xr:uid="{00000000-0005-0000-0000-000040500000}"/>
    <cellStyle name="Normal 8 2 9 5 2" xfId="20546" xr:uid="{00000000-0005-0000-0000-000041500000}"/>
    <cellStyle name="Normal 8 2 9 5 3" xfId="20547" xr:uid="{00000000-0005-0000-0000-000042500000}"/>
    <cellStyle name="Normal 8 2 9 6" xfId="20548" xr:uid="{00000000-0005-0000-0000-000043500000}"/>
    <cellStyle name="Normal 8 2 9 7" xfId="20549" xr:uid="{00000000-0005-0000-0000-000044500000}"/>
    <cellStyle name="Normal 8 3" xfId="20550" xr:uid="{00000000-0005-0000-0000-000045500000}"/>
    <cellStyle name="Normal 8 3 2" xfId="20551" xr:uid="{00000000-0005-0000-0000-000046500000}"/>
    <cellStyle name="Normal 8 3 2 2" xfId="20552" xr:uid="{00000000-0005-0000-0000-000047500000}"/>
    <cellStyle name="Normal 8 3 2 2 2" xfId="20553" xr:uid="{00000000-0005-0000-0000-000048500000}"/>
    <cellStyle name="Normal 8 3 2 2 3" xfId="20554" xr:uid="{00000000-0005-0000-0000-000049500000}"/>
    <cellStyle name="Normal 8 3 2 2 3 2" xfId="20555" xr:uid="{00000000-0005-0000-0000-00004A500000}"/>
    <cellStyle name="Normal 8 3 2 3" xfId="20556" xr:uid="{00000000-0005-0000-0000-00004B500000}"/>
    <cellStyle name="Normal 8 3 2 3 2" xfId="20557" xr:uid="{00000000-0005-0000-0000-00004C500000}"/>
    <cellStyle name="Normal 8 3 2 3 3" xfId="20558" xr:uid="{00000000-0005-0000-0000-00004D500000}"/>
    <cellStyle name="Normal 8 3 2 3 3 2" xfId="20559" xr:uid="{00000000-0005-0000-0000-00004E500000}"/>
    <cellStyle name="Normal 8 3 2 4" xfId="20560" xr:uid="{00000000-0005-0000-0000-00004F500000}"/>
    <cellStyle name="Normal 8 3 2 5" xfId="20561" xr:uid="{00000000-0005-0000-0000-000050500000}"/>
    <cellStyle name="Normal 8 3 3" xfId="20562" xr:uid="{00000000-0005-0000-0000-000051500000}"/>
    <cellStyle name="Normal 8 3 3 2" xfId="20563" xr:uid="{00000000-0005-0000-0000-000052500000}"/>
    <cellStyle name="Normal 8 3 3 2 2" xfId="20564" xr:uid="{00000000-0005-0000-0000-000053500000}"/>
    <cellStyle name="Normal 8 3 3 2 2 2" xfId="20565" xr:uid="{00000000-0005-0000-0000-000054500000}"/>
    <cellStyle name="Normal 8 3 3 2 2 3" xfId="20566" xr:uid="{00000000-0005-0000-0000-000055500000}"/>
    <cellStyle name="Normal 8 3 3 2 3" xfId="20567" xr:uid="{00000000-0005-0000-0000-000056500000}"/>
    <cellStyle name="Normal 8 3 3 2 3 2" xfId="20568" xr:uid="{00000000-0005-0000-0000-000057500000}"/>
    <cellStyle name="Normal 8 3 3 2 3 3" xfId="20569" xr:uid="{00000000-0005-0000-0000-000058500000}"/>
    <cellStyle name="Normal 8 3 3 2 4" xfId="20570" xr:uid="{00000000-0005-0000-0000-000059500000}"/>
    <cellStyle name="Normal 8 3 3 2 5" xfId="20571" xr:uid="{00000000-0005-0000-0000-00005A500000}"/>
    <cellStyle name="Normal 8 3 3 3" xfId="20572" xr:uid="{00000000-0005-0000-0000-00005B500000}"/>
    <cellStyle name="Normal 8 3 3 3 2" xfId="20573" xr:uid="{00000000-0005-0000-0000-00005C500000}"/>
    <cellStyle name="Normal 8 3 3 3 2 2" xfId="20574" xr:uid="{00000000-0005-0000-0000-00005D500000}"/>
    <cellStyle name="Normal 8 3 3 3 2 3" xfId="20575" xr:uid="{00000000-0005-0000-0000-00005E500000}"/>
    <cellStyle name="Normal 8 3 3 3 3" xfId="20576" xr:uid="{00000000-0005-0000-0000-00005F500000}"/>
    <cellStyle name="Normal 8 3 3 3 3 2" xfId="20577" xr:uid="{00000000-0005-0000-0000-000060500000}"/>
    <cellStyle name="Normal 8 3 3 3 3 3" xfId="20578" xr:uid="{00000000-0005-0000-0000-000061500000}"/>
    <cellStyle name="Normal 8 3 3 3 4" xfId="20579" xr:uid="{00000000-0005-0000-0000-000062500000}"/>
    <cellStyle name="Normal 8 3 3 3 5" xfId="20580" xr:uid="{00000000-0005-0000-0000-000063500000}"/>
    <cellStyle name="Normal 8 3 3 4" xfId="20581" xr:uid="{00000000-0005-0000-0000-000064500000}"/>
    <cellStyle name="Normal 8 3 3 4 2" xfId="20582" xr:uid="{00000000-0005-0000-0000-000065500000}"/>
    <cellStyle name="Normal 8 3 3 4 3" xfId="20583" xr:uid="{00000000-0005-0000-0000-000066500000}"/>
    <cellStyle name="Normal 8 3 3 5" xfId="20584" xr:uid="{00000000-0005-0000-0000-000067500000}"/>
    <cellStyle name="Normal 8 3 3 5 2" xfId="20585" xr:uid="{00000000-0005-0000-0000-000068500000}"/>
    <cellStyle name="Normal 8 3 3 5 3" xfId="20586" xr:uid="{00000000-0005-0000-0000-000069500000}"/>
    <cellStyle name="Normal 8 3 3 6" xfId="20587" xr:uid="{00000000-0005-0000-0000-00006A500000}"/>
    <cellStyle name="Normal 8 3 3 7" xfId="20588" xr:uid="{00000000-0005-0000-0000-00006B500000}"/>
    <cellStyle name="Normal 8 3 4" xfId="20589" xr:uid="{00000000-0005-0000-0000-00006C500000}"/>
    <cellStyle name="Normal 8 3 4 2" xfId="20590" xr:uid="{00000000-0005-0000-0000-00006D500000}"/>
    <cellStyle name="Normal 8 3 4 2 2" xfId="20591" xr:uid="{00000000-0005-0000-0000-00006E500000}"/>
    <cellStyle name="Normal 8 3 4 2 2 2" xfId="20592" xr:uid="{00000000-0005-0000-0000-00006F500000}"/>
    <cellStyle name="Normal 8 3 4 2 2 3" xfId="20593" xr:uid="{00000000-0005-0000-0000-000070500000}"/>
    <cellStyle name="Normal 8 3 4 2 3" xfId="20594" xr:uid="{00000000-0005-0000-0000-000071500000}"/>
    <cellStyle name="Normal 8 3 4 2 3 2" xfId="20595" xr:uid="{00000000-0005-0000-0000-000072500000}"/>
    <cellStyle name="Normal 8 3 4 2 3 3" xfId="20596" xr:uid="{00000000-0005-0000-0000-000073500000}"/>
    <cellStyle name="Normal 8 3 4 2 4" xfId="20597" xr:uid="{00000000-0005-0000-0000-000074500000}"/>
    <cellStyle name="Normal 8 3 4 2 5" xfId="20598" xr:uid="{00000000-0005-0000-0000-000075500000}"/>
    <cellStyle name="Normal 8 3 4 3" xfId="20599" xr:uid="{00000000-0005-0000-0000-000076500000}"/>
    <cellStyle name="Normal 8 3 4 3 2" xfId="20600" xr:uid="{00000000-0005-0000-0000-000077500000}"/>
    <cellStyle name="Normal 8 3 4 3 2 2" xfId="20601" xr:uid="{00000000-0005-0000-0000-000078500000}"/>
    <cellStyle name="Normal 8 3 4 3 2 3" xfId="20602" xr:uid="{00000000-0005-0000-0000-000079500000}"/>
    <cellStyle name="Normal 8 3 4 3 3" xfId="20603" xr:uid="{00000000-0005-0000-0000-00007A500000}"/>
    <cellStyle name="Normal 8 3 4 3 3 2" xfId="20604" xr:uid="{00000000-0005-0000-0000-00007B500000}"/>
    <cellStyle name="Normal 8 3 4 3 3 3" xfId="20605" xr:uid="{00000000-0005-0000-0000-00007C500000}"/>
    <cellStyle name="Normal 8 3 4 3 4" xfId="20606" xr:uid="{00000000-0005-0000-0000-00007D500000}"/>
    <cellStyle name="Normal 8 3 4 3 5" xfId="20607" xr:uid="{00000000-0005-0000-0000-00007E500000}"/>
    <cellStyle name="Normal 8 3 4 4" xfId="20608" xr:uid="{00000000-0005-0000-0000-00007F500000}"/>
    <cellStyle name="Normal 8 3 4 4 2" xfId="20609" xr:uid="{00000000-0005-0000-0000-000080500000}"/>
    <cellStyle name="Normal 8 3 4 4 3" xfId="20610" xr:uid="{00000000-0005-0000-0000-000081500000}"/>
    <cellStyle name="Normal 8 3 4 5" xfId="20611" xr:uid="{00000000-0005-0000-0000-000082500000}"/>
    <cellStyle name="Normal 8 3 4 5 2" xfId="20612" xr:uid="{00000000-0005-0000-0000-000083500000}"/>
    <cellStyle name="Normal 8 3 4 5 3" xfId="20613" xr:uid="{00000000-0005-0000-0000-000084500000}"/>
    <cellStyle name="Normal 8 3 4 6" xfId="20614" xr:uid="{00000000-0005-0000-0000-000085500000}"/>
    <cellStyle name="Normal 8 3 4 7" xfId="20615" xr:uid="{00000000-0005-0000-0000-000086500000}"/>
    <cellStyle name="Normal 8 3 5" xfId="20616" xr:uid="{00000000-0005-0000-0000-000087500000}"/>
    <cellStyle name="Normal 8 3 5 2" xfId="20617" xr:uid="{00000000-0005-0000-0000-000088500000}"/>
    <cellStyle name="Normal 8 3 5 3" xfId="20618" xr:uid="{00000000-0005-0000-0000-000089500000}"/>
    <cellStyle name="Normal 8 3 5 3 2" xfId="20619" xr:uid="{00000000-0005-0000-0000-00008A500000}"/>
    <cellStyle name="Normal 8 3 6" xfId="20620" xr:uid="{00000000-0005-0000-0000-00008B500000}"/>
    <cellStyle name="Normal 8 3 6 2" xfId="20621" xr:uid="{00000000-0005-0000-0000-00008C500000}"/>
    <cellStyle name="Normal 8 3 6 3" xfId="20622" xr:uid="{00000000-0005-0000-0000-00008D500000}"/>
    <cellStyle name="Normal 8 3 6 3 2" xfId="20623" xr:uid="{00000000-0005-0000-0000-00008E500000}"/>
    <cellStyle name="Normal 8 3 7" xfId="20624" xr:uid="{00000000-0005-0000-0000-00008F500000}"/>
    <cellStyle name="Normal 8 3 8" xfId="20625" xr:uid="{00000000-0005-0000-0000-000090500000}"/>
    <cellStyle name="Normal 8 4" xfId="20626" xr:uid="{00000000-0005-0000-0000-000091500000}"/>
    <cellStyle name="Normal 8 4 10" xfId="20627" xr:uid="{00000000-0005-0000-0000-000092500000}"/>
    <cellStyle name="Normal 8 4 10 2" xfId="20628" xr:uid="{00000000-0005-0000-0000-000093500000}"/>
    <cellStyle name="Normal 8 4 10 3" xfId="20629" xr:uid="{00000000-0005-0000-0000-000094500000}"/>
    <cellStyle name="Normal 8 4 11" xfId="20630" xr:uid="{00000000-0005-0000-0000-000095500000}"/>
    <cellStyle name="Normal 8 4 11 2" xfId="20631" xr:uid="{00000000-0005-0000-0000-000096500000}"/>
    <cellStyle name="Normal 8 4 11 3" xfId="20632" xr:uid="{00000000-0005-0000-0000-000097500000}"/>
    <cellStyle name="Normal 8 4 11 3 2" xfId="20633" xr:uid="{00000000-0005-0000-0000-000098500000}"/>
    <cellStyle name="Normal 8 4 11 4" xfId="20634" xr:uid="{00000000-0005-0000-0000-000099500000}"/>
    <cellStyle name="Normal 8 4 12" xfId="20635" xr:uid="{00000000-0005-0000-0000-00009A500000}"/>
    <cellStyle name="Normal 8 4 12 2" xfId="20636" xr:uid="{00000000-0005-0000-0000-00009B500000}"/>
    <cellStyle name="Normal 8 4 12 2 2" xfId="20637" xr:uid="{00000000-0005-0000-0000-00009C500000}"/>
    <cellStyle name="Normal 8 4 12 3" xfId="20638" xr:uid="{00000000-0005-0000-0000-00009D500000}"/>
    <cellStyle name="Normal 8 4 13" xfId="20639" xr:uid="{00000000-0005-0000-0000-00009E500000}"/>
    <cellStyle name="Normal 8 4 14" xfId="20640" xr:uid="{00000000-0005-0000-0000-00009F500000}"/>
    <cellStyle name="Normal 8 4 2" xfId="20641" xr:uid="{00000000-0005-0000-0000-0000A0500000}"/>
    <cellStyle name="Normal 8 4 2 10" xfId="20642" xr:uid="{00000000-0005-0000-0000-0000A1500000}"/>
    <cellStyle name="Normal 8 4 2 10 2" xfId="20643" xr:uid="{00000000-0005-0000-0000-0000A2500000}"/>
    <cellStyle name="Normal 8 4 2 10 3" xfId="20644" xr:uid="{00000000-0005-0000-0000-0000A3500000}"/>
    <cellStyle name="Normal 8 4 2 10 3 2" xfId="20645" xr:uid="{00000000-0005-0000-0000-0000A4500000}"/>
    <cellStyle name="Normal 8 4 2 10 4" xfId="20646" xr:uid="{00000000-0005-0000-0000-0000A5500000}"/>
    <cellStyle name="Normal 8 4 2 11" xfId="20647" xr:uid="{00000000-0005-0000-0000-0000A6500000}"/>
    <cellStyle name="Normal 8 4 2 11 2" xfId="20648" xr:uid="{00000000-0005-0000-0000-0000A7500000}"/>
    <cellStyle name="Normal 8 4 2 11 2 2" xfId="20649" xr:uid="{00000000-0005-0000-0000-0000A8500000}"/>
    <cellStyle name="Normal 8 4 2 11 3" xfId="20650" xr:uid="{00000000-0005-0000-0000-0000A9500000}"/>
    <cellStyle name="Normal 8 4 2 12" xfId="20651" xr:uid="{00000000-0005-0000-0000-0000AA500000}"/>
    <cellStyle name="Normal 8 4 2 13" xfId="20652" xr:uid="{00000000-0005-0000-0000-0000AB500000}"/>
    <cellStyle name="Normal 8 4 2 2" xfId="20653" xr:uid="{00000000-0005-0000-0000-0000AC500000}"/>
    <cellStyle name="Normal 8 4 2 2 2" xfId="20654" xr:uid="{00000000-0005-0000-0000-0000AD500000}"/>
    <cellStyle name="Normal 8 4 2 2 2 2" xfId="20655" xr:uid="{00000000-0005-0000-0000-0000AE500000}"/>
    <cellStyle name="Normal 8 4 2 2 2 2 2" xfId="20656" xr:uid="{00000000-0005-0000-0000-0000AF500000}"/>
    <cellStyle name="Normal 8 4 2 2 2 2 2 2" xfId="20657" xr:uid="{00000000-0005-0000-0000-0000B0500000}"/>
    <cellStyle name="Normal 8 4 2 2 2 2 2 3" xfId="20658" xr:uid="{00000000-0005-0000-0000-0000B1500000}"/>
    <cellStyle name="Normal 8 4 2 2 2 2 3" xfId="20659" xr:uid="{00000000-0005-0000-0000-0000B2500000}"/>
    <cellStyle name="Normal 8 4 2 2 2 2 3 2" xfId="20660" xr:uid="{00000000-0005-0000-0000-0000B3500000}"/>
    <cellStyle name="Normal 8 4 2 2 2 2 3 3" xfId="20661" xr:uid="{00000000-0005-0000-0000-0000B4500000}"/>
    <cellStyle name="Normal 8 4 2 2 2 2 4" xfId="20662" xr:uid="{00000000-0005-0000-0000-0000B5500000}"/>
    <cellStyle name="Normal 8 4 2 2 2 2 5" xfId="20663" xr:uid="{00000000-0005-0000-0000-0000B6500000}"/>
    <cellStyle name="Normal 8 4 2 2 2 3" xfId="20664" xr:uid="{00000000-0005-0000-0000-0000B7500000}"/>
    <cellStyle name="Normal 8 4 2 2 2 3 2" xfId="20665" xr:uid="{00000000-0005-0000-0000-0000B8500000}"/>
    <cellStyle name="Normal 8 4 2 2 2 3 2 2" xfId="20666" xr:uid="{00000000-0005-0000-0000-0000B9500000}"/>
    <cellStyle name="Normal 8 4 2 2 2 3 2 3" xfId="20667" xr:uid="{00000000-0005-0000-0000-0000BA500000}"/>
    <cellStyle name="Normal 8 4 2 2 2 3 3" xfId="20668" xr:uid="{00000000-0005-0000-0000-0000BB500000}"/>
    <cellStyle name="Normal 8 4 2 2 2 3 3 2" xfId="20669" xr:uid="{00000000-0005-0000-0000-0000BC500000}"/>
    <cellStyle name="Normal 8 4 2 2 2 3 3 3" xfId="20670" xr:uid="{00000000-0005-0000-0000-0000BD500000}"/>
    <cellStyle name="Normal 8 4 2 2 2 3 4" xfId="20671" xr:uid="{00000000-0005-0000-0000-0000BE500000}"/>
    <cellStyle name="Normal 8 4 2 2 2 3 5" xfId="20672" xr:uid="{00000000-0005-0000-0000-0000BF500000}"/>
    <cellStyle name="Normal 8 4 2 2 2 4" xfId="20673" xr:uid="{00000000-0005-0000-0000-0000C0500000}"/>
    <cellStyle name="Normal 8 4 2 2 2 4 2" xfId="20674" xr:uid="{00000000-0005-0000-0000-0000C1500000}"/>
    <cellStyle name="Normal 8 4 2 2 2 4 3" xfId="20675" xr:uid="{00000000-0005-0000-0000-0000C2500000}"/>
    <cellStyle name="Normal 8 4 2 2 2 5" xfId="20676" xr:uid="{00000000-0005-0000-0000-0000C3500000}"/>
    <cellStyle name="Normal 8 4 2 2 2 5 2" xfId="20677" xr:uid="{00000000-0005-0000-0000-0000C4500000}"/>
    <cellStyle name="Normal 8 4 2 2 2 5 3" xfId="20678" xr:uid="{00000000-0005-0000-0000-0000C5500000}"/>
    <cellStyle name="Normal 8 4 2 2 2 6" xfId="20679" xr:uid="{00000000-0005-0000-0000-0000C6500000}"/>
    <cellStyle name="Normal 8 4 2 2 2 7" xfId="20680" xr:uid="{00000000-0005-0000-0000-0000C7500000}"/>
    <cellStyle name="Normal 8 4 2 2 3" xfId="20681" xr:uid="{00000000-0005-0000-0000-0000C8500000}"/>
    <cellStyle name="Normal 8 4 2 2 3 2" xfId="20682" xr:uid="{00000000-0005-0000-0000-0000C9500000}"/>
    <cellStyle name="Normal 8 4 2 2 3 2 2" xfId="20683" xr:uid="{00000000-0005-0000-0000-0000CA500000}"/>
    <cellStyle name="Normal 8 4 2 2 3 2 3" xfId="20684" xr:uid="{00000000-0005-0000-0000-0000CB500000}"/>
    <cellStyle name="Normal 8 4 2 2 3 3" xfId="20685" xr:uid="{00000000-0005-0000-0000-0000CC500000}"/>
    <cellStyle name="Normal 8 4 2 2 3 3 2" xfId="20686" xr:uid="{00000000-0005-0000-0000-0000CD500000}"/>
    <cellStyle name="Normal 8 4 2 2 3 3 3" xfId="20687" xr:uid="{00000000-0005-0000-0000-0000CE500000}"/>
    <cellStyle name="Normal 8 4 2 2 3 4" xfId="20688" xr:uid="{00000000-0005-0000-0000-0000CF500000}"/>
    <cellStyle name="Normal 8 4 2 2 3 5" xfId="20689" xr:uid="{00000000-0005-0000-0000-0000D0500000}"/>
    <cellStyle name="Normal 8 4 2 2 4" xfId="20690" xr:uid="{00000000-0005-0000-0000-0000D1500000}"/>
    <cellStyle name="Normal 8 4 2 2 4 2" xfId="20691" xr:uid="{00000000-0005-0000-0000-0000D2500000}"/>
    <cellStyle name="Normal 8 4 2 2 4 2 2" xfId="20692" xr:uid="{00000000-0005-0000-0000-0000D3500000}"/>
    <cellStyle name="Normal 8 4 2 2 4 2 3" xfId="20693" xr:uid="{00000000-0005-0000-0000-0000D4500000}"/>
    <cellStyle name="Normal 8 4 2 2 4 3" xfId="20694" xr:uid="{00000000-0005-0000-0000-0000D5500000}"/>
    <cellStyle name="Normal 8 4 2 2 4 3 2" xfId="20695" xr:uid="{00000000-0005-0000-0000-0000D6500000}"/>
    <cellStyle name="Normal 8 4 2 2 4 3 3" xfId="20696" xr:uid="{00000000-0005-0000-0000-0000D7500000}"/>
    <cellStyle name="Normal 8 4 2 2 4 4" xfId="20697" xr:uid="{00000000-0005-0000-0000-0000D8500000}"/>
    <cellStyle name="Normal 8 4 2 2 4 5" xfId="20698" xr:uid="{00000000-0005-0000-0000-0000D9500000}"/>
    <cellStyle name="Normal 8 4 2 2 5" xfId="20699" xr:uid="{00000000-0005-0000-0000-0000DA500000}"/>
    <cellStyle name="Normal 8 4 2 2 5 2" xfId="20700" xr:uid="{00000000-0005-0000-0000-0000DB500000}"/>
    <cellStyle name="Normal 8 4 2 2 5 3" xfId="20701" xr:uid="{00000000-0005-0000-0000-0000DC500000}"/>
    <cellStyle name="Normal 8 4 2 2 6" xfId="20702" xr:uid="{00000000-0005-0000-0000-0000DD500000}"/>
    <cellStyle name="Normal 8 4 2 2 6 2" xfId="20703" xr:uid="{00000000-0005-0000-0000-0000DE500000}"/>
    <cellStyle name="Normal 8 4 2 2 6 3" xfId="20704" xr:uid="{00000000-0005-0000-0000-0000DF500000}"/>
    <cellStyle name="Normal 8 4 2 2 7" xfId="20705" xr:uid="{00000000-0005-0000-0000-0000E0500000}"/>
    <cellStyle name="Normal 8 4 2 2 7 2" xfId="20706" xr:uid="{00000000-0005-0000-0000-0000E1500000}"/>
    <cellStyle name="Normal 8 4 2 2 7 3" xfId="20707" xr:uid="{00000000-0005-0000-0000-0000E2500000}"/>
    <cellStyle name="Normal 8 4 2 2 7 3 2" xfId="20708" xr:uid="{00000000-0005-0000-0000-0000E3500000}"/>
    <cellStyle name="Normal 8 4 2 2 7 4" xfId="20709" xr:uid="{00000000-0005-0000-0000-0000E4500000}"/>
    <cellStyle name="Normal 8 4 2 2 8" xfId="20710" xr:uid="{00000000-0005-0000-0000-0000E5500000}"/>
    <cellStyle name="Normal 8 4 2 2 9" xfId="20711" xr:uid="{00000000-0005-0000-0000-0000E6500000}"/>
    <cellStyle name="Normal 8 4 2 3" xfId="20712" xr:uid="{00000000-0005-0000-0000-0000E7500000}"/>
    <cellStyle name="Normal 8 4 2 3 2" xfId="20713" xr:uid="{00000000-0005-0000-0000-0000E8500000}"/>
    <cellStyle name="Normal 8 4 2 3 2 2" xfId="20714" xr:uid="{00000000-0005-0000-0000-0000E9500000}"/>
    <cellStyle name="Normal 8 4 2 3 2 2 2" xfId="20715" xr:uid="{00000000-0005-0000-0000-0000EA500000}"/>
    <cellStyle name="Normal 8 4 2 3 2 2 3" xfId="20716" xr:uid="{00000000-0005-0000-0000-0000EB500000}"/>
    <cellStyle name="Normal 8 4 2 3 2 3" xfId="20717" xr:uid="{00000000-0005-0000-0000-0000EC500000}"/>
    <cellStyle name="Normal 8 4 2 3 2 3 2" xfId="20718" xr:uid="{00000000-0005-0000-0000-0000ED500000}"/>
    <cellStyle name="Normal 8 4 2 3 2 3 3" xfId="20719" xr:uid="{00000000-0005-0000-0000-0000EE500000}"/>
    <cellStyle name="Normal 8 4 2 3 2 4" xfId="20720" xr:uid="{00000000-0005-0000-0000-0000EF500000}"/>
    <cellStyle name="Normal 8 4 2 3 2 5" xfId="20721" xr:uid="{00000000-0005-0000-0000-0000F0500000}"/>
    <cellStyle name="Normal 8 4 2 3 3" xfId="20722" xr:uid="{00000000-0005-0000-0000-0000F1500000}"/>
    <cellStyle name="Normal 8 4 2 3 3 2" xfId="20723" xr:uid="{00000000-0005-0000-0000-0000F2500000}"/>
    <cellStyle name="Normal 8 4 2 3 3 2 2" xfId="20724" xr:uid="{00000000-0005-0000-0000-0000F3500000}"/>
    <cellStyle name="Normal 8 4 2 3 3 2 3" xfId="20725" xr:uid="{00000000-0005-0000-0000-0000F4500000}"/>
    <cellStyle name="Normal 8 4 2 3 3 3" xfId="20726" xr:uid="{00000000-0005-0000-0000-0000F5500000}"/>
    <cellStyle name="Normal 8 4 2 3 3 3 2" xfId="20727" xr:uid="{00000000-0005-0000-0000-0000F6500000}"/>
    <cellStyle name="Normal 8 4 2 3 3 3 3" xfId="20728" xr:uid="{00000000-0005-0000-0000-0000F7500000}"/>
    <cellStyle name="Normal 8 4 2 3 3 4" xfId="20729" xr:uid="{00000000-0005-0000-0000-0000F8500000}"/>
    <cellStyle name="Normal 8 4 2 3 3 5" xfId="20730" xr:uid="{00000000-0005-0000-0000-0000F9500000}"/>
    <cellStyle name="Normal 8 4 2 3 4" xfId="20731" xr:uid="{00000000-0005-0000-0000-0000FA500000}"/>
    <cellStyle name="Normal 8 4 2 3 4 2" xfId="20732" xr:uid="{00000000-0005-0000-0000-0000FB500000}"/>
    <cellStyle name="Normal 8 4 2 3 4 3" xfId="20733" xr:uid="{00000000-0005-0000-0000-0000FC500000}"/>
    <cellStyle name="Normal 8 4 2 3 5" xfId="20734" xr:uid="{00000000-0005-0000-0000-0000FD500000}"/>
    <cellStyle name="Normal 8 4 2 3 5 2" xfId="20735" xr:uid="{00000000-0005-0000-0000-0000FE500000}"/>
    <cellStyle name="Normal 8 4 2 3 5 3" xfId="20736" xr:uid="{00000000-0005-0000-0000-0000FF500000}"/>
    <cellStyle name="Normal 8 4 2 3 6" xfId="20737" xr:uid="{00000000-0005-0000-0000-000000510000}"/>
    <cellStyle name="Normal 8 4 2 3 7" xfId="20738" xr:uid="{00000000-0005-0000-0000-000001510000}"/>
    <cellStyle name="Normal 8 4 2 4" xfId="20739" xr:uid="{00000000-0005-0000-0000-000002510000}"/>
    <cellStyle name="Normal 8 4 2 4 2" xfId="20740" xr:uid="{00000000-0005-0000-0000-000003510000}"/>
    <cellStyle name="Normal 8 4 2 4 2 2" xfId="20741" xr:uid="{00000000-0005-0000-0000-000004510000}"/>
    <cellStyle name="Normal 8 4 2 4 2 2 2" xfId="20742" xr:uid="{00000000-0005-0000-0000-000005510000}"/>
    <cellStyle name="Normal 8 4 2 4 2 2 3" xfId="20743" xr:uid="{00000000-0005-0000-0000-000006510000}"/>
    <cellStyle name="Normal 8 4 2 4 2 3" xfId="20744" xr:uid="{00000000-0005-0000-0000-000007510000}"/>
    <cellStyle name="Normal 8 4 2 4 2 3 2" xfId="20745" xr:uid="{00000000-0005-0000-0000-000008510000}"/>
    <cellStyle name="Normal 8 4 2 4 2 3 3" xfId="20746" xr:uid="{00000000-0005-0000-0000-000009510000}"/>
    <cellStyle name="Normal 8 4 2 4 2 4" xfId="20747" xr:uid="{00000000-0005-0000-0000-00000A510000}"/>
    <cellStyle name="Normal 8 4 2 4 2 5" xfId="20748" xr:uid="{00000000-0005-0000-0000-00000B510000}"/>
    <cellStyle name="Normal 8 4 2 4 3" xfId="20749" xr:uid="{00000000-0005-0000-0000-00000C510000}"/>
    <cellStyle name="Normal 8 4 2 4 3 2" xfId="20750" xr:uid="{00000000-0005-0000-0000-00000D510000}"/>
    <cellStyle name="Normal 8 4 2 4 3 2 2" xfId="20751" xr:uid="{00000000-0005-0000-0000-00000E510000}"/>
    <cellStyle name="Normal 8 4 2 4 3 2 3" xfId="20752" xr:uid="{00000000-0005-0000-0000-00000F510000}"/>
    <cellStyle name="Normal 8 4 2 4 3 3" xfId="20753" xr:uid="{00000000-0005-0000-0000-000010510000}"/>
    <cellStyle name="Normal 8 4 2 4 3 4" xfId="20754" xr:uid="{00000000-0005-0000-0000-000011510000}"/>
    <cellStyle name="Normal 8 4 2 4 4" xfId="20755" xr:uid="{00000000-0005-0000-0000-000012510000}"/>
    <cellStyle name="Normal 8 4 2 4 4 2" xfId="20756" xr:uid="{00000000-0005-0000-0000-000013510000}"/>
    <cellStyle name="Normal 8 4 2 4 4 3" xfId="20757" xr:uid="{00000000-0005-0000-0000-000014510000}"/>
    <cellStyle name="Normal 8 4 2 4 5" xfId="20758" xr:uid="{00000000-0005-0000-0000-000015510000}"/>
    <cellStyle name="Normal 8 4 2 4 5 2" xfId="20759" xr:uid="{00000000-0005-0000-0000-000016510000}"/>
    <cellStyle name="Normal 8 4 2 4 5 3" xfId="20760" xr:uid="{00000000-0005-0000-0000-000017510000}"/>
    <cellStyle name="Normal 8 4 2 4 6" xfId="20761" xr:uid="{00000000-0005-0000-0000-000018510000}"/>
    <cellStyle name="Normal 8 4 2 4 7" xfId="20762" xr:uid="{00000000-0005-0000-0000-000019510000}"/>
    <cellStyle name="Normal 8 4 2 5" xfId="20763" xr:uid="{00000000-0005-0000-0000-00001A510000}"/>
    <cellStyle name="Normal 8 4 2 5 2" xfId="20764" xr:uid="{00000000-0005-0000-0000-00001B510000}"/>
    <cellStyle name="Normal 8 4 2 5 2 2" xfId="20765" xr:uid="{00000000-0005-0000-0000-00001C510000}"/>
    <cellStyle name="Normal 8 4 2 5 2 3" xfId="20766" xr:uid="{00000000-0005-0000-0000-00001D510000}"/>
    <cellStyle name="Normal 8 4 2 5 3" xfId="20767" xr:uid="{00000000-0005-0000-0000-00001E510000}"/>
    <cellStyle name="Normal 8 4 2 5 3 2" xfId="20768" xr:uid="{00000000-0005-0000-0000-00001F510000}"/>
    <cellStyle name="Normal 8 4 2 5 3 3" xfId="20769" xr:uid="{00000000-0005-0000-0000-000020510000}"/>
    <cellStyle name="Normal 8 4 2 5 4" xfId="20770" xr:uid="{00000000-0005-0000-0000-000021510000}"/>
    <cellStyle name="Normal 8 4 2 5 5" xfId="20771" xr:uid="{00000000-0005-0000-0000-000022510000}"/>
    <cellStyle name="Normal 8 4 2 6" xfId="20772" xr:uid="{00000000-0005-0000-0000-000023510000}"/>
    <cellStyle name="Normal 8 4 2 6 2" xfId="20773" xr:uid="{00000000-0005-0000-0000-000024510000}"/>
    <cellStyle name="Normal 8 4 2 6 2 2" xfId="20774" xr:uid="{00000000-0005-0000-0000-000025510000}"/>
    <cellStyle name="Normal 8 4 2 6 2 3" xfId="20775" xr:uid="{00000000-0005-0000-0000-000026510000}"/>
    <cellStyle name="Normal 8 4 2 6 3" xfId="20776" xr:uid="{00000000-0005-0000-0000-000027510000}"/>
    <cellStyle name="Normal 8 4 2 6 3 2" xfId="20777" xr:uid="{00000000-0005-0000-0000-000028510000}"/>
    <cellStyle name="Normal 8 4 2 6 3 3" xfId="20778" xr:uid="{00000000-0005-0000-0000-000029510000}"/>
    <cellStyle name="Normal 8 4 2 6 4" xfId="20779" xr:uid="{00000000-0005-0000-0000-00002A510000}"/>
    <cellStyle name="Normal 8 4 2 6 5" xfId="20780" xr:uid="{00000000-0005-0000-0000-00002B510000}"/>
    <cellStyle name="Normal 8 4 2 7" xfId="20781" xr:uid="{00000000-0005-0000-0000-00002C510000}"/>
    <cellStyle name="Normal 8 4 2 7 2" xfId="20782" xr:uid="{00000000-0005-0000-0000-00002D510000}"/>
    <cellStyle name="Normal 8 4 2 7 2 2" xfId="20783" xr:uid="{00000000-0005-0000-0000-00002E510000}"/>
    <cellStyle name="Normal 8 4 2 7 2 3" xfId="20784" xr:uid="{00000000-0005-0000-0000-00002F510000}"/>
    <cellStyle name="Normal 8 4 2 7 3" xfId="20785" xr:uid="{00000000-0005-0000-0000-000030510000}"/>
    <cellStyle name="Normal 8 4 2 7 4" xfId="20786" xr:uid="{00000000-0005-0000-0000-000031510000}"/>
    <cellStyle name="Normal 8 4 2 8" xfId="20787" xr:uid="{00000000-0005-0000-0000-000032510000}"/>
    <cellStyle name="Normal 8 4 2 8 2" xfId="20788" xr:uid="{00000000-0005-0000-0000-000033510000}"/>
    <cellStyle name="Normal 8 4 2 8 3" xfId="20789" xr:uid="{00000000-0005-0000-0000-000034510000}"/>
    <cellStyle name="Normal 8 4 2 9" xfId="20790" xr:uid="{00000000-0005-0000-0000-000035510000}"/>
    <cellStyle name="Normal 8 4 2 9 2" xfId="20791" xr:uid="{00000000-0005-0000-0000-000036510000}"/>
    <cellStyle name="Normal 8 4 2 9 3" xfId="20792" xr:uid="{00000000-0005-0000-0000-000037510000}"/>
    <cellStyle name="Normal 8 4 3" xfId="20793" xr:uid="{00000000-0005-0000-0000-000038510000}"/>
    <cellStyle name="Normal 8 4 3 2" xfId="20794" xr:uid="{00000000-0005-0000-0000-000039510000}"/>
    <cellStyle name="Normal 8 4 3 2 2" xfId="20795" xr:uid="{00000000-0005-0000-0000-00003A510000}"/>
    <cellStyle name="Normal 8 4 3 2 2 2" xfId="20796" xr:uid="{00000000-0005-0000-0000-00003B510000}"/>
    <cellStyle name="Normal 8 4 3 2 2 2 2" xfId="20797" xr:uid="{00000000-0005-0000-0000-00003C510000}"/>
    <cellStyle name="Normal 8 4 3 2 2 2 3" xfId="20798" xr:uid="{00000000-0005-0000-0000-00003D510000}"/>
    <cellStyle name="Normal 8 4 3 2 2 3" xfId="20799" xr:uid="{00000000-0005-0000-0000-00003E510000}"/>
    <cellStyle name="Normal 8 4 3 2 2 3 2" xfId="20800" xr:uid="{00000000-0005-0000-0000-00003F510000}"/>
    <cellStyle name="Normal 8 4 3 2 2 3 3" xfId="20801" xr:uid="{00000000-0005-0000-0000-000040510000}"/>
    <cellStyle name="Normal 8 4 3 2 2 4" xfId="20802" xr:uid="{00000000-0005-0000-0000-000041510000}"/>
    <cellStyle name="Normal 8 4 3 2 2 5" xfId="20803" xr:uid="{00000000-0005-0000-0000-000042510000}"/>
    <cellStyle name="Normal 8 4 3 2 3" xfId="20804" xr:uid="{00000000-0005-0000-0000-000043510000}"/>
    <cellStyle name="Normal 8 4 3 2 3 2" xfId="20805" xr:uid="{00000000-0005-0000-0000-000044510000}"/>
    <cellStyle name="Normal 8 4 3 2 3 2 2" xfId="20806" xr:uid="{00000000-0005-0000-0000-000045510000}"/>
    <cellStyle name="Normal 8 4 3 2 3 2 3" xfId="20807" xr:uid="{00000000-0005-0000-0000-000046510000}"/>
    <cellStyle name="Normal 8 4 3 2 3 3" xfId="20808" xr:uid="{00000000-0005-0000-0000-000047510000}"/>
    <cellStyle name="Normal 8 4 3 2 3 3 2" xfId="20809" xr:uid="{00000000-0005-0000-0000-000048510000}"/>
    <cellStyle name="Normal 8 4 3 2 3 3 3" xfId="20810" xr:uid="{00000000-0005-0000-0000-000049510000}"/>
    <cellStyle name="Normal 8 4 3 2 3 4" xfId="20811" xr:uid="{00000000-0005-0000-0000-00004A510000}"/>
    <cellStyle name="Normal 8 4 3 2 3 5" xfId="20812" xr:uid="{00000000-0005-0000-0000-00004B510000}"/>
    <cellStyle name="Normal 8 4 3 2 4" xfId="20813" xr:uid="{00000000-0005-0000-0000-00004C510000}"/>
    <cellStyle name="Normal 8 4 3 2 4 2" xfId="20814" xr:uid="{00000000-0005-0000-0000-00004D510000}"/>
    <cellStyle name="Normal 8 4 3 2 4 3" xfId="20815" xr:uid="{00000000-0005-0000-0000-00004E510000}"/>
    <cellStyle name="Normal 8 4 3 2 5" xfId="20816" xr:uid="{00000000-0005-0000-0000-00004F510000}"/>
    <cellStyle name="Normal 8 4 3 2 5 2" xfId="20817" xr:uid="{00000000-0005-0000-0000-000050510000}"/>
    <cellStyle name="Normal 8 4 3 2 5 3" xfId="20818" xr:uid="{00000000-0005-0000-0000-000051510000}"/>
    <cellStyle name="Normal 8 4 3 2 6" xfId="20819" xr:uid="{00000000-0005-0000-0000-000052510000}"/>
    <cellStyle name="Normal 8 4 3 2 7" xfId="20820" xr:uid="{00000000-0005-0000-0000-000053510000}"/>
    <cellStyle name="Normal 8 4 3 3" xfId="20821" xr:uid="{00000000-0005-0000-0000-000054510000}"/>
    <cellStyle name="Normal 8 4 3 3 2" xfId="20822" xr:uid="{00000000-0005-0000-0000-000055510000}"/>
    <cellStyle name="Normal 8 4 3 3 2 2" xfId="20823" xr:uid="{00000000-0005-0000-0000-000056510000}"/>
    <cellStyle name="Normal 8 4 3 3 2 3" xfId="20824" xr:uid="{00000000-0005-0000-0000-000057510000}"/>
    <cellStyle name="Normal 8 4 3 3 3" xfId="20825" xr:uid="{00000000-0005-0000-0000-000058510000}"/>
    <cellStyle name="Normal 8 4 3 3 3 2" xfId="20826" xr:uid="{00000000-0005-0000-0000-000059510000}"/>
    <cellStyle name="Normal 8 4 3 3 3 3" xfId="20827" xr:uid="{00000000-0005-0000-0000-00005A510000}"/>
    <cellStyle name="Normal 8 4 3 3 4" xfId="20828" xr:uid="{00000000-0005-0000-0000-00005B510000}"/>
    <cellStyle name="Normal 8 4 3 3 5" xfId="20829" xr:uid="{00000000-0005-0000-0000-00005C510000}"/>
    <cellStyle name="Normal 8 4 3 4" xfId="20830" xr:uid="{00000000-0005-0000-0000-00005D510000}"/>
    <cellStyle name="Normal 8 4 3 4 2" xfId="20831" xr:uid="{00000000-0005-0000-0000-00005E510000}"/>
    <cellStyle name="Normal 8 4 3 4 2 2" xfId="20832" xr:uid="{00000000-0005-0000-0000-00005F510000}"/>
    <cellStyle name="Normal 8 4 3 4 2 3" xfId="20833" xr:uid="{00000000-0005-0000-0000-000060510000}"/>
    <cellStyle name="Normal 8 4 3 4 3" xfId="20834" xr:uid="{00000000-0005-0000-0000-000061510000}"/>
    <cellStyle name="Normal 8 4 3 4 3 2" xfId="20835" xr:uid="{00000000-0005-0000-0000-000062510000}"/>
    <cellStyle name="Normal 8 4 3 4 3 3" xfId="20836" xr:uid="{00000000-0005-0000-0000-000063510000}"/>
    <cellStyle name="Normal 8 4 3 4 4" xfId="20837" xr:uid="{00000000-0005-0000-0000-000064510000}"/>
    <cellStyle name="Normal 8 4 3 4 5" xfId="20838" xr:uid="{00000000-0005-0000-0000-000065510000}"/>
    <cellStyle name="Normal 8 4 3 5" xfId="20839" xr:uid="{00000000-0005-0000-0000-000066510000}"/>
    <cellStyle name="Normal 8 4 3 5 2" xfId="20840" xr:uid="{00000000-0005-0000-0000-000067510000}"/>
    <cellStyle name="Normal 8 4 3 5 3" xfId="20841" xr:uid="{00000000-0005-0000-0000-000068510000}"/>
    <cellStyle name="Normal 8 4 3 6" xfId="20842" xr:uid="{00000000-0005-0000-0000-000069510000}"/>
    <cellStyle name="Normal 8 4 3 6 2" xfId="20843" xr:uid="{00000000-0005-0000-0000-00006A510000}"/>
    <cellStyle name="Normal 8 4 3 6 3" xfId="20844" xr:uid="{00000000-0005-0000-0000-00006B510000}"/>
    <cellStyle name="Normal 8 4 3 7" xfId="20845" xr:uid="{00000000-0005-0000-0000-00006C510000}"/>
    <cellStyle name="Normal 8 4 3 7 2" xfId="20846" xr:uid="{00000000-0005-0000-0000-00006D510000}"/>
    <cellStyle name="Normal 8 4 3 7 3" xfId="20847" xr:uid="{00000000-0005-0000-0000-00006E510000}"/>
    <cellStyle name="Normal 8 4 3 7 3 2" xfId="20848" xr:uid="{00000000-0005-0000-0000-00006F510000}"/>
    <cellStyle name="Normal 8 4 3 7 4" xfId="20849" xr:uid="{00000000-0005-0000-0000-000070510000}"/>
    <cellStyle name="Normal 8 4 3 8" xfId="20850" xr:uid="{00000000-0005-0000-0000-000071510000}"/>
    <cellStyle name="Normal 8 4 3 9" xfId="20851" xr:uid="{00000000-0005-0000-0000-000072510000}"/>
    <cellStyle name="Normal 8 4 4" xfId="20852" xr:uid="{00000000-0005-0000-0000-000073510000}"/>
    <cellStyle name="Normal 8 4 4 2" xfId="20853" xr:uid="{00000000-0005-0000-0000-000074510000}"/>
    <cellStyle name="Normal 8 4 4 2 2" xfId="20854" xr:uid="{00000000-0005-0000-0000-000075510000}"/>
    <cellStyle name="Normal 8 4 4 2 2 2" xfId="20855" xr:uid="{00000000-0005-0000-0000-000076510000}"/>
    <cellStyle name="Normal 8 4 4 2 2 3" xfId="20856" xr:uid="{00000000-0005-0000-0000-000077510000}"/>
    <cellStyle name="Normal 8 4 4 2 3" xfId="20857" xr:uid="{00000000-0005-0000-0000-000078510000}"/>
    <cellStyle name="Normal 8 4 4 2 3 2" xfId="20858" xr:uid="{00000000-0005-0000-0000-000079510000}"/>
    <cellStyle name="Normal 8 4 4 2 3 3" xfId="20859" xr:uid="{00000000-0005-0000-0000-00007A510000}"/>
    <cellStyle name="Normal 8 4 4 2 4" xfId="20860" xr:uid="{00000000-0005-0000-0000-00007B510000}"/>
    <cellStyle name="Normal 8 4 4 2 5" xfId="20861" xr:uid="{00000000-0005-0000-0000-00007C510000}"/>
    <cellStyle name="Normal 8 4 4 3" xfId="20862" xr:uid="{00000000-0005-0000-0000-00007D510000}"/>
    <cellStyle name="Normal 8 4 4 3 2" xfId="20863" xr:uid="{00000000-0005-0000-0000-00007E510000}"/>
    <cellStyle name="Normal 8 4 4 3 2 2" xfId="20864" xr:uid="{00000000-0005-0000-0000-00007F510000}"/>
    <cellStyle name="Normal 8 4 4 3 2 3" xfId="20865" xr:uid="{00000000-0005-0000-0000-000080510000}"/>
    <cellStyle name="Normal 8 4 4 3 3" xfId="20866" xr:uid="{00000000-0005-0000-0000-000081510000}"/>
    <cellStyle name="Normal 8 4 4 3 3 2" xfId="20867" xr:uid="{00000000-0005-0000-0000-000082510000}"/>
    <cellStyle name="Normal 8 4 4 3 3 3" xfId="20868" xr:uid="{00000000-0005-0000-0000-000083510000}"/>
    <cellStyle name="Normal 8 4 4 3 4" xfId="20869" xr:uid="{00000000-0005-0000-0000-000084510000}"/>
    <cellStyle name="Normal 8 4 4 3 5" xfId="20870" xr:uid="{00000000-0005-0000-0000-000085510000}"/>
    <cellStyle name="Normal 8 4 4 4" xfId="20871" xr:uid="{00000000-0005-0000-0000-000086510000}"/>
    <cellStyle name="Normal 8 4 4 4 2" xfId="20872" xr:uid="{00000000-0005-0000-0000-000087510000}"/>
    <cellStyle name="Normal 8 4 4 4 3" xfId="20873" xr:uid="{00000000-0005-0000-0000-000088510000}"/>
    <cellStyle name="Normal 8 4 4 5" xfId="20874" xr:uid="{00000000-0005-0000-0000-000089510000}"/>
    <cellStyle name="Normal 8 4 4 5 2" xfId="20875" xr:uid="{00000000-0005-0000-0000-00008A510000}"/>
    <cellStyle name="Normal 8 4 4 5 3" xfId="20876" xr:uid="{00000000-0005-0000-0000-00008B510000}"/>
    <cellStyle name="Normal 8 4 4 6" xfId="20877" xr:uid="{00000000-0005-0000-0000-00008C510000}"/>
    <cellStyle name="Normal 8 4 4 7" xfId="20878" xr:uid="{00000000-0005-0000-0000-00008D510000}"/>
    <cellStyle name="Normal 8 4 5" xfId="20879" xr:uid="{00000000-0005-0000-0000-00008E510000}"/>
    <cellStyle name="Normal 8 4 5 2" xfId="20880" xr:uid="{00000000-0005-0000-0000-00008F510000}"/>
    <cellStyle name="Normal 8 4 5 2 2" xfId="20881" xr:uid="{00000000-0005-0000-0000-000090510000}"/>
    <cellStyle name="Normal 8 4 5 2 2 2" xfId="20882" xr:uid="{00000000-0005-0000-0000-000091510000}"/>
    <cellStyle name="Normal 8 4 5 2 2 3" xfId="20883" xr:uid="{00000000-0005-0000-0000-000092510000}"/>
    <cellStyle name="Normal 8 4 5 2 3" xfId="20884" xr:uid="{00000000-0005-0000-0000-000093510000}"/>
    <cellStyle name="Normal 8 4 5 2 3 2" xfId="20885" xr:uid="{00000000-0005-0000-0000-000094510000}"/>
    <cellStyle name="Normal 8 4 5 2 3 3" xfId="20886" xr:uid="{00000000-0005-0000-0000-000095510000}"/>
    <cellStyle name="Normal 8 4 5 2 4" xfId="20887" xr:uid="{00000000-0005-0000-0000-000096510000}"/>
    <cellStyle name="Normal 8 4 5 2 5" xfId="20888" xr:uid="{00000000-0005-0000-0000-000097510000}"/>
    <cellStyle name="Normal 8 4 5 3" xfId="20889" xr:uid="{00000000-0005-0000-0000-000098510000}"/>
    <cellStyle name="Normal 8 4 5 3 2" xfId="20890" xr:uid="{00000000-0005-0000-0000-000099510000}"/>
    <cellStyle name="Normal 8 4 5 3 2 2" xfId="20891" xr:uid="{00000000-0005-0000-0000-00009A510000}"/>
    <cellStyle name="Normal 8 4 5 3 2 3" xfId="20892" xr:uid="{00000000-0005-0000-0000-00009B510000}"/>
    <cellStyle name="Normal 8 4 5 3 3" xfId="20893" xr:uid="{00000000-0005-0000-0000-00009C510000}"/>
    <cellStyle name="Normal 8 4 5 3 4" xfId="20894" xr:uid="{00000000-0005-0000-0000-00009D510000}"/>
    <cellStyle name="Normal 8 4 5 4" xfId="20895" xr:uid="{00000000-0005-0000-0000-00009E510000}"/>
    <cellStyle name="Normal 8 4 5 4 2" xfId="20896" xr:uid="{00000000-0005-0000-0000-00009F510000}"/>
    <cellStyle name="Normal 8 4 5 4 3" xfId="20897" xr:uid="{00000000-0005-0000-0000-0000A0510000}"/>
    <cellStyle name="Normal 8 4 5 5" xfId="20898" xr:uid="{00000000-0005-0000-0000-0000A1510000}"/>
    <cellStyle name="Normal 8 4 5 5 2" xfId="20899" xr:uid="{00000000-0005-0000-0000-0000A2510000}"/>
    <cellStyle name="Normal 8 4 5 5 3" xfId="20900" xr:uid="{00000000-0005-0000-0000-0000A3510000}"/>
    <cellStyle name="Normal 8 4 5 6" xfId="20901" xr:uid="{00000000-0005-0000-0000-0000A4510000}"/>
    <cellStyle name="Normal 8 4 5 7" xfId="20902" xr:uid="{00000000-0005-0000-0000-0000A5510000}"/>
    <cellStyle name="Normal 8 4 6" xfId="20903" xr:uid="{00000000-0005-0000-0000-0000A6510000}"/>
    <cellStyle name="Normal 8 4 6 2" xfId="20904" xr:uid="{00000000-0005-0000-0000-0000A7510000}"/>
    <cellStyle name="Normal 8 4 6 2 2" xfId="20905" xr:uid="{00000000-0005-0000-0000-0000A8510000}"/>
    <cellStyle name="Normal 8 4 6 2 3" xfId="20906" xr:uid="{00000000-0005-0000-0000-0000A9510000}"/>
    <cellStyle name="Normal 8 4 6 3" xfId="20907" xr:uid="{00000000-0005-0000-0000-0000AA510000}"/>
    <cellStyle name="Normal 8 4 6 3 2" xfId="20908" xr:uid="{00000000-0005-0000-0000-0000AB510000}"/>
    <cellStyle name="Normal 8 4 6 3 3" xfId="20909" xr:uid="{00000000-0005-0000-0000-0000AC510000}"/>
    <cellStyle name="Normal 8 4 6 4" xfId="20910" xr:uid="{00000000-0005-0000-0000-0000AD510000}"/>
    <cellStyle name="Normal 8 4 6 5" xfId="20911" xr:uid="{00000000-0005-0000-0000-0000AE510000}"/>
    <cellStyle name="Normal 8 4 7" xfId="20912" xr:uid="{00000000-0005-0000-0000-0000AF510000}"/>
    <cellStyle name="Normal 8 4 7 2" xfId="20913" xr:uid="{00000000-0005-0000-0000-0000B0510000}"/>
    <cellStyle name="Normal 8 4 7 2 2" xfId="20914" xr:uid="{00000000-0005-0000-0000-0000B1510000}"/>
    <cellStyle name="Normal 8 4 7 2 3" xfId="20915" xr:uid="{00000000-0005-0000-0000-0000B2510000}"/>
    <cellStyle name="Normal 8 4 7 3" xfId="20916" xr:uid="{00000000-0005-0000-0000-0000B3510000}"/>
    <cellStyle name="Normal 8 4 7 3 2" xfId="20917" xr:uid="{00000000-0005-0000-0000-0000B4510000}"/>
    <cellStyle name="Normal 8 4 7 3 3" xfId="20918" xr:uid="{00000000-0005-0000-0000-0000B5510000}"/>
    <cellStyle name="Normal 8 4 7 4" xfId="20919" xr:uid="{00000000-0005-0000-0000-0000B6510000}"/>
    <cellStyle name="Normal 8 4 7 5" xfId="20920" xr:uid="{00000000-0005-0000-0000-0000B7510000}"/>
    <cellStyle name="Normal 8 4 8" xfId="20921" xr:uid="{00000000-0005-0000-0000-0000B8510000}"/>
    <cellStyle name="Normal 8 4 8 2" xfId="20922" xr:uid="{00000000-0005-0000-0000-0000B9510000}"/>
    <cellStyle name="Normal 8 4 8 2 2" xfId="20923" xr:uid="{00000000-0005-0000-0000-0000BA510000}"/>
    <cellStyle name="Normal 8 4 8 2 3" xfId="20924" xr:uid="{00000000-0005-0000-0000-0000BB510000}"/>
    <cellStyle name="Normal 8 4 8 3" xfId="20925" xr:uid="{00000000-0005-0000-0000-0000BC510000}"/>
    <cellStyle name="Normal 8 4 8 4" xfId="20926" xr:uid="{00000000-0005-0000-0000-0000BD510000}"/>
    <cellStyle name="Normal 8 4 9" xfId="20927" xr:uid="{00000000-0005-0000-0000-0000BE510000}"/>
    <cellStyle name="Normal 8 4 9 2" xfId="20928" xr:uid="{00000000-0005-0000-0000-0000BF510000}"/>
    <cellStyle name="Normal 8 4 9 3" xfId="20929" xr:uid="{00000000-0005-0000-0000-0000C0510000}"/>
    <cellStyle name="Normal 8 5" xfId="20930" xr:uid="{00000000-0005-0000-0000-0000C1510000}"/>
    <cellStyle name="Normal 8 5 10" xfId="20931" xr:uid="{00000000-0005-0000-0000-0000C2510000}"/>
    <cellStyle name="Normal 8 5 10 2" xfId="20932" xr:uid="{00000000-0005-0000-0000-0000C3510000}"/>
    <cellStyle name="Normal 8 5 10 3" xfId="20933" xr:uid="{00000000-0005-0000-0000-0000C4510000}"/>
    <cellStyle name="Normal 8 5 10 3 2" xfId="20934" xr:uid="{00000000-0005-0000-0000-0000C5510000}"/>
    <cellStyle name="Normal 8 5 10 4" xfId="20935" xr:uid="{00000000-0005-0000-0000-0000C6510000}"/>
    <cellStyle name="Normal 8 5 11" xfId="20936" xr:uid="{00000000-0005-0000-0000-0000C7510000}"/>
    <cellStyle name="Normal 8 5 11 2" xfId="20937" xr:uid="{00000000-0005-0000-0000-0000C8510000}"/>
    <cellStyle name="Normal 8 5 11 2 2" xfId="20938" xr:uid="{00000000-0005-0000-0000-0000C9510000}"/>
    <cellStyle name="Normal 8 5 11 3" xfId="20939" xr:uid="{00000000-0005-0000-0000-0000CA510000}"/>
    <cellStyle name="Normal 8 5 12" xfId="20940" xr:uid="{00000000-0005-0000-0000-0000CB510000}"/>
    <cellStyle name="Normal 8 5 13" xfId="20941" xr:uid="{00000000-0005-0000-0000-0000CC510000}"/>
    <cellStyle name="Normal 8 5 2" xfId="20942" xr:uid="{00000000-0005-0000-0000-0000CD510000}"/>
    <cellStyle name="Normal 8 5 2 2" xfId="20943" xr:uid="{00000000-0005-0000-0000-0000CE510000}"/>
    <cellStyle name="Normal 8 5 2 2 2" xfId="20944" xr:uid="{00000000-0005-0000-0000-0000CF510000}"/>
    <cellStyle name="Normal 8 5 2 2 2 2" xfId="20945" xr:uid="{00000000-0005-0000-0000-0000D0510000}"/>
    <cellStyle name="Normal 8 5 2 2 2 2 2" xfId="20946" xr:uid="{00000000-0005-0000-0000-0000D1510000}"/>
    <cellStyle name="Normal 8 5 2 2 2 2 3" xfId="20947" xr:uid="{00000000-0005-0000-0000-0000D2510000}"/>
    <cellStyle name="Normal 8 5 2 2 2 3" xfId="20948" xr:uid="{00000000-0005-0000-0000-0000D3510000}"/>
    <cellStyle name="Normal 8 5 2 2 2 3 2" xfId="20949" xr:uid="{00000000-0005-0000-0000-0000D4510000}"/>
    <cellStyle name="Normal 8 5 2 2 2 3 3" xfId="20950" xr:uid="{00000000-0005-0000-0000-0000D5510000}"/>
    <cellStyle name="Normal 8 5 2 2 2 4" xfId="20951" xr:uid="{00000000-0005-0000-0000-0000D6510000}"/>
    <cellStyle name="Normal 8 5 2 2 2 5" xfId="20952" xr:uid="{00000000-0005-0000-0000-0000D7510000}"/>
    <cellStyle name="Normal 8 5 2 2 3" xfId="20953" xr:uid="{00000000-0005-0000-0000-0000D8510000}"/>
    <cellStyle name="Normal 8 5 2 2 3 2" xfId="20954" xr:uid="{00000000-0005-0000-0000-0000D9510000}"/>
    <cellStyle name="Normal 8 5 2 2 3 2 2" xfId="20955" xr:uid="{00000000-0005-0000-0000-0000DA510000}"/>
    <cellStyle name="Normal 8 5 2 2 3 2 3" xfId="20956" xr:uid="{00000000-0005-0000-0000-0000DB510000}"/>
    <cellStyle name="Normal 8 5 2 2 3 3" xfId="20957" xr:uid="{00000000-0005-0000-0000-0000DC510000}"/>
    <cellStyle name="Normal 8 5 2 2 3 3 2" xfId="20958" xr:uid="{00000000-0005-0000-0000-0000DD510000}"/>
    <cellStyle name="Normal 8 5 2 2 3 3 3" xfId="20959" xr:uid="{00000000-0005-0000-0000-0000DE510000}"/>
    <cellStyle name="Normal 8 5 2 2 3 4" xfId="20960" xr:uid="{00000000-0005-0000-0000-0000DF510000}"/>
    <cellStyle name="Normal 8 5 2 2 3 5" xfId="20961" xr:uid="{00000000-0005-0000-0000-0000E0510000}"/>
    <cellStyle name="Normal 8 5 2 2 4" xfId="20962" xr:uid="{00000000-0005-0000-0000-0000E1510000}"/>
    <cellStyle name="Normal 8 5 2 2 4 2" xfId="20963" xr:uid="{00000000-0005-0000-0000-0000E2510000}"/>
    <cellStyle name="Normal 8 5 2 2 4 3" xfId="20964" xr:uid="{00000000-0005-0000-0000-0000E3510000}"/>
    <cellStyle name="Normal 8 5 2 2 5" xfId="20965" xr:uid="{00000000-0005-0000-0000-0000E4510000}"/>
    <cellStyle name="Normal 8 5 2 2 5 2" xfId="20966" xr:uid="{00000000-0005-0000-0000-0000E5510000}"/>
    <cellStyle name="Normal 8 5 2 2 5 3" xfId="20967" xr:uid="{00000000-0005-0000-0000-0000E6510000}"/>
    <cellStyle name="Normal 8 5 2 2 6" xfId="20968" xr:uid="{00000000-0005-0000-0000-0000E7510000}"/>
    <cellStyle name="Normal 8 5 2 2 7" xfId="20969" xr:uid="{00000000-0005-0000-0000-0000E8510000}"/>
    <cellStyle name="Normal 8 5 2 3" xfId="20970" xr:uid="{00000000-0005-0000-0000-0000E9510000}"/>
    <cellStyle name="Normal 8 5 2 3 2" xfId="20971" xr:uid="{00000000-0005-0000-0000-0000EA510000}"/>
    <cellStyle name="Normal 8 5 2 3 2 2" xfId="20972" xr:uid="{00000000-0005-0000-0000-0000EB510000}"/>
    <cellStyle name="Normal 8 5 2 3 2 3" xfId="20973" xr:uid="{00000000-0005-0000-0000-0000EC510000}"/>
    <cellStyle name="Normal 8 5 2 3 3" xfId="20974" xr:uid="{00000000-0005-0000-0000-0000ED510000}"/>
    <cellStyle name="Normal 8 5 2 3 3 2" xfId="20975" xr:uid="{00000000-0005-0000-0000-0000EE510000}"/>
    <cellStyle name="Normal 8 5 2 3 3 3" xfId="20976" xr:uid="{00000000-0005-0000-0000-0000EF510000}"/>
    <cellStyle name="Normal 8 5 2 3 4" xfId="20977" xr:uid="{00000000-0005-0000-0000-0000F0510000}"/>
    <cellStyle name="Normal 8 5 2 3 5" xfId="20978" xr:uid="{00000000-0005-0000-0000-0000F1510000}"/>
    <cellStyle name="Normal 8 5 2 4" xfId="20979" xr:uid="{00000000-0005-0000-0000-0000F2510000}"/>
    <cellStyle name="Normal 8 5 2 4 2" xfId="20980" xr:uid="{00000000-0005-0000-0000-0000F3510000}"/>
    <cellStyle name="Normal 8 5 2 4 2 2" xfId="20981" xr:uid="{00000000-0005-0000-0000-0000F4510000}"/>
    <cellStyle name="Normal 8 5 2 4 2 3" xfId="20982" xr:uid="{00000000-0005-0000-0000-0000F5510000}"/>
    <cellStyle name="Normal 8 5 2 4 3" xfId="20983" xr:uid="{00000000-0005-0000-0000-0000F6510000}"/>
    <cellStyle name="Normal 8 5 2 4 3 2" xfId="20984" xr:uid="{00000000-0005-0000-0000-0000F7510000}"/>
    <cellStyle name="Normal 8 5 2 4 3 3" xfId="20985" xr:uid="{00000000-0005-0000-0000-0000F8510000}"/>
    <cellStyle name="Normal 8 5 2 4 4" xfId="20986" xr:uid="{00000000-0005-0000-0000-0000F9510000}"/>
    <cellStyle name="Normal 8 5 2 4 5" xfId="20987" xr:uid="{00000000-0005-0000-0000-0000FA510000}"/>
    <cellStyle name="Normal 8 5 2 5" xfId="20988" xr:uid="{00000000-0005-0000-0000-0000FB510000}"/>
    <cellStyle name="Normal 8 5 2 5 2" xfId="20989" xr:uid="{00000000-0005-0000-0000-0000FC510000}"/>
    <cellStyle name="Normal 8 5 2 5 3" xfId="20990" xr:uid="{00000000-0005-0000-0000-0000FD510000}"/>
    <cellStyle name="Normal 8 5 2 6" xfId="20991" xr:uid="{00000000-0005-0000-0000-0000FE510000}"/>
    <cellStyle name="Normal 8 5 2 6 2" xfId="20992" xr:uid="{00000000-0005-0000-0000-0000FF510000}"/>
    <cellStyle name="Normal 8 5 2 6 3" xfId="20993" xr:uid="{00000000-0005-0000-0000-000000520000}"/>
    <cellStyle name="Normal 8 5 2 7" xfId="20994" xr:uid="{00000000-0005-0000-0000-000001520000}"/>
    <cellStyle name="Normal 8 5 2 7 2" xfId="20995" xr:uid="{00000000-0005-0000-0000-000002520000}"/>
    <cellStyle name="Normal 8 5 2 7 3" xfId="20996" xr:uid="{00000000-0005-0000-0000-000003520000}"/>
    <cellStyle name="Normal 8 5 2 7 3 2" xfId="20997" xr:uid="{00000000-0005-0000-0000-000004520000}"/>
    <cellStyle name="Normal 8 5 2 7 4" xfId="20998" xr:uid="{00000000-0005-0000-0000-000005520000}"/>
    <cellStyle name="Normal 8 5 2 8" xfId="20999" xr:uid="{00000000-0005-0000-0000-000006520000}"/>
    <cellStyle name="Normal 8 5 2 9" xfId="21000" xr:uid="{00000000-0005-0000-0000-000007520000}"/>
    <cellStyle name="Normal 8 5 3" xfId="21001" xr:uid="{00000000-0005-0000-0000-000008520000}"/>
    <cellStyle name="Normal 8 5 3 2" xfId="21002" xr:uid="{00000000-0005-0000-0000-000009520000}"/>
    <cellStyle name="Normal 8 5 3 2 2" xfId="21003" xr:uid="{00000000-0005-0000-0000-00000A520000}"/>
    <cellStyle name="Normal 8 5 3 2 2 2" xfId="21004" xr:uid="{00000000-0005-0000-0000-00000B520000}"/>
    <cellStyle name="Normal 8 5 3 2 2 3" xfId="21005" xr:uid="{00000000-0005-0000-0000-00000C520000}"/>
    <cellStyle name="Normal 8 5 3 2 3" xfId="21006" xr:uid="{00000000-0005-0000-0000-00000D520000}"/>
    <cellStyle name="Normal 8 5 3 2 3 2" xfId="21007" xr:uid="{00000000-0005-0000-0000-00000E520000}"/>
    <cellStyle name="Normal 8 5 3 2 3 3" xfId="21008" xr:uid="{00000000-0005-0000-0000-00000F520000}"/>
    <cellStyle name="Normal 8 5 3 2 4" xfId="21009" xr:uid="{00000000-0005-0000-0000-000010520000}"/>
    <cellStyle name="Normal 8 5 3 2 5" xfId="21010" xr:uid="{00000000-0005-0000-0000-000011520000}"/>
    <cellStyle name="Normal 8 5 3 3" xfId="21011" xr:uid="{00000000-0005-0000-0000-000012520000}"/>
    <cellStyle name="Normal 8 5 3 3 2" xfId="21012" xr:uid="{00000000-0005-0000-0000-000013520000}"/>
    <cellStyle name="Normal 8 5 3 3 2 2" xfId="21013" xr:uid="{00000000-0005-0000-0000-000014520000}"/>
    <cellStyle name="Normal 8 5 3 3 2 3" xfId="21014" xr:uid="{00000000-0005-0000-0000-000015520000}"/>
    <cellStyle name="Normal 8 5 3 3 3" xfId="21015" xr:uid="{00000000-0005-0000-0000-000016520000}"/>
    <cellStyle name="Normal 8 5 3 3 3 2" xfId="21016" xr:uid="{00000000-0005-0000-0000-000017520000}"/>
    <cellStyle name="Normal 8 5 3 3 3 3" xfId="21017" xr:uid="{00000000-0005-0000-0000-000018520000}"/>
    <cellStyle name="Normal 8 5 3 3 4" xfId="21018" xr:uid="{00000000-0005-0000-0000-000019520000}"/>
    <cellStyle name="Normal 8 5 3 3 5" xfId="21019" xr:uid="{00000000-0005-0000-0000-00001A520000}"/>
    <cellStyle name="Normal 8 5 3 4" xfId="21020" xr:uid="{00000000-0005-0000-0000-00001B520000}"/>
    <cellStyle name="Normal 8 5 3 4 2" xfId="21021" xr:uid="{00000000-0005-0000-0000-00001C520000}"/>
    <cellStyle name="Normal 8 5 3 4 3" xfId="21022" xr:uid="{00000000-0005-0000-0000-00001D520000}"/>
    <cellStyle name="Normal 8 5 3 5" xfId="21023" xr:uid="{00000000-0005-0000-0000-00001E520000}"/>
    <cellStyle name="Normal 8 5 3 5 2" xfId="21024" xr:uid="{00000000-0005-0000-0000-00001F520000}"/>
    <cellStyle name="Normal 8 5 3 5 3" xfId="21025" xr:uid="{00000000-0005-0000-0000-000020520000}"/>
    <cellStyle name="Normal 8 5 3 6" xfId="21026" xr:uid="{00000000-0005-0000-0000-000021520000}"/>
    <cellStyle name="Normal 8 5 3 7" xfId="21027" xr:uid="{00000000-0005-0000-0000-000022520000}"/>
    <cellStyle name="Normal 8 5 4" xfId="21028" xr:uid="{00000000-0005-0000-0000-000023520000}"/>
    <cellStyle name="Normal 8 5 4 2" xfId="21029" xr:uid="{00000000-0005-0000-0000-000024520000}"/>
    <cellStyle name="Normal 8 5 4 2 2" xfId="21030" xr:uid="{00000000-0005-0000-0000-000025520000}"/>
    <cellStyle name="Normal 8 5 4 2 2 2" xfId="21031" xr:uid="{00000000-0005-0000-0000-000026520000}"/>
    <cellStyle name="Normal 8 5 4 2 2 3" xfId="21032" xr:uid="{00000000-0005-0000-0000-000027520000}"/>
    <cellStyle name="Normal 8 5 4 2 3" xfId="21033" xr:uid="{00000000-0005-0000-0000-000028520000}"/>
    <cellStyle name="Normal 8 5 4 2 3 2" xfId="21034" xr:uid="{00000000-0005-0000-0000-000029520000}"/>
    <cellStyle name="Normal 8 5 4 2 3 3" xfId="21035" xr:uid="{00000000-0005-0000-0000-00002A520000}"/>
    <cellStyle name="Normal 8 5 4 2 4" xfId="21036" xr:uid="{00000000-0005-0000-0000-00002B520000}"/>
    <cellStyle name="Normal 8 5 4 2 5" xfId="21037" xr:uid="{00000000-0005-0000-0000-00002C520000}"/>
    <cellStyle name="Normal 8 5 4 3" xfId="21038" xr:uid="{00000000-0005-0000-0000-00002D520000}"/>
    <cellStyle name="Normal 8 5 4 3 2" xfId="21039" xr:uid="{00000000-0005-0000-0000-00002E520000}"/>
    <cellStyle name="Normal 8 5 4 3 2 2" xfId="21040" xr:uid="{00000000-0005-0000-0000-00002F520000}"/>
    <cellStyle name="Normal 8 5 4 3 2 3" xfId="21041" xr:uid="{00000000-0005-0000-0000-000030520000}"/>
    <cellStyle name="Normal 8 5 4 3 3" xfId="21042" xr:uid="{00000000-0005-0000-0000-000031520000}"/>
    <cellStyle name="Normal 8 5 4 3 4" xfId="21043" xr:uid="{00000000-0005-0000-0000-000032520000}"/>
    <cellStyle name="Normal 8 5 4 4" xfId="21044" xr:uid="{00000000-0005-0000-0000-000033520000}"/>
    <cellStyle name="Normal 8 5 4 4 2" xfId="21045" xr:uid="{00000000-0005-0000-0000-000034520000}"/>
    <cellStyle name="Normal 8 5 4 4 3" xfId="21046" xr:uid="{00000000-0005-0000-0000-000035520000}"/>
    <cellStyle name="Normal 8 5 4 5" xfId="21047" xr:uid="{00000000-0005-0000-0000-000036520000}"/>
    <cellStyle name="Normal 8 5 4 5 2" xfId="21048" xr:uid="{00000000-0005-0000-0000-000037520000}"/>
    <cellStyle name="Normal 8 5 4 5 3" xfId="21049" xr:uid="{00000000-0005-0000-0000-000038520000}"/>
    <cellStyle name="Normal 8 5 4 6" xfId="21050" xr:uid="{00000000-0005-0000-0000-000039520000}"/>
    <cellStyle name="Normal 8 5 4 7" xfId="21051" xr:uid="{00000000-0005-0000-0000-00003A520000}"/>
    <cellStyle name="Normal 8 5 5" xfId="21052" xr:uid="{00000000-0005-0000-0000-00003B520000}"/>
    <cellStyle name="Normal 8 5 5 2" xfId="21053" xr:uid="{00000000-0005-0000-0000-00003C520000}"/>
    <cellStyle name="Normal 8 5 5 2 2" xfId="21054" xr:uid="{00000000-0005-0000-0000-00003D520000}"/>
    <cellStyle name="Normal 8 5 5 2 3" xfId="21055" xr:uid="{00000000-0005-0000-0000-00003E520000}"/>
    <cellStyle name="Normal 8 5 5 3" xfId="21056" xr:uid="{00000000-0005-0000-0000-00003F520000}"/>
    <cellStyle name="Normal 8 5 5 3 2" xfId="21057" xr:uid="{00000000-0005-0000-0000-000040520000}"/>
    <cellStyle name="Normal 8 5 5 3 3" xfId="21058" xr:uid="{00000000-0005-0000-0000-000041520000}"/>
    <cellStyle name="Normal 8 5 5 4" xfId="21059" xr:uid="{00000000-0005-0000-0000-000042520000}"/>
    <cellStyle name="Normal 8 5 5 5" xfId="21060" xr:uid="{00000000-0005-0000-0000-000043520000}"/>
    <cellStyle name="Normal 8 5 6" xfId="21061" xr:uid="{00000000-0005-0000-0000-000044520000}"/>
    <cellStyle name="Normal 8 5 6 2" xfId="21062" xr:uid="{00000000-0005-0000-0000-000045520000}"/>
    <cellStyle name="Normal 8 5 6 2 2" xfId="21063" xr:uid="{00000000-0005-0000-0000-000046520000}"/>
    <cellStyle name="Normal 8 5 6 2 3" xfId="21064" xr:uid="{00000000-0005-0000-0000-000047520000}"/>
    <cellStyle name="Normal 8 5 6 3" xfId="21065" xr:uid="{00000000-0005-0000-0000-000048520000}"/>
    <cellStyle name="Normal 8 5 6 3 2" xfId="21066" xr:uid="{00000000-0005-0000-0000-000049520000}"/>
    <cellStyle name="Normal 8 5 6 3 3" xfId="21067" xr:uid="{00000000-0005-0000-0000-00004A520000}"/>
    <cellStyle name="Normal 8 5 6 4" xfId="21068" xr:uid="{00000000-0005-0000-0000-00004B520000}"/>
    <cellStyle name="Normal 8 5 6 5" xfId="21069" xr:uid="{00000000-0005-0000-0000-00004C520000}"/>
    <cellStyle name="Normal 8 5 7" xfId="21070" xr:uid="{00000000-0005-0000-0000-00004D520000}"/>
    <cellStyle name="Normal 8 5 7 2" xfId="21071" xr:uid="{00000000-0005-0000-0000-00004E520000}"/>
    <cellStyle name="Normal 8 5 7 2 2" xfId="21072" xr:uid="{00000000-0005-0000-0000-00004F520000}"/>
    <cellStyle name="Normal 8 5 7 2 3" xfId="21073" xr:uid="{00000000-0005-0000-0000-000050520000}"/>
    <cellStyle name="Normal 8 5 7 3" xfId="21074" xr:uid="{00000000-0005-0000-0000-000051520000}"/>
    <cellStyle name="Normal 8 5 7 4" xfId="21075" xr:uid="{00000000-0005-0000-0000-000052520000}"/>
    <cellStyle name="Normal 8 5 8" xfId="21076" xr:uid="{00000000-0005-0000-0000-000053520000}"/>
    <cellStyle name="Normal 8 5 8 2" xfId="21077" xr:uid="{00000000-0005-0000-0000-000054520000}"/>
    <cellStyle name="Normal 8 5 8 3" xfId="21078" xr:uid="{00000000-0005-0000-0000-000055520000}"/>
    <cellStyle name="Normal 8 5 9" xfId="21079" xr:uid="{00000000-0005-0000-0000-000056520000}"/>
    <cellStyle name="Normal 8 5 9 2" xfId="21080" xr:uid="{00000000-0005-0000-0000-000057520000}"/>
    <cellStyle name="Normal 8 5 9 3" xfId="21081" xr:uid="{00000000-0005-0000-0000-000058520000}"/>
    <cellStyle name="Normal 8 6" xfId="21082" xr:uid="{00000000-0005-0000-0000-000059520000}"/>
    <cellStyle name="Normal 8 6 10" xfId="21083" xr:uid="{00000000-0005-0000-0000-00005A520000}"/>
    <cellStyle name="Normal 8 6 10 2" xfId="21084" xr:uid="{00000000-0005-0000-0000-00005B520000}"/>
    <cellStyle name="Normal 8 6 10 3" xfId="21085" xr:uid="{00000000-0005-0000-0000-00005C520000}"/>
    <cellStyle name="Normal 8 6 10 3 2" xfId="21086" xr:uid="{00000000-0005-0000-0000-00005D520000}"/>
    <cellStyle name="Normal 8 6 10 4" xfId="21087" xr:uid="{00000000-0005-0000-0000-00005E520000}"/>
    <cellStyle name="Normal 8 6 11" xfId="21088" xr:uid="{00000000-0005-0000-0000-00005F520000}"/>
    <cellStyle name="Normal 8 6 11 2" xfId="21089" xr:uid="{00000000-0005-0000-0000-000060520000}"/>
    <cellStyle name="Normal 8 6 11 3" xfId="21090" xr:uid="{00000000-0005-0000-0000-000061520000}"/>
    <cellStyle name="Normal 8 6 11 3 2" xfId="21091" xr:uid="{00000000-0005-0000-0000-000062520000}"/>
    <cellStyle name="Normal 8 6 11 4" xfId="21092" xr:uid="{00000000-0005-0000-0000-000063520000}"/>
    <cellStyle name="Normal 8 6 12" xfId="21093" xr:uid="{00000000-0005-0000-0000-000064520000}"/>
    <cellStyle name="Normal 8 6 13" xfId="21094" xr:uid="{00000000-0005-0000-0000-000065520000}"/>
    <cellStyle name="Normal 8 6 2" xfId="21095" xr:uid="{00000000-0005-0000-0000-000066520000}"/>
    <cellStyle name="Normal 8 6 2 2" xfId="21096" xr:uid="{00000000-0005-0000-0000-000067520000}"/>
    <cellStyle name="Normal 8 6 2 2 2" xfId="21097" xr:uid="{00000000-0005-0000-0000-000068520000}"/>
    <cellStyle name="Normal 8 6 2 2 2 2" xfId="21098" xr:uid="{00000000-0005-0000-0000-000069520000}"/>
    <cellStyle name="Normal 8 6 2 2 2 2 2" xfId="21099" xr:uid="{00000000-0005-0000-0000-00006A520000}"/>
    <cellStyle name="Normal 8 6 2 2 2 2 3" xfId="21100" xr:uid="{00000000-0005-0000-0000-00006B520000}"/>
    <cellStyle name="Normal 8 6 2 2 2 3" xfId="21101" xr:uid="{00000000-0005-0000-0000-00006C520000}"/>
    <cellStyle name="Normal 8 6 2 2 2 3 2" xfId="21102" xr:uid="{00000000-0005-0000-0000-00006D520000}"/>
    <cellStyle name="Normal 8 6 2 2 2 3 3" xfId="21103" xr:uid="{00000000-0005-0000-0000-00006E520000}"/>
    <cellStyle name="Normal 8 6 2 2 2 4" xfId="21104" xr:uid="{00000000-0005-0000-0000-00006F520000}"/>
    <cellStyle name="Normal 8 6 2 2 2 5" xfId="21105" xr:uid="{00000000-0005-0000-0000-000070520000}"/>
    <cellStyle name="Normal 8 6 2 2 3" xfId="21106" xr:uid="{00000000-0005-0000-0000-000071520000}"/>
    <cellStyle name="Normal 8 6 2 2 3 2" xfId="21107" xr:uid="{00000000-0005-0000-0000-000072520000}"/>
    <cellStyle name="Normal 8 6 2 2 3 2 2" xfId="21108" xr:uid="{00000000-0005-0000-0000-000073520000}"/>
    <cellStyle name="Normal 8 6 2 2 3 2 3" xfId="21109" xr:uid="{00000000-0005-0000-0000-000074520000}"/>
    <cellStyle name="Normal 8 6 2 2 3 3" xfId="21110" xr:uid="{00000000-0005-0000-0000-000075520000}"/>
    <cellStyle name="Normal 8 6 2 2 3 3 2" xfId="21111" xr:uid="{00000000-0005-0000-0000-000076520000}"/>
    <cellStyle name="Normal 8 6 2 2 3 3 3" xfId="21112" xr:uid="{00000000-0005-0000-0000-000077520000}"/>
    <cellStyle name="Normal 8 6 2 2 3 4" xfId="21113" xr:uid="{00000000-0005-0000-0000-000078520000}"/>
    <cellStyle name="Normal 8 6 2 2 3 5" xfId="21114" xr:uid="{00000000-0005-0000-0000-000079520000}"/>
    <cellStyle name="Normal 8 6 2 2 4" xfId="21115" xr:uid="{00000000-0005-0000-0000-00007A520000}"/>
    <cellStyle name="Normal 8 6 2 2 4 2" xfId="21116" xr:uid="{00000000-0005-0000-0000-00007B520000}"/>
    <cellStyle name="Normal 8 6 2 2 4 3" xfId="21117" xr:uid="{00000000-0005-0000-0000-00007C520000}"/>
    <cellStyle name="Normal 8 6 2 2 5" xfId="21118" xr:uid="{00000000-0005-0000-0000-00007D520000}"/>
    <cellStyle name="Normal 8 6 2 2 5 2" xfId="21119" xr:uid="{00000000-0005-0000-0000-00007E520000}"/>
    <cellStyle name="Normal 8 6 2 2 5 3" xfId="21120" xr:uid="{00000000-0005-0000-0000-00007F520000}"/>
    <cellStyle name="Normal 8 6 2 2 6" xfId="21121" xr:uid="{00000000-0005-0000-0000-000080520000}"/>
    <cellStyle name="Normal 8 6 2 2 7" xfId="21122" xr:uid="{00000000-0005-0000-0000-000081520000}"/>
    <cellStyle name="Normal 8 6 2 3" xfId="21123" xr:uid="{00000000-0005-0000-0000-000082520000}"/>
    <cellStyle name="Normal 8 6 2 3 2" xfId="21124" xr:uid="{00000000-0005-0000-0000-000083520000}"/>
    <cellStyle name="Normal 8 6 2 3 2 2" xfId="21125" xr:uid="{00000000-0005-0000-0000-000084520000}"/>
    <cellStyle name="Normal 8 6 2 3 2 3" xfId="21126" xr:uid="{00000000-0005-0000-0000-000085520000}"/>
    <cellStyle name="Normal 8 6 2 3 3" xfId="21127" xr:uid="{00000000-0005-0000-0000-000086520000}"/>
    <cellStyle name="Normal 8 6 2 3 3 2" xfId="21128" xr:uid="{00000000-0005-0000-0000-000087520000}"/>
    <cellStyle name="Normal 8 6 2 3 3 3" xfId="21129" xr:uid="{00000000-0005-0000-0000-000088520000}"/>
    <cellStyle name="Normal 8 6 2 3 4" xfId="21130" xr:uid="{00000000-0005-0000-0000-000089520000}"/>
    <cellStyle name="Normal 8 6 2 3 5" xfId="21131" xr:uid="{00000000-0005-0000-0000-00008A520000}"/>
    <cellStyle name="Normal 8 6 2 4" xfId="21132" xr:uid="{00000000-0005-0000-0000-00008B520000}"/>
    <cellStyle name="Normal 8 6 2 4 2" xfId="21133" xr:uid="{00000000-0005-0000-0000-00008C520000}"/>
    <cellStyle name="Normal 8 6 2 4 2 2" xfId="21134" xr:uid="{00000000-0005-0000-0000-00008D520000}"/>
    <cellStyle name="Normal 8 6 2 4 2 3" xfId="21135" xr:uid="{00000000-0005-0000-0000-00008E520000}"/>
    <cellStyle name="Normal 8 6 2 4 3" xfId="21136" xr:uid="{00000000-0005-0000-0000-00008F520000}"/>
    <cellStyle name="Normal 8 6 2 4 3 2" xfId="21137" xr:uid="{00000000-0005-0000-0000-000090520000}"/>
    <cellStyle name="Normal 8 6 2 4 3 3" xfId="21138" xr:uid="{00000000-0005-0000-0000-000091520000}"/>
    <cellStyle name="Normal 8 6 2 4 4" xfId="21139" xr:uid="{00000000-0005-0000-0000-000092520000}"/>
    <cellStyle name="Normal 8 6 2 4 5" xfId="21140" xr:uid="{00000000-0005-0000-0000-000093520000}"/>
    <cellStyle name="Normal 8 6 2 5" xfId="21141" xr:uid="{00000000-0005-0000-0000-000094520000}"/>
    <cellStyle name="Normal 8 6 2 5 2" xfId="21142" xr:uid="{00000000-0005-0000-0000-000095520000}"/>
    <cellStyle name="Normal 8 6 2 5 3" xfId="21143" xr:uid="{00000000-0005-0000-0000-000096520000}"/>
    <cellStyle name="Normal 8 6 2 6" xfId="21144" xr:uid="{00000000-0005-0000-0000-000097520000}"/>
    <cellStyle name="Normal 8 6 2 6 2" xfId="21145" xr:uid="{00000000-0005-0000-0000-000098520000}"/>
    <cellStyle name="Normal 8 6 2 6 3" xfId="21146" xr:uid="{00000000-0005-0000-0000-000099520000}"/>
    <cellStyle name="Normal 8 6 2 7" xfId="21147" xr:uid="{00000000-0005-0000-0000-00009A520000}"/>
    <cellStyle name="Normal 8 6 2 7 2" xfId="21148" xr:uid="{00000000-0005-0000-0000-00009B520000}"/>
    <cellStyle name="Normal 8 6 2 7 3" xfId="21149" xr:uid="{00000000-0005-0000-0000-00009C520000}"/>
    <cellStyle name="Normal 8 6 2 7 3 2" xfId="21150" xr:uid="{00000000-0005-0000-0000-00009D520000}"/>
    <cellStyle name="Normal 8 6 2 7 4" xfId="21151" xr:uid="{00000000-0005-0000-0000-00009E520000}"/>
    <cellStyle name="Normal 8 6 2 8" xfId="21152" xr:uid="{00000000-0005-0000-0000-00009F520000}"/>
    <cellStyle name="Normal 8 6 2 9" xfId="21153" xr:uid="{00000000-0005-0000-0000-0000A0520000}"/>
    <cellStyle name="Normal 8 6 3" xfId="21154" xr:uid="{00000000-0005-0000-0000-0000A1520000}"/>
    <cellStyle name="Normal 8 6 3 2" xfId="21155" xr:uid="{00000000-0005-0000-0000-0000A2520000}"/>
    <cellStyle name="Normal 8 6 3 2 2" xfId="21156" xr:uid="{00000000-0005-0000-0000-0000A3520000}"/>
    <cellStyle name="Normal 8 6 3 2 2 2" xfId="21157" xr:uid="{00000000-0005-0000-0000-0000A4520000}"/>
    <cellStyle name="Normal 8 6 3 2 2 3" xfId="21158" xr:uid="{00000000-0005-0000-0000-0000A5520000}"/>
    <cellStyle name="Normal 8 6 3 2 3" xfId="21159" xr:uid="{00000000-0005-0000-0000-0000A6520000}"/>
    <cellStyle name="Normal 8 6 3 2 3 2" xfId="21160" xr:uid="{00000000-0005-0000-0000-0000A7520000}"/>
    <cellStyle name="Normal 8 6 3 2 3 3" xfId="21161" xr:uid="{00000000-0005-0000-0000-0000A8520000}"/>
    <cellStyle name="Normal 8 6 3 2 4" xfId="21162" xr:uid="{00000000-0005-0000-0000-0000A9520000}"/>
    <cellStyle name="Normal 8 6 3 2 5" xfId="21163" xr:uid="{00000000-0005-0000-0000-0000AA520000}"/>
    <cellStyle name="Normal 8 6 3 3" xfId="21164" xr:uid="{00000000-0005-0000-0000-0000AB520000}"/>
    <cellStyle name="Normal 8 6 3 3 2" xfId="21165" xr:uid="{00000000-0005-0000-0000-0000AC520000}"/>
    <cellStyle name="Normal 8 6 3 3 2 2" xfId="21166" xr:uid="{00000000-0005-0000-0000-0000AD520000}"/>
    <cellStyle name="Normal 8 6 3 3 2 3" xfId="21167" xr:uid="{00000000-0005-0000-0000-0000AE520000}"/>
    <cellStyle name="Normal 8 6 3 3 3" xfId="21168" xr:uid="{00000000-0005-0000-0000-0000AF520000}"/>
    <cellStyle name="Normal 8 6 3 3 3 2" xfId="21169" xr:uid="{00000000-0005-0000-0000-0000B0520000}"/>
    <cellStyle name="Normal 8 6 3 3 3 3" xfId="21170" xr:uid="{00000000-0005-0000-0000-0000B1520000}"/>
    <cellStyle name="Normal 8 6 3 3 4" xfId="21171" xr:uid="{00000000-0005-0000-0000-0000B2520000}"/>
    <cellStyle name="Normal 8 6 3 3 5" xfId="21172" xr:uid="{00000000-0005-0000-0000-0000B3520000}"/>
    <cellStyle name="Normal 8 6 3 4" xfId="21173" xr:uid="{00000000-0005-0000-0000-0000B4520000}"/>
    <cellStyle name="Normal 8 6 3 4 2" xfId="21174" xr:uid="{00000000-0005-0000-0000-0000B5520000}"/>
    <cellStyle name="Normal 8 6 3 4 3" xfId="21175" xr:uid="{00000000-0005-0000-0000-0000B6520000}"/>
    <cellStyle name="Normal 8 6 3 5" xfId="21176" xr:uid="{00000000-0005-0000-0000-0000B7520000}"/>
    <cellStyle name="Normal 8 6 3 5 2" xfId="21177" xr:uid="{00000000-0005-0000-0000-0000B8520000}"/>
    <cellStyle name="Normal 8 6 3 5 3" xfId="21178" xr:uid="{00000000-0005-0000-0000-0000B9520000}"/>
    <cellStyle name="Normal 8 6 3 6" xfId="21179" xr:uid="{00000000-0005-0000-0000-0000BA520000}"/>
    <cellStyle name="Normal 8 6 3 7" xfId="21180" xr:uid="{00000000-0005-0000-0000-0000BB520000}"/>
    <cellStyle name="Normal 8 6 4" xfId="21181" xr:uid="{00000000-0005-0000-0000-0000BC520000}"/>
    <cellStyle name="Normal 8 6 4 2" xfId="21182" xr:uid="{00000000-0005-0000-0000-0000BD520000}"/>
    <cellStyle name="Normal 8 6 4 2 2" xfId="21183" xr:uid="{00000000-0005-0000-0000-0000BE520000}"/>
    <cellStyle name="Normal 8 6 4 2 2 2" xfId="21184" xr:uid="{00000000-0005-0000-0000-0000BF520000}"/>
    <cellStyle name="Normal 8 6 4 2 2 3" xfId="21185" xr:uid="{00000000-0005-0000-0000-0000C0520000}"/>
    <cellStyle name="Normal 8 6 4 2 3" xfId="21186" xr:uid="{00000000-0005-0000-0000-0000C1520000}"/>
    <cellStyle name="Normal 8 6 4 2 3 2" xfId="21187" xr:uid="{00000000-0005-0000-0000-0000C2520000}"/>
    <cellStyle name="Normal 8 6 4 2 3 3" xfId="21188" xr:uid="{00000000-0005-0000-0000-0000C3520000}"/>
    <cellStyle name="Normal 8 6 4 2 4" xfId="21189" xr:uid="{00000000-0005-0000-0000-0000C4520000}"/>
    <cellStyle name="Normal 8 6 4 2 5" xfId="21190" xr:uid="{00000000-0005-0000-0000-0000C5520000}"/>
    <cellStyle name="Normal 8 6 4 3" xfId="21191" xr:uid="{00000000-0005-0000-0000-0000C6520000}"/>
    <cellStyle name="Normal 8 6 4 3 2" xfId="21192" xr:uid="{00000000-0005-0000-0000-0000C7520000}"/>
    <cellStyle name="Normal 8 6 4 3 2 2" xfId="21193" xr:uid="{00000000-0005-0000-0000-0000C8520000}"/>
    <cellStyle name="Normal 8 6 4 3 2 3" xfId="21194" xr:uid="{00000000-0005-0000-0000-0000C9520000}"/>
    <cellStyle name="Normal 8 6 4 3 3" xfId="21195" xr:uid="{00000000-0005-0000-0000-0000CA520000}"/>
    <cellStyle name="Normal 8 6 4 3 4" xfId="21196" xr:uid="{00000000-0005-0000-0000-0000CB520000}"/>
    <cellStyle name="Normal 8 6 4 4" xfId="21197" xr:uid="{00000000-0005-0000-0000-0000CC520000}"/>
    <cellStyle name="Normal 8 6 4 4 2" xfId="21198" xr:uid="{00000000-0005-0000-0000-0000CD520000}"/>
    <cellStyle name="Normal 8 6 4 4 3" xfId="21199" xr:uid="{00000000-0005-0000-0000-0000CE520000}"/>
    <cellStyle name="Normal 8 6 4 5" xfId="21200" xr:uid="{00000000-0005-0000-0000-0000CF520000}"/>
    <cellStyle name="Normal 8 6 4 5 2" xfId="21201" xr:uid="{00000000-0005-0000-0000-0000D0520000}"/>
    <cellStyle name="Normal 8 6 4 5 3" xfId="21202" xr:uid="{00000000-0005-0000-0000-0000D1520000}"/>
    <cellStyle name="Normal 8 6 4 6" xfId="21203" xr:uid="{00000000-0005-0000-0000-0000D2520000}"/>
    <cellStyle name="Normal 8 6 4 7" xfId="21204" xr:uid="{00000000-0005-0000-0000-0000D3520000}"/>
    <cellStyle name="Normal 8 6 5" xfId="21205" xr:uid="{00000000-0005-0000-0000-0000D4520000}"/>
    <cellStyle name="Normal 8 6 5 2" xfId="21206" xr:uid="{00000000-0005-0000-0000-0000D5520000}"/>
    <cellStyle name="Normal 8 6 5 2 2" xfId="21207" xr:uid="{00000000-0005-0000-0000-0000D6520000}"/>
    <cellStyle name="Normal 8 6 5 2 3" xfId="21208" xr:uid="{00000000-0005-0000-0000-0000D7520000}"/>
    <cellStyle name="Normal 8 6 5 3" xfId="21209" xr:uid="{00000000-0005-0000-0000-0000D8520000}"/>
    <cellStyle name="Normal 8 6 5 3 2" xfId="21210" xr:uid="{00000000-0005-0000-0000-0000D9520000}"/>
    <cellStyle name="Normal 8 6 5 3 3" xfId="21211" xr:uid="{00000000-0005-0000-0000-0000DA520000}"/>
    <cellStyle name="Normal 8 6 5 4" xfId="21212" xr:uid="{00000000-0005-0000-0000-0000DB520000}"/>
    <cellStyle name="Normal 8 6 5 5" xfId="21213" xr:uid="{00000000-0005-0000-0000-0000DC520000}"/>
    <cellStyle name="Normal 8 6 6" xfId="21214" xr:uid="{00000000-0005-0000-0000-0000DD520000}"/>
    <cellStyle name="Normal 8 6 6 2" xfId="21215" xr:uid="{00000000-0005-0000-0000-0000DE520000}"/>
    <cellStyle name="Normal 8 6 6 2 2" xfId="21216" xr:uid="{00000000-0005-0000-0000-0000DF520000}"/>
    <cellStyle name="Normal 8 6 6 2 3" xfId="21217" xr:uid="{00000000-0005-0000-0000-0000E0520000}"/>
    <cellStyle name="Normal 8 6 6 3" xfId="21218" xr:uid="{00000000-0005-0000-0000-0000E1520000}"/>
    <cellStyle name="Normal 8 6 6 3 2" xfId="21219" xr:uid="{00000000-0005-0000-0000-0000E2520000}"/>
    <cellStyle name="Normal 8 6 6 3 3" xfId="21220" xr:uid="{00000000-0005-0000-0000-0000E3520000}"/>
    <cellStyle name="Normal 8 6 6 4" xfId="21221" xr:uid="{00000000-0005-0000-0000-0000E4520000}"/>
    <cellStyle name="Normal 8 6 6 5" xfId="21222" xr:uid="{00000000-0005-0000-0000-0000E5520000}"/>
    <cellStyle name="Normal 8 6 7" xfId="21223" xr:uid="{00000000-0005-0000-0000-0000E6520000}"/>
    <cellStyle name="Normal 8 6 7 2" xfId="21224" xr:uid="{00000000-0005-0000-0000-0000E7520000}"/>
    <cellStyle name="Normal 8 6 7 2 2" xfId="21225" xr:uid="{00000000-0005-0000-0000-0000E8520000}"/>
    <cellStyle name="Normal 8 6 7 2 3" xfId="21226" xr:uid="{00000000-0005-0000-0000-0000E9520000}"/>
    <cellStyle name="Normal 8 6 7 3" xfId="21227" xr:uid="{00000000-0005-0000-0000-0000EA520000}"/>
    <cellStyle name="Normal 8 6 7 4" xfId="21228" xr:uid="{00000000-0005-0000-0000-0000EB520000}"/>
    <cellStyle name="Normal 8 6 8" xfId="21229" xr:uid="{00000000-0005-0000-0000-0000EC520000}"/>
    <cellStyle name="Normal 8 6 8 2" xfId="21230" xr:uid="{00000000-0005-0000-0000-0000ED520000}"/>
    <cellStyle name="Normal 8 6 8 3" xfId="21231" xr:uid="{00000000-0005-0000-0000-0000EE520000}"/>
    <cellStyle name="Normal 8 6 9" xfId="21232" xr:uid="{00000000-0005-0000-0000-0000EF520000}"/>
    <cellStyle name="Normal 8 6 9 2" xfId="21233" xr:uid="{00000000-0005-0000-0000-0000F0520000}"/>
    <cellStyle name="Normal 8 6 9 3" xfId="21234" xr:uid="{00000000-0005-0000-0000-0000F1520000}"/>
    <cellStyle name="Normal 8 7" xfId="21235" xr:uid="{00000000-0005-0000-0000-0000F2520000}"/>
    <cellStyle name="Normal 8 7 10" xfId="21236" xr:uid="{00000000-0005-0000-0000-0000F3520000}"/>
    <cellStyle name="Normal 8 7 10 2" xfId="21237" xr:uid="{00000000-0005-0000-0000-0000F4520000}"/>
    <cellStyle name="Normal 8 7 10 3" xfId="21238" xr:uid="{00000000-0005-0000-0000-0000F5520000}"/>
    <cellStyle name="Normal 8 7 10 3 2" xfId="21239" xr:uid="{00000000-0005-0000-0000-0000F6520000}"/>
    <cellStyle name="Normal 8 7 10 4" xfId="21240" xr:uid="{00000000-0005-0000-0000-0000F7520000}"/>
    <cellStyle name="Normal 8 7 11" xfId="21241" xr:uid="{00000000-0005-0000-0000-0000F8520000}"/>
    <cellStyle name="Normal 8 7 11 2" xfId="21242" xr:uid="{00000000-0005-0000-0000-0000F9520000}"/>
    <cellStyle name="Normal 8 7 11 2 2" xfId="21243" xr:uid="{00000000-0005-0000-0000-0000FA520000}"/>
    <cellStyle name="Normal 8 7 11 3" xfId="21244" xr:uid="{00000000-0005-0000-0000-0000FB520000}"/>
    <cellStyle name="Normal 8 7 12" xfId="21245" xr:uid="{00000000-0005-0000-0000-0000FC520000}"/>
    <cellStyle name="Normal 8 7 13" xfId="21246" xr:uid="{00000000-0005-0000-0000-0000FD520000}"/>
    <cellStyle name="Normal 8 7 2" xfId="21247" xr:uid="{00000000-0005-0000-0000-0000FE520000}"/>
    <cellStyle name="Normal 8 7 2 2" xfId="21248" xr:uid="{00000000-0005-0000-0000-0000FF520000}"/>
    <cellStyle name="Normal 8 7 2 2 2" xfId="21249" xr:uid="{00000000-0005-0000-0000-000000530000}"/>
    <cellStyle name="Normal 8 7 2 2 2 2" xfId="21250" xr:uid="{00000000-0005-0000-0000-000001530000}"/>
    <cellStyle name="Normal 8 7 2 2 2 2 2" xfId="21251" xr:uid="{00000000-0005-0000-0000-000002530000}"/>
    <cellStyle name="Normal 8 7 2 2 2 2 3" xfId="21252" xr:uid="{00000000-0005-0000-0000-000003530000}"/>
    <cellStyle name="Normal 8 7 2 2 2 3" xfId="21253" xr:uid="{00000000-0005-0000-0000-000004530000}"/>
    <cellStyle name="Normal 8 7 2 2 2 3 2" xfId="21254" xr:uid="{00000000-0005-0000-0000-000005530000}"/>
    <cellStyle name="Normal 8 7 2 2 2 3 3" xfId="21255" xr:uid="{00000000-0005-0000-0000-000006530000}"/>
    <cellStyle name="Normal 8 7 2 2 2 4" xfId="21256" xr:uid="{00000000-0005-0000-0000-000007530000}"/>
    <cellStyle name="Normal 8 7 2 2 2 5" xfId="21257" xr:uid="{00000000-0005-0000-0000-000008530000}"/>
    <cellStyle name="Normal 8 7 2 2 3" xfId="21258" xr:uid="{00000000-0005-0000-0000-000009530000}"/>
    <cellStyle name="Normal 8 7 2 2 3 2" xfId="21259" xr:uid="{00000000-0005-0000-0000-00000A530000}"/>
    <cellStyle name="Normal 8 7 2 2 3 2 2" xfId="21260" xr:uid="{00000000-0005-0000-0000-00000B530000}"/>
    <cellStyle name="Normal 8 7 2 2 3 2 3" xfId="21261" xr:uid="{00000000-0005-0000-0000-00000C530000}"/>
    <cellStyle name="Normal 8 7 2 2 3 3" xfId="21262" xr:uid="{00000000-0005-0000-0000-00000D530000}"/>
    <cellStyle name="Normal 8 7 2 2 3 3 2" xfId="21263" xr:uid="{00000000-0005-0000-0000-00000E530000}"/>
    <cellStyle name="Normal 8 7 2 2 3 3 3" xfId="21264" xr:uid="{00000000-0005-0000-0000-00000F530000}"/>
    <cellStyle name="Normal 8 7 2 2 3 4" xfId="21265" xr:uid="{00000000-0005-0000-0000-000010530000}"/>
    <cellStyle name="Normal 8 7 2 2 3 5" xfId="21266" xr:uid="{00000000-0005-0000-0000-000011530000}"/>
    <cellStyle name="Normal 8 7 2 2 4" xfId="21267" xr:uid="{00000000-0005-0000-0000-000012530000}"/>
    <cellStyle name="Normal 8 7 2 2 4 2" xfId="21268" xr:uid="{00000000-0005-0000-0000-000013530000}"/>
    <cellStyle name="Normal 8 7 2 2 4 3" xfId="21269" xr:uid="{00000000-0005-0000-0000-000014530000}"/>
    <cellStyle name="Normal 8 7 2 2 5" xfId="21270" xr:uid="{00000000-0005-0000-0000-000015530000}"/>
    <cellStyle name="Normal 8 7 2 2 5 2" xfId="21271" xr:uid="{00000000-0005-0000-0000-000016530000}"/>
    <cellStyle name="Normal 8 7 2 2 5 3" xfId="21272" xr:uid="{00000000-0005-0000-0000-000017530000}"/>
    <cellStyle name="Normal 8 7 2 2 6" xfId="21273" xr:uid="{00000000-0005-0000-0000-000018530000}"/>
    <cellStyle name="Normal 8 7 2 2 7" xfId="21274" xr:uid="{00000000-0005-0000-0000-000019530000}"/>
    <cellStyle name="Normal 8 7 2 3" xfId="21275" xr:uid="{00000000-0005-0000-0000-00001A530000}"/>
    <cellStyle name="Normal 8 7 2 3 2" xfId="21276" xr:uid="{00000000-0005-0000-0000-00001B530000}"/>
    <cellStyle name="Normal 8 7 2 3 2 2" xfId="21277" xr:uid="{00000000-0005-0000-0000-00001C530000}"/>
    <cellStyle name="Normal 8 7 2 3 2 3" xfId="21278" xr:uid="{00000000-0005-0000-0000-00001D530000}"/>
    <cellStyle name="Normal 8 7 2 3 3" xfId="21279" xr:uid="{00000000-0005-0000-0000-00001E530000}"/>
    <cellStyle name="Normal 8 7 2 3 3 2" xfId="21280" xr:uid="{00000000-0005-0000-0000-00001F530000}"/>
    <cellStyle name="Normal 8 7 2 3 3 3" xfId="21281" xr:uid="{00000000-0005-0000-0000-000020530000}"/>
    <cellStyle name="Normal 8 7 2 3 4" xfId="21282" xr:uid="{00000000-0005-0000-0000-000021530000}"/>
    <cellStyle name="Normal 8 7 2 3 5" xfId="21283" xr:uid="{00000000-0005-0000-0000-000022530000}"/>
    <cellStyle name="Normal 8 7 2 4" xfId="21284" xr:uid="{00000000-0005-0000-0000-000023530000}"/>
    <cellStyle name="Normal 8 7 2 4 2" xfId="21285" xr:uid="{00000000-0005-0000-0000-000024530000}"/>
    <cellStyle name="Normal 8 7 2 4 2 2" xfId="21286" xr:uid="{00000000-0005-0000-0000-000025530000}"/>
    <cellStyle name="Normal 8 7 2 4 2 3" xfId="21287" xr:uid="{00000000-0005-0000-0000-000026530000}"/>
    <cellStyle name="Normal 8 7 2 4 3" xfId="21288" xr:uid="{00000000-0005-0000-0000-000027530000}"/>
    <cellStyle name="Normal 8 7 2 4 3 2" xfId="21289" xr:uid="{00000000-0005-0000-0000-000028530000}"/>
    <cellStyle name="Normal 8 7 2 4 3 3" xfId="21290" xr:uid="{00000000-0005-0000-0000-000029530000}"/>
    <cellStyle name="Normal 8 7 2 4 4" xfId="21291" xr:uid="{00000000-0005-0000-0000-00002A530000}"/>
    <cellStyle name="Normal 8 7 2 4 5" xfId="21292" xr:uid="{00000000-0005-0000-0000-00002B530000}"/>
    <cellStyle name="Normal 8 7 2 5" xfId="21293" xr:uid="{00000000-0005-0000-0000-00002C530000}"/>
    <cellStyle name="Normal 8 7 2 5 2" xfId="21294" xr:uid="{00000000-0005-0000-0000-00002D530000}"/>
    <cellStyle name="Normal 8 7 2 5 3" xfId="21295" xr:uid="{00000000-0005-0000-0000-00002E530000}"/>
    <cellStyle name="Normal 8 7 2 6" xfId="21296" xr:uid="{00000000-0005-0000-0000-00002F530000}"/>
    <cellStyle name="Normal 8 7 2 6 2" xfId="21297" xr:uid="{00000000-0005-0000-0000-000030530000}"/>
    <cellStyle name="Normal 8 7 2 6 3" xfId="21298" xr:uid="{00000000-0005-0000-0000-000031530000}"/>
    <cellStyle name="Normal 8 7 2 7" xfId="21299" xr:uid="{00000000-0005-0000-0000-000032530000}"/>
    <cellStyle name="Normal 8 7 2 7 2" xfId="21300" xr:uid="{00000000-0005-0000-0000-000033530000}"/>
    <cellStyle name="Normal 8 7 2 7 3" xfId="21301" xr:uid="{00000000-0005-0000-0000-000034530000}"/>
    <cellStyle name="Normal 8 7 2 7 3 2" xfId="21302" xr:uid="{00000000-0005-0000-0000-000035530000}"/>
    <cellStyle name="Normal 8 7 2 7 4" xfId="21303" xr:uid="{00000000-0005-0000-0000-000036530000}"/>
    <cellStyle name="Normal 8 7 2 8" xfId="21304" xr:uid="{00000000-0005-0000-0000-000037530000}"/>
    <cellStyle name="Normal 8 7 2 9" xfId="21305" xr:uid="{00000000-0005-0000-0000-000038530000}"/>
    <cellStyle name="Normal 8 7 3" xfId="21306" xr:uid="{00000000-0005-0000-0000-000039530000}"/>
    <cellStyle name="Normal 8 7 3 2" xfId="21307" xr:uid="{00000000-0005-0000-0000-00003A530000}"/>
    <cellStyle name="Normal 8 7 3 2 2" xfId="21308" xr:uid="{00000000-0005-0000-0000-00003B530000}"/>
    <cellStyle name="Normal 8 7 3 2 2 2" xfId="21309" xr:uid="{00000000-0005-0000-0000-00003C530000}"/>
    <cellStyle name="Normal 8 7 3 2 2 3" xfId="21310" xr:uid="{00000000-0005-0000-0000-00003D530000}"/>
    <cellStyle name="Normal 8 7 3 2 3" xfId="21311" xr:uid="{00000000-0005-0000-0000-00003E530000}"/>
    <cellStyle name="Normal 8 7 3 2 3 2" xfId="21312" xr:uid="{00000000-0005-0000-0000-00003F530000}"/>
    <cellStyle name="Normal 8 7 3 2 3 3" xfId="21313" xr:uid="{00000000-0005-0000-0000-000040530000}"/>
    <cellStyle name="Normal 8 7 3 2 4" xfId="21314" xr:uid="{00000000-0005-0000-0000-000041530000}"/>
    <cellStyle name="Normal 8 7 3 2 5" xfId="21315" xr:uid="{00000000-0005-0000-0000-000042530000}"/>
    <cellStyle name="Normal 8 7 3 3" xfId="21316" xr:uid="{00000000-0005-0000-0000-000043530000}"/>
    <cellStyle name="Normal 8 7 3 3 2" xfId="21317" xr:uid="{00000000-0005-0000-0000-000044530000}"/>
    <cellStyle name="Normal 8 7 3 3 2 2" xfId="21318" xr:uid="{00000000-0005-0000-0000-000045530000}"/>
    <cellStyle name="Normal 8 7 3 3 2 3" xfId="21319" xr:uid="{00000000-0005-0000-0000-000046530000}"/>
    <cellStyle name="Normal 8 7 3 3 3" xfId="21320" xr:uid="{00000000-0005-0000-0000-000047530000}"/>
    <cellStyle name="Normal 8 7 3 3 3 2" xfId="21321" xr:uid="{00000000-0005-0000-0000-000048530000}"/>
    <cellStyle name="Normal 8 7 3 3 3 3" xfId="21322" xr:uid="{00000000-0005-0000-0000-000049530000}"/>
    <cellStyle name="Normal 8 7 3 3 4" xfId="21323" xr:uid="{00000000-0005-0000-0000-00004A530000}"/>
    <cellStyle name="Normal 8 7 3 3 5" xfId="21324" xr:uid="{00000000-0005-0000-0000-00004B530000}"/>
    <cellStyle name="Normal 8 7 3 4" xfId="21325" xr:uid="{00000000-0005-0000-0000-00004C530000}"/>
    <cellStyle name="Normal 8 7 3 4 2" xfId="21326" xr:uid="{00000000-0005-0000-0000-00004D530000}"/>
    <cellStyle name="Normal 8 7 3 4 3" xfId="21327" xr:uid="{00000000-0005-0000-0000-00004E530000}"/>
    <cellStyle name="Normal 8 7 3 5" xfId="21328" xr:uid="{00000000-0005-0000-0000-00004F530000}"/>
    <cellStyle name="Normal 8 7 3 5 2" xfId="21329" xr:uid="{00000000-0005-0000-0000-000050530000}"/>
    <cellStyle name="Normal 8 7 3 5 3" xfId="21330" xr:uid="{00000000-0005-0000-0000-000051530000}"/>
    <cellStyle name="Normal 8 7 3 6" xfId="21331" xr:uid="{00000000-0005-0000-0000-000052530000}"/>
    <cellStyle name="Normal 8 7 3 7" xfId="21332" xr:uid="{00000000-0005-0000-0000-000053530000}"/>
    <cellStyle name="Normal 8 7 4" xfId="21333" xr:uid="{00000000-0005-0000-0000-000054530000}"/>
    <cellStyle name="Normal 8 7 4 2" xfId="21334" xr:uid="{00000000-0005-0000-0000-000055530000}"/>
    <cellStyle name="Normal 8 7 4 2 2" xfId="21335" xr:uid="{00000000-0005-0000-0000-000056530000}"/>
    <cellStyle name="Normal 8 7 4 2 2 2" xfId="21336" xr:uid="{00000000-0005-0000-0000-000057530000}"/>
    <cellStyle name="Normal 8 7 4 2 2 3" xfId="21337" xr:uid="{00000000-0005-0000-0000-000058530000}"/>
    <cellStyle name="Normal 8 7 4 2 3" xfId="21338" xr:uid="{00000000-0005-0000-0000-000059530000}"/>
    <cellStyle name="Normal 8 7 4 2 3 2" xfId="21339" xr:uid="{00000000-0005-0000-0000-00005A530000}"/>
    <cellStyle name="Normal 8 7 4 2 3 3" xfId="21340" xr:uid="{00000000-0005-0000-0000-00005B530000}"/>
    <cellStyle name="Normal 8 7 4 2 4" xfId="21341" xr:uid="{00000000-0005-0000-0000-00005C530000}"/>
    <cellStyle name="Normal 8 7 4 2 5" xfId="21342" xr:uid="{00000000-0005-0000-0000-00005D530000}"/>
    <cellStyle name="Normal 8 7 4 3" xfId="21343" xr:uid="{00000000-0005-0000-0000-00005E530000}"/>
    <cellStyle name="Normal 8 7 4 3 2" xfId="21344" xr:uid="{00000000-0005-0000-0000-00005F530000}"/>
    <cellStyle name="Normal 8 7 4 3 2 2" xfId="21345" xr:uid="{00000000-0005-0000-0000-000060530000}"/>
    <cellStyle name="Normal 8 7 4 3 2 3" xfId="21346" xr:uid="{00000000-0005-0000-0000-000061530000}"/>
    <cellStyle name="Normal 8 7 4 3 3" xfId="21347" xr:uid="{00000000-0005-0000-0000-000062530000}"/>
    <cellStyle name="Normal 8 7 4 3 4" xfId="21348" xr:uid="{00000000-0005-0000-0000-000063530000}"/>
    <cellStyle name="Normal 8 7 4 4" xfId="21349" xr:uid="{00000000-0005-0000-0000-000064530000}"/>
    <cellStyle name="Normal 8 7 4 4 2" xfId="21350" xr:uid="{00000000-0005-0000-0000-000065530000}"/>
    <cellStyle name="Normal 8 7 4 4 3" xfId="21351" xr:uid="{00000000-0005-0000-0000-000066530000}"/>
    <cellStyle name="Normal 8 7 4 5" xfId="21352" xr:uid="{00000000-0005-0000-0000-000067530000}"/>
    <cellStyle name="Normal 8 7 4 5 2" xfId="21353" xr:uid="{00000000-0005-0000-0000-000068530000}"/>
    <cellStyle name="Normal 8 7 4 5 3" xfId="21354" xr:uid="{00000000-0005-0000-0000-000069530000}"/>
    <cellStyle name="Normal 8 7 4 6" xfId="21355" xr:uid="{00000000-0005-0000-0000-00006A530000}"/>
    <cellStyle name="Normal 8 7 4 7" xfId="21356" xr:uid="{00000000-0005-0000-0000-00006B530000}"/>
    <cellStyle name="Normal 8 7 5" xfId="21357" xr:uid="{00000000-0005-0000-0000-00006C530000}"/>
    <cellStyle name="Normal 8 7 5 2" xfId="21358" xr:uid="{00000000-0005-0000-0000-00006D530000}"/>
    <cellStyle name="Normal 8 7 5 2 2" xfId="21359" xr:uid="{00000000-0005-0000-0000-00006E530000}"/>
    <cellStyle name="Normal 8 7 5 2 3" xfId="21360" xr:uid="{00000000-0005-0000-0000-00006F530000}"/>
    <cellStyle name="Normal 8 7 5 3" xfId="21361" xr:uid="{00000000-0005-0000-0000-000070530000}"/>
    <cellStyle name="Normal 8 7 5 3 2" xfId="21362" xr:uid="{00000000-0005-0000-0000-000071530000}"/>
    <cellStyle name="Normal 8 7 5 3 3" xfId="21363" xr:uid="{00000000-0005-0000-0000-000072530000}"/>
    <cellStyle name="Normal 8 7 5 4" xfId="21364" xr:uid="{00000000-0005-0000-0000-000073530000}"/>
    <cellStyle name="Normal 8 7 5 5" xfId="21365" xr:uid="{00000000-0005-0000-0000-000074530000}"/>
    <cellStyle name="Normal 8 7 6" xfId="21366" xr:uid="{00000000-0005-0000-0000-000075530000}"/>
    <cellStyle name="Normal 8 7 6 2" xfId="21367" xr:uid="{00000000-0005-0000-0000-000076530000}"/>
    <cellStyle name="Normal 8 7 6 2 2" xfId="21368" xr:uid="{00000000-0005-0000-0000-000077530000}"/>
    <cellStyle name="Normal 8 7 6 2 3" xfId="21369" xr:uid="{00000000-0005-0000-0000-000078530000}"/>
    <cellStyle name="Normal 8 7 6 3" xfId="21370" xr:uid="{00000000-0005-0000-0000-000079530000}"/>
    <cellStyle name="Normal 8 7 6 3 2" xfId="21371" xr:uid="{00000000-0005-0000-0000-00007A530000}"/>
    <cellStyle name="Normal 8 7 6 3 3" xfId="21372" xr:uid="{00000000-0005-0000-0000-00007B530000}"/>
    <cellStyle name="Normal 8 7 6 4" xfId="21373" xr:uid="{00000000-0005-0000-0000-00007C530000}"/>
    <cellStyle name="Normal 8 7 6 5" xfId="21374" xr:uid="{00000000-0005-0000-0000-00007D530000}"/>
    <cellStyle name="Normal 8 7 7" xfId="21375" xr:uid="{00000000-0005-0000-0000-00007E530000}"/>
    <cellStyle name="Normal 8 7 7 2" xfId="21376" xr:uid="{00000000-0005-0000-0000-00007F530000}"/>
    <cellStyle name="Normal 8 7 7 2 2" xfId="21377" xr:uid="{00000000-0005-0000-0000-000080530000}"/>
    <cellStyle name="Normal 8 7 7 2 3" xfId="21378" xr:uid="{00000000-0005-0000-0000-000081530000}"/>
    <cellStyle name="Normal 8 7 7 3" xfId="21379" xr:uid="{00000000-0005-0000-0000-000082530000}"/>
    <cellStyle name="Normal 8 7 7 4" xfId="21380" xr:uid="{00000000-0005-0000-0000-000083530000}"/>
    <cellStyle name="Normal 8 7 8" xfId="21381" xr:uid="{00000000-0005-0000-0000-000084530000}"/>
    <cellStyle name="Normal 8 7 8 2" xfId="21382" xr:uid="{00000000-0005-0000-0000-000085530000}"/>
    <cellStyle name="Normal 8 7 8 3" xfId="21383" xr:uid="{00000000-0005-0000-0000-000086530000}"/>
    <cellStyle name="Normal 8 7 9" xfId="21384" xr:uid="{00000000-0005-0000-0000-000087530000}"/>
    <cellStyle name="Normal 8 7 9 2" xfId="21385" xr:uid="{00000000-0005-0000-0000-000088530000}"/>
    <cellStyle name="Normal 8 7 9 3" xfId="21386" xr:uid="{00000000-0005-0000-0000-000089530000}"/>
    <cellStyle name="Normal 8 8" xfId="21387" xr:uid="{00000000-0005-0000-0000-00008A530000}"/>
    <cellStyle name="Normal 8 8 2" xfId="21388" xr:uid="{00000000-0005-0000-0000-00008B530000}"/>
    <cellStyle name="Normal 8 8 2 2" xfId="21389" xr:uid="{00000000-0005-0000-0000-00008C530000}"/>
    <cellStyle name="Normal 8 8 2 2 2" xfId="21390" xr:uid="{00000000-0005-0000-0000-00008D530000}"/>
    <cellStyle name="Normal 8 8 2 2 2 2" xfId="21391" xr:uid="{00000000-0005-0000-0000-00008E530000}"/>
    <cellStyle name="Normal 8 8 2 2 2 3" xfId="21392" xr:uid="{00000000-0005-0000-0000-00008F530000}"/>
    <cellStyle name="Normal 8 8 2 2 3" xfId="21393" xr:uid="{00000000-0005-0000-0000-000090530000}"/>
    <cellStyle name="Normal 8 8 2 2 3 2" xfId="21394" xr:uid="{00000000-0005-0000-0000-000091530000}"/>
    <cellStyle name="Normal 8 8 2 2 3 3" xfId="21395" xr:uid="{00000000-0005-0000-0000-000092530000}"/>
    <cellStyle name="Normal 8 8 2 2 4" xfId="21396" xr:uid="{00000000-0005-0000-0000-000093530000}"/>
    <cellStyle name="Normal 8 8 2 2 5" xfId="21397" xr:uid="{00000000-0005-0000-0000-000094530000}"/>
    <cellStyle name="Normal 8 8 2 3" xfId="21398" xr:uid="{00000000-0005-0000-0000-000095530000}"/>
    <cellStyle name="Normal 8 8 2 3 2" xfId="21399" xr:uid="{00000000-0005-0000-0000-000096530000}"/>
    <cellStyle name="Normal 8 8 2 3 2 2" xfId="21400" xr:uid="{00000000-0005-0000-0000-000097530000}"/>
    <cellStyle name="Normal 8 8 2 3 2 3" xfId="21401" xr:uid="{00000000-0005-0000-0000-000098530000}"/>
    <cellStyle name="Normal 8 8 2 3 3" xfId="21402" xr:uid="{00000000-0005-0000-0000-000099530000}"/>
    <cellStyle name="Normal 8 8 2 3 3 2" xfId="21403" xr:uid="{00000000-0005-0000-0000-00009A530000}"/>
    <cellStyle name="Normal 8 8 2 3 3 3" xfId="21404" xr:uid="{00000000-0005-0000-0000-00009B530000}"/>
    <cellStyle name="Normal 8 8 2 3 4" xfId="21405" xr:uid="{00000000-0005-0000-0000-00009C530000}"/>
    <cellStyle name="Normal 8 8 2 3 5" xfId="21406" xr:uid="{00000000-0005-0000-0000-00009D530000}"/>
    <cellStyle name="Normal 8 8 2 4" xfId="21407" xr:uid="{00000000-0005-0000-0000-00009E530000}"/>
    <cellStyle name="Normal 8 8 2 4 2" xfId="21408" xr:uid="{00000000-0005-0000-0000-00009F530000}"/>
    <cellStyle name="Normal 8 8 2 4 3" xfId="21409" xr:uid="{00000000-0005-0000-0000-0000A0530000}"/>
    <cellStyle name="Normal 8 8 2 5" xfId="21410" xr:uid="{00000000-0005-0000-0000-0000A1530000}"/>
    <cellStyle name="Normal 8 8 2 5 2" xfId="21411" xr:uid="{00000000-0005-0000-0000-0000A2530000}"/>
    <cellStyle name="Normal 8 8 2 5 3" xfId="21412" xr:uid="{00000000-0005-0000-0000-0000A3530000}"/>
    <cellStyle name="Normal 8 8 2 6" xfId="21413" xr:uid="{00000000-0005-0000-0000-0000A4530000}"/>
    <cellStyle name="Normal 8 8 2 7" xfId="21414" xr:uid="{00000000-0005-0000-0000-0000A5530000}"/>
    <cellStyle name="Normal 8 8 3" xfId="21415" xr:uid="{00000000-0005-0000-0000-0000A6530000}"/>
    <cellStyle name="Normal 8 8 3 2" xfId="21416" xr:uid="{00000000-0005-0000-0000-0000A7530000}"/>
    <cellStyle name="Normal 8 8 3 2 2" xfId="21417" xr:uid="{00000000-0005-0000-0000-0000A8530000}"/>
    <cellStyle name="Normal 8 8 3 2 3" xfId="21418" xr:uid="{00000000-0005-0000-0000-0000A9530000}"/>
    <cellStyle name="Normal 8 8 3 3" xfId="21419" xr:uid="{00000000-0005-0000-0000-0000AA530000}"/>
    <cellStyle name="Normal 8 8 3 3 2" xfId="21420" xr:uid="{00000000-0005-0000-0000-0000AB530000}"/>
    <cellStyle name="Normal 8 8 3 3 3" xfId="21421" xr:uid="{00000000-0005-0000-0000-0000AC530000}"/>
    <cellStyle name="Normal 8 8 3 4" xfId="21422" xr:uid="{00000000-0005-0000-0000-0000AD530000}"/>
    <cellStyle name="Normal 8 8 3 5" xfId="21423" xr:uid="{00000000-0005-0000-0000-0000AE530000}"/>
    <cellStyle name="Normal 8 8 4" xfId="21424" xr:uid="{00000000-0005-0000-0000-0000AF530000}"/>
    <cellStyle name="Normal 8 8 4 2" xfId="21425" xr:uid="{00000000-0005-0000-0000-0000B0530000}"/>
    <cellStyle name="Normal 8 8 4 2 2" xfId="21426" xr:uid="{00000000-0005-0000-0000-0000B1530000}"/>
    <cellStyle name="Normal 8 8 4 2 3" xfId="21427" xr:uid="{00000000-0005-0000-0000-0000B2530000}"/>
    <cellStyle name="Normal 8 8 4 3" xfId="21428" xr:uid="{00000000-0005-0000-0000-0000B3530000}"/>
    <cellStyle name="Normal 8 8 4 3 2" xfId="21429" xr:uid="{00000000-0005-0000-0000-0000B4530000}"/>
    <cellStyle name="Normal 8 8 4 3 3" xfId="21430" xr:uid="{00000000-0005-0000-0000-0000B5530000}"/>
    <cellStyle name="Normal 8 8 4 4" xfId="21431" xr:uid="{00000000-0005-0000-0000-0000B6530000}"/>
    <cellStyle name="Normal 8 8 4 5" xfId="21432" xr:uid="{00000000-0005-0000-0000-0000B7530000}"/>
    <cellStyle name="Normal 8 8 5" xfId="21433" xr:uid="{00000000-0005-0000-0000-0000B8530000}"/>
    <cellStyle name="Normal 8 8 5 2" xfId="21434" xr:uid="{00000000-0005-0000-0000-0000B9530000}"/>
    <cellStyle name="Normal 8 8 5 3" xfId="21435" xr:uid="{00000000-0005-0000-0000-0000BA530000}"/>
    <cellStyle name="Normal 8 8 6" xfId="21436" xr:uid="{00000000-0005-0000-0000-0000BB530000}"/>
    <cellStyle name="Normal 8 8 6 2" xfId="21437" xr:uid="{00000000-0005-0000-0000-0000BC530000}"/>
    <cellStyle name="Normal 8 8 6 3" xfId="21438" xr:uid="{00000000-0005-0000-0000-0000BD530000}"/>
    <cellStyle name="Normal 8 8 7" xfId="21439" xr:uid="{00000000-0005-0000-0000-0000BE530000}"/>
    <cellStyle name="Normal 8 8 7 2" xfId="21440" xr:uid="{00000000-0005-0000-0000-0000BF530000}"/>
    <cellStyle name="Normal 8 8 7 3" xfId="21441" xr:uid="{00000000-0005-0000-0000-0000C0530000}"/>
    <cellStyle name="Normal 8 8 7 3 2" xfId="21442" xr:uid="{00000000-0005-0000-0000-0000C1530000}"/>
    <cellStyle name="Normal 8 8 7 4" xfId="21443" xr:uid="{00000000-0005-0000-0000-0000C2530000}"/>
    <cellStyle name="Normal 8 8 8" xfId="21444" xr:uid="{00000000-0005-0000-0000-0000C3530000}"/>
    <cellStyle name="Normal 8 8 9" xfId="21445" xr:uid="{00000000-0005-0000-0000-0000C4530000}"/>
    <cellStyle name="Normal 8 9" xfId="21446" xr:uid="{00000000-0005-0000-0000-0000C5530000}"/>
    <cellStyle name="Normal 8 9 2" xfId="21447" xr:uid="{00000000-0005-0000-0000-0000C6530000}"/>
    <cellStyle name="Normal 8 9 2 2" xfId="21448" xr:uid="{00000000-0005-0000-0000-0000C7530000}"/>
    <cellStyle name="Normal 8 9 2 2 2" xfId="21449" xr:uid="{00000000-0005-0000-0000-0000C8530000}"/>
    <cellStyle name="Normal 8 9 2 2 3" xfId="21450" xr:uid="{00000000-0005-0000-0000-0000C9530000}"/>
    <cellStyle name="Normal 8 9 2 3" xfId="21451" xr:uid="{00000000-0005-0000-0000-0000CA530000}"/>
    <cellStyle name="Normal 8 9 2 3 2" xfId="21452" xr:uid="{00000000-0005-0000-0000-0000CB530000}"/>
    <cellStyle name="Normal 8 9 2 3 3" xfId="21453" xr:uid="{00000000-0005-0000-0000-0000CC530000}"/>
    <cellStyle name="Normal 8 9 2 4" xfId="21454" xr:uid="{00000000-0005-0000-0000-0000CD530000}"/>
    <cellStyle name="Normal 8 9 2 5" xfId="21455" xr:uid="{00000000-0005-0000-0000-0000CE530000}"/>
    <cellStyle name="Normal 8 9 3" xfId="21456" xr:uid="{00000000-0005-0000-0000-0000CF530000}"/>
    <cellStyle name="Normal 8 9 3 2" xfId="21457" xr:uid="{00000000-0005-0000-0000-0000D0530000}"/>
    <cellStyle name="Normal 8 9 3 2 2" xfId="21458" xr:uid="{00000000-0005-0000-0000-0000D1530000}"/>
    <cellStyle name="Normal 8 9 3 2 3" xfId="21459" xr:uid="{00000000-0005-0000-0000-0000D2530000}"/>
    <cellStyle name="Normal 8 9 3 3" xfId="21460" xr:uid="{00000000-0005-0000-0000-0000D3530000}"/>
    <cellStyle name="Normal 8 9 3 3 2" xfId="21461" xr:uid="{00000000-0005-0000-0000-0000D4530000}"/>
    <cellStyle name="Normal 8 9 3 3 3" xfId="21462" xr:uid="{00000000-0005-0000-0000-0000D5530000}"/>
    <cellStyle name="Normal 8 9 3 4" xfId="21463" xr:uid="{00000000-0005-0000-0000-0000D6530000}"/>
    <cellStyle name="Normal 8 9 3 5" xfId="21464" xr:uid="{00000000-0005-0000-0000-0000D7530000}"/>
    <cellStyle name="Normal 8 9 4" xfId="21465" xr:uid="{00000000-0005-0000-0000-0000D8530000}"/>
    <cellStyle name="Normal 8 9 4 2" xfId="21466" xr:uid="{00000000-0005-0000-0000-0000D9530000}"/>
    <cellStyle name="Normal 8 9 4 3" xfId="21467" xr:uid="{00000000-0005-0000-0000-0000DA530000}"/>
    <cellStyle name="Normal 8 9 5" xfId="21468" xr:uid="{00000000-0005-0000-0000-0000DB530000}"/>
    <cellStyle name="Normal 8 9 5 2" xfId="21469" xr:uid="{00000000-0005-0000-0000-0000DC530000}"/>
    <cellStyle name="Normal 8 9 5 3" xfId="21470" xr:uid="{00000000-0005-0000-0000-0000DD530000}"/>
    <cellStyle name="Normal 8 9 6" xfId="21471" xr:uid="{00000000-0005-0000-0000-0000DE530000}"/>
    <cellStyle name="Normal 8 9 7" xfId="21472" xr:uid="{00000000-0005-0000-0000-0000DF530000}"/>
    <cellStyle name="Normal 80" xfId="21473" xr:uid="{00000000-0005-0000-0000-0000E0530000}"/>
    <cellStyle name="Normal 81" xfId="21474" xr:uid="{00000000-0005-0000-0000-0000E1530000}"/>
    <cellStyle name="Normal 82" xfId="21475" xr:uid="{00000000-0005-0000-0000-0000E2530000}"/>
    <cellStyle name="Normal 83" xfId="21476" xr:uid="{00000000-0005-0000-0000-0000E3530000}"/>
    <cellStyle name="Normal 84" xfId="21477" xr:uid="{00000000-0005-0000-0000-0000E4530000}"/>
    <cellStyle name="Normal 85" xfId="21478" xr:uid="{00000000-0005-0000-0000-0000E5530000}"/>
    <cellStyle name="Normal 86" xfId="21479" xr:uid="{00000000-0005-0000-0000-0000E6530000}"/>
    <cellStyle name="Normal 87" xfId="21480" xr:uid="{00000000-0005-0000-0000-0000E7530000}"/>
    <cellStyle name="Normal 88" xfId="21481" xr:uid="{00000000-0005-0000-0000-0000E8530000}"/>
    <cellStyle name="Normal 89" xfId="21482" xr:uid="{00000000-0005-0000-0000-0000E9530000}"/>
    <cellStyle name="Normal 9" xfId="21483" xr:uid="{00000000-0005-0000-0000-0000EA530000}"/>
    <cellStyle name="Normal 9 2" xfId="21484" xr:uid="{00000000-0005-0000-0000-0000EB530000}"/>
    <cellStyle name="Normal 9 2 2" xfId="21485" xr:uid="{00000000-0005-0000-0000-0000EC530000}"/>
    <cellStyle name="Normal 9 2 2 2" xfId="21486" xr:uid="{00000000-0005-0000-0000-0000ED530000}"/>
    <cellStyle name="Normal 9 2 2 3" xfId="21487" xr:uid="{00000000-0005-0000-0000-0000EE530000}"/>
    <cellStyle name="Normal 9 2 2 3 2" xfId="21488" xr:uid="{00000000-0005-0000-0000-0000EF530000}"/>
    <cellStyle name="Normal 9 2 3" xfId="21489" xr:uid="{00000000-0005-0000-0000-0000F0530000}"/>
    <cellStyle name="Normal 9 2 3 2" xfId="21490" xr:uid="{00000000-0005-0000-0000-0000F1530000}"/>
    <cellStyle name="Normal 9 2 3 3" xfId="21491" xr:uid="{00000000-0005-0000-0000-0000F2530000}"/>
    <cellStyle name="Normal 9 2 3 3 2" xfId="21492" xr:uid="{00000000-0005-0000-0000-0000F3530000}"/>
    <cellStyle name="Normal 9 2 4" xfId="21493" xr:uid="{00000000-0005-0000-0000-0000F4530000}"/>
    <cellStyle name="Normal 9 2 5" xfId="21494" xr:uid="{00000000-0005-0000-0000-0000F5530000}"/>
    <cellStyle name="Normal 9 3" xfId="21495" xr:uid="{00000000-0005-0000-0000-0000F6530000}"/>
    <cellStyle name="Normal 9 3 2" xfId="21496" xr:uid="{00000000-0005-0000-0000-0000F7530000}"/>
    <cellStyle name="Normal 9 3 2 2" xfId="21497" xr:uid="{00000000-0005-0000-0000-0000F8530000}"/>
    <cellStyle name="Normal 9 3 2 3" xfId="21498" xr:uid="{00000000-0005-0000-0000-0000F9530000}"/>
    <cellStyle name="Normal 9 3 2 3 2" xfId="21499" xr:uid="{00000000-0005-0000-0000-0000FA530000}"/>
    <cellStyle name="Normal 9 3 3" xfId="21500" xr:uid="{00000000-0005-0000-0000-0000FB530000}"/>
    <cellStyle name="Normal 9 3 3 2" xfId="21501" xr:uid="{00000000-0005-0000-0000-0000FC530000}"/>
    <cellStyle name="Normal 9 3 3 3" xfId="21502" xr:uid="{00000000-0005-0000-0000-0000FD530000}"/>
    <cellStyle name="Normal 9 3 3 3 2" xfId="21503" xr:uid="{00000000-0005-0000-0000-0000FE530000}"/>
    <cellStyle name="Normal 9 3 4" xfId="21504" xr:uid="{00000000-0005-0000-0000-0000FF530000}"/>
    <cellStyle name="Normal 9 3 5" xfId="21505" xr:uid="{00000000-0005-0000-0000-000000540000}"/>
    <cellStyle name="Normal 9 4" xfId="21506" xr:uid="{00000000-0005-0000-0000-000001540000}"/>
    <cellStyle name="Normal 9 4 2" xfId="21507" xr:uid="{00000000-0005-0000-0000-000002540000}"/>
    <cellStyle name="Normal 9 4 3" xfId="21508" xr:uid="{00000000-0005-0000-0000-000003540000}"/>
    <cellStyle name="Normal 9 4 3 2" xfId="21509" xr:uid="{00000000-0005-0000-0000-000004540000}"/>
    <cellStyle name="Normal 9 5" xfId="21510" xr:uid="{00000000-0005-0000-0000-000005540000}"/>
    <cellStyle name="Normal 9 5 2" xfId="21511" xr:uid="{00000000-0005-0000-0000-000006540000}"/>
    <cellStyle name="Normal 9 5 3" xfId="21512" xr:uid="{00000000-0005-0000-0000-000007540000}"/>
    <cellStyle name="Normal 9 5 3 2" xfId="21513" xr:uid="{00000000-0005-0000-0000-000008540000}"/>
    <cellStyle name="Normal 9 6" xfId="21514" xr:uid="{00000000-0005-0000-0000-000009540000}"/>
    <cellStyle name="Normal 9 7" xfId="21515" xr:uid="{00000000-0005-0000-0000-00000A540000}"/>
    <cellStyle name="Normal 90" xfId="21516" xr:uid="{00000000-0005-0000-0000-00000B540000}"/>
    <cellStyle name="Normal 91" xfId="21517" xr:uid="{00000000-0005-0000-0000-00000C540000}"/>
    <cellStyle name="Normal 92" xfId="21518" xr:uid="{00000000-0005-0000-0000-00000D540000}"/>
    <cellStyle name="Normal 93" xfId="21519" xr:uid="{00000000-0005-0000-0000-00000E540000}"/>
    <cellStyle name="Normal 94" xfId="21520" xr:uid="{00000000-0005-0000-0000-00000F540000}"/>
    <cellStyle name="Normal 95" xfId="21521" xr:uid="{00000000-0005-0000-0000-000010540000}"/>
    <cellStyle name="Normal 96" xfId="21522" xr:uid="{00000000-0005-0000-0000-000011540000}"/>
    <cellStyle name="Normal 97" xfId="21523" xr:uid="{00000000-0005-0000-0000-000012540000}"/>
    <cellStyle name="Normal 98" xfId="21524" xr:uid="{00000000-0005-0000-0000-000013540000}"/>
    <cellStyle name="Normal 99" xfId="21525" xr:uid="{00000000-0005-0000-0000-000014540000}"/>
    <cellStyle name="Note 10" xfId="21526" xr:uid="{00000000-0005-0000-0000-000015540000}"/>
    <cellStyle name="Note 10 2" xfId="21527" xr:uid="{00000000-0005-0000-0000-000016540000}"/>
    <cellStyle name="Note 10 3" xfId="21528" xr:uid="{00000000-0005-0000-0000-000017540000}"/>
    <cellStyle name="Note 11" xfId="21529" xr:uid="{00000000-0005-0000-0000-000018540000}"/>
    <cellStyle name="Note 11 2" xfId="21530" xr:uid="{00000000-0005-0000-0000-000019540000}"/>
    <cellStyle name="Note 11 3" xfId="21531" xr:uid="{00000000-0005-0000-0000-00001A540000}"/>
    <cellStyle name="Note 11 3 2" xfId="21532" xr:uid="{00000000-0005-0000-0000-00001B540000}"/>
    <cellStyle name="Note 11 4" xfId="21533" xr:uid="{00000000-0005-0000-0000-00001C540000}"/>
    <cellStyle name="Note 12" xfId="21534" xr:uid="{00000000-0005-0000-0000-00001D540000}"/>
    <cellStyle name="Note 12 2" xfId="21535" xr:uid="{00000000-0005-0000-0000-00001E540000}"/>
    <cellStyle name="Note 12 3" xfId="21536" xr:uid="{00000000-0005-0000-0000-00001F540000}"/>
    <cellStyle name="Note 12 3 2" xfId="21537" xr:uid="{00000000-0005-0000-0000-000020540000}"/>
    <cellStyle name="Note 12 4" xfId="21538" xr:uid="{00000000-0005-0000-0000-000021540000}"/>
    <cellStyle name="Note 13" xfId="21539" xr:uid="{00000000-0005-0000-0000-000022540000}"/>
    <cellStyle name="Note 2" xfId="21540" xr:uid="{00000000-0005-0000-0000-000023540000}"/>
    <cellStyle name="Note 2 10" xfId="21541" xr:uid="{00000000-0005-0000-0000-000024540000}"/>
    <cellStyle name="Note 2 10 2" xfId="21542" xr:uid="{00000000-0005-0000-0000-000025540000}"/>
    <cellStyle name="Note 2 10 3" xfId="21543" xr:uid="{00000000-0005-0000-0000-000026540000}"/>
    <cellStyle name="Note 2 10 3 2" xfId="21544" xr:uid="{00000000-0005-0000-0000-000027540000}"/>
    <cellStyle name="Note 2 10 4" xfId="21545" xr:uid="{00000000-0005-0000-0000-000028540000}"/>
    <cellStyle name="Note 2 11" xfId="21546" xr:uid="{00000000-0005-0000-0000-000029540000}"/>
    <cellStyle name="Note 2 11 2" xfId="21547" xr:uid="{00000000-0005-0000-0000-00002A540000}"/>
    <cellStyle name="Note 2 11 3" xfId="21548" xr:uid="{00000000-0005-0000-0000-00002B540000}"/>
    <cellStyle name="Note 2 11 3 2" xfId="21549" xr:uid="{00000000-0005-0000-0000-00002C540000}"/>
    <cellStyle name="Note 2 11 4" xfId="21550" xr:uid="{00000000-0005-0000-0000-00002D540000}"/>
    <cellStyle name="Note 2 12" xfId="21551" xr:uid="{00000000-0005-0000-0000-00002E540000}"/>
    <cellStyle name="Note 2 13" xfId="21552" xr:uid="{00000000-0005-0000-0000-00002F540000}"/>
    <cellStyle name="Note 2 2" xfId="21553" xr:uid="{00000000-0005-0000-0000-000030540000}"/>
    <cellStyle name="Note 2 2 2" xfId="21554" xr:uid="{00000000-0005-0000-0000-000031540000}"/>
    <cellStyle name="Note 2 2 2 2" xfId="21555" xr:uid="{00000000-0005-0000-0000-000032540000}"/>
    <cellStyle name="Note 2 2 2 2 2" xfId="21556" xr:uid="{00000000-0005-0000-0000-000033540000}"/>
    <cellStyle name="Note 2 2 2 2 2 2" xfId="21557" xr:uid="{00000000-0005-0000-0000-000034540000}"/>
    <cellStyle name="Note 2 2 2 2 2 3" xfId="21558" xr:uid="{00000000-0005-0000-0000-000035540000}"/>
    <cellStyle name="Note 2 2 2 2 3" xfId="21559" xr:uid="{00000000-0005-0000-0000-000036540000}"/>
    <cellStyle name="Note 2 2 2 2 3 2" xfId="21560" xr:uid="{00000000-0005-0000-0000-000037540000}"/>
    <cellStyle name="Note 2 2 2 2 3 3" xfId="21561" xr:uid="{00000000-0005-0000-0000-000038540000}"/>
    <cellStyle name="Note 2 2 2 2 4" xfId="21562" xr:uid="{00000000-0005-0000-0000-000039540000}"/>
    <cellStyle name="Note 2 2 2 2 5" xfId="21563" xr:uid="{00000000-0005-0000-0000-00003A540000}"/>
    <cellStyle name="Note 2 2 2 3" xfId="21564" xr:uid="{00000000-0005-0000-0000-00003B540000}"/>
    <cellStyle name="Note 2 2 2 3 2" xfId="21565" xr:uid="{00000000-0005-0000-0000-00003C540000}"/>
    <cellStyle name="Note 2 2 2 3 2 2" xfId="21566" xr:uid="{00000000-0005-0000-0000-00003D540000}"/>
    <cellStyle name="Note 2 2 2 3 2 3" xfId="21567" xr:uid="{00000000-0005-0000-0000-00003E540000}"/>
    <cellStyle name="Note 2 2 2 3 3" xfId="21568" xr:uid="{00000000-0005-0000-0000-00003F540000}"/>
    <cellStyle name="Note 2 2 2 3 3 2" xfId="21569" xr:uid="{00000000-0005-0000-0000-000040540000}"/>
    <cellStyle name="Note 2 2 2 3 3 3" xfId="21570" xr:uid="{00000000-0005-0000-0000-000041540000}"/>
    <cellStyle name="Note 2 2 2 3 4" xfId="21571" xr:uid="{00000000-0005-0000-0000-000042540000}"/>
    <cellStyle name="Note 2 2 2 3 5" xfId="21572" xr:uid="{00000000-0005-0000-0000-000043540000}"/>
    <cellStyle name="Note 2 2 2 4" xfId="21573" xr:uid="{00000000-0005-0000-0000-000044540000}"/>
    <cellStyle name="Note 2 2 2 4 2" xfId="21574" xr:uid="{00000000-0005-0000-0000-000045540000}"/>
    <cellStyle name="Note 2 2 2 4 3" xfId="21575" xr:uid="{00000000-0005-0000-0000-000046540000}"/>
    <cellStyle name="Note 2 2 2 5" xfId="21576" xr:uid="{00000000-0005-0000-0000-000047540000}"/>
    <cellStyle name="Note 2 2 2 5 2" xfId="21577" xr:uid="{00000000-0005-0000-0000-000048540000}"/>
    <cellStyle name="Note 2 2 2 5 3" xfId="21578" xr:uid="{00000000-0005-0000-0000-000049540000}"/>
    <cellStyle name="Note 2 2 2 6" xfId="21579" xr:uid="{00000000-0005-0000-0000-00004A540000}"/>
    <cellStyle name="Note 2 2 2 7" xfId="21580" xr:uid="{00000000-0005-0000-0000-00004B540000}"/>
    <cellStyle name="Note 2 2 3" xfId="21581" xr:uid="{00000000-0005-0000-0000-00004C540000}"/>
    <cellStyle name="Note 2 2 3 2" xfId="21582" xr:uid="{00000000-0005-0000-0000-00004D540000}"/>
    <cellStyle name="Note 2 2 3 2 2" xfId="21583" xr:uid="{00000000-0005-0000-0000-00004E540000}"/>
    <cellStyle name="Note 2 2 3 2 3" xfId="21584" xr:uid="{00000000-0005-0000-0000-00004F540000}"/>
    <cellStyle name="Note 2 2 3 3" xfId="21585" xr:uid="{00000000-0005-0000-0000-000050540000}"/>
    <cellStyle name="Note 2 2 3 3 2" xfId="21586" xr:uid="{00000000-0005-0000-0000-000051540000}"/>
    <cellStyle name="Note 2 2 3 3 3" xfId="21587" xr:uid="{00000000-0005-0000-0000-000052540000}"/>
    <cellStyle name="Note 2 2 3 4" xfId="21588" xr:uid="{00000000-0005-0000-0000-000053540000}"/>
    <cellStyle name="Note 2 2 3 5" xfId="21589" xr:uid="{00000000-0005-0000-0000-000054540000}"/>
    <cellStyle name="Note 2 2 4" xfId="21590" xr:uid="{00000000-0005-0000-0000-000055540000}"/>
    <cellStyle name="Note 2 2 4 2" xfId="21591" xr:uid="{00000000-0005-0000-0000-000056540000}"/>
    <cellStyle name="Note 2 2 4 2 2" xfId="21592" xr:uid="{00000000-0005-0000-0000-000057540000}"/>
    <cellStyle name="Note 2 2 4 2 3" xfId="21593" xr:uid="{00000000-0005-0000-0000-000058540000}"/>
    <cellStyle name="Note 2 2 4 3" xfId="21594" xr:uid="{00000000-0005-0000-0000-000059540000}"/>
    <cellStyle name="Note 2 2 4 3 2" xfId="21595" xr:uid="{00000000-0005-0000-0000-00005A540000}"/>
    <cellStyle name="Note 2 2 4 3 3" xfId="21596" xr:uid="{00000000-0005-0000-0000-00005B540000}"/>
    <cellStyle name="Note 2 2 4 4" xfId="21597" xr:uid="{00000000-0005-0000-0000-00005C540000}"/>
    <cellStyle name="Note 2 2 4 5" xfId="21598" xr:uid="{00000000-0005-0000-0000-00005D540000}"/>
    <cellStyle name="Note 2 2 5" xfId="21599" xr:uid="{00000000-0005-0000-0000-00005E540000}"/>
    <cellStyle name="Note 2 2 5 2" xfId="21600" xr:uid="{00000000-0005-0000-0000-00005F540000}"/>
    <cellStyle name="Note 2 2 5 3" xfId="21601" xr:uid="{00000000-0005-0000-0000-000060540000}"/>
    <cellStyle name="Note 2 2 6" xfId="21602" xr:uid="{00000000-0005-0000-0000-000061540000}"/>
    <cellStyle name="Note 2 2 6 2" xfId="21603" xr:uid="{00000000-0005-0000-0000-000062540000}"/>
    <cellStyle name="Note 2 2 6 3" xfId="21604" xr:uid="{00000000-0005-0000-0000-000063540000}"/>
    <cellStyle name="Note 2 2 7" xfId="21605" xr:uid="{00000000-0005-0000-0000-000064540000}"/>
    <cellStyle name="Note 2 2 7 2" xfId="21606" xr:uid="{00000000-0005-0000-0000-000065540000}"/>
    <cellStyle name="Note 2 2 7 3" xfId="21607" xr:uid="{00000000-0005-0000-0000-000066540000}"/>
    <cellStyle name="Note 2 2 7 3 2" xfId="21608" xr:uid="{00000000-0005-0000-0000-000067540000}"/>
    <cellStyle name="Note 2 2 7 4" xfId="21609" xr:uid="{00000000-0005-0000-0000-000068540000}"/>
    <cellStyle name="Note 2 2 8" xfId="21610" xr:uid="{00000000-0005-0000-0000-000069540000}"/>
    <cellStyle name="Note 2 2 9" xfId="21611" xr:uid="{00000000-0005-0000-0000-00006A540000}"/>
    <cellStyle name="Note 2 3" xfId="21612" xr:uid="{00000000-0005-0000-0000-00006B540000}"/>
    <cellStyle name="Note 2 3 2" xfId="21613" xr:uid="{00000000-0005-0000-0000-00006C540000}"/>
    <cellStyle name="Note 2 3 2 2" xfId="21614" xr:uid="{00000000-0005-0000-0000-00006D540000}"/>
    <cellStyle name="Note 2 3 2 2 2" xfId="21615" xr:uid="{00000000-0005-0000-0000-00006E540000}"/>
    <cellStyle name="Note 2 3 2 2 3" xfId="21616" xr:uid="{00000000-0005-0000-0000-00006F540000}"/>
    <cellStyle name="Note 2 3 2 3" xfId="21617" xr:uid="{00000000-0005-0000-0000-000070540000}"/>
    <cellStyle name="Note 2 3 2 3 2" xfId="21618" xr:uid="{00000000-0005-0000-0000-000071540000}"/>
    <cellStyle name="Note 2 3 2 3 3" xfId="21619" xr:uid="{00000000-0005-0000-0000-000072540000}"/>
    <cellStyle name="Note 2 3 2 4" xfId="21620" xr:uid="{00000000-0005-0000-0000-000073540000}"/>
    <cellStyle name="Note 2 3 2 5" xfId="21621" xr:uid="{00000000-0005-0000-0000-000074540000}"/>
    <cellStyle name="Note 2 3 3" xfId="21622" xr:uid="{00000000-0005-0000-0000-000075540000}"/>
    <cellStyle name="Note 2 3 3 2" xfId="21623" xr:uid="{00000000-0005-0000-0000-000076540000}"/>
    <cellStyle name="Note 2 3 3 2 2" xfId="21624" xr:uid="{00000000-0005-0000-0000-000077540000}"/>
    <cellStyle name="Note 2 3 3 2 3" xfId="21625" xr:uid="{00000000-0005-0000-0000-000078540000}"/>
    <cellStyle name="Note 2 3 3 3" xfId="21626" xr:uid="{00000000-0005-0000-0000-000079540000}"/>
    <cellStyle name="Note 2 3 3 3 2" xfId="21627" xr:uid="{00000000-0005-0000-0000-00007A540000}"/>
    <cellStyle name="Note 2 3 3 3 3" xfId="21628" xr:uid="{00000000-0005-0000-0000-00007B540000}"/>
    <cellStyle name="Note 2 3 3 4" xfId="21629" xr:uid="{00000000-0005-0000-0000-00007C540000}"/>
    <cellStyle name="Note 2 3 3 5" xfId="21630" xr:uid="{00000000-0005-0000-0000-00007D540000}"/>
    <cellStyle name="Note 2 3 4" xfId="21631" xr:uid="{00000000-0005-0000-0000-00007E540000}"/>
    <cellStyle name="Note 2 3 4 2" xfId="21632" xr:uid="{00000000-0005-0000-0000-00007F540000}"/>
    <cellStyle name="Note 2 3 4 3" xfId="21633" xr:uid="{00000000-0005-0000-0000-000080540000}"/>
    <cellStyle name="Note 2 3 5" xfId="21634" xr:uid="{00000000-0005-0000-0000-000081540000}"/>
    <cellStyle name="Note 2 3 5 2" xfId="21635" xr:uid="{00000000-0005-0000-0000-000082540000}"/>
    <cellStyle name="Note 2 3 5 3" xfId="21636" xr:uid="{00000000-0005-0000-0000-000083540000}"/>
    <cellStyle name="Note 2 3 6" xfId="21637" xr:uid="{00000000-0005-0000-0000-000084540000}"/>
    <cellStyle name="Note 2 3 7" xfId="21638" xr:uid="{00000000-0005-0000-0000-000085540000}"/>
    <cellStyle name="Note 2 4" xfId="21639" xr:uid="{00000000-0005-0000-0000-000086540000}"/>
    <cellStyle name="Note 2 4 2" xfId="21640" xr:uid="{00000000-0005-0000-0000-000087540000}"/>
    <cellStyle name="Note 2 4 2 2" xfId="21641" xr:uid="{00000000-0005-0000-0000-000088540000}"/>
    <cellStyle name="Note 2 4 2 2 2" xfId="21642" xr:uid="{00000000-0005-0000-0000-000089540000}"/>
    <cellStyle name="Note 2 4 2 2 3" xfId="21643" xr:uid="{00000000-0005-0000-0000-00008A540000}"/>
    <cellStyle name="Note 2 4 2 3" xfId="21644" xr:uid="{00000000-0005-0000-0000-00008B540000}"/>
    <cellStyle name="Note 2 4 2 3 2" xfId="21645" xr:uid="{00000000-0005-0000-0000-00008C540000}"/>
    <cellStyle name="Note 2 4 2 3 3" xfId="21646" xr:uid="{00000000-0005-0000-0000-00008D540000}"/>
    <cellStyle name="Note 2 4 2 4" xfId="21647" xr:uid="{00000000-0005-0000-0000-00008E540000}"/>
    <cellStyle name="Note 2 4 2 5" xfId="21648" xr:uid="{00000000-0005-0000-0000-00008F540000}"/>
    <cellStyle name="Note 2 4 3" xfId="21649" xr:uid="{00000000-0005-0000-0000-000090540000}"/>
    <cellStyle name="Note 2 4 3 2" xfId="21650" xr:uid="{00000000-0005-0000-0000-000091540000}"/>
    <cellStyle name="Note 2 4 3 2 2" xfId="21651" xr:uid="{00000000-0005-0000-0000-000092540000}"/>
    <cellStyle name="Note 2 4 3 2 3" xfId="21652" xr:uid="{00000000-0005-0000-0000-000093540000}"/>
    <cellStyle name="Note 2 4 3 3" xfId="21653" xr:uid="{00000000-0005-0000-0000-000094540000}"/>
    <cellStyle name="Note 2 4 3 4" xfId="21654" xr:uid="{00000000-0005-0000-0000-000095540000}"/>
    <cellStyle name="Note 2 4 4" xfId="21655" xr:uid="{00000000-0005-0000-0000-000096540000}"/>
    <cellStyle name="Note 2 4 4 2" xfId="21656" xr:uid="{00000000-0005-0000-0000-000097540000}"/>
    <cellStyle name="Note 2 4 4 3" xfId="21657" xr:uid="{00000000-0005-0000-0000-000098540000}"/>
    <cellStyle name="Note 2 4 5" xfId="21658" xr:uid="{00000000-0005-0000-0000-000099540000}"/>
    <cellStyle name="Note 2 4 5 2" xfId="21659" xr:uid="{00000000-0005-0000-0000-00009A540000}"/>
    <cellStyle name="Note 2 4 5 3" xfId="21660" xr:uid="{00000000-0005-0000-0000-00009B540000}"/>
    <cellStyle name="Note 2 4 6" xfId="21661" xr:uid="{00000000-0005-0000-0000-00009C540000}"/>
    <cellStyle name="Note 2 4 7" xfId="21662" xr:uid="{00000000-0005-0000-0000-00009D540000}"/>
    <cellStyle name="Note 2 5" xfId="21663" xr:uid="{00000000-0005-0000-0000-00009E540000}"/>
    <cellStyle name="Note 2 5 2" xfId="21664" xr:uid="{00000000-0005-0000-0000-00009F540000}"/>
    <cellStyle name="Note 2 5 2 2" xfId="21665" xr:uid="{00000000-0005-0000-0000-0000A0540000}"/>
    <cellStyle name="Note 2 5 2 3" xfId="21666" xr:uid="{00000000-0005-0000-0000-0000A1540000}"/>
    <cellStyle name="Note 2 5 3" xfId="21667" xr:uid="{00000000-0005-0000-0000-0000A2540000}"/>
    <cellStyle name="Note 2 5 3 2" xfId="21668" xr:uid="{00000000-0005-0000-0000-0000A3540000}"/>
    <cellStyle name="Note 2 5 3 3" xfId="21669" xr:uid="{00000000-0005-0000-0000-0000A4540000}"/>
    <cellStyle name="Note 2 5 4" xfId="21670" xr:uid="{00000000-0005-0000-0000-0000A5540000}"/>
    <cellStyle name="Note 2 5 5" xfId="21671" xr:uid="{00000000-0005-0000-0000-0000A6540000}"/>
    <cellStyle name="Note 2 6" xfId="21672" xr:uid="{00000000-0005-0000-0000-0000A7540000}"/>
    <cellStyle name="Note 2 6 2" xfId="21673" xr:uid="{00000000-0005-0000-0000-0000A8540000}"/>
    <cellStyle name="Note 2 6 2 2" xfId="21674" xr:uid="{00000000-0005-0000-0000-0000A9540000}"/>
    <cellStyle name="Note 2 6 2 3" xfId="21675" xr:uid="{00000000-0005-0000-0000-0000AA540000}"/>
    <cellStyle name="Note 2 6 3" xfId="21676" xr:uid="{00000000-0005-0000-0000-0000AB540000}"/>
    <cellStyle name="Note 2 6 3 2" xfId="21677" xr:uid="{00000000-0005-0000-0000-0000AC540000}"/>
    <cellStyle name="Note 2 6 3 3" xfId="21678" xr:uid="{00000000-0005-0000-0000-0000AD540000}"/>
    <cellStyle name="Note 2 6 4" xfId="21679" xr:uid="{00000000-0005-0000-0000-0000AE540000}"/>
    <cellStyle name="Note 2 6 5" xfId="21680" xr:uid="{00000000-0005-0000-0000-0000AF540000}"/>
    <cellStyle name="Note 2 7" xfId="21681" xr:uid="{00000000-0005-0000-0000-0000B0540000}"/>
    <cellStyle name="Note 2 7 2" xfId="21682" xr:uid="{00000000-0005-0000-0000-0000B1540000}"/>
    <cellStyle name="Note 2 7 2 2" xfId="21683" xr:uid="{00000000-0005-0000-0000-0000B2540000}"/>
    <cellStyle name="Note 2 7 2 3" xfId="21684" xr:uid="{00000000-0005-0000-0000-0000B3540000}"/>
    <cellStyle name="Note 2 7 3" xfId="21685" xr:uid="{00000000-0005-0000-0000-0000B4540000}"/>
    <cellStyle name="Note 2 7 4" xfId="21686" xr:uid="{00000000-0005-0000-0000-0000B5540000}"/>
    <cellStyle name="Note 2 8" xfId="21687" xr:uid="{00000000-0005-0000-0000-0000B6540000}"/>
    <cellStyle name="Note 2 8 2" xfId="21688" xr:uid="{00000000-0005-0000-0000-0000B7540000}"/>
    <cellStyle name="Note 2 8 3" xfId="21689" xr:uid="{00000000-0005-0000-0000-0000B8540000}"/>
    <cellStyle name="Note 2 9" xfId="21690" xr:uid="{00000000-0005-0000-0000-0000B9540000}"/>
    <cellStyle name="Note 2 9 2" xfId="21691" xr:uid="{00000000-0005-0000-0000-0000BA540000}"/>
    <cellStyle name="Note 2 9 3" xfId="21692" xr:uid="{00000000-0005-0000-0000-0000BB540000}"/>
    <cellStyle name="Note 3" xfId="21693" xr:uid="{00000000-0005-0000-0000-0000BC540000}"/>
    <cellStyle name="Note 3 2" xfId="21694" xr:uid="{00000000-0005-0000-0000-0000BD540000}"/>
    <cellStyle name="Note 3 2 2" xfId="21695" xr:uid="{00000000-0005-0000-0000-0000BE540000}"/>
    <cellStyle name="Note 3 2 2 2" xfId="21696" xr:uid="{00000000-0005-0000-0000-0000BF540000}"/>
    <cellStyle name="Note 3 2 2 2 2" xfId="21697" xr:uid="{00000000-0005-0000-0000-0000C0540000}"/>
    <cellStyle name="Note 3 2 2 2 3" xfId="21698" xr:uid="{00000000-0005-0000-0000-0000C1540000}"/>
    <cellStyle name="Note 3 2 2 3" xfId="21699" xr:uid="{00000000-0005-0000-0000-0000C2540000}"/>
    <cellStyle name="Note 3 2 2 3 2" xfId="21700" xr:uid="{00000000-0005-0000-0000-0000C3540000}"/>
    <cellStyle name="Note 3 2 2 3 3" xfId="21701" xr:uid="{00000000-0005-0000-0000-0000C4540000}"/>
    <cellStyle name="Note 3 2 2 4" xfId="21702" xr:uid="{00000000-0005-0000-0000-0000C5540000}"/>
    <cellStyle name="Note 3 2 2 5" xfId="21703" xr:uid="{00000000-0005-0000-0000-0000C6540000}"/>
    <cellStyle name="Note 3 2 3" xfId="21704" xr:uid="{00000000-0005-0000-0000-0000C7540000}"/>
    <cellStyle name="Note 3 2 3 2" xfId="21705" xr:uid="{00000000-0005-0000-0000-0000C8540000}"/>
    <cellStyle name="Note 3 2 3 2 2" xfId="21706" xr:uid="{00000000-0005-0000-0000-0000C9540000}"/>
    <cellStyle name="Note 3 2 3 2 3" xfId="21707" xr:uid="{00000000-0005-0000-0000-0000CA540000}"/>
    <cellStyle name="Note 3 2 3 3" xfId="21708" xr:uid="{00000000-0005-0000-0000-0000CB540000}"/>
    <cellStyle name="Note 3 2 3 3 2" xfId="21709" xr:uid="{00000000-0005-0000-0000-0000CC540000}"/>
    <cellStyle name="Note 3 2 3 3 3" xfId="21710" xr:uid="{00000000-0005-0000-0000-0000CD540000}"/>
    <cellStyle name="Note 3 2 3 4" xfId="21711" xr:uid="{00000000-0005-0000-0000-0000CE540000}"/>
    <cellStyle name="Note 3 2 3 5" xfId="21712" xr:uid="{00000000-0005-0000-0000-0000CF540000}"/>
    <cellStyle name="Note 3 2 4" xfId="21713" xr:uid="{00000000-0005-0000-0000-0000D0540000}"/>
    <cellStyle name="Note 3 2 4 2" xfId="21714" xr:uid="{00000000-0005-0000-0000-0000D1540000}"/>
    <cellStyle name="Note 3 2 4 3" xfId="21715" xr:uid="{00000000-0005-0000-0000-0000D2540000}"/>
    <cellStyle name="Note 3 2 5" xfId="21716" xr:uid="{00000000-0005-0000-0000-0000D3540000}"/>
    <cellStyle name="Note 3 2 5 2" xfId="21717" xr:uid="{00000000-0005-0000-0000-0000D4540000}"/>
    <cellStyle name="Note 3 2 5 3" xfId="21718" xr:uid="{00000000-0005-0000-0000-0000D5540000}"/>
    <cellStyle name="Note 3 2 6" xfId="21719" xr:uid="{00000000-0005-0000-0000-0000D6540000}"/>
    <cellStyle name="Note 3 2 7" xfId="21720" xr:uid="{00000000-0005-0000-0000-0000D7540000}"/>
    <cellStyle name="Note 3 3" xfId="21721" xr:uid="{00000000-0005-0000-0000-0000D8540000}"/>
    <cellStyle name="Note 3 3 2" xfId="21722" xr:uid="{00000000-0005-0000-0000-0000D9540000}"/>
    <cellStyle name="Note 3 3 2 2" xfId="21723" xr:uid="{00000000-0005-0000-0000-0000DA540000}"/>
    <cellStyle name="Note 3 3 2 3" xfId="21724" xr:uid="{00000000-0005-0000-0000-0000DB540000}"/>
    <cellStyle name="Note 3 3 3" xfId="21725" xr:uid="{00000000-0005-0000-0000-0000DC540000}"/>
    <cellStyle name="Note 3 3 3 2" xfId="21726" xr:uid="{00000000-0005-0000-0000-0000DD540000}"/>
    <cellStyle name="Note 3 3 3 3" xfId="21727" xr:uid="{00000000-0005-0000-0000-0000DE540000}"/>
    <cellStyle name="Note 3 3 4" xfId="21728" xr:uid="{00000000-0005-0000-0000-0000DF540000}"/>
    <cellStyle name="Note 3 3 5" xfId="21729" xr:uid="{00000000-0005-0000-0000-0000E0540000}"/>
    <cellStyle name="Note 3 4" xfId="21730" xr:uid="{00000000-0005-0000-0000-0000E1540000}"/>
    <cellStyle name="Note 3 4 2" xfId="21731" xr:uid="{00000000-0005-0000-0000-0000E2540000}"/>
    <cellStyle name="Note 3 4 2 2" xfId="21732" xr:uid="{00000000-0005-0000-0000-0000E3540000}"/>
    <cellStyle name="Note 3 4 2 3" xfId="21733" xr:uid="{00000000-0005-0000-0000-0000E4540000}"/>
    <cellStyle name="Note 3 4 3" xfId="21734" xr:uid="{00000000-0005-0000-0000-0000E5540000}"/>
    <cellStyle name="Note 3 4 3 2" xfId="21735" xr:uid="{00000000-0005-0000-0000-0000E6540000}"/>
    <cellStyle name="Note 3 4 3 3" xfId="21736" xr:uid="{00000000-0005-0000-0000-0000E7540000}"/>
    <cellStyle name="Note 3 4 4" xfId="21737" xr:uid="{00000000-0005-0000-0000-0000E8540000}"/>
    <cellStyle name="Note 3 4 5" xfId="21738" xr:uid="{00000000-0005-0000-0000-0000E9540000}"/>
    <cellStyle name="Note 3 5" xfId="21739" xr:uid="{00000000-0005-0000-0000-0000EA540000}"/>
    <cellStyle name="Note 3 5 2" xfId="21740" xr:uid="{00000000-0005-0000-0000-0000EB540000}"/>
    <cellStyle name="Note 3 5 3" xfId="21741" xr:uid="{00000000-0005-0000-0000-0000EC540000}"/>
    <cellStyle name="Note 3 6" xfId="21742" xr:uid="{00000000-0005-0000-0000-0000ED540000}"/>
    <cellStyle name="Note 3 6 2" xfId="21743" xr:uid="{00000000-0005-0000-0000-0000EE540000}"/>
    <cellStyle name="Note 3 6 3" xfId="21744" xr:uid="{00000000-0005-0000-0000-0000EF540000}"/>
    <cellStyle name="Note 3 7" xfId="21745" xr:uid="{00000000-0005-0000-0000-0000F0540000}"/>
    <cellStyle name="Note 3 7 2" xfId="21746" xr:uid="{00000000-0005-0000-0000-0000F1540000}"/>
    <cellStyle name="Note 3 7 3" xfId="21747" xr:uid="{00000000-0005-0000-0000-0000F2540000}"/>
    <cellStyle name="Note 3 7 3 2" xfId="21748" xr:uid="{00000000-0005-0000-0000-0000F3540000}"/>
    <cellStyle name="Note 3 7 4" xfId="21749" xr:uid="{00000000-0005-0000-0000-0000F4540000}"/>
    <cellStyle name="Note 3 8" xfId="21750" xr:uid="{00000000-0005-0000-0000-0000F5540000}"/>
    <cellStyle name="Note 3 9" xfId="21751" xr:uid="{00000000-0005-0000-0000-0000F6540000}"/>
    <cellStyle name="Note 4" xfId="21752" xr:uid="{00000000-0005-0000-0000-0000F7540000}"/>
    <cellStyle name="Note 4 2" xfId="21753" xr:uid="{00000000-0005-0000-0000-0000F8540000}"/>
    <cellStyle name="Note 4 2 2" xfId="21754" xr:uid="{00000000-0005-0000-0000-0000F9540000}"/>
    <cellStyle name="Note 4 2 2 2" xfId="21755" xr:uid="{00000000-0005-0000-0000-0000FA540000}"/>
    <cellStyle name="Note 4 2 2 3" xfId="21756" xr:uid="{00000000-0005-0000-0000-0000FB540000}"/>
    <cellStyle name="Note 4 2 3" xfId="21757" xr:uid="{00000000-0005-0000-0000-0000FC540000}"/>
    <cellStyle name="Note 4 2 3 2" xfId="21758" xr:uid="{00000000-0005-0000-0000-0000FD540000}"/>
    <cellStyle name="Note 4 2 3 3" xfId="21759" xr:uid="{00000000-0005-0000-0000-0000FE540000}"/>
    <cellStyle name="Note 4 2 4" xfId="21760" xr:uid="{00000000-0005-0000-0000-0000FF540000}"/>
    <cellStyle name="Note 4 2 5" xfId="21761" xr:uid="{00000000-0005-0000-0000-000000550000}"/>
    <cellStyle name="Note 4 3" xfId="21762" xr:uid="{00000000-0005-0000-0000-000001550000}"/>
    <cellStyle name="Note 4 3 2" xfId="21763" xr:uid="{00000000-0005-0000-0000-000002550000}"/>
    <cellStyle name="Note 4 3 2 2" xfId="21764" xr:uid="{00000000-0005-0000-0000-000003550000}"/>
    <cellStyle name="Note 4 3 2 3" xfId="21765" xr:uid="{00000000-0005-0000-0000-000004550000}"/>
    <cellStyle name="Note 4 3 3" xfId="21766" xr:uid="{00000000-0005-0000-0000-000005550000}"/>
    <cellStyle name="Note 4 3 4" xfId="21767" xr:uid="{00000000-0005-0000-0000-000006550000}"/>
    <cellStyle name="Note 4 4" xfId="21768" xr:uid="{00000000-0005-0000-0000-000007550000}"/>
    <cellStyle name="Note 4 4 2" xfId="21769" xr:uid="{00000000-0005-0000-0000-000008550000}"/>
    <cellStyle name="Note 4 4 3" xfId="21770" xr:uid="{00000000-0005-0000-0000-000009550000}"/>
    <cellStyle name="Note 4 5" xfId="21771" xr:uid="{00000000-0005-0000-0000-00000A550000}"/>
    <cellStyle name="Note 4 5 2" xfId="21772" xr:uid="{00000000-0005-0000-0000-00000B550000}"/>
    <cellStyle name="Note 4 5 3" xfId="21773" xr:uid="{00000000-0005-0000-0000-00000C550000}"/>
    <cellStyle name="Note 4 6" xfId="21774" xr:uid="{00000000-0005-0000-0000-00000D550000}"/>
    <cellStyle name="Note 4 7" xfId="21775" xr:uid="{00000000-0005-0000-0000-00000E550000}"/>
    <cellStyle name="Note 5" xfId="21776" xr:uid="{00000000-0005-0000-0000-00000F550000}"/>
    <cellStyle name="Note 5 2" xfId="21777" xr:uid="{00000000-0005-0000-0000-000010550000}"/>
    <cellStyle name="Note 5 2 2" xfId="21778" xr:uid="{00000000-0005-0000-0000-000011550000}"/>
    <cellStyle name="Note 5 2 3" xfId="21779" xr:uid="{00000000-0005-0000-0000-000012550000}"/>
    <cellStyle name="Note 5 3" xfId="21780" xr:uid="{00000000-0005-0000-0000-000013550000}"/>
    <cellStyle name="Note 5 3 2" xfId="21781" xr:uid="{00000000-0005-0000-0000-000014550000}"/>
    <cellStyle name="Note 5 3 3" xfId="21782" xr:uid="{00000000-0005-0000-0000-000015550000}"/>
    <cellStyle name="Note 5 4" xfId="21783" xr:uid="{00000000-0005-0000-0000-000016550000}"/>
    <cellStyle name="Note 5 5" xfId="21784" xr:uid="{00000000-0005-0000-0000-000017550000}"/>
    <cellStyle name="Note 6" xfId="21785" xr:uid="{00000000-0005-0000-0000-000018550000}"/>
    <cellStyle name="Note 6 2" xfId="21786" xr:uid="{00000000-0005-0000-0000-000019550000}"/>
    <cellStyle name="Note 6 2 2" xfId="21787" xr:uid="{00000000-0005-0000-0000-00001A550000}"/>
    <cellStyle name="Note 6 2 3" xfId="21788" xr:uid="{00000000-0005-0000-0000-00001B550000}"/>
    <cellStyle name="Note 6 3" xfId="21789" xr:uid="{00000000-0005-0000-0000-00001C550000}"/>
    <cellStyle name="Note 6 3 2" xfId="21790" xr:uid="{00000000-0005-0000-0000-00001D550000}"/>
    <cellStyle name="Note 6 3 3" xfId="21791" xr:uid="{00000000-0005-0000-0000-00001E550000}"/>
    <cellStyle name="Note 6 4" xfId="21792" xr:uid="{00000000-0005-0000-0000-00001F550000}"/>
    <cellStyle name="Note 6 5" xfId="21793" xr:uid="{00000000-0005-0000-0000-000020550000}"/>
    <cellStyle name="Note 7" xfId="21794" xr:uid="{00000000-0005-0000-0000-000021550000}"/>
    <cellStyle name="Note 7 2" xfId="21795" xr:uid="{00000000-0005-0000-0000-000022550000}"/>
    <cellStyle name="Note 7 2 2" xfId="21796" xr:uid="{00000000-0005-0000-0000-000023550000}"/>
    <cellStyle name="Note 7 2 3" xfId="21797" xr:uid="{00000000-0005-0000-0000-000024550000}"/>
    <cellStyle name="Note 7 3" xfId="21798" xr:uid="{00000000-0005-0000-0000-000025550000}"/>
    <cellStyle name="Note 7 4" xfId="21799" xr:uid="{00000000-0005-0000-0000-000026550000}"/>
    <cellStyle name="Note 8" xfId="21800" xr:uid="{00000000-0005-0000-0000-000027550000}"/>
    <cellStyle name="Note 8 2" xfId="21801" xr:uid="{00000000-0005-0000-0000-000028550000}"/>
    <cellStyle name="Note 8 3" xfId="21802" xr:uid="{00000000-0005-0000-0000-000029550000}"/>
    <cellStyle name="Note 9" xfId="21803" xr:uid="{00000000-0005-0000-0000-00002A550000}"/>
    <cellStyle name="Note 9 2" xfId="21804" xr:uid="{00000000-0005-0000-0000-00002B550000}"/>
    <cellStyle name="Note 9 3" xfId="21805" xr:uid="{00000000-0005-0000-0000-00002C550000}"/>
    <cellStyle name="OBI_ColHeader" xfId="21806" xr:uid="{00000000-0005-0000-0000-00002D550000}"/>
    <cellStyle name="Output 2" xfId="21807" xr:uid="{00000000-0005-0000-0000-00002E550000}"/>
    <cellStyle name="Output 2 2" xfId="21808" xr:uid="{00000000-0005-0000-0000-00002F550000}"/>
    <cellStyle name="Output 2 3" xfId="21809" xr:uid="{00000000-0005-0000-0000-000030550000}"/>
    <cellStyle name="Output 2 3 2" xfId="21810" xr:uid="{00000000-0005-0000-0000-000031550000}"/>
    <cellStyle name="Percent" xfId="6" builtinId="5"/>
    <cellStyle name="Percent 137" xfId="22052" xr:uid="{D02F4040-ED6D-4025-92BA-0F681C1653E4}"/>
    <cellStyle name="Percent 2" xfId="21811" xr:uid="{00000000-0005-0000-0000-000033550000}"/>
    <cellStyle name="Percent 2 2" xfId="21812" xr:uid="{00000000-0005-0000-0000-000034550000}"/>
    <cellStyle name="Percent 2 2 2" xfId="21813" xr:uid="{00000000-0005-0000-0000-000035550000}"/>
    <cellStyle name="Percent 2 2 3" xfId="21814" xr:uid="{00000000-0005-0000-0000-000036550000}"/>
    <cellStyle name="Percent 2 3" xfId="21815" xr:uid="{00000000-0005-0000-0000-000037550000}"/>
    <cellStyle name="Percent 2 3 2" xfId="21816" xr:uid="{00000000-0005-0000-0000-000038550000}"/>
    <cellStyle name="Percent 2 3 3" xfId="21817" xr:uid="{00000000-0005-0000-0000-000039550000}"/>
    <cellStyle name="Percent 2 4" xfId="21818" xr:uid="{00000000-0005-0000-0000-00003A550000}"/>
    <cellStyle name="Percent 2 4 2" xfId="21819" xr:uid="{00000000-0005-0000-0000-00003B550000}"/>
    <cellStyle name="Percent 2 4 3" xfId="21820" xr:uid="{00000000-0005-0000-0000-00003C550000}"/>
    <cellStyle name="Percent 2 5" xfId="21821" xr:uid="{00000000-0005-0000-0000-00003D550000}"/>
    <cellStyle name="Percent 2 5 2" xfId="21822" xr:uid="{00000000-0005-0000-0000-00003E550000}"/>
    <cellStyle name="Percent 2 5 3" xfId="21823" xr:uid="{00000000-0005-0000-0000-00003F550000}"/>
    <cellStyle name="Percent 2 6" xfId="21824" xr:uid="{00000000-0005-0000-0000-000040550000}"/>
    <cellStyle name="Percent 2 7" xfId="21825" xr:uid="{00000000-0005-0000-0000-000041550000}"/>
    <cellStyle name="Percent 2 9" xfId="5" xr:uid="{00000000-0005-0000-0000-000042550000}"/>
    <cellStyle name="Percent 3" xfId="21826" xr:uid="{00000000-0005-0000-0000-000043550000}"/>
    <cellStyle name="Percent 4" xfId="21827" xr:uid="{00000000-0005-0000-0000-000044550000}"/>
    <cellStyle name="Percent 5" xfId="21828" xr:uid="{00000000-0005-0000-0000-000045550000}"/>
    <cellStyle name="Percent 6" xfId="22047" xr:uid="{00000000-0005-0000-0000-000046550000}"/>
    <cellStyle name="Percent 7" xfId="22055" xr:uid="{A85DBF8A-C1C1-47A7-BC27-25BD82E03806}"/>
    <cellStyle name="Title 2" xfId="21829" xr:uid="{00000000-0005-0000-0000-000047550000}"/>
    <cellStyle name="Title 2 2" xfId="21830" xr:uid="{00000000-0005-0000-0000-000048550000}"/>
    <cellStyle name="Title 2 3" xfId="21831" xr:uid="{00000000-0005-0000-0000-000049550000}"/>
    <cellStyle name="Title 2 3 2" xfId="21832" xr:uid="{00000000-0005-0000-0000-00004A550000}"/>
    <cellStyle name="Total 2" xfId="21833" xr:uid="{00000000-0005-0000-0000-00004B550000}"/>
    <cellStyle name="Total 2 2" xfId="21834" xr:uid="{00000000-0005-0000-0000-00004C550000}"/>
    <cellStyle name="Total 2 3" xfId="21835" xr:uid="{00000000-0005-0000-0000-00004D550000}"/>
    <cellStyle name="Total 2 3 2" xfId="21836" xr:uid="{00000000-0005-0000-0000-00004E550000}"/>
    <cellStyle name="Untitled1" xfId="21837" xr:uid="{00000000-0005-0000-0000-00004F550000}"/>
    <cellStyle name="Untitled1 2" xfId="21838" xr:uid="{00000000-0005-0000-0000-000050550000}"/>
    <cellStyle name="Untitled1 2 2" xfId="21839" xr:uid="{00000000-0005-0000-0000-000051550000}"/>
    <cellStyle name="Untitled1 2 3" xfId="21840" xr:uid="{00000000-0005-0000-0000-000052550000}"/>
    <cellStyle name="Untitled1 3" xfId="21841" xr:uid="{00000000-0005-0000-0000-000053550000}"/>
    <cellStyle name="Untitled1 3 2" xfId="21842" xr:uid="{00000000-0005-0000-0000-000054550000}"/>
    <cellStyle name="Untitled1 3 3" xfId="21843" xr:uid="{00000000-0005-0000-0000-000055550000}"/>
    <cellStyle name="Untitled1 4" xfId="21844" xr:uid="{00000000-0005-0000-0000-000056550000}"/>
    <cellStyle name="Untitled1 4 2" xfId="21845" xr:uid="{00000000-0005-0000-0000-000057550000}"/>
    <cellStyle name="Untitled1 4 3" xfId="21846" xr:uid="{00000000-0005-0000-0000-000058550000}"/>
    <cellStyle name="Untitled1 4 3 2" xfId="21847" xr:uid="{00000000-0005-0000-0000-000059550000}"/>
    <cellStyle name="Untitled1 5" xfId="21848" xr:uid="{00000000-0005-0000-0000-00005A550000}"/>
    <cellStyle name="Untitled1 5 2" xfId="21849" xr:uid="{00000000-0005-0000-0000-00005B550000}"/>
    <cellStyle name="Untitled1 5 3" xfId="21850" xr:uid="{00000000-0005-0000-0000-00005C550000}"/>
    <cellStyle name="Untitled1 5 3 2" xfId="21851" xr:uid="{00000000-0005-0000-0000-00005D550000}"/>
    <cellStyle name="Untitled1 6" xfId="21852" xr:uid="{00000000-0005-0000-0000-00005E550000}"/>
    <cellStyle name="Untitled1 7" xfId="21853" xr:uid="{00000000-0005-0000-0000-00005F550000}"/>
    <cellStyle name="Untitled10" xfId="21854" xr:uid="{00000000-0005-0000-0000-000060550000}"/>
    <cellStyle name="Untitled10 2" xfId="21855" xr:uid="{00000000-0005-0000-0000-000061550000}"/>
    <cellStyle name="Untitled10 2 2" xfId="21856" xr:uid="{00000000-0005-0000-0000-000062550000}"/>
    <cellStyle name="Untitled10 2 3" xfId="21857" xr:uid="{00000000-0005-0000-0000-000063550000}"/>
    <cellStyle name="Untitled10 2 3 2" xfId="21858" xr:uid="{00000000-0005-0000-0000-000064550000}"/>
    <cellStyle name="Untitled10 3" xfId="21859" xr:uid="{00000000-0005-0000-0000-000065550000}"/>
    <cellStyle name="Untitled10 3 2" xfId="21860" xr:uid="{00000000-0005-0000-0000-000066550000}"/>
    <cellStyle name="Untitled10 3 3" xfId="21861" xr:uid="{00000000-0005-0000-0000-000067550000}"/>
    <cellStyle name="Untitled10 3 3 2" xfId="21862" xr:uid="{00000000-0005-0000-0000-000068550000}"/>
    <cellStyle name="Untitled10 4" xfId="21863" xr:uid="{00000000-0005-0000-0000-000069550000}"/>
    <cellStyle name="Untitled10 5" xfId="21864" xr:uid="{00000000-0005-0000-0000-00006A550000}"/>
    <cellStyle name="Untitled11" xfId="21865" xr:uid="{00000000-0005-0000-0000-00006B550000}"/>
    <cellStyle name="Untitled11 2" xfId="21866" xr:uid="{00000000-0005-0000-0000-00006C550000}"/>
    <cellStyle name="Untitled11 2 2" xfId="21867" xr:uid="{00000000-0005-0000-0000-00006D550000}"/>
    <cellStyle name="Untitled11 2 3" xfId="21868" xr:uid="{00000000-0005-0000-0000-00006E550000}"/>
    <cellStyle name="Untitled11 2 3 2" xfId="21869" xr:uid="{00000000-0005-0000-0000-00006F550000}"/>
    <cellStyle name="Untitled11 3" xfId="21870" xr:uid="{00000000-0005-0000-0000-000070550000}"/>
    <cellStyle name="Untitled11 3 2" xfId="21871" xr:uid="{00000000-0005-0000-0000-000071550000}"/>
    <cellStyle name="Untitled11 3 3" xfId="21872" xr:uid="{00000000-0005-0000-0000-000072550000}"/>
    <cellStyle name="Untitled11 3 3 2" xfId="21873" xr:uid="{00000000-0005-0000-0000-000073550000}"/>
    <cellStyle name="Untitled11 4" xfId="21874" xr:uid="{00000000-0005-0000-0000-000074550000}"/>
    <cellStyle name="Untitled11 5" xfId="21875" xr:uid="{00000000-0005-0000-0000-000075550000}"/>
    <cellStyle name="Untitled12" xfId="21876" xr:uid="{00000000-0005-0000-0000-000076550000}"/>
    <cellStyle name="Untitled12 2" xfId="21877" xr:uid="{00000000-0005-0000-0000-000077550000}"/>
    <cellStyle name="Untitled12 2 2" xfId="21878" xr:uid="{00000000-0005-0000-0000-000078550000}"/>
    <cellStyle name="Untitled12 2 3" xfId="21879" xr:uid="{00000000-0005-0000-0000-000079550000}"/>
    <cellStyle name="Untitled12 2 3 2" xfId="21880" xr:uid="{00000000-0005-0000-0000-00007A550000}"/>
    <cellStyle name="Untitled12 3" xfId="21881" xr:uid="{00000000-0005-0000-0000-00007B550000}"/>
    <cellStyle name="Untitled12 3 2" xfId="21882" xr:uid="{00000000-0005-0000-0000-00007C550000}"/>
    <cellStyle name="Untitled12 3 3" xfId="21883" xr:uid="{00000000-0005-0000-0000-00007D550000}"/>
    <cellStyle name="Untitled12 3 3 2" xfId="21884" xr:uid="{00000000-0005-0000-0000-00007E550000}"/>
    <cellStyle name="Untitled12 4" xfId="21885" xr:uid="{00000000-0005-0000-0000-00007F550000}"/>
    <cellStyle name="Untitled12 5" xfId="21886" xr:uid="{00000000-0005-0000-0000-000080550000}"/>
    <cellStyle name="Untitled13" xfId="21887" xr:uid="{00000000-0005-0000-0000-000081550000}"/>
    <cellStyle name="Untitled13 2" xfId="21888" xr:uid="{00000000-0005-0000-0000-000082550000}"/>
    <cellStyle name="Untitled13 2 2" xfId="21889" xr:uid="{00000000-0005-0000-0000-000083550000}"/>
    <cellStyle name="Untitled13 2 3" xfId="21890" xr:uid="{00000000-0005-0000-0000-000084550000}"/>
    <cellStyle name="Untitled13 2 3 2" xfId="21891" xr:uid="{00000000-0005-0000-0000-000085550000}"/>
    <cellStyle name="Untitled13 3" xfId="21892" xr:uid="{00000000-0005-0000-0000-000086550000}"/>
    <cellStyle name="Untitled13 3 2" xfId="21893" xr:uid="{00000000-0005-0000-0000-000087550000}"/>
    <cellStyle name="Untitled13 3 3" xfId="21894" xr:uid="{00000000-0005-0000-0000-000088550000}"/>
    <cellStyle name="Untitled13 3 3 2" xfId="21895" xr:uid="{00000000-0005-0000-0000-000089550000}"/>
    <cellStyle name="Untitled13 4" xfId="21896" xr:uid="{00000000-0005-0000-0000-00008A550000}"/>
    <cellStyle name="Untitled13 5" xfId="21897" xr:uid="{00000000-0005-0000-0000-00008B550000}"/>
    <cellStyle name="Untitled14" xfId="21898" xr:uid="{00000000-0005-0000-0000-00008C550000}"/>
    <cellStyle name="Untitled14 2" xfId="21899" xr:uid="{00000000-0005-0000-0000-00008D550000}"/>
    <cellStyle name="Untitled14 2 2" xfId="21900" xr:uid="{00000000-0005-0000-0000-00008E550000}"/>
    <cellStyle name="Untitled14 2 3" xfId="21901" xr:uid="{00000000-0005-0000-0000-00008F550000}"/>
    <cellStyle name="Untitled14 2 3 2" xfId="21902" xr:uid="{00000000-0005-0000-0000-000090550000}"/>
    <cellStyle name="Untitled14 3" xfId="21903" xr:uid="{00000000-0005-0000-0000-000091550000}"/>
    <cellStyle name="Untitled14 3 2" xfId="21904" xr:uid="{00000000-0005-0000-0000-000092550000}"/>
    <cellStyle name="Untitled14 3 3" xfId="21905" xr:uid="{00000000-0005-0000-0000-000093550000}"/>
    <cellStyle name="Untitled14 3 3 2" xfId="21906" xr:uid="{00000000-0005-0000-0000-000094550000}"/>
    <cellStyle name="Untitled14 4" xfId="21907" xr:uid="{00000000-0005-0000-0000-000095550000}"/>
    <cellStyle name="Untitled14 5" xfId="21908" xr:uid="{00000000-0005-0000-0000-000096550000}"/>
    <cellStyle name="Untitled15" xfId="21909" xr:uid="{00000000-0005-0000-0000-000097550000}"/>
    <cellStyle name="Untitled15 2" xfId="21910" xr:uid="{00000000-0005-0000-0000-000098550000}"/>
    <cellStyle name="Untitled15 2 2" xfId="21911" xr:uid="{00000000-0005-0000-0000-000099550000}"/>
    <cellStyle name="Untitled15 2 3" xfId="21912" xr:uid="{00000000-0005-0000-0000-00009A550000}"/>
    <cellStyle name="Untitled15 2 3 2" xfId="21913" xr:uid="{00000000-0005-0000-0000-00009B550000}"/>
    <cellStyle name="Untitled15 3" xfId="21914" xr:uid="{00000000-0005-0000-0000-00009C550000}"/>
    <cellStyle name="Untitled15 3 2" xfId="21915" xr:uid="{00000000-0005-0000-0000-00009D550000}"/>
    <cellStyle name="Untitled15 3 3" xfId="21916" xr:uid="{00000000-0005-0000-0000-00009E550000}"/>
    <cellStyle name="Untitled15 3 3 2" xfId="21917" xr:uid="{00000000-0005-0000-0000-00009F550000}"/>
    <cellStyle name="Untitled15 4" xfId="21918" xr:uid="{00000000-0005-0000-0000-0000A0550000}"/>
    <cellStyle name="Untitled15 5" xfId="21919" xr:uid="{00000000-0005-0000-0000-0000A1550000}"/>
    <cellStyle name="Untitled16" xfId="21920" xr:uid="{00000000-0005-0000-0000-0000A2550000}"/>
    <cellStyle name="Untitled16 2" xfId="21921" xr:uid="{00000000-0005-0000-0000-0000A3550000}"/>
    <cellStyle name="Untitled16 2 2" xfId="21922" xr:uid="{00000000-0005-0000-0000-0000A4550000}"/>
    <cellStyle name="Untitled16 2 3" xfId="21923" xr:uid="{00000000-0005-0000-0000-0000A5550000}"/>
    <cellStyle name="Untitled16 2 3 2" xfId="21924" xr:uid="{00000000-0005-0000-0000-0000A6550000}"/>
    <cellStyle name="Untitled16 3" xfId="21925" xr:uid="{00000000-0005-0000-0000-0000A7550000}"/>
    <cellStyle name="Untitled16 3 2" xfId="21926" xr:uid="{00000000-0005-0000-0000-0000A8550000}"/>
    <cellStyle name="Untitled16 3 3" xfId="21927" xr:uid="{00000000-0005-0000-0000-0000A9550000}"/>
    <cellStyle name="Untitled16 3 3 2" xfId="21928" xr:uid="{00000000-0005-0000-0000-0000AA550000}"/>
    <cellStyle name="Untitled16 4" xfId="21929" xr:uid="{00000000-0005-0000-0000-0000AB550000}"/>
    <cellStyle name="Untitled16 5" xfId="21930" xr:uid="{00000000-0005-0000-0000-0000AC550000}"/>
    <cellStyle name="Untitled17" xfId="21931" xr:uid="{00000000-0005-0000-0000-0000AD550000}"/>
    <cellStyle name="Untitled17 2" xfId="21932" xr:uid="{00000000-0005-0000-0000-0000AE550000}"/>
    <cellStyle name="Untitled17 2 2" xfId="21933" xr:uid="{00000000-0005-0000-0000-0000AF550000}"/>
    <cellStyle name="Untitled17 2 3" xfId="21934" xr:uid="{00000000-0005-0000-0000-0000B0550000}"/>
    <cellStyle name="Untitled17 2 3 2" xfId="21935" xr:uid="{00000000-0005-0000-0000-0000B1550000}"/>
    <cellStyle name="Untitled17 3" xfId="21936" xr:uid="{00000000-0005-0000-0000-0000B2550000}"/>
    <cellStyle name="Untitled17 3 2" xfId="21937" xr:uid="{00000000-0005-0000-0000-0000B3550000}"/>
    <cellStyle name="Untitled17 3 3" xfId="21938" xr:uid="{00000000-0005-0000-0000-0000B4550000}"/>
    <cellStyle name="Untitled17 3 3 2" xfId="21939" xr:uid="{00000000-0005-0000-0000-0000B5550000}"/>
    <cellStyle name="Untitled17 4" xfId="21940" xr:uid="{00000000-0005-0000-0000-0000B6550000}"/>
    <cellStyle name="Untitled17 5" xfId="21941" xr:uid="{00000000-0005-0000-0000-0000B7550000}"/>
    <cellStyle name="Untitled2" xfId="21942" xr:uid="{00000000-0005-0000-0000-0000B8550000}"/>
    <cellStyle name="Untitled2 2" xfId="21943" xr:uid="{00000000-0005-0000-0000-0000B9550000}"/>
    <cellStyle name="Untitled2 2 2" xfId="21944" xr:uid="{00000000-0005-0000-0000-0000BA550000}"/>
    <cellStyle name="Untitled2 2 3" xfId="21945" xr:uid="{00000000-0005-0000-0000-0000BB550000}"/>
    <cellStyle name="Untitled2 3" xfId="21946" xr:uid="{00000000-0005-0000-0000-0000BC550000}"/>
    <cellStyle name="Untitled2 3 2" xfId="21947" xr:uid="{00000000-0005-0000-0000-0000BD550000}"/>
    <cellStyle name="Untitled2 3 3" xfId="21948" xr:uid="{00000000-0005-0000-0000-0000BE550000}"/>
    <cellStyle name="Untitled2 4" xfId="21949" xr:uid="{00000000-0005-0000-0000-0000BF550000}"/>
    <cellStyle name="Untitled2 4 2" xfId="21950" xr:uid="{00000000-0005-0000-0000-0000C0550000}"/>
    <cellStyle name="Untitled2 4 3" xfId="21951" xr:uid="{00000000-0005-0000-0000-0000C1550000}"/>
    <cellStyle name="Untitled2 4 3 2" xfId="21952" xr:uid="{00000000-0005-0000-0000-0000C2550000}"/>
    <cellStyle name="Untitled2 5" xfId="21953" xr:uid="{00000000-0005-0000-0000-0000C3550000}"/>
    <cellStyle name="Untitled2 5 2" xfId="21954" xr:uid="{00000000-0005-0000-0000-0000C4550000}"/>
    <cellStyle name="Untitled2 5 3" xfId="21955" xr:uid="{00000000-0005-0000-0000-0000C5550000}"/>
    <cellStyle name="Untitled2 5 3 2" xfId="21956" xr:uid="{00000000-0005-0000-0000-0000C6550000}"/>
    <cellStyle name="Untitled2 6" xfId="21957" xr:uid="{00000000-0005-0000-0000-0000C7550000}"/>
    <cellStyle name="Untitled2 7" xfId="21958" xr:uid="{00000000-0005-0000-0000-0000C8550000}"/>
    <cellStyle name="Untitled3" xfId="21959" xr:uid="{00000000-0005-0000-0000-0000C9550000}"/>
    <cellStyle name="Untitled3 2" xfId="21960" xr:uid="{00000000-0005-0000-0000-0000CA550000}"/>
    <cellStyle name="Untitled3 2 2" xfId="21961" xr:uid="{00000000-0005-0000-0000-0000CB550000}"/>
    <cellStyle name="Untitled3 2 3" xfId="21962" xr:uid="{00000000-0005-0000-0000-0000CC550000}"/>
    <cellStyle name="Untitled3 3" xfId="21963" xr:uid="{00000000-0005-0000-0000-0000CD550000}"/>
    <cellStyle name="Untitled3 3 2" xfId="21964" xr:uid="{00000000-0005-0000-0000-0000CE550000}"/>
    <cellStyle name="Untitled3 3 3" xfId="21965" xr:uid="{00000000-0005-0000-0000-0000CF550000}"/>
    <cellStyle name="Untitled3 4" xfId="21966" xr:uid="{00000000-0005-0000-0000-0000D0550000}"/>
    <cellStyle name="Untitled3 4 2" xfId="21967" xr:uid="{00000000-0005-0000-0000-0000D1550000}"/>
    <cellStyle name="Untitled3 4 3" xfId="21968" xr:uid="{00000000-0005-0000-0000-0000D2550000}"/>
    <cellStyle name="Untitled3 4 3 2" xfId="21969" xr:uid="{00000000-0005-0000-0000-0000D3550000}"/>
    <cellStyle name="Untitled3 5" xfId="21970" xr:uid="{00000000-0005-0000-0000-0000D4550000}"/>
    <cellStyle name="Untitled3 5 2" xfId="21971" xr:uid="{00000000-0005-0000-0000-0000D5550000}"/>
    <cellStyle name="Untitled3 5 3" xfId="21972" xr:uid="{00000000-0005-0000-0000-0000D6550000}"/>
    <cellStyle name="Untitled3 5 3 2" xfId="21973" xr:uid="{00000000-0005-0000-0000-0000D7550000}"/>
    <cellStyle name="Untitled3 6" xfId="21974" xr:uid="{00000000-0005-0000-0000-0000D8550000}"/>
    <cellStyle name="Untitled3 7" xfId="21975" xr:uid="{00000000-0005-0000-0000-0000D9550000}"/>
    <cellStyle name="Untitled4" xfId="21976" xr:uid="{00000000-0005-0000-0000-0000DA550000}"/>
    <cellStyle name="Untitled4 2" xfId="21977" xr:uid="{00000000-0005-0000-0000-0000DB550000}"/>
    <cellStyle name="Untitled4 2 2" xfId="21978" xr:uid="{00000000-0005-0000-0000-0000DC550000}"/>
    <cellStyle name="Untitled4 2 3" xfId="21979" xr:uid="{00000000-0005-0000-0000-0000DD550000}"/>
    <cellStyle name="Untitled4 2 3 2" xfId="21980" xr:uid="{00000000-0005-0000-0000-0000DE550000}"/>
    <cellStyle name="Untitled4 3" xfId="21981" xr:uid="{00000000-0005-0000-0000-0000DF550000}"/>
    <cellStyle name="Untitled4 3 2" xfId="21982" xr:uid="{00000000-0005-0000-0000-0000E0550000}"/>
    <cellStyle name="Untitled4 3 3" xfId="21983" xr:uid="{00000000-0005-0000-0000-0000E1550000}"/>
    <cellStyle name="Untitled4 3 3 2" xfId="21984" xr:uid="{00000000-0005-0000-0000-0000E2550000}"/>
    <cellStyle name="Untitled4 4" xfId="21985" xr:uid="{00000000-0005-0000-0000-0000E3550000}"/>
    <cellStyle name="Untitled4 5" xfId="21986" xr:uid="{00000000-0005-0000-0000-0000E4550000}"/>
    <cellStyle name="Untitled5" xfId="21987" xr:uid="{00000000-0005-0000-0000-0000E5550000}"/>
    <cellStyle name="Untitled5 2" xfId="21988" xr:uid="{00000000-0005-0000-0000-0000E6550000}"/>
    <cellStyle name="Untitled5 2 2" xfId="21989" xr:uid="{00000000-0005-0000-0000-0000E7550000}"/>
    <cellStyle name="Untitled5 2 3" xfId="21990" xr:uid="{00000000-0005-0000-0000-0000E8550000}"/>
    <cellStyle name="Untitled5 2 3 2" xfId="21991" xr:uid="{00000000-0005-0000-0000-0000E9550000}"/>
    <cellStyle name="Untitled5 3" xfId="21992" xr:uid="{00000000-0005-0000-0000-0000EA550000}"/>
    <cellStyle name="Untitled5 3 2" xfId="21993" xr:uid="{00000000-0005-0000-0000-0000EB550000}"/>
    <cellStyle name="Untitled5 3 3" xfId="21994" xr:uid="{00000000-0005-0000-0000-0000EC550000}"/>
    <cellStyle name="Untitled5 3 3 2" xfId="21995" xr:uid="{00000000-0005-0000-0000-0000ED550000}"/>
    <cellStyle name="Untitled5 4" xfId="21996" xr:uid="{00000000-0005-0000-0000-0000EE550000}"/>
    <cellStyle name="Untitled5 5" xfId="21997" xr:uid="{00000000-0005-0000-0000-0000EF550000}"/>
    <cellStyle name="Untitled6" xfId="21998" xr:uid="{00000000-0005-0000-0000-0000F0550000}"/>
    <cellStyle name="Untitled6 2" xfId="21999" xr:uid="{00000000-0005-0000-0000-0000F1550000}"/>
    <cellStyle name="Untitled6 2 2" xfId="22000" xr:uid="{00000000-0005-0000-0000-0000F2550000}"/>
    <cellStyle name="Untitled6 2 3" xfId="22001" xr:uid="{00000000-0005-0000-0000-0000F3550000}"/>
    <cellStyle name="Untitled6 2 3 2" xfId="22002" xr:uid="{00000000-0005-0000-0000-0000F4550000}"/>
    <cellStyle name="Untitled6 3" xfId="22003" xr:uid="{00000000-0005-0000-0000-0000F5550000}"/>
    <cellStyle name="Untitled6 3 2" xfId="22004" xr:uid="{00000000-0005-0000-0000-0000F6550000}"/>
    <cellStyle name="Untitled6 3 3" xfId="22005" xr:uid="{00000000-0005-0000-0000-0000F7550000}"/>
    <cellStyle name="Untitled6 3 3 2" xfId="22006" xr:uid="{00000000-0005-0000-0000-0000F8550000}"/>
    <cellStyle name="Untitled6 4" xfId="22007" xr:uid="{00000000-0005-0000-0000-0000F9550000}"/>
    <cellStyle name="Untitled6 5" xfId="22008" xr:uid="{00000000-0005-0000-0000-0000FA550000}"/>
    <cellStyle name="Untitled7" xfId="22009" xr:uid="{00000000-0005-0000-0000-0000FB550000}"/>
    <cellStyle name="Untitled7 2" xfId="22010" xr:uid="{00000000-0005-0000-0000-0000FC550000}"/>
    <cellStyle name="Untitled7 2 2" xfId="22011" xr:uid="{00000000-0005-0000-0000-0000FD550000}"/>
    <cellStyle name="Untitled7 2 3" xfId="22012" xr:uid="{00000000-0005-0000-0000-0000FE550000}"/>
    <cellStyle name="Untitled7 2 3 2" xfId="22013" xr:uid="{00000000-0005-0000-0000-0000FF550000}"/>
    <cellStyle name="Untitled7 3" xfId="22014" xr:uid="{00000000-0005-0000-0000-000000560000}"/>
    <cellStyle name="Untitled7 3 2" xfId="22015" xr:uid="{00000000-0005-0000-0000-000001560000}"/>
    <cellStyle name="Untitled7 3 3" xfId="22016" xr:uid="{00000000-0005-0000-0000-000002560000}"/>
    <cellStyle name="Untitled7 3 3 2" xfId="22017" xr:uid="{00000000-0005-0000-0000-000003560000}"/>
    <cellStyle name="Untitled7 4" xfId="22018" xr:uid="{00000000-0005-0000-0000-000004560000}"/>
    <cellStyle name="Untitled7 5" xfId="22019" xr:uid="{00000000-0005-0000-0000-000005560000}"/>
    <cellStyle name="Untitled8" xfId="22020" xr:uid="{00000000-0005-0000-0000-000006560000}"/>
    <cellStyle name="Untitled8 2" xfId="22021" xr:uid="{00000000-0005-0000-0000-000007560000}"/>
    <cellStyle name="Untitled8 2 2" xfId="22022" xr:uid="{00000000-0005-0000-0000-000008560000}"/>
    <cellStyle name="Untitled8 2 3" xfId="22023" xr:uid="{00000000-0005-0000-0000-000009560000}"/>
    <cellStyle name="Untitled8 2 3 2" xfId="22024" xr:uid="{00000000-0005-0000-0000-00000A560000}"/>
    <cellStyle name="Untitled8 3" xfId="22025" xr:uid="{00000000-0005-0000-0000-00000B560000}"/>
    <cellStyle name="Untitled8 3 2" xfId="22026" xr:uid="{00000000-0005-0000-0000-00000C560000}"/>
    <cellStyle name="Untitled8 3 3" xfId="22027" xr:uid="{00000000-0005-0000-0000-00000D560000}"/>
    <cellStyle name="Untitled8 3 3 2" xfId="22028" xr:uid="{00000000-0005-0000-0000-00000E560000}"/>
    <cellStyle name="Untitled8 4" xfId="22029" xr:uid="{00000000-0005-0000-0000-00000F560000}"/>
    <cellStyle name="Untitled8 5" xfId="22030" xr:uid="{00000000-0005-0000-0000-000010560000}"/>
    <cellStyle name="Untitled9" xfId="22031" xr:uid="{00000000-0005-0000-0000-000011560000}"/>
    <cellStyle name="Untitled9 2" xfId="22032" xr:uid="{00000000-0005-0000-0000-000012560000}"/>
    <cellStyle name="Untitled9 2 2" xfId="22033" xr:uid="{00000000-0005-0000-0000-000013560000}"/>
    <cellStyle name="Untitled9 2 3" xfId="22034" xr:uid="{00000000-0005-0000-0000-000014560000}"/>
    <cellStyle name="Untitled9 2 3 2" xfId="22035" xr:uid="{00000000-0005-0000-0000-000015560000}"/>
    <cellStyle name="Untitled9 3" xfId="22036" xr:uid="{00000000-0005-0000-0000-000016560000}"/>
    <cellStyle name="Untitled9 3 2" xfId="22037" xr:uid="{00000000-0005-0000-0000-000017560000}"/>
    <cellStyle name="Untitled9 3 3" xfId="22038" xr:uid="{00000000-0005-0000-0000-000018560000}"/>
    <cellStyle name="Untitled9 3 3 2" xfId="22039" xr:uid="{00000000-0005-0000-0000-000019560000}"/>
    <cellStyle name="Untitled9 4" xfId="22040" xr:uid="{00000000-0005-0000-0000-00001A560000}"/>
    <cellStyle name="Untitled9 5" xfId="22041" xr:uid="{00000000-0005-0000-0000-00001B560000}"/>
    <cellStyle name="Warning Text 2" xfId="22042" xr:uid="{00000000-0005-0000-0000-00001C560000}"/>
    <cellStyle name="Warning Text 2 2" xfId="22043" xr:uid="{00000000-0005-0000-0000-00001D560000}"/>
    <cellStyle name="Warning Text 2 3" xfId="22044" xr:uid="{00000000-0005-0000-0000-00001E560000}"/>
    <cellStyle name="Warning Text 2 3 2" xfId="22045" xr:uid="{00000000-0005-0000-0000-00001F560000}"/>
    <cellStyle name="標準_Book1" xfId="22046" xr:uid="{00000000-0005-0000-0000-000020560000}"/>
  </cellStyles>
  <dxfs count="2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9"/>
        </patternFill>
      </fill>
    </dxf>
    <dxf>
      <font>
        <color rgb="FF9C0006"/>
      </font>
      <fill>
        <patternFill>
          <bgColor rgb="FFFFC7CE"/>
        </patternFill>
      </fill>
    </dxf>
    <dxf>
      <font>
        <color rgb="FF9C0006"/>
      </font>
      <fill>
        <patternFill>
          <bgColor rgb="FFFFC7CE"/>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theme="0"/>
      </font>
      <fill>
        <patternFill>
          <bgColor rgb="FF002060"/>
        </patternFill>
      </fill>
    </dxf>
    <dxf>
      <fill>
        <patternFill>
          <bgColor theme="1" tint="0.749961851863155"/>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6" formatCode="#,##0_);[Red]\(#,##0\)"/>
      <fill>
        <patternFill patternType="none">
          <fgColor indexed="64"/>
          <bgColor auto="1"/>
        </patternFill>
      </fill>
      <alignment horizontal="right" vertical="center" textRotation="0" wrapText="0" relativeIndent="1" justifyLastLine="0" shrinkToFit="0" readingOrder="0"/>
    </dxf>
    <dxf>
      <font>
        <b val="0"/>
        <i val="0"/>
        <strike val="0"/>
        <condense val="0"/>
        <extend val="0"/>
        <outline val="0"/>
        <shadow val="0"/>
        <u val="none"/>
        <vertAlign val="baseline"/>
        <sz val="11"/>
        <color rgb="FF000000"/>
        <name val="Calibri"/>
        <scheme val="none"/>
      </font>
      <numFmt numFmtId="6" formatCode="#,##0_);[Red]\(#,##0\)"/>
      <fill>
        <patternFill patternType="none">
          <fgColor indexed="64"/>
          <bgColor indexed="65"/>
        </patternFill>
      </fill>
      <alignment horizontal="right" vertical="center" textRotation="0" wrapText="0" indent="2" justifyLastLine="0" shrinkToFit="0" readingOrder="0"/>
    </dxf>
    <dxf>
      <font>
        <b val="0"/>
        <i val="0"/>
        <strike val="0"/>
        <condense val="0"/>
        <extend val="0"/>
        <outline val="0"/>
        <shadow val="0"/>
        <u val="none"/>
        <vertAlign val="baseline"/>
        <sz val="11"/>
        <color rgb="FF000000"/>
        <name val="Calibri"/>
        <scheme val="none"/>
      </font>
      <numFmt numFmtId="0" formatCode="General"/>
      <fill>
        <patternFill patternType="solid">
          <fgColor indexed="64"/>
          <bgColor rgb="FFF3FC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indexed="64"/>
          <bgColor rgb="FFF3FC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indexed="64"/>
          <bgColor rgb="FFF3FC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rgb="FF000000"/>
        <name val="Calibri"/>
        <scheme val="none"/>
      </font>
      <fill>
        <patternFill patternType="solid">
          <fgColor indexed="64"/>
          <bgColor rgb="FFFFFF00"/>
        </patternFill>
      </fill>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rgb="FFFFFFFF"/>
        <name val="Calibri"/>
        <scheme val="none"/>
      </font>
      <fill>
        <patternFill patternType="solid">
          <fgColor indexed="64"/>
          <bgColor rgb="FF4472C4"/>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theme="0"/>
        <name val="Calibri"/>
        <family val="2"/>
        <scheme val="minor"/>
      </font>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numFmt numFmtId="10" formatCode="&quot;$&quot;#,##0_);[Red]\(&quot;$&quot;#,##0\)"/>
    </dxf>
    <dxf>
      <font>
        <b val="0"/>
        <i val="0"/>
        <strike val="0"/>
        <condense val="0"/>
        <extend val="0"/>
        <outline val="0"/>
        <shadow val="0"/>
        <u val="none"/>
        <vertAlign val="baseline"/>
        <sz val="11"/>
        <color auto="1"/>
        <name val="Calibri"/>
        <family val="2"/>
        <scheme val="minor"/>
      </font>
      <numFmt numFmtId="8" formatCode="#,##0.00_);[Red]\(#,##0.0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theme="0"/>
        <name val="Calibri"/>
        <family val="2"/>
        <scheme val="minor"/>
      </font>
    </dxf>
    <dxf>
      <font>
        <b/>
        <i val="0"/>
        <color theme="0"/>
      </font>
    </dxf>
  </dxfs>
  <tableStyles count="1" defaultTableStyle="TableStyleMedium9" defaultPivotStyle="PivotStyleLight16">
    <tableStyle name="Table Style 1" pivot="0" count="1" xr9:uid="{9904B462-E1C8-4CDF-B7BF-1D1A635520A2}">
      <tableStyleElement type="firstColumnStripe" dxfId="229"/>
    </tableStyle>
  </tableStyles>
  <colors>
    <mruColors>
      <color rgb="FF3C425B"/>
      <color rgb="FF2C5967"/>
      <color rgb="FF3B4785"/>
      <color rgb="FF323C70"/>
      <color rgb="FF3C798C"/>
      <color rgb="FF4B97AF"/>
      <color rgb="FF000000"/>
      <color rgb="FF080808"/>
      <color rgb="FFC74634"/>
      <color rgb="FFC732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07/relationships/slicerCache" Target="slicerCaches/slicerCache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microsoft.com/office/2007/relationships/slicerCache" Target="slicerCaches/slicerCache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8"/>
          <c:order val="0"/>
          <c:tx>
            <c:strRef>
              <c:f>'Ramp Env'!$A$40</c:f>
              <c:strCache>
                <c:ptCount val="1"/>
                <c:pt idx="0">
                  <c:v>Annual Total</c:v>
                </c:pt>
              </c:strCache>
            </c:strRef>
          </c:tx>
          <c:spPr>
            <a:solidFill>
              <a:srgbClr val="2C5967"/>
            </a:solidFill>
            <a:ln>
              <a:noFill/>
            </a:ln>
            <a:effectLst/>
          </c:spPr>
          <c:invertIfNegative val="0"/>
          <c:cat>
            <c:numRef>
              <c:f>'Ramp Env'!$C$33:$G$33</c:f>
              <c:numCache>
                <c:formatCode>0</c:formatCode>
                <c:ptCount val="5"/>
                <c:pt idx="0">
                  <c:v>2022</c:v>
                </c:pt>
                <c:pt idx="1">
                  <c:v>2023</c:v>
                </c:pt>
                <c:pt idx="2">
                  <c:v>2024</c:v>
                </c:pt>
                <c:pt idx="3">
                  <c:v>2024</c:v>
                </c:pt>
                <c:pt idx="4">
                  <c:v>2024</c:v>
                </c:pt>
              </c:numCache>
            </c:numRef>
          </c:cat>
          <c:val>
            <c:numRef>
              <c:f>'Ramp Env'!$C$40:$G$40</c:f>
              <c:numCache>
                <c:formatCode>#,##0_);[Red]\(#,##0\)</c:formatCode>
                <c:ptCount val="5"/>
                <c:pt idx="0">
                  <c:v>1738647.5615999999</c:v>
                </c:pt>
                <c:pt idx="1">
                  <c:v>1738647.5615999999</c:v>
                </c:pt>
                <c:pt idx="2">
                  <c:v>1738647.5615999999</c:v>
                </c:pt>
                <c:pt idx="3">
                  <c:v>1738647.5615999999</c:v>
                </c:pt>
                <c:pt idx="4">
                  <c:v>1738647.5615999999</c:v>
                </c:pt>
              </c:numCache>
            </c:numRef>
          </c:val>
          <c:extLst>
            <c:ext xmlns:c16="http://schemas.microsoft.com/office/drawing/2014/chart" uri="{C3380CC4-5D6E-409C-BE32-E72D297353CC}">
              <c16:uniqueId val="{00000008-CE99-4CB8-8531-B8CCF810E26A}"/>
            </c:ext>
          </c:extLst>
        </c:ser>
        <c:dLbls>
          <c:showLegendKey val="0"/>
          <c:showVal val="0"/>
          <c:showCatName val="0"/>
          <c:showSerName val="0"/>
          <c:showPercent val="0"/>
          <c:showBubbleSize val="0"/>
        </c:dLbls>
        <c:gapWidth val="50"/>
        <c:axId val="430985808"/>
        <c:axId val="430979576"/>
      </c:barChart>
      <c:catAx>
        <c:axId val="4309858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0979576"/>
        <c:crosses val="autoZero"/>
        <c:auto val="1"/>
        <c:lblAlgn val="ctr"/>
        <c:lblOffset val="100"/>
        <c:noMultiLvlLbl val="0"/>
      </c:catAx>
      <c:valAx>
        <c:axId val="430979576"/>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0985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8"/>
          <c:order val="0"/>
          <c:tx>
            <c:strRef>
              <c:f>'Ramp OCPU'!$A$70</c:f>
              <c:strCache>
                <c:ptCount val="1"/>
                <c:pt idx="0">
                  <c:v>Annual Total</c:v>
                </c:pt>
              </c:strCache>
            </c:strRef>
          </c:tx>
          <c:spPr>
            <a:solidFill>
              <a:srgbClr val="2C5967"/>
            </a:solidFill>
            <a:ln>
              <a:noFill/>
            </a:ln>
            <a:effectLst/>
          </c:spPr>
          <c:invertIfNegative val="0"/>
          <c:cat>
            <c:numRef>
              <c:f>'Ramp OCPU'!$G$52:$K$52</c:f>
              <c:numCache>
                <c:formatCode>0</c:formatCode>
                <c:ptCount val="5"/>
                <c:pt idx="0">
                  <c:v>2022</c:v>
                </c:pt>
                <c:pt idx="1">
                  <c:v>2023</c:v>
                </c:pt>
                <c:pt idx="2">
                  <c:v>2024</c:v>
                </c:pt>
                <c:pt idx="3">
                  <c:v>2025</c:v>
                </c:pt>
                <c:pt idx="4">
                  <c:v>2026</c:v>
                </c:pt>
              </c:numCache>
            </c:numRef>
          </c:cat>
          <c:val>
            <c:numRef>
              <c:f>'Ramp OCPU'!$G$70:$K$70</c:f>
              <c:numCache>
                <c:formatCode>#,##0_);[Red]\(#,##0\)</c:formatCode>
                <c:ptCount val="5"/>
                <c:pt idx="0">
                  <c:v>56531.015399999997</c:v>
                </c:pt>
                <c:pt idx="1">
                  <c:v>56531.015399999997</c:v>
                </c:pt>
                <c:pt idx="2">
                  <c:v>56531.015399999997</c:v>
                </c:pt>
                <c:pt idx="3">
                  <c:v>56531.015399999997</c:v>
                </c:pt>
                <c:pt idx="4">
                  <c:v>56531.015399999997</c:v>
                </c:pt>
              </c:numCache>
            </c:numRef>
          </c:val>
          <c:extLst>
            <c:ext xmlns:c16="http://schemas.microsoft.com/office/drawing/2014/chart" uri="{C3380CC4-5D6E-409C-BE32-E72D297353CC}">
              <c16:uniqueId val="{00000000-FEDA-4D2D-8ACE-EB14F733174A}"/>
            </c:ext>
          </c:extLst>
        </c:ser>
        <c:dLbls>
          <c:showLegendKey val="0"/>
          <c:showVal val="0"/>
          <c:showCatName val="0"/>
          <c:showSerName val="0"/>
          <c:showPercent val="0"/>
          <c:showBubbleSize val="0"/>
        </c:dLbls>
        <c:gapWidth val="50"/>
        <c:axId val="430985808"/>
        <c:axId val="430979576"/>
      </c:barChart>
      <c:catAx>
        <c:axId val="4309858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0979576"/>
        <c:crosses val="autoZero"/>
        <c:auto val="1"/>
        <c:lblAlgn val="ctr"/>
        <c:lblOffset val="100"/>
        <c:noMultiLvlLbl val="0"/>
      </c:catAx>
      <c:valAx>
        <c:axId val="430979576"/>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0985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TCO!$C$5</c:f>
              <c:strCache>
                <c:ptCount val="1"/>
                <c:pt idx="0">
                  <c:v>Current State</c:v>
                </c:pt>
              </c:strCache>
            </c:strRef>
          </c:tx>
          <c:spPr>
            <a:solidFill>
              <a:schemeClr val="tx1">
                <a:lumMod val="60000"/>
                <a:lumOff val="40000"/>
              </a:schemeClr>
            </a:solidFill>
            <a:ln>
              <a:noFill/>
            </a:ln>
            <a:effectLst/>
          </c:spPr>
          <c:invertIfNegative val="0"/>
          <c:cat>
            <c:numRef>
              <c:f>TCO!$D$4:$H$4</c:f>
              <c:numCache>
                <c:formatCode>General</c:formatCode>
                <c:ptCount val="3"/>
                <c:pt idx="0">
                  <c:v>2022</c:v>
                </c:pt>
                <c:pt idx="1">
                  <c:v>2023</c:v>
                </c:pt>
                <c:pt idx="2">
                  <c:v>2024</c:v>
                </c:pt>
              </c:numCache>
            </c:numRef>
          </c:cat>
          <c:val>
            <c:numRef>
              <c:f>TCO!$D$10:$H$10</c:f>
              <c:numCache>
                <c:formatCode>"$"\ #,##0_);\("$"\ #,##0\)</c:formatCode>
                <c:ptCount val="3"/>
                <c:pt idx="0">
                  <c:v>280000</c:v>
                </c:pt>
                <c:pt idx="1">
                  <c:v>50000</c:v>
                </c:pt>
                <c:pt idx="2">
                  <c:v>80000</c:v>
                </c:pt>
              </c:numCache>
            </c:numRef>
          </c:val>
          <c:extLst>
            <c:ext xmlns:c16="http://schemas.microsoft.com/office/drawing/2014/chart" uri="{C3380CC4-5D6E-409C-BE32-E72D297353CC}">
              <c16:uniqueId val="{00000000-8ACE-472C-8CCF-E05339812A35}"/>
            </c:ext>
          </c:extLst>
        </c:ser>
        <c:ser>
          <c:idx val="1"/>
          <c:order val="1"/>
          <c:tx>
            <c:strRef>
              <c:f>TCO!$C$12</c:f>
              <c:strCache>
                <c:ptCount val="1"/>
                <c:pt idx="0">
                  <c:v>Option 1 - Oracle Cloud</c:v>
                </c:pt>
              </c:strCache>
            </c:strRef>
          </c:tx>
          <c:spPr>
            <a:solidFill>
              <a:srgbClr val="C74634"/>
            </a:solidFill>
            <a:ln>
              <a:noFill/>
            </a:ln>
            <a:effectLst/>
          </c:spPr>
          <c:invertIfNegative val="0"/>
          <c:cat>
            <c:numRef>
              <c:f>TCO!$D$4:$H$4</c:f>
              <c:numCache>
                <c:formatCode>General</c:formatCode>
                <c:ptCount val="3"/>
                <c:pt idx="0">
                  <c:v>2022</c:v>
                </c:pt>
                <c:pt idx="1">
                  <c:v>2023</c:v>
                </c:pt>
                <c:pt idx="2">
                  <c:v>2024</c:v>
                </c:pt>
              </c:numCache>
            </c:numRef>
          </c:cat>
          <c:val>
            <c:numRef>
              <c:f>TCO!$D$16:$H$16</c:f>
              <c:numCache>
                <c:formatCode>"$"\ #,##0_);\("$"\ #,##0\)</c:formatCode>
                <c:ptCount val="3"/>
                <c:pt idx="0">
                  <c:v>144887.29680000001</c:v>
                </c:pt>
                <c:pt idx="1">
                  <c:v>144887.29680000001</c:v>
                </c:pt>
                <c:pt idx="2">
                  <c:v>144887.29680000001</c:v>
                </c:pt>
              </c:numCache>
            </c:numRef>
          </c:val>
          <c:extLst>
            <c:ext xmlns:c16="http://schemas.microsoft.com/office/drawing/2014/chart" uri="{C3380CC4-5D6E-409C-BE32-E72D297353CC}">
              <c16:uniqueId val="{00000001-8ACE-472C-8CCF-E05339812A35}"/>
            </c:ext>
          </c:extLst>
        </c:ser>
        <c:dLbls>
          <c:showLegendKey val="0"/>
          <c:showVal val="0"/>
          <c:showCatName val="0"/>
          <c:showSerName val="0"/>
          <c:showPercent val="0"/>
          <c:showBubbleSize val="0"/>
        </c:dLbls>
        <c:gapWidth val="219"/>
        <c:overlap val="-27"/>
        <c:axId val="300053768"/>
        <c:axId val="300055408"/>
        <c:extLst>
          <c:ext xmlns:c15="http://schemas.microsoft.com/office/drawing/2012/chart" uri="{02D57815-91ED-43cb-92C2-25804820EDAC}">
            <c15:filteredBarSeries>
              <c15:ser>
                <c:idx val="2"/>
                <c:order val="2"/>
                <c:tx>
                  <c:strRef>
                    <c:extLst>
                      <c:ext uri="{02D57815-91ED-43cb-92C2-25804820EDAC}">
                        <c15:formulaRef>
                          <c15:sqref>'Deal Summary'!#REF!</c15:sqref>
                        </c15:formulaRef>
                      </c:ext>
                    </c:extLst>
                    <c:strCache>
                      <c:ptCount val="1"/>
                      <c:pt idx="0">
                        <c:v>#REF!</c:v>
                      </c:pt>
                    </c:strCache>
                  </c:strRef>
                </c:tx>
                <c:spPr>
                  <a:solidFill>
                    <a:schemeClr val="accent5"/>
                  </a:solidFill>
                  <a:ln>
                    <a:noFill/>
                  </a:ln>
                  <a:effectLst/>
                </c:spPr>
                <c:invertIfNegative val="0"/>
                <c:cat>
                  <c:numRef>
                    <c:extLst>
                      <c:ext uri="{02D57815-91ED-43cb-92C2-25804820EDAC}">
                        <c15:formulaRef>
                          <c15:sqref>TCO!$D$4:$H$4</c15:sqref>
                        </c15:formulaRef>
                      </c:ext>
                    </c:extLst>
                    <c:numCache>
                      <c:formatCode>General</c:formatCode>
                      <c:ptCount val="3"/>
                      <c:pt idx="0">
                        <c:v>2022</c:v>
                      </c:pt>
                      <c:pt idx="1">
                        <c:v>2023</c:v>
                      </c:pt>
                      <c:pt idx="2">
                        <c:v>2024</c:v>
                      </c:pt>
                    </c:numCache>
                  </c:numRef>
                </c:cat>
                <c:val>
                  <c:numRef>
                    <c:extLst>
                      <c:ext uri="{02D57815-91ED-43cb-92C2-25804820EDAC}">
                        <c15:formulaRef>
                          <c15:sqref>'Deal Summary'!#REF!</c15:sqref>
                        </c15:formulaRef>
                      </c:ext>
                    </c:extLst>
                    <c:numCache>
                      <c:formatCode>General</c:formatCode>
                      <c:ptCount val="1"/>
                      <c:pt idx="0">
                        <c:v>1</c:v>
                      </c:pt>
                    </c:numCache>
                  </c:numRef>
                </c:val>
                <c:extLst>
                  <c:ext xmlns:c16="http://schemas.microsoft.com/office/drawing/2014/chart" uri="{C3380CC4-5D6E-409C-BE32-E72D297353CC}">
                    <c16:uniqueId val="{00000002-8ACE-472C-8CCF-E05339812A35}"/>
                  </c:ext>
                </c:extLst>
              </c15:ser>
            </c15:filteredBarSeries>
          </c:ext>
        </c:extLst>
      </c:barChart>
      <c:catAx>
        <c:axId val="30005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0055408"/>
        <c:crosses val="autoZero"/>
        <c:auto val="1"/>
        <c:lblAlgn val="ctr"/>
        <c:lblOffset val="100"/>
        <c:noMultiLvlLbl val="0"/>
      </c:catAx>
      <c:valAx>
        <c:axId val="300055408"/>
        <c:scaling>
          <c:orientation val="minMax"/>
        </c:scaling>
        <c:delete val="0"/>
        <c:axPos val="l"/>
        <c:majorGridlines>
          <c:spPr>
            <a:ln w="9525" cap="flat" cmpd="sng" algn="ctr">
              <a:noFill/>
              <a:round/>
            </a:ln>
            <a:effectLst/>
          </c:spPr>
        </c:majorGridlines>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0053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623658801928854"/>
          <c:y val="3.7372596764127013E-2"/>
          <c:w val="0.68313700787401577"/>
          <c:h val="0.69652220833791467"/>
        </c:manualLayout>
      </c:layout>
      <c:barChart>
        <c:barDir val="col"/>
        <c:grouping val="clustered"/>
        <c:varyColors val="0"/>
        <c:ser>
          <c:idx val="0"/>
          <c:order val="0"/>
          <c:tx>
            <c:strRef>
              <c:f>TCO!$C$5</c:f>
              <c:strCache>
                <c:ptCount val="1"/>
                <c:pt idx="0">
                  <c:v>Current State</c:v>
                </c:pt>
              </c:strCache>
            </c:strRef>
          </c:tx>
          <c:spPr>
            <a:solidFill>
              <a:schemeClr val="tx1">
                <a:lumMod val="60000"/>
                <a:lumOff val="40000"/>
              </a:schemeClr>
            </a:solidFill>
            <a:ln>
              <a:noFill/>
            </a:ln>
            <a:effectLst/>
          </c:spPr>
          <c:invertIfNegative val="0"/>
          <c:cat>
            <c:strRef>
              <c:f>TCO!$J$4</c:f>
              <c:strCache>
                <c:ptCount val="1"/>
                <c:pt idx="0">
                  <c:v>3-Year Total</c:v>
                </c:pt>
              </c:strCache>
            </c:strRef>
          </c:cat>
          <c:val>
            <c:numRef>
              <c:f>TCO!$J$10</c:f>
              <c:numCache>
                <c:formatCode>"$"\ #,##0_);\("$"\ #,##0\)</c:formatCode>
                <c:ptCount val="1"/>
                <c:pt idx="0">
                  <c:v>410000</c:v>
                </c:pt>
              </c:numCache>
            </c:numRef>
          </c:val>
          <c:extLst>
            <c:ext xmlns:c16="http://schemas.microsoft.com/office/drawing/2014/chart" uri="{C3380CC4-5D6E-409C-BE32-E72D297353CC}">
              <c16:uniqueId val="{00000000-6AD9-4598-A3AA-128D4FD57EEB}"/>
            </c:ext>
          </c:extLst>
        </c:ser>
        <c:ser>
          <c:idx val="1"/>
          <c:order val="1"/>
          <c:tx>
            <c:strRef>
              <c:f>TCO!$C$12</c:f>
              <c:strCache>
                <c:ptCount val="1"/>
                <c:pt idx="0">
                  <c:v>Option 1 - Oracle Cloud</c:v>
                </c:pt>
              </c:strCache>
            </c:strRef>
          </c:tx>
          <c:spPr>
            <a:solidFill>
              <a:srgbClr val="C74634"/>
            </a:solidFill>
            <a:ln>
              <a:noFill/>
            </a:ln>
            <a:effectLst/>
          </c:spPr>
          <c:invertIfNegative val="0"/>
          <c:cat>
            <c:strRef>
              <c:f>TCO!$J$4</c:f>
              <c:strCache>
                <c:ptCount val="1"/>
                <c:pt idx="0">
                  <c:v>3-Year Total</c:v>
                </c:pt>
              </c:strCache>
            </c:strRef>
          </c:cat>
          <c:val>
            <c:numRef>
              <c:f>TCO!$J$16</c:f>
              <c:numCache>
                <c:formatCode>"$"\ #,##0_);\("$"\ #,##0\)</c:formatCode>
                <c:ptCount val="1"/>
                <c:pt idx="0">
                  <c:v>434661.89040000003</c:v>
                </c:pt>
              </c:numCache>
            </c:numRef>
          </c:val>
          <c:extLst>
            <c:ext xmlns:c16="http://schemas.microsoft.com/office/drawing/2014/chart" uri="{C3380CC4-5D6E-409C-BE32-E72D297353CC}">
              <c16:uniqueId val="{00000001-6AD9-4598-A3AA-128D4FD57EEB}"/>
            </c:ext>
          </c:extLst>
        </c:ser>
        <c:dLbls>
          <c:showLegendKey val="0"/>
          <c:showVal val="0"/>
          <c:showCatName val="0"/>
          <c:showSerName val="0"/>
          <c:showPercent val="0"/>
          <c:showBubbleSize val="0"/>
        </c:dLbls>
        <c:gapWidth val="219"/>
        <c:overlap val="-27"/>
        <c:axId val="300053768"/>
        <c:axId val="300055408"/>
        <c:extLst>
          <c:ext xmlns:c15="http://schemas.microsoft.com/office/drawing/2012/chart" uri="{02D57815-91ED-43cb-92C2-25804820EDAC}">
            <c15:filteredBarSeries>
              <c15:ser>
                <c:idx val="2"/>
                <c:order val="2"/>
                <c:tx>
                  <c:strRef>
                    <c:extLst>
                      <c:ext uri="{02D57815-91ED-43cb-92C2-25804820EDAC}">
                        <c15:formulaRef>
                          <c15:sqref>'Deal Summary'!#REF!</c15:sqref>
                        </c15:formulaRef>
                      </c:ext>
                    </c:extLst>
                    <c:strCache>
                      <c:ptCount val="1"/>
                      <c:pt idx="0">
                        <c:v>#REF!</c:v>
                      </c:pt>
                    </c:strCache>
                  </c:strRef>
                </c:tx>
                <c:spPr>
                  <a:solidFill>
                    <a:schemeClr val="accent5"/>
                  </a:solidFill>
                  <a:ln>
                    <a:noFill/>
                  </a:ln>
                  <a:effectLst/>
                </c:spPr>
                <c:invertIfNegative val="0"/>
                <c:cat>
                  <c:strRef>
                    <c:extLst>
                      <c:ext uri="{02D57815-91ED-43cb-92C2-25804820EDAC}">
                        <c15:formulaRef>
                          <c15:sqref>TCO!$J$4</c15:sqref>
                        </c15:formulaRef>
                      </c:ext>
                    </c:extLst>
                    <c:strCache>
                      <c:ptCount val="1"/>
                      <c:pt idx="0">
                        <c:v>3-Year Total</c:v>
                      </c:pt>
                    </c:strCache>
                  </c:strRef>
                </c:cat>
                <c:val>
                  <c:numRef>
                    <c:extLst>
                      <c:ext uri="{02D57815-91ED-43cb-92C2-25804820EDAC}">
                        <c15:formulaRef>
                          <c15:sqref>'Deal Summary'!#REF!</c15:sqref>
                        </c15:formulaRef>
                      </c:ext>
                    </c:extLst>
                    <c:numCache>
                      <c:formatCode>General</c:formatCode>
                      <c:ptCount val="1"/>
                      <c:pt idx="0">
                        <c:v>1</c:v>
                      </c:pt>
                    </c:numCache>
                  </c:numRef>
                </c:val>
                <c:extLst>
                  <c:ext xmlns:c16="http://schemas.microsoft.com/office/drawing/2014/chart" uri="{C3380CC4-5D6E-409C-BE32-E72D297353CC}">
                    <c16:uniqueId val="{00000002-6AD9-4598-A3AA-128D4FD57EEB}"/>
                  </c:ext>
                </c:extLst>
              </c15:ser>
            </c15:filteredBarSeries>
          </c:ext>
        </c:extLst>
      </c:barChart>
      <c:catAx>
        <c:axId val="30005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0055408"/>
        <c:crosses val="autoZero"/>
        <c:auto val="1"/>
        <c:lblAlgn val="ctr"/>
        <c:lblOffset val="100"/>
        <c:noMultiLvlLbl val="0"/>
      </c:catAx>
      <c:valAx>
        <c:axId val="300055408"/>
        <c:scaling>
          <c:orientation val="minMax"/>
        </c:scaling>
        <c:delete val="0"/>
        <c:axPos val="l"/>
        <c:majorGridlines>
          <c:spPr>
            <a:ln w="9525" cap="flat" cmpd="sng" algn="ctr">
              <a:noFill/>
              <a:round/>
            </a:ln>
            <a:effectLst/>
          </c:spPr>
        </c:majorGridlines>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0053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TCO!$C$27</c:f>
              <c:strCache>
                <c:ptCount val="1"/>
                <c:pt idx="0">
                  <c:v>Current State</c:v>
                </c:pt>
              </c:strCache>
            </c:strRef>
          </c:tx>
          <c:spPr>
            <a:ln w="28575" cap="rnd">
              <a:solidFill>
                <a:schemeClr val="tx1">
                  <a:lumMod val="60000"/>
                  <a:lumOff val="40000"/>
                </a:schemeClr>
              </a:solidFill>
              <a:round/>
            </a:ln>
            <a:effectLst/>
          </c:spPr>
          <c:marker>
            <c:symbol val="none"/>
          </c:marker>
          <c:cat>
            <c:numRef>
              <c:f>TCO!$D$4:$H$4</c:f>
              <c:numCache>
                <c:formatCode>General</c:formatCode>
                <c:ptCount val="3"/>
                <c:pt idx="0">
                  <c:v>2022</c:v>
                </c:pt>
                <c:pt idx="1">
                  <c:v>2023</c:v>
                </c:pt>
                <c:pt idx="2">
                  <c:v>2024</c:v>
                </c:pt>
              </c:numCache>
            </c:numRef>
          </c:cat>
          <c:val>
            <c:numRef>
              <c:f>TCO!$D$27:$H$27</c:f>
              <c:numCache>
                <c:formatCode>#,##0_);[Red]\(#,##0\)</c:formatCode>
                <c:ptCount val="3"/>
                <c:pt idx="0">
                  <c:v>280000</c:v>
                </c:pt>
                <c:pt idx="1">
                  <c:v>330000</c:v>
                </c:pt>
                <c:pt idx="2">
                  <c:v>410000</c:v>
                </c:pt>
              </c:numCache>
            </c:numRef>
          </c:val>
          <c:smooth val="0"/>
          <c:extLst>
            <c:ext xmlns:c16="http://schemas.microsoft.com/office/drawing/2014/chart" uri="{C3380CC4-5D6E-409C-BE32-E72D297353CC}">
              <c16:uniqueId val="{00000000-FE74-42F8-9BC1-05B1C7D1E3B6}"/>
            </c:ext>
          </c:extLst>
        </c:ser>
        <c:ser>
          <c:idx val="1"/>
          <c:order val="1"/>
          <c:tx>
            <c:strRef>
              <c:f>TCO!$C$28</c:f>
              <c:strCache>
                <c:ptCount val="1"/>
                <c:pt idx="0">
                  <c:v>Option 1 - Oracle Cloud</c:v>
                </c:pt>
              </c:strCache>
            </c:strRef>
          </c:tx>
          <c:spPr>
            <a:ln w="28575" cap="rnd">
              <a:solidFill>
                <a:srgbClr val="C74634"/>
              </a:solidFill>
              <a:round/>
            </a:ln>
            <a:effectLst/>
          </c:spPr>
          <c:marker>
            <c:symbol val="none"/>
          </c:marker>
          <c:cat>
            <c:numRef>
              <c:f>TCO!$D$4:$H$4</c:f>
              <c:numCache>
                <c:formatCode>General</c:formatCode>
                <c:ptCount val="3"/>
                <c:pt idx="0">
                  <c:v>2022</c:v>
                </c:pt>
                <c:pt idx="1">
                  <c:v>2023</c:v>
                </c:pt>
                <c:pt idx="2">
                  <c:v>2024</c:v>
                </c:pt>
              </c:numCache>
            </c:numRef>
          </c:cat>
          <c:val>
            <c:numRef>
              <c:f>TCO!$D$28:$H$28</c:f>
              <c:numCache>
                <c:formatCode>#,##0_);[Red]\(#,##0\)</c:formatCode>
                <c:ptCount val="3"/>
                <c:pt idx="0">
                  <c:v>144887.29680000001</c:v>
                </c:pt>
                <c:pt idx="1">
                  <c:v>289774.59360000002</c:v>
                </c:pt>
                <c:pt idx="2">
                  <c:v>434661.89040000003</c:v>
                </c:pt>
              </c:numCache>
            </c:numRef>
          </c:val>
          <c:smooth val="0"/>
          <c:extLst>
            <c:ext xmlns:c16="http://schemas.microsoft.com/office/drawing/2014/chart" uri="{C3380CC4-5D6E-409C-BE32-E72D297353CC}">
              <c16:uniqueId val="{00000001-FE74-42F8-9BC1-05B1C7D1E3B6}"/>
            </c:ext>
          </c:extLst>
        </c:ser>
        <c:dLbls>
          <c:showLegendKey val="0"/>
          <c:showVal val="0"/>
          <c:showCatName val="0"/>
          <c:showSerName val="0"/>
          <c:showPercent val="0"/>
          <c:showBubbleSize val="0"/>
        </c:dLbls>
        <c:smooth val="0"/>
        <c:axId val="300053768"/>
        <c:axId val="300055408"/>
        <c:extLst>
          <c:ext xmlns:c15="http://schemas.microsoft.com/office/drawing/2012/chart" uri="{02D57815-91ED-43cb-92C2-25804820EDAC}">
            <c15:filteredLineSeries>
              <c15:ser>
                <c:idx val="2"/>
                <c:order val="2"/>
                <c:tx>
                  <c:strRef>
                    <c:extLst>
                      <c:ext uri="{02D57815-91ED-43cb-92C2-25804820EDAC}">
                        <c15:formulaRef>
                          <c15:sqref>'Deal Summary'!#REF!</c15:sqref>
                        </c15:formulaRef>
                      </c:ext>
                    </c:extLst>
                    <c:strCache>
                      <c:ptCount val="1"/>
                      <c:pt idx="0">
                        <c:v>#REF!</c:v>
                      </c:pt>
                    </c:strCache>
                  </c:strRef>
                </c:tx>
                <c:spPr>
                  <a:ln w="28575" cap="rnd">
                    <a:solidFill>
                      <a:schemeClr val="accent3"/>
                    </a:solidFill>
                    <a:round/>
                  </a:ln>
                  <a:effectLst/>
                </c:spPr>
                <c:marker>
                  <c:symbol val="none"/>
                </c:marker>
                <c:cat>
                  <c:numRef>
                    <c:extLst>
                      <c:ext uri="{02D57815-91ED-43cb-92C2-25804820EDAC}">
                        <c15:formulaRef>
                          <c15:sqref>TCO!$D$4:$H$4</c15:sqref>
                        </c15:formulaRef>
                      </c:ext>
                    </c:extLst>
                    <c:numCache>
                      <c:formatCode>General</c:formatCode>
                      <c:ptCount val="3"/>
                      <c:pt idx="0">
                        <c:v>2022</c:v>
                      </c:pt>
                      <c:pt idx="1">
                        <c:v>2023</c:v>
                      </c:pt>
                      <c:pt idx="2">
                        <c:v>2024</c:v>
                      </c:pt>
                    </c:numCache>
                  </c:numRef>
                </c:cat>
                <c:val>
                  <c:numRef>
                    <c:extLst>
                      <c:ext uri="{02D57815-91ED-43cb-92C2-25804820EDAC}">
                        <c15:formulaRef>
                          <c15:sqref>'Deal Summary'!#REF!</c15:sqref>
                        </c15:formulaRef>
                      </c:ext>
                    </c:extLst>
                    <c:numCache>
                      <c:formatCode>General</c:formatCode>
                      <c:ptCount val="1"/>
                      <c:pt idx="0">
                        <c:v>1</c:v>
                      </c:pt>
                    </c:numCache>
                  </c:numRef>
                </c:val>
                <c:smooth val="0"/>
                <c:extLst>
                  <c:ext xmlns:c16="http://schemas.microsoft.com/office/drawing/2014/chart" uri="{C3380CC4-5D6E-409C-BE32-E72D297353CC}">
                    <c16:uniqueId val="{00000002-FE74-42F8-9BC1-05B1C7D1E3B6}"/>
                  </c:ext>
                </c:extLst>
              </c15:ser>
            </c15:filteredLineSeries>
          </c:ext>
        </c:extLst>
      </c:lineChart>
      <c:catAx>
        <c:axId val="30005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0055408"/>
        <c:crosses val="autoZero"/>
        <c:auto val="1"/>
        <c:lblAlgn val="ctr"/>
        <c:lblOffset val="100"/>
        <c:noMultiLvlLbl val="0"/>
      </c:catAx>
      <c:valAx>
        <c:axId val="300055408"/>
        <c:scaling>
          <c:orientation val="minMax"/>
        </c:scaling>
        <c:delete val="0"/>
        <c:axPos val="l"/>
        <c:majorGridlines>
          <c:spPr>
            <a:ln w="9525" cap="flat" cmpd="sng" algn="ctr">
              <a:noFill/>
              <a:round/>
            </a:ln>
            <a:effectLst/>
          </c:spPr>
        </c:majorGridlines>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0053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623658801928854"/>
          <c:y val="3.7372596764127013E-2"/>
          <c:w val="0.68313700787401577"/>
          <c:h val="0.83641851340592255"/>
        </c:manualLayout>
      </c:layout>
      <c:barChart>
        <c:barDir val="col"/>
        <c:grouping val="clustered"/>
        <c:varyColors val="0"/>
        <c:ser>
          <c:idx val="0"/>
          <c:order val="0"/>
          <c:tx>
            <c:strRef>
              <c:f>Summary!$D$4</c:f>
              <c:strCache>
                <c:ptCount val="1"/>
                <c:pt idx="0">
                  <c:v>Current State</c:v>
                </c:pt>
              </c:strCache>
            </c:strRef>
          </c:tx>
          <c:spPr>
            <a:solidFill>
              <a:schemeClr val="tx1">
                <a:lumMod val="60000"/>
                <a:lumOff val="40000"/>
              </a:schemeClr>
            </a:solidFill>
            <a:ln>
              <a:noFill/>
            </a:ln>
            <a:effectLst/>
          </c:spPr>
          <c:invertIfNegative val="0"/>
          <c:cat>
            <c:strRef>
              <c:f>Summary!$F$4</c:f>
              <c:strCache>
                <c:ptCount val="1"/>
                <c:pt idx="0">
                  <c:v>Oracle Cloud</c:v>
                </c:pt>
              </c:strCache>
            </c:strRef>
          </c:cat>
          <c:val>
            <c:numRef>
              <c:f>Summary!$D$18</c:f>
              <c:numCache>
                <c:formatCode>"$"\ #,##0_);\("$"\ #,##0\)</c:formatCode>
                <c:ptCount val="1"/>
                <c:pt idx="0">
                  <c:v>36</c:v>
                </c:pt>
              </c:numCache>
            </c:numRef>
          </c:val>
          <c:extLst>
            <c:ext xmlns:c16="http://schemas.microsoft.com/office/drawing/2014/chart" uri="{C3380CC4-5D6E-409C-BE32-E72D297353CC}">
              <c16:uniqueId val="{00000000-09AD-4773-BFD2-6FABDAF5FE66}"/>
            </c:ext>
          </c:extLst>
        </c:ser>
        <c:ser>
          <c:idx val="1"/>
          <c:order val="1"/>
          <c:tx>
            <c:strRef>
              <c:f>Summary!$F$4</c:f>
              <c:strCache>
                <c:ptCount val="1"/>
                <c:pt idx="0">
                  <c:v>Oracle Cloud</c:v>
                </c:pt>
              </c:strCache>
            </c:strRef>
          </c:tx>
          <c:spPr>
            <a:solidFill>
              <a:srgbClr val="C74634"/>
            </a:solidFill>
            <a:ln>
              <a:noFill/>
            </a:ln>
            <a:effectLst/>
          </c:spPr>
          <c:invertIfNegative val="0"/>
          <c:cat>
            <c:strRef>
              <c:f>Summary!$F$4</c:f>
              <c:strCache>
                <c:ptCount val="1"/>
                <c:pt idx="0">
                  <c:v>Oracle Cloud</c:v>
                </c:pt>
              </c:strCache>
            </c:strRef>
          </c:cat>
          <c:val>
            <c:numRef>
              <c:f>Summary!$F$18</c:f>
              <c:numCache>
                <c:formatCode>"$"\ #,##0_);\("$"\ #,##0\)</c:formatCode>
                <c:ptCount val="1"/>
                <c:pt idx="0">
                  <c:v>16361.245799999997</c:v>
                </c:pt>
              </c:numCache>
            </c:numRef>
          </c:val>
          <c:extLst>
            <c:ext xmlns:c16="http://schemas.microsoft.com/office/drawing/2014/chart" uri="{C3380CC4-5D6E-409C-BE32-E72D297353CC}">
              <c16:uniqueId val="{00000001-09AD-4773-BFD2-6FABDAF5FE66}"/>
            </c:ext>
          </c:extLst>
        </c:ser>
        <c:dLbls>
          <c:showLegendKey val="0"/>
          <c:showVal val="0"/>
          <c:showCatName val="0"/>
          <c:showSerName val="0"/>
          <c:showPercent val="0"/>
          <c:showBubbleSize val="0"/>
        </c:dLbls>
        <c:gapWidth val="219"/>
        <c:overlap val="-27"/>
        <c:axId val="300053768"/>
        <c:axId val="300055408"/>
        <c:extLst/>
      </c:barChart>
      <c:catAx>
        <c:axId val="300053768"/>
        <c:scaling>
          <c:orientation val="minMax"/>
        </c:scaling>
        <c:delete val="1"/>
        <c:axPos val="b"/>
        <c:numFmt formatCode="General" sourceLinked="1"/>
        <c:majorTickMark val="none"/>
        <c:minorTickMark val="none"/>
        <c:tickLblPos val="nextTo"/>
        <c:crossAx val="300055408"/>
        <c:crosses val="autoZero"/>
        <c:auto val="1"/>
        <c:lblAlgn val="ctr"/>
        <c:lblOffset val="100"/>
        <c:noMultiLvlLbl val="0"/>
      </c:catAx>
      <c:valAx>
        <c:axId val="300055408"/>
        <c:scaling>
          <c:orientation val="minMax"/>
        </c:scaling>
        <c:delete val="0"/>
        <c:axPos val="l"/>
        <c:majorGridlines>
          <c:spPr>
            <a:ln w="9525" cap="flat" cmpd="sng" algn="ctr">
              <a:noFill/>
              <a:round/>
            </a:ln>
            <a:effectLst/>
          </c:spPr>
        </c:majorGridlines>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0053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6350"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623658801928854"/>
          <c:y val="3.7372596764127013E-2"/>
          <c:w val="0.68313700787401577"/>
          <c:h val="0.83641851340592255"/>
        </c:manualLayout>
      </c:layout>
      <c:barChart>
        <c:barDir val="col"/>
        <c:grouping val="stacked"/>
        <c:varyColors val="0"/>
        <c:ser>
          <c:idx val="0"/>
          <c:order val="0"/>
          <c:tx>
            <c:strRef>
              <c:f>Summary!$C$5</c:f>
              <c:strCache>
                <c:ptCount val="1"/>
                <c:pt idx="0">
                  <c:v>Compute</c:v>
                </c:pt>
              </c:strCache>
            </c:strRef>
          </c:tx>
          <c:spPr>
            <a:solidFill>
              <a:schemeClr val="tx1">
                <a:lumMod val="75000"/>
                <a:lumOff val="25000"/>
              </a:schemeClr>
            </a:solidFill>
            <a:ln>
              <a:noFill/>
            </a:ln>
            <a:effectLst/>
          </c:spPr>
          <c:invertIfNegative val="0"/>
          <c:cat>
            <c:strRef>
              <c:extLst>
                <c:ext xmlns:c15="http://schemas.microsoft.com/office/drawing/2012/chart" uri="{02D57815-91ED-43cb-92C2-25804820EDAC}">
                  <c15:fullRef>
                    <c15:sqref>Summary!$D$4:$F$4</c15:sqref>
                  </c15:fullRef>
                </c:ext>
              </c:extLst>
              <c:f>(Summary!$D$4,Summary!$F$4)</c:f>
              <c:strCache>
                <c:ptCount val="2"/>
                <c:pt idx="0">
                  <c:v>Current State</c:v>
                </c:pt>
                <c:pt idx="1">
                  <c:v>Oracle Cloud</c:v>
                </c:pt>
              </c:strCache>
            </c:strRef>
          </c:cat>
          <c:val>
            <c:numRef>
              <c:extLst>
                <c:ext xmlns:c15="http://schemas.microsoft.com/office/drawing/2012/chart" uri="{02D57815-91ED-43cb-92C2-25804820EDAC}">
                  <c15:fullRef>
                    <c15:sqref>Summary!$D$5:$F$5</c15:sqref>
                  </c15:fullRef>
                </c:ext>
              </c:extLst>
              <c:f>(Summary!$D$5,Summary!$F$5)</c:f>
              <c:numCache>
                <c:formatCode>#,##0_);\(#,##0\)</c:formatCode>
                <c:ptCount val="2"/>
                <c:pt idx="0">
                  <c:v>1</c:v>
                </c:pt>
                <c:pt idx="1">
                  <c:v>5301.1139999999996</c:v>
                </c:pt>
              </c:numCache>
            </c:numRef>
          </c:val>
          <c:extLst>
            <c:ext xmlns:c16="http://schemas.microsoft.com/office/drawing/2014/chart" uri="{C3380CC4-5D6E-409C-BE32-E72D297353CC}">
              <c16:uniqueId val="{00000000-753D-44DE-9CE4-66F054E90343}"/>
            </c:ext>
          </c:extLst>
        </c:ser>
        <c:ser>
          <c:idx val="1"/>
          <c:order val="1"/>
          <c:tx>
            <c:strRef>
              <c:f>Summary!$C$6</c:f>
              <c:strCache>
                <c:ptCount val="1"/>
                <c:pt idx="0">
                  <c:v>Storage</c:v>
                </c:pt>
              </c:strCache>
            </c:strRef>
          </c:tx>
          <c:spPr>
            <a:solidFill>
              <a:schemeClr val="accent1"/>
            </a:solidFill>
            <a:ln>
              <a:noFill/>
            </a:ln>
            <a:effectLst/>
          </c:spPr>
          <c:invertIfNegative val="0"/>
          <c:cat>
            <c:strRef>
              <c:extLst>
                <c:ext xmlns:c15="http://schemas.microsoft.com/office/drawing/2012/chart" uri="{02D57815-91ED-43cb-92C2-25804820EDAC}">
                  <c15:fullRef>
                    <c15:sqref>Summary!$D$4:$F$4</c15:sqref>
                  </c15:fullRef>
                </c:ext>
              </c:extLst>
              <c:f>(Summary!$D$4,Summary!$F$4)</c:f>
              <c:strCache>
                <c:ptCount val="2"/>
                <c:pt idx="0">
                  <c:v>Current State</c:v>
                </c:pt>
                <c:pt idx="1">
                  <c:v>Oracle Cloud</c:v>
                </c:pt>
              </c:strCache>
            </c:strRef>
          </c:cat>
          <c:val>
            <c:numRef>
              <c:extLst>
                <c:ext xmlns:c15="http://schemas.microsoft.com/office/drawing/2012/chart" uri="{02D57815-91ED-43cb-92C2-25804820EDAC}">
                  <c15:fullRef>
                    <c15:sqref>Summary!$D$6:$F$6</c15:sqref>
                  </c15:fullRef>
                </c:ext>
              </c:extLst>
              <c:f>(Summary!$D$6,Summary!$F$6)</c:f>
              <c:numCache>
                <c:formatCode>#,##0_);\(#,##0\)</c:formatCode>
                <c:ptCount val="2"/>
                <c:pt idx="0">
                  <c:v>2</c:v>
                </c:pt>
                <c:pt idx="1">
                  <c:v>10361.915999999997</c:v>
                </c:pt>
              </c:numCache>
            </c:numRef>
          </c:val>
          <c:extLst>
            <c:ext xmlns:c16="http://schemas.microsoft.com/office/drawing/2014/chart" uri="{C3380CC4-5D6E-409C-BE32-E72D297353CC}">
              <c16:uniqueId val="{00000001-753D-44DE-9CE4-66F054E90343}"/>
            </c:ext>
          </c:extLst>
        </c:ser>
        <c:ser>
          <c:idx val="2"/>
          <c:order val="2"/>
          <c:tx>
            <c:strRef>
              <c:f>Summary!$C$7</c:f>
              <c:strCache>
                <c:ptCount val="1"/>
                <c:pt idx="0">
                  <c:v>Network</c:v>
                </c:pt>
              </c:strCache>
            </c:strRef>
          </c:tx>
          <c:spPr>
            <a:solidFill>
              <a:schemeClr val="accent2"/>
            </a:solidFill>
            <a:ln>
              <a:noFill/>
            </a:ln>
            <a:effectLst/>
          </c:spPr>
          <c:invertIfNegative val="0"/>
          <c:cat>
            <c:strRef>
              <c:extLst>
                <c:ext xmlns:c15="http://schemas.microsoft.com/office/drawing/2012/chart" uri="{02D57815-91ED-43cb-92C2-25804820EDAC}">
                  <c15:fullRef>
                    <c15:sqref>Summary!$D$4:$F$4</c15:sqref>
                  </c15:fullRef>
                </c:ext>
              </c:extLst>
              <c:f>(Summary!$D$4,Summary!$F$4)</c:f>
              <c:strCache>
                <c:ptCount val="2"/>
                <c:pt idx="0">
                  <c:v>Current State</c:v>
                </c:pt>
                <c:pt idx="1">
                  <c:v>Oracle Cloud</c:v>
                </c:pt>
              </c:strCache>
            </c:strRef>
          </c:cat>
          <c:val>
            <c:numRef>
              <c:extLst>
                <c:ext xmlns:c15="http://schemas.microsoft.com/office/drawing/2012/chart" uri="{02D57815-91ED-43cb-92C2-25804820EDAC}">
                  <c15:fullRef>
                    <c15:sqref>Summary!$D$7:$F$7</c15:sqref>
                  </c15:fullRef>
                </c:ext>
              </c:extLst>
              <c:f>(Summary!$D$7,Summary!$F$7)</c:f>
              <c:numCache>
                <c:formatCode>#,##0_);\(#,##0\)</c:formatCode>
                <c:ptCount val="2"/>
                <c:pt idx="0">
                  <c:v>3</c:v>
                </c:pt>
                <c:pt idx="1">
                  <c:v>698.21579999999994</c:v>
                </c:pt>
              </c:numCache>
            </c:numRef>
          </c:val>
          <c:extLst>
            <c:ext xmlns:c16="http://schemas.microsoft.com/office/drawing/2014/chart" uri="{C3380CC4-5D6E-409C-BE32-E72D297353CC}">
              <c16:uniqueId val="{00000002-753D-44DE-9CE4-66F054E90343}"/>
            </c:ext>
          </c:extLst>
        </c:ser>
        <c:ser>
          <c:idx val="3"/>
          <c:order val="3"/>
          <c:tx>
            <c:strRef>
              <c:f>Summary!$C$8</c:f>
              <c:strCache>
                <c:ptCount val="1"/>
                <c:pt idx="0">
                  <c:v>Data Center</c:v>
                </c:pt>
              </c:strCache>
            </c:strRef>
          </c:tx>
          <c:spPr>
            <a:solidFill>
              <a:schemeClr val="accent4"/>
            </a:solidFill>
            <a:ln>
              <a:noFill/>
            </a:ln>
            <a:effectLst/>
          </c:spPr>
          <c:invertIfNegative val="0"/>
          <c:cat>
            <c:strRef>
              <c:extLst>
                <c:ext xmlns:c15="http://schemas.microsoft.com/office/drawing/2012/chart" uri="{02D57815-91ED-43cb-92C2-25804820EDAC}">
                  <c15:fullRef>
                    <c15:sqref>Summary!$D$4:$F$4</c15:sqref>
                  </c15:fullRef>
                </c:ext>
              </c:extLst>
              <c:f>(Summary!$D$4,Summary!$F$4)</c:f>
              <c:strCache>
                <c:ptCount val="2"/>
                <c:pt idx="0">
                  <c:v>Current State</c:v>
                </c:pt>
                <c:pt idx="1">
                  <c:v>Oracle Cloud</c:v>
                </c:pt>
              </c:strCache>
            </c:strRef>
          </c:cat>
          <c:val>
            <c:numRef>
              <c:extLst>
                <c:ext xmlns:c15="http://schemas.microsoft.com/office/drawing/2012/chart" uri="{02D57815-91ED-43cb-92C2-25804820EDAC}">
                  <c15:fullRef>
                    <c15:sqref>Summary!$D$8:$F$8</c15:sqref>
                  </c15:fullRef>
                </c:ext>
              </c:extLst>
              <c:f>(Summary!$D$8,Summary!$F$8)</c:f>
              <c:numCache>
                <c:formatCode>#,##0_);\(#,##0\)</c:formatCode>
                <c:ptCount val="2"/>
                <c:pt idx="0">
                  <c:v>4</c:v>
                </c:pt>
                <c:pt idx="1">
                  <c:v>0</c:v>
                </c:pt>
              </c:numCache>
            </c:numRef>
          </c:val>
          <c:extLst>
            <c:ext xmlns:c16="http://schemas.microsoft.com/office/drawing/2014/chart" uri="{C3380CC4-5D6E-409C-BE32-E72D297353CC}">
              <c16:uniqueId val="{00000003-753D-44DE-9CE4-66F054E90343}"/>
            </c:ext>
          </c:extLst>
        </c:ser>
        <c:ser>
          <c:idx val="4"/>
          <c:order val="4"/>
          <c:tx>
            <c:strRef>
              <c:f>Summary!$C$9</c:f>
              <c:strCache>
                <c:ptCount val="1"/>
                <c:pt idx="0">
                  <c:v>Support</c:v>
                </c:pt>
              </c:strCache>
            </c:strRef>
          </c:tx>
          <c:spPr>
            <a:solidFill>
              <a:schemeClr val="accent3"/>
            </a:solidFill>
            <a:ln>
              <a:noFill/>
            </a:ln>
            <a:effectLst/>
          </c:spPr>
          <c:invertIfNegative val="0"/>
          <c:cat>
            <c:strRef>
              <c:extLst>
                <c:ext xmlns:c15="http://schemas.microsoft.com/office/drawing/2012/chart" uri="{02D57815-91ED-43cb-92C2-25804820EDAC}">
                  <c15:fullRef>
                    <c15:sqref>Summary!$D$4:$F$4</c15:sqref>
                  </c15:fullRef>
                </c:ext>
              </c:extLst>
              <c:f>(Summary!$D$4,Summary!$F$4)</c:f>
              <c:strCache>
                <c:ptCount val="2"/>
                <c:pt idx="0">
                  <c:v>Current State</c:v>
                </c:pt>
                <c:pt idx="1">
                  <c:v>Oracle Cloud</c:v>
                </c:pt>
              </c:strCache>
            </c:strRef>
          </c:cat>
          <c:val>
            <c:numRef>
              <c:extLst>
                <c:ext xmlns:c15="http://schemas.microsoft.com/office/drawing/2012/chart" uri="{02D57815-91ED-43cb-92C2-25804820EDAC}">
                  <c15:fullRef>
                    <c15:sqref>Summary!$D$9:$F$9</c15:sqref>
                  </c15:fullRef>
                </c:ext>
              </c:extLst>
              <c:f>(Summary!$D$9,Summary!$F$9)</c:f>
              <c:numCache>
                <c:formatCode>#,##0_);\(#,##0\)</c:formatCode>
                <c:ptCount val="2"/>
                <c:pt idx="0">
                  <c:v>5</c:v>
                </c:pt>
                <c:pt idx="1">
                  <c:v>0</c:v>
                </c:pt>
              </c:numCache>
            </c:numRef>
          </c:val>
          <c:extLst>
            <c:ext xmlns:c16="http://schemas.microsoft.com/office/drawing/2014/chart" uri="{C3380CC4-5D6E-409C-BE32-E72D297353CC}">
              <c16:uniqueId val="{00000004-753D-44DE-9CE4-66F054E90343}"/>
            </c:ext>
          </c:extLst>
        </c:ser>
        <c:ser>
          <c:idx val="5"/>
          <c:order val="5"/>
          <c:tx>
            <c:strRef>
              <c:f>Summary!$C$10</c:f>
              <c:strCache>
                <c:ptCount val="1"/>
                <c:pt idx="0">
                  <c:v>Security</c:v>
                </c:pt>
              </c:strCache>
            </c:strRef>
          </c:tx>
          <c:spPr>
            <a:solidFill>
              <a:srgbClr val="2C5967"/>
            </a:solidFill>
            <a:ln>
              <a:noFill/>
            </a:ln>
            <a:effectLst/>
          </c:spPr>
          <c:invertIfNegative val="0"/>
          <c:cat>
            <c:strRef>
              <c:extLst>
                <c:ext xmlns:c15="http://schemas.microsoft.com/office/drawing/2012/chart" uri="{02D57815-91ED-43cb-92C2-25804820EDAC}">
                  <c15:fullRef>
                    <c15:sqref>Summary!$D$4:$F$4</c15:sqref>
                  </c15:fullRef>
                </c:ext>
              </c:extLst>
              <c:f>(Summary!$D$4,Summary!$F$4)</c:f>
              <c:strCache>
                <c:ptCount val="2"/>
                <c:pt idx="0">
                  <c:v>Current State</c:v>
                </c:pt>
                <c:pt idx="1">
                  <c:v>Oracle Cloud</c:v>
                </c:pt>
              </c:strCache>
            </c:strRef>
          </c:cat>
          <c:val>
            <c:numRef>
              <c:extLst>
                <c:ext xmlns:c15="http://schemas.microsoft.com/office/drawing/2012/chart" uri="{02D57815-91ED-43cb-92C2-25804820EDAC}">
                  <c15:fullRef>
                    <c15:sqref>Summary!$D$10:$F$10</c15:sqref>
                  </c15:fullRef>
                </c:ext>
              </c:extLst>
              <c:f>(Summary!$D$10,Summary!$F$10)</c:f>
              <c:numCache>
                <c:formatCode>#,##0_);\(#,##0\)</c:formatCode>
                <c:ptCount val="2"/>
                <c:pt idx="0">
                  <c:v>6</c:v>
                </c:pt>
                <c:pt idx="1">
                  <c:v>0</c:v>
                </c:pt>
              </c:numCache>
            </c:numRef>
          </c:val>
          <c:extLst>
            <c:ext xmlns:c16="http://schemas.microsoft.com/office/drawing/2014/chart" uri="{C3380CC4-5D6E-409C-BE32-E72D297353CC}">
              <c16:uniqueId val="{00000005-753D-44DE-9CE4-66F054E90343}"/>
            </c:ext>
          </c:extLst>
        </c:ser>
        <c:ser>
          <c:idx val="6"/>
          <c:order val="6"/>
          <c:tx>
            <c:strRef>
              <c:f>Summary!$C$11</c:f>
              <c:strCache>
                <c:ptCount val="1"/>
                <c:pt idx="0">
                  <c:v>Services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Summary!$D$4:$F$4</c15:sqref>
                  </c15:fullRef>
                </c:ext>
              </c:extLst>
              <c:f>(Summary!$D$4,Summary!$F$4)</c:f>
              <c:strCache>
                <c:ptCount val="2"/>
                <c:pt idx="0">
                  <c:v>Current State</c:v>
                </c:pt>
                <c:pt idx="1">
                  <c:v>Oracle Cloud</c:v>
                </c:pt>
              </c:strCache>
            </c:strRef>
          </c:cat>
          <c:val>
            <c:numRef>
              <c:extLst>
                <c:ext xmlns:c15="http://schemas.microsoft.com/office/drawing/2012/chart" uri="{02D57815-91ED-43cb-92C2-25804820EDAC}">
                  <c15:fullRef>
                    <c15:sqref>Summary!$D$11:$F$11</c15:sqref>
                  </c15:fullRef>
                </c:ext>
              </c:extLst>
              <c:f>(Summary!$D$11,Summary!$F$11)</c:f>
              <c:numCache>
                <c:formatCode>#,##0_);\(#,##0\)</c:formatCode>
                <c:ptCount val="2"/>
                <c:pt idx="0">
                  <c:v>7</c:v>
                </c:pt>
                <c:pt idx="1">
                  <c:v>0</c:v>
                </c:pt>
              </c:numCache>
            </c:numRef>
          </c:val>
          <c:extLst>
            <c:ext xmlns:c16="http://schemas.microsoft.com/office/drawing/2014/chart" uri="{C3380CC4-5D6E-409C-BE32-E72D297353CC}">
              <c16:uniqueId val="{00000006-753D-44DE-9CE4-66F054E90343}"/>
            </c:ext>
          </c:extLst>
        </c:ser>
        <c:ser>
          <c:idx val="7"/>
          <c:order val="7"/>
          <c:tx>
            <c:strRef>
              <c:f>Summary!$C$12</c:f>
              <c:strCache>
                <c:ptCount val="1"/>
                <c:pt idx="0">
                  <c:v>Labor</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Summary!$D$4:$F$4</c15:sqref>
                  </c15:fullRef>
                </c:ext>
              </c:extLst>
              <c:f>(Summary!$D$4,Summary!$F$4)</c:f>
              <c:strCache>
                <c:ptCount val="2"/>
                <c:pt idx="0">
                  <c:v>Current State</c:v>
                </c:pt>
                <c:pt idx="1">
                  <c:v>Oracle Cloud</c:v>
                </c:pt>
              </c:strCache>
            </c:strRef>
          </c:cat>
          <c:val>
            <c:numRef>
              <c:extLst>
                <c:ext xmlns:c15="http://schemas.microsoft.com/office/drawing/2012/chart" uri="{02D57815-91ED-43cb-92C2-25804820EDAC}">
                  <c15:fullRef>
                    <c15:sqref>Summary!$D$12:$F$12</c15:sqref>
                  </c15:fullRef>
                </c:ext>
              </c:extLst>
              <c:f>(Summary!$D$12,Summary!$F$12)</c:f>
              <c:numCache>
                <c:formatCode>#,##0_);\(#,##0\)</c:formatCode>
                <c:ptCount val="2"/>
                <c:pt idx="0">
                  <c:v>8</c:v>
                </c:pt>
                <c:pt idx="1">
                  <c:v>0</c:v>
                </c:pt>
              </c:numCache>
            </c:numRef>
          </c:val>
          <c:extLst>
            <c:ext xmlns:c16="http://schemas.microsoft.com/office/drawing/2014/chart" uri="{C3380CC4-5D6E-409C-BE32-E72D297353CC}">
              <c16:uniqueId val="{00000007-753D-44DE-9CE4-66F054E90343}"/>
            </c:ext>
          </c:extLst>
        </c:ser>
        <c:dLbls>
          <c:showLegendKey val="0"/>
          <c:showVal val="0"/>
          <c:showCatName val="0"/>
          <c:showSerName val="0"/>
          <c:showPercent val="0"/>
          <c:showBubbleSize val="0"/>
        </c:dLbls>
        <c:gapWidth val="50"/>
        <c:overlap val="100"/>
        <c:axId val="300053768"/>
        <c:axId val="300055408"/>
        <c:extLst/>
      </c:barChart>
      <c:catAx>
        <c:axId val="300053768"/>
        <c:scaling>
          <c:orientation val="minMax"/>
        </c:scaling>
        <c:delete val="1"/>
        <c:axPos val="b"/>
        <c:numFmt formatCode="General" sourceLinked="1"/>
        <c:majorTickMark val="none"/>
        <c:minorTickMark val="none"/>
        <c:tickLblPos val="nextTo"/>
        <c:crossAx val="300055408"/>
        <c:crosses val="autoZero"/>
        <c:auto val="1"/>
        <c:lblAlgn val="ctr"/>
        <c:lblOffset val="100"/>
        <c:noMultiLvlLbl val="0"/>
      </c:catAx>
      <c:valAx>
        <c:axId val="300055408"/>
        <c:scaling>
          <c:orientation val="minMax"/>
        </c:scaling>
        <c:delete val="0"/>
        <c:axPos val="l"/>
        <c:majorGridlines>
          <c:spPr>
            <a:ln w="9525" cap="flat" cmpd="sng" algn="ctr">
              <a:noFill/>
              <a:round/>
            </a:ln>
            <a:effectLst/>
          </c:spPr>
        </c:majorGridlines>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00053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6350"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2045022889961934E-2"/>
          <c:y val="7.6434827408552286E-2"/>
          <c:w val="0.93564039444040226"/>
          <c:h val="0.85798034132904966"/>
        </c:manualLayout>
      </c:layout>
      <c:barChart>
        <c:barDir val="col"/>
        <c:grouping val="stacked"/>
        <c:varyColors val="0"/>
        <c:dLbls>
          <c:showLegendKey val="0"/>
          <c:showVal val="0"/>
          <c:showCatName val="0"/>
          <c:showSerName val="0"/>
          <c:showPercent val="0"/>
          <c:showBubbleSize val="0"/>
        </c:dLbls>
        <c:gapWidth val="150"/>
        <c:overlap val="100"/>
        <c:axId val="604104696"/>
        <c:axId val="604105024"/>
      </c:barChart>
      <c:catAx>
        <c:axId val="604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4105024"/>
        <c:crosses val="autoZero"/>
        <c:auto val="1"/>
        <c:lblAlgn val="ctr"/>
        <c:lblOffset val="100"/>
        <c:noMultiLvlLbl val="0"/>
      </c:catAx>
      <c:valAx>
        <c:axId val="60410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410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8</xdr:col>
      <xdr:colOff>57149</xdr:colOff>
      <xdr:row>15</xdr:row>
      <xdr:rowOff>161924</xdr:rowOff>
    </xdr:from>
    <xdr:to>
      <xdr:col>14</xdr:col>
      <xdr:colOff>28574</xdr:colOff>
      <xdr:row>41</xdr:row>
      <xdr:rowOff>9524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142874</xdr:colOff>
      <xdr:row>48</xdr:row>
      <xdr:rowOff>180975</xdr:rowOff>
    </xdr:from>
    <xdr:to>
      <xdr:col>20</xdr:col>
      <xdr:colOff>114299</xdr:colOff>
      <xdr:row>71</xdr:row>
      <xdr:rowOff>104775</xdr:rowOff>
    </xdr:to>
    <xdr:graphicFrame macro="">
      <xdr:nvGraphicFramePr>
        <xdr:cNvPr id="2" name="Chart 1">
          <a:extLst>
            <a:ext uri="{FF2B5EF4-FFF2-40B4-BE49-F238E27FC236}">
              <a16:creationId xmlns:a16="http://schemas.microsoft.com/office/drawing/2014/main" id="{4DA1F941-C9EA-4490-AA68-436F610F8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359834</xdr:colOff>
      <xdr:row>2</xdr:row>
      <xdr:rowOff>0</xdr:rowOff>
    </xdr:from>
    <xdr:to>
      <xdr:col>17</xdr:col>
      <xdr:colOff>624417</xdr:colOff>
      <xdr:row>13</xdr:row>
      <xdr:rowOff>0</xdr:rowOff>
    </xdr:to>
    <xdr:graphicFrame macro="">
      <xdr:nvGraphicFramePr>
        <xdr:cNvPr id="2" name="Chart 1">
          <a:extLst>
            <a:ext uri="{FF2B5EF4-FFF2-40B4-BE49-F238E27FC236}">
              <a16:creationId xmlns:a16="http://schemas.microsoft.com/office/drawing/2014/main" id="{0A9BA4D0-BBEB-4D52-A4B9-8FB89ACDC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2</xdr:row>
      <xdr:rowOff>0</xdr:rowOff>
    </xdr:from>
    <xdr:to>
      <xdr:col>19</xdr:col>
      <xdr:colOff>709083</xdr:colOff>
      <xdr:row>17</xdr:row>
      <xdr:rowOff>44449</xdr:rowOff>
    </xdr:to>
    <xdr:graphicFrame macro="">
      <xdr:nvGraphicFramePr>
        <xdr:cNvPr id="3" name="Chart 2">
          <a:extLst>
            <a:ext uri="{FF2B5EF4-FFF2-40B4-BE49-F238E27FC236}">
              <a16:creationId xmlns:a16="http://schemas.microsoft.com/office/drawing/2014/main" id="{F80345B5-56D7-4967-A7BC-4AEC32D34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317500</xdr:colOff>
      <xdr:row>16</xdr:row>
      <xdr:rowOff>148166</xdr:rowOff>
    </xdr:from>
    <xdr:to>
      <xdr:col>17</xdr:col>
      <xdr:colOff>582083</xdr:colOff>
      <xdr:row>32</xdr:row>
      <xdr:rowOff>6349</xdr:rowOff>
    </xdr:to>
    <xdr:graphicFrame macro="">
      <xdr:nvGraphicFramePr>
        <xdr:cNvPr id="4" name="Chart 3">
          <a:extLst>
            <a:ext uri="{FF2B5EF4-FFF2-40B4-BE49-F238E27FC236}">
              <a16:creationId xmlns:a16="http://schemas.microsoft.com/office/drawing/2014/main" id="{4913587D-664E-45BF-927A-FE1793144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2</xdr:row>
      <xdr:rowOff>0</xdr:rowOff>
    </xdr:from>
    <xdr:to>
      <xdr:col>11</xdr:col>
      <xdr:colOff>1123950</xdr:colOff>
      <xdr:row>22</xdr:row>
      <xdr:rowOff>66675</xdr:rowOff>
    </xdr:to>
    <xdr:graphicFrame macro="">
      <xdr:nvGraphicFramePr>
        <xdr:cNvPr id="2" name="Chart 1">
          <a:extLst>
            <a:ext uri="{FF2B5EF4-FFF2-40B4-BE49-F238E27FC236}">
              <a16:creationId xmlns:a16="http://schemas.microsoft.com/office/drawing/2014/main" id="{56541DDC-CBEB-42F7-BA77-7B5A102D9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17</xdr:col>
      <xdr:colOff>19050</xdr:colOff>
      <xdr:row>22</xdr:row>
      <xdr:rowOff>85725</xdr:rowOff>
    </xdr:to>
    <xdr:graphicFrame macro="">
      <xdr:nvGraphicFramePr>
        <xdr:cNvPr id="3" name="Chart 2">
          <a:extLst>
            <a:ext uri="{FF2B5EF4-FFF2-40B4-BE49-F238E27FC236}">
              <a16:creationId xmlns:a16="http://schemas.microsoft.com/office/drawing/2014/main" id="{D0A9ADB9-6C6F-4C16-BAD5-26440C353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371474</xdr:colOff>
      <xdr:row>32</xdr:row>
      <xdr:rowOff>66675</xdr:rowOff>
    </xdr:to>
    <xdr:graphicFrame macro="">
      <xdr:nvGraphicFramePr>
        <xdr:cNvPr id="2" name="Chart 1">
          <a:extLst>
            <a:ext uri="{FF2B5EF4-FFF2-40B4-BE49-F238E27FC236}">
              <a16:creationId xmlns:a16="http://schemas.microsoft.com/office/drawing/2014/main" id="{BB208F04-98C3-420D-91D1-29E0714A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66675</xdr:colOff>
      <xdr:row>0</xdr:row>
      <xdr:rowOff>38100</xdr:rowOff>
    </xdr:from>
    <xdr:to>
      <xdr:col>22</xdr:col>
      <xdr:colOff>66675</xdr:colOff>
      <xdr:row>16</xdr:row>
      <xdr:rowOff>76200</xdr:rowOff>
    </xdr:to>
    <mc:AlternateContent xmlns:mc="http://schemas.openxmlformats.org/markup-compatibility/2006" xmlns:sle15="http://schemas.microsoft.com/office/drawing/2012/slicer">
      <mc:Choice Requires="sle15">
        <xdr:graphicFrame macro="">
          <xdr:nvGraphicFramePr>
            <xdr:cNvPr id="4" name="Category">
              <a:extLst>
                <a:ext uri="{FF2B5EF4-FFF2-40B4-BE49-F238E27FC236}">
                  <a16:creationId xmlns:a16="http://schemas.microsoft.com/office/drawing/2014/main" id="{D9A82A1D-D054-40F0-8977-2C2E0FF28BB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649075" y="38100"/>
              <a:ext cx="1828800" cy="308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66675</xdr:colOff>
      <xdr:row>16</xdr:row>
      <xdr:rowOff>85725</xdr:rowOff>
    </xdr:from>
    <xdr:to>
      <xdr:col>22</xdr:col>
      <xdr:colOff>66675</xdr:colOff>
      <xdr:row>32</xdr:row>
      <xdr:rowOff>9525</xdr:rowOff>
    </xdr:to>
    <mc:AlternateContent xmlns:mc="http://schemas.openxmlformats.org/markup-compatibility/2006" xmlns:sle15="http://schemas.microsoft.com/office/drawing/2012/slicer">
      <mc:Choice Requires="sle15">
        <xdr:graphicFrame macro="">
          <xdr:nvGraphicFramePr>
            <xdr:cNvPr id="5" name="Sku">
              <a:extLst>
                <a:ext uri="{FF2B5EF4-FFF2-40B4-BE49-F238E27FC236}">
                  <a16:creationId xmlns:a16="http://schemas.microsoft.com/office/drawing/2014/main" id="{578D435E-FDF4-4261-AC00-DAA0A37F0A0D}"/>
                </a:ext>
              </a:extLst>
            </xdr:cNvPr>
            <xdr:cNvGraphicFramePr/>
          </xdr:nvGraphicFramePr>
          <xdr:xfrm>
            <a:off x="0" y="0"/>
            <a:ext cx="0" cy="0"/>
          </xdr:xfrm>
          <a:graphic>
            <a:graphicData uri="http://schemas.microsoft.com/office/drawing/2010/slicer">
              <sle:slicer xmlns:sle="http://schemas.microsoft.com/office/drawing/2010/slicer" name="Sku"/>
            </a:graphicData>
          </a:graphic>
        </xdr:graphicFrame>
      </mc:Choice>
      <mc:Fallback xmlns="">
        <xdr:sp macro="" textlink="">
          <xdr:nvSpPr>
            <xdr:cNvPr id="0" name=""/>
            <xdr:cNvSpPr>
              <a:spLocks noTextEdit="1"/>
            </xdr:cNvSpPr>
          </xdr:nvSpPr>
          <xdr:spPr>
            <a:xfrm>
              <a:off x="11649075" y="3133725"/>
              <a:ext cx="1828800" cy="2971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76199</xdr:colOff>
      <xdr:row>0</xdr:row>
      <xdr:rowOff>38100</xdr:rowOff>
    </xdr:from>
    <xdr:to>
      <xdr:col>29</xdr:col>
      <xdr:colOff>9524</xdr:colOff>
      <xdr:row>32</xdr:row>
      <xdr:rowOff>19050</xdr:rowOff>
    </xdr:to>
    <mc:AlternateContent xmlns:mc="http://schemas.openxmlformats.org/markup-compatibility/2006" xmlns:sle15="http://schemas.microsoft.com/office/drawing/2012/slicer">
      <mc:Choice Requires="sle15">
        <xdr:graphicFrame macro="">
          <xdr:nvGraphicFramePr>
            <xdr:cNvPr id="6" name="Product Name">
              <a:extLst>
                <a:ext uri="{FF2B5EF4-FFF2-40B4-BE49-F238E27FC236}">
                  <a16:creationId xmlns:a16="http://schemas.microsoft.com/office/drawing/2014/main" id="{AC80F640-5A6D-426D-9DAD-5CA15497841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3487399" y="38100"/>
              <a:ext cx="4203700" cy="5772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47625</xdr:colOff>
      <xdr:row>76</xdr:row>
      <xdr:rowOff>171450</xdr:rowOff>
    </xdr:from>
    <xdr:to>
      <xdr:col>24</xdr:col>
      <xdr:colOff>844</xdr:colOff>
      <xdr:row>115</xdr:row>
      <xdr:rowOff>39118</xdr:rowOff>
    </xdr:to>
    <xdr:pic>
      <xdr:nvPicPr>
        <xdr:cNvPr id="3" name="Picture 2">
          <a:extLst>
            <a:ext uri="{FF2B5EF4-FFF2-40B4-BE49-F238E27FC236}">
              <a16:creationId xmlns:a16="http://schemas.microsoft.com/office/drawing/2014/main" id="{437DB2B2-3942-4250-B6A0-A5C770FB28DA}"/>
            </a:ext>
          </a:extLst>
        </xdr:cNvPr>
        <xdr:cNvPicPr>
          <a:picLocks noChangeAspect="1"/>
        </xdr:cNvPicPr>
      </xdr:nvPicPr>
      <xdr:blipFill>
        <a:blip xmlns:r="http://schemas.openxmlformats.org/officeDocument/2006/relationships" r:embed="rId1"/>
        <a:stretch>
          <a:fillRect/>
        </a:stretch>
      </xdr:blipFill>
      <xdr:spPr>
        <a:xfrm>
          <a:off x="11201400" y="3133725"/>
          <a:ext cx="6049219" cy="7297168"/>
        </a:xfrm>
        <a:prstGeom prst="rect">
          <a:avLst/>
        </a:prstGeom>
      </xdr:spPr>
    </xdr:pic>
    <xdr:clientData/>
  </xdr:twoCellAnchor>
  <xdr:twoCellAnchor editAs="oneCell">
    <xdr:from>
      <xdr:col>3</xdr:col>
      <xdr:colOff>0</xdr:colOff>
      <xdr:row>77</xdr:row>
      <xdr:rowOff>9525</xdr:rowOff>
    </xdr:from>
    <xdr:to>
      <xdr:col>6</xdr:col>
      <xdr:colOff>3887036</xdr:colOff>
      <xdr:row>121</xdr:row>
      <xdr:rowOff>144064</xdr:rowOff>
    </xdr:to>
    <xdr:pic>
      <xdr:nvPicPr>
        <xdr:cNvPr id="4" name="Picture 3">
          <a:extLst>
            <a:ext uri="{FF2B5EF4-FFF2-40B4-BE49-F238E27FC236}">
              <a16:creationId xmlns:a16="http://schemas.microsoft.com/office/drawing/2014/main" id="{683D9661-374E-443B-AC99-F6E38EACC790}"/>
            </a:ext>
          </a:extLst>
        </xdr:cNvPr>
        <xdr:cNvPicPr>
          <a:picLocks noChangeAspect="1"/>
        </xdr:cNvPicPr>
      </xdr:nvPicPr>
      <xdr:blipFill>
        <a:blip xmlns:r="http://schemas.openxmlformats.org/officeDocument/2006/relationships" r:embed="rId2"/>
        <a:stretch>
          <a:fillRect/>
        </a:stretch>
      </xdr:blipFill>
      <xdr:spPr>
        <a:xfrm>
          <a:off x="4448175" y="3162300"/>
          <a:ext cx="5992061" cy="8516539"/>
        </a:xfrm>
        <a:prstGeom prst="rect">
          <a:avLst/>
        </a:prstGeom>
      </xdr:spPr>
    </xdr:pic>
    <xdr:clientData/>
  </xdr:twoCellAnchor>
  <xdr:twoCellAnchor editAs="oneCell">
    <xdr:from>
      <xdr:col>3</xdr:col>
      <xdr:colOff>0</xdr:colOff>
      <xdr:row>124</xdr:row>
      <xdr:rowOff>0</xdr:rowOff>
    </xdr:from>
    <xdr:to>
      <xdr:col>6</xdr:col>
      <xdr:colOff>5649407</xdr:colOff>
      <xdr:row>139</xdr:row>
      <xdr:rowOff>124241</xdr:rowOff>
    </xdr:to>
    <xdr:pic>
      <xdr:nvPicPr>
        <xdr:cNvPr id="5" name="Picture 4">
          <a:extLst>
            <a:ext uri="{FF2B5EF4-FFF2-40B4-BE49-F238E27FC236}">
              <a16:creationId xmlns:a16="http://schemas.microsoft.com/office/drawing/2014/main" id="{36803BB0-29FE-463C-B65C-51A03B7438C7}"/>
            </a:ext>
          </a:extLst>
        </xdr:cNvPr>
        <xdr:cNvPicPr>
          <a:picLocks noChangeAspect="1"/>
        </xdr:cNvPicPr>
      </xdr:nvPicPr>
      <xdr:blipFill>
        <a:blip xmlns:r="http://schemas.openxmlformats.org/officeDocument/2006/relationships" r:embed="rId3"/>
        <a:stretch>
          <a:fillRect/>
        </a:stretch>
      </xdr:blipFill>
      <xdr:spPr>
        <a:xfrm>
          <a:off x="4448175" y="12106275"/>
          <a:ext cx="7754432" cy="2981741"/>
        </a:xfrm>
        <a:prstGeom prst="rect">
          <a:avLst/>
        </a:prstGeom>
      </xdr:spPr>
    </xdr:pic>
    <xdr:clientData/>
  </xdr:twoCellAnchor>
  <xdr:twoCellAnchor editAs="oneCell">
    <xdr:from>
      <xdr:col>2</xdr:col>
      <xdr:colOff>0</xdr:colOff>
      <xdr:row>142</xdr:row>
      <xdr:rowOff>0</xdr:rowOff>
    </xdr:from>
    <xdr:to>
      <xdr:col>6</xdr:col>
      <xdr:colOff>3667947</xdr:colOff>
      <xdr:row>177</xdr:row>
      <xdr:rowOff>19983</xdr:rowOff>
    </xdr:to>
    <xdr:pic>
      <xdr:nvPicPr>
        <xdr:cNvPr id="6" name="Picture 5">
          <a:extLst>
            <a:ext uri="{FF2B5EF4-FFF2-40B4-BE49-F238E27FC236}">
              <a16:creationId xmlns:a16="http://schemas.microsoft.com/office/drawing/2014/main" id="{29738412-1BF4-452E-8676-8F16BCF0D0B0}"/>
            </a:ext>
          </a:extLst>
        </xdr:cNvPr>
        <xdr:cNvPicPr>
          <a:picLocks noChangeAspect="1"/>
        </xdr:cNvPicPr>
      </xdr:nvPicPr>
      <xdr:blipFill>
        <a:blip xmlns:r="http://schemas.openxmlformats.org/officeDocument/2006/relationships" r:embed="rId4"/>
        <a:stretch>
          <a:fillRect/>
        </a:stretch>
      </xdr:blipFill>
      <xdr:spPr>
        <a:xfrm>
          <a:off x="3838575" y="15582900"/>
          <a:ext cx="5887272" cy="6687483"/>
        </a:xfrm>
        <a:prstGeom prst="rect">
          <a:avLst/>
        </a:prstGeom>
      </xdr:spPr>
    </xdr:pic>
    <xdr:clientData/>
  </xdr:twoCellAnchor>
  <xdr:twoCellAnchor editAs="oneCell">
    <xdr:from>
      <xdr:col>12</xdr:col>
      <xdr:colOff>0</xdr:colOff>
      <xdr:row>142</xdr:row>
      <xdr:rowOff>0</xdr:rowOff>
    </xdr:from>
    <xdr:to>
      <xdr:col>21</xdr:col>
      <xdr:colOff>438977</xdr:colOff>
      <xdr:row>169</xdr:row>
      <xdr:rowOff>162665</xdr:rowOff>
    </xdr:to>
    <xdr:pic>
      <xdr:nvPicPr>
        <xdr:cNvPr id="7" name="Picture 6">
          <a:extLst>
            <a:ext uri="{FF2B5EF4-FFF2-40B4-BE49-F238E27FC236}">
              <a16:creationId xmlns:a16="http://schemas.microsoft.com/office/drawing/2014/main" id="{CFCB5252-D4BA-4D45-99FB-1CCFFCF0168E}"/>
            </a:ext>
          </a:extLst>
        </xdr:cNvPr>
        <xdr:cNvPicPr>
          <a:picLocks noChangeAspect="1"/>
        </xdr:cNvPicPr>
      </xdr:nvPicPr>
      <xdr:blipFill>
        <a:blip xmlns:r="http://schemas.openxmlformats.org/officeDocument/2006/relationships" r:embed="rId5"/>
        <a:stretch>
          <a:fillRect/>
        </a:stretch>
      </xdr:blipFill>
      <xdr:spPr>
        <a:xfrm>
          <a:off x="9934575" y="15582900"/>
          <a:ext cx="5925377" cy="53061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9525</xdr:colOff>
      <xdr:row>0</xdr:row>
      <xdr:rowOff>9525</xdr:rowOff>
    </xdr:from>
    <xdr:to>
      <xdr:col>30</xdr:col>
      <xdr:colOff>505353</xdr:colOff>
      <xdr:row>13</xdr:row>
      <xdr:rowOff>171747</xdr:rowOff>
    </xdr:to>
    <xdr:pic>
      <xdr:nvPicPr>
        <xdr:cNvPr id="2" name="Picture 1">
          <a:extLst>
            <a:ext uri="{FF2B5EF4-FFF2-40B4-BE49-F238E27FC236}">
              <a16:creationId xmlns:a16="http://schemas.microsoft.com/office/drawing/2014/main" id="{BAF70197-4863-42E5-B31E-7A7CF87EC61D}"/>
            </a:ext>
          </a:extLst>
        </xdr:cNvPr>
        <xdr:cNvPicPr>
          <a:picLocks noChangeAspect="1"/>
        </xdr:cNvPicPr>
      </xdr:nvPicPr>
      <xdr:blipFill>
        <a:blip xmlns:r="http://schemas.openxmlformats.org/officeDocument/2006/relationships" r:embed="rId1"/>
        <a:stretch>
          <a:fillRect/>
        </a:stretch>
      </xdr:blipFill>
      <xdr:spPr>
        <a:xfrm>
          <a:off x="14649450" y="9525"/>
          <a:ext cx="6096528" cy="3429297"/>
        </a:xfrm>
        <a:prstGeom prst="rect">
          <a:avLst/>
        </a:prstGeom>
      </xdr:spPr>
    </xdr:pic>
    <xdr:clientData/>
  </xdr:twoCellAnchor>
  <xdr:twoCellAnchor editAs="oneCell">
    <xdr:from>
      <xdr:col>12</xdr:col>
      <xdr:colOff>295275</xdr:colOff>
      <xdr:row>34</xdr:row>
      <xdr:rowOff>171450</xdr:rowOff>
    </xdr:from>
    <xdr:to>
      <xdr:col>21</xdr:col>
      <xdr:colOff>457728</xdr:colOff>
      <xdr:row>48</xdr:row>
      <xdr:rowOff>133647</xdr:rowOff>
    </xdr:to>
    <xdr:pic>
      <xdr:nvPicPr>
        <xdr:cNvPr id="3" name="Picture 2">
          <a:extLst>
            <a:ext uri="{FF2B5EF4-FFF2-40B4-BE49-F238E27FC236}">
              <a16:creationId xmlns:a16="http://schemas.microsoft.com/office/drawing/2014/main" id="{AE81BCFD-FD1D-4658-A78D-D0DB35C52CDE}"/>
            </a:ext>
          </a:extLst>
        </xdr:cNvPr>
        <xdr:cNvPicPr>
          <a:picLocks noChangeAspect="1"/>
        </xdr:cNvPicPr>
      </xdr:nvPicPr>
      <xdr:blipFill>
        <a:blip xmlns:r="http://schemas.openxmlformats.org/officeDocument/2006/relationships" r:embed="rId2"/>
        <a:stretch>
          <a:fillRect/>
        </a:stretch>
      </xdr:blipFill>
      <xdr:spPr>
        <a:xfrm>
          <a:off x="9001125" y="7486650"/>
          <a:ext cx="6096528" cy="3429297"/>
        </a:xfrm>
        <a:prstGeom prst="rect">
          <a:avLst/>
        </a:prstGeom>
      </xdr:spPr>
    </xdr:pic>
    <xdr:clientData/>
  </xdr:twoCellAnchor>
  <xdr:twoCellAnchor editAs="oneCell">
    <xdr:from>
      <xdr:col>12</xdr:col>
      <xdr:colOff>381000</xdr:colOff>
      <xdr:row>53</xdr:row>
      <xdr:rowOff>171450</xdr:rowOff>
    </xdr:from>
    <xdr:to>
      <xdr:col>21</xdr:col>
      <xdr:colOff>543453</xdr:colOff>
      <xdr:row>71</xdr:row>
      <xdr:rowOff>171747</xdr:rowOff>
    </xdr:to>
    <xdr:pic>
      <xdr:nvPicPr>
        <xdr:cNvPr id="4" name="Picture 3">
          <a:extLst>
            <a:ext uri="{FF2B5EF4-FFF2-40B4-BE49-F238E27FC236}">
              <a16:creationId xmlns:a16="http://schemas.microsoft.com/office/drawing/2014/main" id="{49B81BE0-5C2A-47BC-8F32-7DCBC6D8F170}"/>
            </a:ext>
          </a:extLst>
        </xdr:cNvPr>
        <xdr:cNvPicPr>
          <a:picLocks noChangeAspect="1"/>
        </xdr:cNvPicPr>
      </xdr:nvPicPr>
      <xdr:blipFill>
        <a:blip xmlns:r="http://schemas.openxmlformats.org/officeDocument/2006/relationships" r:embed="rId3"/>
        <a:stretch>
          <a:fillRect/>
        </a:stretch>
      </xdr:blipFill>
      <xdr:spPr>
        <a:xfrm>
          <a:off x="9086850" y="11144250"/>
          <a:ext cx="6096528" cy="3429297"/>
        </a:xfrm>
        <a:prstGeom prst="rect">
          <a:avLst/>
        </a:prstGeom>
      </xdr:spPr>
    </xdr:pic>
    <xdr:clientData/>
  </xdr:twoCellAnchor>
  <xdr:twoCellAnchor editAs="oneCell">
    <xdr:from>
      <xdr:col>12</xdr:col>
      <xdr:colOff>28575</xdr:colOff>
      <xdr:row>0</xdr:row>
      <xdr:rowOff>47625</xdr:rowOff>
    </xdr:from>
    <xdr:to>
      <xdr:col>21</xdr:col>
      <xdr:colOff>191028</xdr:colOff>
      <xdr:row>14</xdr:row>
      <xdr:rowOff>9822</xdr:rowOff>
    </xdr:to>
    <xdr:pic>
      <xdr:nvPicPr>
        <xdr:cNvPr id="5" name="Picture 4">
          <a:extLst>
            <a:ext uri="{FF2B5EF4-FFF2-40B4-BE49-F238E27FC236}">
              <a16:creationId xmlns:a16="http://schemas.microsoft.com/office/drawing/2014/main" id="{85AFCFFC-0999-41AA-B434-D80E336E75DB}"/>
            </a:ext>
          </a:extLst>
        </xdr:cNvPr>
        <xdr:cNvPicPr>
          <a:picLocks noChangeAspect="1"/>
        </xdr:cNvPicPr>
      </xdr:nvPicPr>
      <xdr:blipFill>
        <a:blip xmlns:r="http://schemas.openxmlformats.org/officeDocument/2006/relationships" r:embed="rId4"/>
        <a:stretch>
          <a:fillRect/>
        </a:stretch>
      </xdr:blipFill>
      <xdr:spPr>
        <a:xfrm>
          <a:off x="8734425" y="47625"/>
          <a:ext cx="6096528" cy="342929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103188</xdr:rowOff>
    </xdr:from>
    <xdr:to>
      <xdr:col>12</xdr:col>
      <xdr:colOff>596429</xdr:colOff>
      <xdr:row>26</xdr:row>
      <xdr:rowOff>75274</xdr:rowOff>
    </xdr:to>
    <xdr:pic>
      <xdr:nvPicPr>
        <xdr:cNvPr id="3" name="Picture 2">
          <a:extLst>
            <a:ext uri="{FF2B5EF4-FFF2-40B4-BE49-F238E27FC236}">
              <a16:creationId xmlns:a16="http://schemas.microsoft.com/office/drawing/2014/main" id="{481EF3D2-35E0-421A-BDF6-A4D1C0CE3A50}"/>
            </a:ext>
          </a:extLst>
        </xdr:cNvPr>
        <xdr:cNvPicPr>
          <a:picLocks noChangeAspect="1"/>
        </xdr:cNvPicPr>
      </xdr:nvPicPr>
      <xdr:blipFill>
        <a:blip xmlns:r="http://schemas.openxmlformats.org/officeDocument/2006/relationships" r:embed="rId1"/>
        <a:stretch>
          <a:fillRect/>
        </a:stretch>
      </xdr:blipFill>
      <xdr:spPr>
        <a:xfrm>
          <a:off x="0" y="293688"/>
          <a:ext cx="8002117" cy="4734586"/>
        </a:xfrm>
        <a:prstGeom prst="rect">
          <a:avLst/>
        </a:prstGeom>
      </xdr:spPr>
    </xdr:pic>
    <xdr:clientData/>
  </xdr:twoCellAnchor>
  <xdr:twoCellAnchor editAs="oneCell">
    <xdr:from>
      <xdr:col>0</xdr:col>
      <xdr:colOff>0</xdr:colOff>
      <xdr:row>26</xdr:row>
      <xdr:rowOff>166687</xdr:rowOff>
    </xdr:from>
    <xdr:to>
      <xdr:col>12</xdr:col>
      <xdr:colOff>463060</xdr:colOff>
      <xdr:row>48</xdr:row>
      <xdr:rowOff>14851</xdr:rowOff>
    </xdr:to>
    <xdr:pic>
      <xdr:nvPicPr>
        <xdr:cNvPr id="5" name="Picture 4">
          <a:extLst>
            <a:ext uri="{FF2B5EF4-FFF2-40B4-BE49-F238E27FC236}">
              <a16:creationId xmlns:a16="http://schemas.microsoft.com/office/drawing/2014/main" id="{257402CC-B563-4100-A63E-3235EA7CBC1D}"/>
            </a:ext>
          </a:extLst>
        </xdr:cNvPr>
        <xdr:cNvPicPr>
          <a:picLocks noChangeAspect="1"/>
        </xdr:cNvPicPr>
      </xdr:nvPicPr>
      <xdr:blipFill>
        <a:blip xmlns:r="http://schemas.openxmlformats.org/officeDocument/2006/relationships" r:embed="rId2"/>
        <a:stretch>
          <a:fillRect/>
        </a:stretch>
      </xdr:blipFill>
      <xdr:spPr>
        <a:xfrm>
          <a:off x="0" y="5119687"/>
          <a:ext cx="7868748" cy="4039164"/>
        </a:xfrm>
        <a:prstGeom prst="rect">
          <a:avLst/>
        </a:prstGeom>
      </xdr:spPr>
    </xdr:pic>
    <xdr:clientData/>
  </xdr:twoCellAnchor>
  <xdr:twoCellAnchor editAs="oneCell">
    <xdr:from>
      <xdr:col>0</xdr:col>
      <xdr:colOff>0</xdr:colOff>
      <xdr:row>49</xdr:row>
      <xdr:rowOff>0</xdr:rowOff>
    </xdr:from>
    <xdr:to>
      <xdr:col>12</xdr:col>
      <xdr:colOff>539271</xdr:colOff>
      <xdr:row>66</xdr:row>
      <xdr:rowOff>181452</xdr:rowOff>
    </xdr:to>
    <xdr:pic>
      <xdr:nvPicPr>
        <xdr:cNvPr id="6" name="Picture 5">
          <a:extLst>
            <a:ext uri="{FF2B5EF4-FFF2-40B4-BE49-F238E27FC236}">
              <a16:creationId xmlns:a16="http://schemas.microsoft.com/office/drawing/2014/main" id="{505DCFD3-925C-4795-85DA-BAA89BE664E4}"/>
            </a:ext>
          </a:extLst>
        </xdr:cNvPr>
        <xdr:cNvPicPr>
          <a:picLocks noChangeAspect="1"/>
        </xdr:cNvPicPr>
      </xdr:nvPicPr>
      <xdr:blipFill>
        <a:blip xmlns:r="http://schemas.openxmlformats.org/officeDocument/2006/relationships" r:embed="rId3"/>
        <a:stretch>
          <a:fillRect/>
        </a:stretch>
      </xdr:blipFill>
      <xdr:spPr>
        <a:xfrm>
          <a:off x="0" y="9334500"/>
          <a:ext cx="7944959" cy="3419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000SQF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iles/Lists/Cloud%20Price%20List/ORACLE%20PAAS%20AND%20IAAS%20PUBLIC%20CLOUD%20LOCALIZABLE%20PRICE%20LIST%202103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iles/Products/LOCALISABLE_EPL%201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trategic-nt/data/Temp/Price%20list%20with%20latest%20revisions%20-%20final%20version%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sheetName val="1999"/>
      <sheetName val="Summary"/>
      <sheetName val="Den"/>
      <sheetName val="Dom"/>
      <sheetName val="Eas"/>
      <sheetName val="Gen"/>
      <sheetName val="Nor"/>
      <sheetName val="Phx"/>
      <sheetName val="Por"/>
      <sheetName val="Ran"/>
      <sheetName val="Sea"/>
      <sheetName val="Von"/>
      <sheetName val="Can"/>
      <sheetName val="Store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acle PaaS and IaaS Price List"/>
      <sheetName val="Oracle PaaS and IaaS Supplement"/>
      <sheetName val="Sheet1"/>
      <sheetName val="Translation"/>
      <sheetName val="Cloud"/>
      <sheetName val="Exchange"/>
      <sheetName val="Universal Credits Model Changes"/>
      <sheetName val="Cloud at Customer Changes"/>
      <sheetName val="Government Changes"/>
    </sheetNames>
    <sheetDataSet>
      <sheetData sheetId="0">
        <row r="6042">
          <cell r="L6042" t="str">
            <v>Albania</v>
          </cell>
        </row>
        <row r="6043">
          <cell r="L6043" t="str">
            <v>Argentina</v>
          </cell>
        </row>
        <row r="6044">
          <cell r="L6044" t="str">
            <v>Australia</v>
          </cell>
        </row>
        <row r="6045">
          <cell r="L6045" t="str">
            <v>Austria</v>
          </cell>
        </row>
        <row r="6046">
          <cell r="L6046" t="str">
            <v>Bangladesh</v>
          </cell>
        </row>
        <row r="6047">
          <cell r="L6047" t="str">
            <v>Belgium</v>
          </cell>
        </row>
        <row r="6048">
          <cell r="L6048" t="str">
            <v>Bosnia</v>
          </cell>
        </row>
        <row r="6049">
          <cell r="L6049" t="str">
            <v>Brazil</v>
          </cell>
        </row>
        <row r="6050">
          <cell r="L6050" t="str">
            <v>Bulgaria</v>
          </cell>
        </row>
        <row r="6051">
          <cell r="L6051" t="str">
            <v>Canada</v>
          </cell>
        </row>
        <row r="6052">
          <cell r="L6052" t="str">
            <v>Chile</v>
          </cell>
        </row>
        <row r="6053">
          <cell r="L6053" t="str">
            <v>China</v>
          </cell>
        </row>
        <row r="6054">
          <cell r="L6054" t="str">
            <v>Colombia</v>
          </cell>
        </row>
        <row r="6055">
          <cell r="L6055" t="str">
            <v>Costa Rica</v>
          </cell>
        </row>
        <row r="6056">
          <cell r="L6056" t="str">
            <v>Croatia</v>
          </cell>
        </row>
        <row r="6057">
          <cell r="L6057" t="str">
            <v>Cyprus</v>
          </cell>
        </row>
        <row r="6058">
          <cell r="L6058" t="str">
            <v>Czech Republic</v>
          </cell>
        </row>
        <row r="6059">
          <cell r="L6059" t="str">
            <v>Denmark</v>
          </cell>
        </row>
        <row r="6060">
          <cell r="L6060" t="str">
            <v>Egypt</v>
          </cell>
        </row>
        <row r="6061">
          <cell r="L6061" t="str">
            <v>Estonia</v>
          </cell>
        </row>
        <row r="6062">
          <cell r="L6062" t="str">
            <v>Finland</v>
          </cell>
        </row>
        <row r="6063">
          <cell r="L6063" t="str">
            <v>France</v>
          </cell>
        </row>
        <row r="6064">
          <cell r="L6064" t="str">
            <v>Germany</v>
          </cell>
        </row>
        <row r="6065">
          <cell r="L6065" t="str">
            <v>Greece</v>
          </cell>
        </row>
        <row r="6066">
          <cell r="L6066" t="str">
            <v>Hong Kong</v>
          </cell>
        </row>
        <row r="6067">
          <cell r="L6067" t="str">
            <v>Hungary</v>
          </cell>
        </row>
        <row r="6068">
          <cell r="L6068" t="str">
            <v>Iceland</v>
          </cell>
        </row>
        <row r="6069">
          <cell r="L6069" t="str">
            <v>India</v>
          </cell>
        </row>
        <row r="6070">
          <cell r="L6070" t="str">
            <v>Indonesia</v>
          </cell>
        </row>
        <row r="6071">
          <cell r="L6071" t="str">
            <v>Ireland</v>
          </cell>
        </row>
        <row r="6072">
          <cell r="L6072" t="str">
            <v>Israel</v>
          </cell>
        </row>
        <row r="6073">
          <cell r="L6073" t="str">
            <v>Italy</v>
          </cell>
        </row>
        <row r="6074">
          <cell r="L6074" t="str">
            <v>Jamaica</v>
          </cell>
        </row>
        <row r="6075">
          <cell r="L6075" t="str">
            <v>Japan</v>
          </cell>
        </row>
        <row r="6076">
          <cell r="L6076" t="str">
            <v>Kazakhstan</v>
          </cell>
        </row>
        <row r="6077">
          <cell r="L6077" t="str">
            <v>Kenya</v>
          </cell>
        </row>
        <row r="6078">
          <cell r="L6078" t="str">
            <v>Korea</v>
          </cell>
        </row>
        <row r="6079">
          <cell r="L6079" t="str">
            <v>Kuwait</v>
          </cell>
        </row>
        <row r="6080">
          <cell r="L6080" t="str">
            <v>Latvia</v>
          </cell>
        </row>
        <row r="6081">
          <cell r="L6081" t="str">
            <v>Lebanon</v>
          </cell>
        </row>
        <row r="6082">
          <cell r="L6082" t="str">
            <v>Lithuania</v>
          </cell>
        </row>
        <row r="6083">
          <cell r="L6083" t="str">
            <v>Macau</v>
          </cell>
        </row>
        <row r="6084">
          <cell r="L6084" t="str">
            <v>Malaysia</v>
          </cell>
        </row>
        <row r="6085">
          <cell r="L6085" t="str">
            <v>Maldives</v>
          </cell>
        </row>
        <row r="6086">
          <cell r="L6086" t="str">
            <v>Malta</v>
          </cell>
        </row>
        <row r="6087">
          <cell r="L6087" t="str">
            <v>Mexico</v>
          </cell>
        </row>
        <row r="6088">
          <cell r="L6088" t="str">
            <v>United Arab Emirates</v>
          </cell>
        </row>
        <row r="6089">
          <cell r="L6089" t="str">
            <v>Netherlands</v>
          </cell>
        </row>
        <row r="6090">
          <cell r="L6090" t="str">
            <v>New Zealand</v>
          </cell>
        </row>
        <row r="6091">
          <cell r="L6091" t="str">
            <v>Norway</v>
          </cell>
        </row>
        <row r="6092">
          <cell r="L6092" t="str">
            <v>Pakistan</v>
          </cell>
        </row>
        <row r="6093">
          <cell r="L6093" t="str">
            <v>Peru</v>
          </cell>
        </row>
        <row r="6094">
          <cell r="L6094" t="str">
            <v>Philippines</v>
          </cell>
        </row>
        <row r="6095">
          <cell r="L6095" t="str">
            <v>Poland</v>
          </cell>
        </row>
        <row r="6096">
          <cell r="L6096" t="str">
            <v>Portugal</v>
          </cell>
        </row>
        <row r="6097">
          <cell r="L6097" t="str">
            <v>Qatar</v>
          </cell>
        </row>
        <row r="6098">
          <cell r="L6098" t="str">
            <v>Romania</v>
          </cell>
        </row>
        <row r="6099">
          <cell r="L6099" t="str">
            <v>Russia</v>
          </cell>
        </row>
        <row r="6100">
          <cell r="L6100" t="str">
            <v>Saudi Arabia</v>
          </cell>
        </row>
        <row r="6101">
          <cell r="L6101" t="str">
            <v>Serbia</v>
          </cell>
        </row>
        <row r="6102">
          <cell r="L6102" t="str">
            <v>Singapore</v>
          </cell>
        </row>
        <row r="6103">
          <cell r="L6103" t="str">
            <v>Slovak Rep</v>
          </cell>
        </row>
        <row r="6104">
          <cell r="L6104" t="str">
            <v>Slovenia</v>
          </cell>
        </row>
        <row r="6105">
          <cell r="L6105" t="str">
            <v>South Africa</v>
          </cell>
        </row>
        <row r="6106">
          <cell r="L6106" t="str">
            <v>Spain</v>
          </cell>
        </row>
        <row r="6107">
          <cell r="L6107" t="str">
            <v>Sweden</v>
          </cell>
        </row>
        <row r="6108">
          <cell r="L6108" t="str">
            <v>Switzerland</v>
          </cell>
        </row>
        <row r="6109">
          <cell r="L6109" t="str">
            <v>Taiwan</v>
          </cell>
        </row>
        <row r="6110">
          <cell r="L6110" t="str">
            <v>Thailand</v>
          </cell>
        </row>
        <row r="6111">
          <cell r="L6111" t="str">
            <v>Turkey</v>
          </cell>
        </row>
        <row r="6112">
          <cell r="L6112" t="str">
            <v>UK</v>
          </cell>
        </row>
        <row r="6113">
          <cell r="L6113" t="str">
            <v>USA</v>
          </cell>
        </row>
        <row r="6114">
          <cell r="L6114" t="str">
            <v>Vietnam</v>
          </cell>
        </row>
        <row r="6116">
          <cell r="L6116"/>
        </row>
        <row r="6117">
          <cell r="L6117"/>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e"/>
      <sheetName val="Exchange Rate Link Sheet"/>
      <sheetName val="Technology PL"/>
      <sheetName val="Technology PL Supplement"/>
      <sheetName val="DiscountSchedule"/>
    </sheetNames>
    <sheetDataSet>
      <sheetData sheetId="0">
        <row r="3">
          <cell r="E3">
            <v>1</v>
          </cell>
        </row>
      </sheetData>
      <sheetData sheetId="1">
        <row r="5">
          <cell r="I5">
            <v>43077</v>
          </cell>
        </row>
      </sheetData>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sheetNames>
    <sheetDataSet>
      <sheetData sheetId="0"/>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56FF3B3-F5DF-46BA-BA17-4D9A3C8769E1}" sourceName="Category">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 xr10:uid="{B76E59D6-426F-40FD-A64D-C84D556F98C2}" sourceName="Sku">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CFDD580-7F87-4246-A768-1E220E9671E1}" sourceName="Product Name">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CEE18E5-C9B2-4296-9227-B671C9C8723D}" cache="Slicer_Category" caption="Category" style="SlicerStyleDark3" rowHeight="241300"/>
  <slicer name="Sku" xr10:uid="{8AFA5454-4900-44DF-A9FD-82635C1F51B5}" cache="Slicer_Sku" caption="Sku" style="SlicerStyleDark3" rowHeight="241300"/>
  <slicer name="Product Name" xr10:uid="{53EBB596-2BDF-4AEE-9D86-8A264AC9A367}" cache="Slicer_Product_Name" caption="Product Name"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0EBA45-ADFA-4BE7-99FD-C479685A97BA}" name="UsageQty" displayName="UsageQty" ref="A2:P43" totalsRowShown="0" headerRowDxfId="228" dataDxfId="227">
  <autoFilter ref="A2:P43" xr:uid="{CB8436C5-5642-4469-A318-3583B3A2D75D}"/>
  <tableColumns count="16">
    <tableColumn id="4" xr3:uid="{42DB3D4A-26CB-4C54-85CA-F6B0B15CBB95}" name="Data Center" dataDxfId="226" totalsRowDxfId="225"/>
    <tableColumn id="5" xr3:uid="{F4A56976-0A52-4EC8-AAA3-9EB296DEA914}" name="Sku" dataDxfId="224" totalsRowDxfId="223"/>
    <tableColumn id="6" xr3:uid="{046725E2-63C7-40F9-AD48-C0CA030BF564}" name="Product Name" dataDxfId="222" totalsRowDxfId="221"/>
    <tableColumn id="7" xr3:uid="{2B6E8504-8625-4DEE-9D32-2C168DECFB79}" name="Total" dataDxfId="220" totalsRowDxfId="219"/>
    <tableColumn id="32" xr3:uid="{FE1A9003-7F50-4BEE-B783-F7EE5D15C1D3}" name="Jun-20" dataDxfId="218" totalsRowDxfId="217"/>
    <tableColumn id="33" xr3:uid="{554E6336-A340-490D-B89B-E73D4F2D5AE0}" name="Jul-20" dataDxfId="216" totalsRowDxfId="215"/>
    <tableColumn id="34" xr3:uid="{BEFF4A13-C819-4C10-BB8D-A9775F502828}" name="Aug-20" dataDxfId="214" totalsRowDxfId="213"/>
    <tableColumn id="35" xr3:uid="{DA6B1C9F-B680-4BC4-91D7-AD29C51E0AE1}" name="Sep-20" dataDxfId="212" totalsRowDxfId="211"/>
    <tableColumn id="36" xr3:uid="{71D045E2-45A3-468C-B511-09FF4E7A145D}" name="Oct-20" dataDxfId="210" totalsRowDxfId="209"/>
    <tableColumn id="37" xr3:uid="{95FF75E5-6216-4442-99C6-A63C2CD979D2}" name="Nov-20" dataDxfId="208" totalsRowDxfId="207"/>
    <tableColumn id="38" xr3:uid="{BB93F773-8155-480C-AB36-099134BDD2EB}" name="Dec-20" dataDxfId="206" totalsRowDxfId="205"/>
    <tableColumn id="39" xr3:uid="{E174DE2B-C455-4E28-A5B3-F9E799D03C97}" name="Jan-21" dataDxfId="204" totalsRowDxfId="203"/>
    <tableColumn id="40" xr3:uid="{7762FF4D-D22A-453B-9D3C-01987D6BFF7F}" name="Feb-21" dataDxfId="202" totalsRowDxfId="201"/>
    <tableColumn id="41" xr3:uid="{C65F4372-1F16-48B8-BC53-80008E62E54D}" name="Mar-21" dataDxfId="200" totalsRowDxfId="199"/>
    <tableColumn id="42" xr3:uid="{B580A8F5-71BC-4A2C-AD2F-8C42E88BD0A9}" name="Apr-21" dataDxfId="198" totalsRowDxfId="197"/>
    <tableColumn id="43" xr3:uid="{74A7CA07-EE4A-47B3-B699-6ED0F775A3F7}" name="May-21" dataDxfId="196" totalsRowDxfId="195"/>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7BE7C2-C257-4F89-AEE2-D19DDD84DD4D}" name="UsageCost" displayName="UsageCost" ref="A2:BB43" totalsRowShown="0" headerRowDxfId="194" dataDxfId="193">
  <autoFilter ref="A2:BB43" xr:uid="{CB8436C5-5642-4469-A318-3583B3A2D75D}"/>
  <tableColumns count="54">
    <tableColumn id="1" xr3:uid="{18E6B6FA-8DEE-4C34-A98E-B3B49BD4941D}" name="User Defined" dataDxfId="192" totalsRowDxfId="191"/>
    <tableColumn id="2" xr3:uid="{91A5A147-6462-4B59-B435-4FA4F98EA880}" name="Category" dataDxfId="190" totalsRowDxfId="189">
      <calculatedColumnFormula>VLOOKUP(UsageCost[[#This Row],[Sku]],'Cloud Price List'!$A$3:$M$1005,7,FALSE)</calculatedColumnFormula>
    </tableColumn>
    <tableColumn id="4" xr3:uid="{3DAF6BBE-E02F-48AF-A164-0B947F52B64B}" name="Data Center" dataDxfId="188" totalsRowDxfId="187"/>
    <tableColumn id="5" xr3:uid="{77164A66-43C4-43D3-9671-5327B3E7947B}" name="Sku" dataDxfId="186"/>
    <tableColumn id="6" xr3:uid="{9E8537E8-821E-41C0-9C2D-FAA1B10AB079}" name="Product Name" dataDxfId="185"/>
    <tableColumn id="7" xr3:uid="{41F41159-A1EB-48EE-8EBB-69D7BF6EEF66}" name="Total" dataDxfId="184"/>
    <tableColumn id="8" xr3:uid="{64499E93-3834-46EA-A240-5B6AA2049414}" name="Jun-17" dataDxfId="183"/>
    <tableColumn id="9" xr3:uid="{A47C6873-2B37-42DD-B5B4-3D730BABF254}" name="Jul-17" dataDxfId="182"/>
    <tableColumn id="10" xr3:uid="{97279900-2604-453B-AEC0-1BBB0604468E}" name="Aug-17" dataDxfId="181"/>
    <tableColumn id="11" xr3:uid="{EC82703D-5E20-4AE2-A24E-B57198076896}" name="Sep-17" dataDxfId="180"/>
    <tableColumn id="12" xr3:uid="{2B0668DB-588B-462D-8CA9-F17F227160EC}" name="Oct-17" dataDxfId="179"/>
    <tableColumn id="13" xr3:uid="{34E5998E-F00A-49FA-860D-BA810142F010}" name="Nov-17" dataDxfId="178"/>
    <tableColumn id="14" xr3:uid="{F7B9D7D4-87B6-4DA5-8632-3059C30054C8}" name="Dec-17" dataDxfId="177"/>
    <tableColumn id="15" xr3:uid="{B82F9E0F-7C00-4CE8-96D4-99E299D894CD}" name="Jan-18" dataDxfId="176"/>
    <tableColumn id="16" xr3:uid="{D0A09EAE-01C4-43B4-B24A-C4393741F2D5}" name="Feb-18" dataDxfId="175"/>
    <tableColumn id="17" xr3:uid="{773CCEEE-15CE-4AC7-AAF8-8F63BECE594E}" name="Mar-18" dataDxfId="174"/>
    <tableColumn id="18" xr3:uid="{1A2BC448-EBE4-46BB-8D9B-8F8FA22B2930}" name="Apr-18" dataDxfId="173"/>
    <tableColumn id="19" xr3:uid="{D15903F1-F629-42AB-9D42-81764106E6AC}" name="May-18" dataDxfId="172"/>
    <tableColumn id="20" xr3:uid="{1F90E2FC-F9D2-439F-8422-C3028F9C6237}" name="Jun-18" dataDxfId="171"/>
    <tableColumn id="21" xr3:uid="{29D9A794-52FE-4E76-A147-8B18E0D58062}" name="Jul-18" dataDxfId="170"/>
    <tableColumn id="22" xr3:uid="{E7315CD3-D74A-45DC-835A-3D9198F7D7DE}" name="Aug-18" dataDxfId="169"/>
    <tableColumn id="23" xr3:uid="{59E2B6AE-6509-4F9D-8A1A-4934D91E15F9}" name="Sep-18" dataDxfId="168"/>
    <tableColumn id="24" xr3:uid="{13F8D563-A05B-4502-BDE4-F19135822D3D}" name="Oct-18" dataDxfId="167"/>
    <tableColumn id="25" xr3:uid="{0CE94531-AE02-442D-99BD-A441D6170E3F}" name="Nov-18" dataDxfId="166"/>
    <tableColumn id="26" xr3:uid="{FBA7E928-26D7-44E1-8319-13C0EF2451B1}" name="Dec-18" dataDxfId="165"/>
    <tableColumn id="27" xr3:uid="{54917B63-EE33-4C5F-997F-E639079CF2E0}" name="Jan-19" dataDxfId="164"/>
    <tableColumn id="28" xr3:uid="{0D08142E-0C25-4247-990F-591FFC9F9F92}" name="Feb-19" dataDxfId="163"/>
    <tableColumn id="29" xr3:uid="{01781F89-3D82-485B-91B3-AF4BB480D8DA}" name="Mar-19" dataDxfId="162"/>
    <tableColumn id="30" xr3:uid="{12300B96-B5F5-447F-8337-52429C19B939}" name="Apr-19" dataDxfId="161"/>
    <tableColumn id="31" xr3:uid="{CD2B8B52-0D87-4A31-A741-8610563E9B94}" name="May-19" dataDxfId="160"/>
    <tableColumn id="32" xr3:uid="{FCF3254E-2D29-4000-BD45-F2FA66CA7191}" name="Jun-19" dataDxfId="159"/>
    <tableColumn id="33" xr3:uid="{DD71124A-17A1-4864-950D-59AF5D9792B7}" name="Jul-19" dataDxfId="158"/>
    <tableColumn id="34" xr3:uid="{DFAB8C33-FAE5-4557-B7CE-0C3226BF413B}" name="Aug-19" dataDxfId="157"/>
    <tableColumn id="35" xr3:uid="{C06B97F8-93F4-406B-B7E0-B0A6F50B040C}" name="Sep-19" dataDxfId="156"/>
    <tableColumn id="36" xr3:uid="{88DA9E36-C3DB-4586-9B0C-AD04812890F6}" name="Oct-19" dataDxfId="155"/>
    <tableColumn id="37" xr3:uid="{ECD67182-0127-4035-8062-DE7B9E3D3C24}" name="Nov-19" dataDxfId="154"/>
    <tableColumn id="38" xr3:uid="{8CFCAF79-EF3C-4BF7-BC00-76BEFB6A5D03}" name="Dec-19" dataDxfId="153"/>
    <tableColumn id="39" xr3:uid="{71EB752D-D5E2-43A1-830A-5A4B2F17F468}" name="Jan-20" dataDxfId="152"/>
    <tableColumn id="40" xr3:uid="{2454C582-CB1B-48BD-BF5E-DC9E956B9BCB}" name="Feb-20" dataDxfId="151"/>
    <tableColumn id="41" xr3:uid="{DD4A7121-D66A-4BA1-9C2B-480956CD0163}" name="Mar-20" dataDxfId="150"/>
    <tableColumn id="42" xr3:uid="{D87B6A25-A38C-4550-B83B-8D3153669384}" name="Apr-20" dataDxfId="149" totalsRowDxfId="148"/>
    <tableColumn id="43" xr3:uid="{325318D7-7C3B-4B8F-9DC6-E7EB32CC43AE}" name="May-20" dataDxfId="147" totalsRowDxfId="146"/>
    <tableColumn id="3" xr3:uid="{2D3844BF-9FD1-400D-944C-6FC36E2FDB73}" name="Jun-20" dataDxfId="145" totalsRowDxfId="144"/>
    <tableColumn id="44" xr3:uid="{8506C7B8-93C2-4365-A891-483E0F9E63BC}" name="Jul-20" dataDxfId="143" totalsRowDxfId="142"/>
    <tableColumn id="45" xr3:uid="{F6173487-A8AF-4003-90D1-3ADD44F1CB8D}" name="Aug-20" dataDxfId="141" totalsRowDxfId="140"/>
    <tableColumn id="46" xr3:uid="{C561204C-E4A4-40F3-AF4F-E0B8AD1944A5}" name="Sep-20" dataDxfId="139" totalsRowDxfId="138"/>
    <tableColumn id="47" xr3:uid="{609CDFE9-9D77-4870-A832-E9AB8E7C1D71}" name="Oct-20" dataDxfId="137" totalsRowDxfId="136"/>
    <tableColumn id="48" xr3:uid="{53B26225-9815-47CA-A6EF-1C5314941383}" name="Nov-20" dataDxfId="135" totalsRowDxfId="134"/>
    <tableColumn id="49" xr3:uid="{D5C758C8-EDD2-48CB-B442-FA5E00858AC7}" name="Dec-20" dataDxfId="133" totalsRowDxfId="132"/>
    <tableColumn id="50" xr3:uid="{94DB0B2D-017C-49D8-AB58-CE7038125C84}" name="Jan-21" dataDxfId="131" totalsRowDxfId="130"/>
    <tableColumn id="51" xr3:uid="{F98D7560-6B10-491B-B38E-094C6A8AC53C}" name="Feb-21" dataDxfId="129" totalsRowDxfId="128"/>
    <tableColumn id="52" xr3:uid="{EEC62D52-5B8D-41D1-B129-BAF9204F6D08}" name="Mar-21" dataDxfId="127" totalsRowDxfId="126"/>
    <tableColumn id="53" xr3:uid="{31F8D9C4-53BB-41C7-B6B3-8F40AD4DE4A2}" name="Apr-21" dataDxfId="125" totalsRowDxfId="124"/>
    <tableColumn id="54" xr3:uid="{5F78CDD9-82D2-4774-AB51-BC3DC15FB1F4}" name="May-21" dataDxfId="123" totalsRowDxfId="122"/>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2DD05B-E972-4281-9016-02163609900D}" name="Servers" displayName="Servers" ref="A2:O63" totalsRowShown="0" headerRowDxfId="121" dataDxfId="119" headerRowBorderDxfId="120" tableBorderDxfId="118">
  <autoFilter ref="A2:O63" xr:uid="{00000000-0009-0000-0100-000001000000}"/>
  <tableColumns count="15">
    <tableColumn id="2" xr3:uid="{97BF91A9-4E0F-462E-AB02-140A2D92EE7D}" name="Host Name" dataDxfId="117"/>
    <tableColumn id="1" xr3:uid="{A067AB8C-1AC7-4E90-A841-0795061E7ADA}" name="Env" dataDxfId="116"/>
    <tableColumn id="3" xr3:uid="{2E09231B-3CA1-4F0E-85A1-A2A6604016F2}" name="Tier" dataDxfId="115"/>
    <tableColumn id="10" xr3:uid="{A1F8982F-5485-4DF4-A259-DD42B70CA6DC}" name="Application" dataDxfId="114"/>
    <tableColumn id="16" xr3:uid="{E125A082-D7FD-4129-A8BA-404A25240FD5}" name="Database" dataDxfId="113"/>
    <tableColumn id="4" xr3:uid="{F0EFBEDD-FA12-4692-8D20-0851B09E2F68}" name="Version" dataDxfId="112"/>
    <tableColumn id="5" xr3:uid="{52F1B014-B7BA-4A06-8794-62E66C28CB13}" name="OS" dataDxfId="111"/>
    <tableColumn id="13" xr3:uid="{FB148BEE-CA8F-4283-8996-4C4DFE4BC234}" name="CPU _x000a_Sockets" dataDxfId="110"/>
    <tableColumn id="14" xr3:uid="{4938EC38-10F2-4C5C-90F7-ABE214BE2506}" name="Cores per Socket" dataDxfId="109"/>
    <tableColumn id="15" xr3:uid="{5EF2AAE2-2CEE-4C6E-8D58-BE2C22251060}" name="Total _x000a_Cores" dataDxfId="108">
      <calculatedColumnFormula>Servers[[#This Row],[CPU 
Sockets]]*Servers[[#This Row],[Cores per Socket]]</calculatedColumnFormula>
    </tableColumn>
    <tableColumn id="7" xr3:uid="{4B9BA57F-F41A-4812-AD46-11B6955EF6D7}" name="Memory (GB)" dataDxfId="107"/>
    <tableColumn id="8" xr3:uid="{0CC5E4CE-82C6-421E-B4EF-CA3851F78B2F}" name="Storage _x000a_Used (GB)" dataDxfId="106"/>
    <tableColumn id="9" xr3:uid="{8BFFDC92-6876-4D87-AE6F-5A3EB9E77F46}" name="Description" dataDxfId="105"/>
    <tableColumn id="12" xr3:uid="{41581521-E412-46B9-9D59-05960E58B81F}" name="Physical or _x000a_Virtual (P/V)" dataDxfId="104"/>
    <tableColumn id="11" xr3:uid="{4BD41801-AC2E-4BEE-8C22-421E495ECCBD}" name="Physical _x000a_Server Type _x000a_(optional)" dataDxfId="103"/>
  </tableColumns>
  <tableStyleInfo name="TableStyleLight8" showFirstColumn="0" showLastColumn="0" showRowStripes="1" showColumnStripes="0"/>
</table>
</file>

<file path=xl/theme/theme1.xml><?xml version="1.0" encoding="utf-8"?>
<a:theme xmlns:a="http://schemas.openxmlformats.org/drawingml/2006/main" name="Redwood21">
  <a:themeElements>
    <a:clrScheme name="Oracle Redwood 08-26-2020">
      <a:dk1>
        <a:srgbClr val="312D2A"/>
      </a:dk1>
      <a:lt1>
        <a:srgbClr val="FCFBFA"/>
      </a:lt1>
      <a:dk2>
        <a:srgbClr val="312D2A"/>
      </a:dk2>
      <a:lt2>
        <a:srgbClr val="FCFBFA"/>
      </a:lt2>
      <a:accent1>
        <a:srgbClr val="C74634"/>
      </a:accent1>
      <a:accent2>
        <a:srgbClr val="FACD62"/>
      </a:accent2>
      <a:accent3>
        <a:srgbClr val="94AFAF"/>
      </a:accent3>
      <a:accent4>
        <a:srgbClr val="2B6242"/>
      </a:accent4>
      <a:accent5>
        <a:srgbClr val="AE562C"/>
      </a:accent5>
      <a:accent6>
        <a:srgbClr val="759C6C"/>
      </a:accent6>
      <a:hlink>
        <a:srgbClr val="00688C"/>
      </a:hlink>
      <a:folHlink>
        <a:srgbClr val="0068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Flat">
      <a:fillStyleLst>
        <a:solidFill>
          <a:schemeClr val="phClr"/>
        </a:solidFill>
        <a:solidFill>
          <a:schemeClr val="phClr">
            <a:tint val="50000"/>
          </a:schemeClr>
        </a:solidFill>
        <a:solidFill>
          <a:schemeClr val="phClr">
            <a:shade val="65000"/>
          </a:schemeClr>
        </a:solidFill>
      </a:fillStyleLst>
      <a:lnStyleLst>
        <a:ln w="3175" cap="flat" cmpd="sng" algn="ctr">
          <a:solidFill>
            <a:schemeClr val="phClr">
              <a:shade val="65000"/>
            </a:schemeClr>
          </a:solidFill>
          <a:prstDash val="solid"/>
        </a:ln>
        <a:ln w="3175" cap="flat" cmpd="sng" algn="ctr">
          <a:solidFill>
            <a:schemeClr val="phClr"/>
          </a:solidFill>
          <a:prstDash val="solid"/>
        </a:ln>
        <a:ln w="0" cap="flat" cmpd="sng" algn="ctr">
          <a:noFill/>
        </a:ln>
      </a:lnStyleLst>
      <a:effectStyleLst>
        <a:effectStyle>
          <a:effectLst>
            <a:blur/>
          </a:effectLst>
        </a:effectStyle>
        <a:effectStyle>
          <a:effectLst>
            <a:blur/>
          </a:effectLst>
        </a:effectStyle>
        <a:effectStyle>
          <a:effectLst>
            <a:fillOverlay blend="darken">
              <a:solidFill>
                <a:schemeClr val="phClr">
                  <a:shade val="30000"/>
                </a:schemeClr>
              </a:solidFill>
            </a:fillOverlay>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solidFill>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Ocean">
      <a:srgbClr val="2C5967"/>
    </a:custClr>
    <a:custClr name="Surf">
      <a:srgbClr val="41817E"/>
    </a:custClr>
    <a:custClr name="Sand">
      <a:srgbClr val="E5DBBE"/>
    </a:custClr>
    <a:custClr name="Pebble">
      <a:srgbClr val="8B8580"/>
    </a:custClr>
    <a:custClr name="Granite">
      <a:srgbClr val="67605B"/>
    </a:custClr>
    <a:custClr name="Position 6">
      <a:srgbClr val="FFFFFF"/>
    </a:custClr>
    <a:custClr name="Highlight/hyperlink dark theme">
      <a:srgbClr val="F0CC71"/>
    </a:custClr>
    <a:custClr name="Highlight/numbered list light theme">
      <a:srgbClr val="AE562C"/>
    </a:custClr>
    <a:custClr name="Hyperlink light theme (default)">
      <a:srgbClr val="00688C"/>
    </a:custClr>
    <a:custClr name="Numbered list dark theme">
      <a:srgbClr val="759C6C"/>
    </a:custClr>
    <a:custClr name="Brand: Neutral 30">
      <a:srgbClr val="F1EFED"/>
    </a:custClr>
    <a:custClr name="Developer: Pebble 30">
      <a:srgbClr val="E7F0FD"/>
    </a:custClr>
    <a:custClr name="Database: Slate 30">
      <a:srgbClr val="E7F2F2"/>
    </a:custClr>
    <a:custClr name="Cloud Platform: Pine 30">
      <a:srgbClr val="E0F5E7"/>
    </a:custClr>
    <a:custClr name="Finance / Operations: Teal 30">
      <a:srgbClr val="E8F1F0"/>
    </a:custClr>
    <a:custClr name="NetSuite: Ocean 30">
      <a:srgbClr val="E7F2F5"/>
    </a:custClr>
    <a:custClr name="GBU: Lilac 30">
      <a:srgbClr val="EBEFFE"/>
    </a:custClr>
    <a:custClr name="CX/Marketing: Plum 30">
      <a:srgbClr val="F5ECFB"/>
    </a:custClr>
    <a:custClr name="HCM/HR: Rose 30">
      <a:srgbClr val="FBECEF"/>
    </a:custClr>
    <a:custClr name="SCM: Sienna 30">
      <a:srgbClr val="FCEDD9"/>
    </a:custClr>
    <a:custClr name="Brand: Neutral 70">
      <a:srgbClr val="AEA8A2"/>
    </a:custClr>
    <a:custClr name="Developer: Pebble 70">
      <a:srgbClr val="A2AAB6"/>
    </a:custClr>
    <a:custClr name="Database: Slate 70">
      <a:srgbClr val="99ADAE"/>
    </a:custClr>
    <a:custClr name="Cloud Platform: Pine 70">
      <a:srgbClr val="86B596"/>
    </a:custClr>
    <a:custClr name="Finance / Operations: Teal 70">
      <a:srgbClr val="89B2B0"/>
    </a:custClr>
    <a:custClr name="NetSuite: Ocean 70">
      <a:srgbClr val="81B2C3"/>
    </a:custClr>
    <a:custClr name="GBU: Lilac 70">
      <a:srgbClr val="A0A9C5"/>
    </a:custClr>
    <a:custClr name="CX/Marketing: Plum 70">
      <a:srgbClr val="B7A1C4"/>
    </a:custClr>
    <a:custClr name="HCM/HR: Rose 70">
      <a:srgbClr val="CE9BA7"/>
    </a:custClr>
    <a:custClr name="SCM: Sienna 70">
      <a:srgbClr val="D39F5D"/>
    </a:custClr>
    <a:custClr name="Brand: Neutral 140">
      <a:srgbClr val="514C47"/>
    </a:custClr>
    <a:custClr name="Developer: Pebble 140">
      <a:srgbClr val="494D53"/>
    </a:custClr>
    <a:custClr name="Database: Slate 140">
      <a:srgbClr val="464F4F"/>
    </a:custClr>
    <a:custClr name="Cloud Platform: Pine 140">
      <a:srgbClr val="33553C"/>
    </a:custClr>
    <a:custClr name="Finance / Operations: Teal 140">
      <a:srgbClr val="315357"/>
    </a:custClr>
    <a:custClr name="NetSuite: Ocean 140">
      <a:srgbClr val="2C5266"/>
    </a:custClr>
    <a:custClr name="GBU: Lilac 140">
      <a:srgbClr val="464C68"/>
    </a:custClr>
    <a:custClr name="CX/Marketing: Plum 140">
      <a:srgbClr val="594564"/>
    </a:custClr>
    <a:custClr name="HCM/HR: Rose 140">
      <a:srgbClr val="6C3F49"/>
    </a:custClr>
    <a:custClr name="SCM: Sienna 140">
      <a:srgbClr val="713F25"/>
    </a:custClr>
    <a:custClr name="Brand: Neutral 170">
      <a:srgbClr val="312D2A"/>
    </a:custClr>
    <a:custClr name="Developer: Pebble 170">
      <a:srgbClr val="2B2E32"/>
    </a:custClr>
    <a:custClr name="Database: Slate 170">
      <a:srgbClr val="2A2F2F"/>
    </a:custClr>
    <a:custClr name="Cloud Platform: Pine 170">
      <a:srgbClr val="1E3224"/>
    </a:custClr>
    <a:custClr name="Finance / Operations: Teal 170">
      <a:srgbClr val="1E3133"/>
    </a:custClr>
    <a:custClr name="NetSuite: Ocean 170">
      <a:srgbClr val="1A2F3F"/>
    </a:custClr>
    <a:custClr name="GBU: Lilac 170">
      <a:srgbClr val="2A2D3F"/>
    </a:custClr>
    <a:custClr name="CX/Marketing: Plum 170">
      <a:srgbClr val="36293C"/>
    </a:custClr>
    <a:custClr name="HCM/HR: Rose 170">
      <a:srgbClr val="41242B"/>
    </a:custClr>
    <a:custClr name="SCM: Sienna 170">
      <a:srgbClr val="442616"/>
    </a:custClr>
  </a:custClrLst>
  <a:extLst>
    <a:ext uri="{05A4C25C-085E-4340-85A3-A5531E510DB2}">
      <thm15:themeFamily xmlns:thm15="http://schemas.microsoft.com/office/thememl/2012/main" name="Redwood21" id="{83C6873A-A0D7-412B-98C4-910C2893435A}" vid="{0847812B-9B1F-40BE-87C3-250AA921F289}"/>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racle.com/database/technologies/oaa-osg-licensing-change-faq.html" TargetMode="External"/><Relationship Id="rId1" Type="http://schemas.openxmlformats.org/officeDocument/2006/relationships/hyperlink" Target="https://www.oracle.com/database/technologies/oaa-osg-licensing-change-faq.html"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docs.cloud.oracle.com/en-us/iaas/Content/Compute/References/computeshapes.ht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s://www.cpubenchmark.net/compare/Intel-Xeon-Platinum-8168-vs-AMD-EPYC-7551P/3111vs3215" TargetMode="External"/><Relationship Id="rId3" Type="http://schemas.openxmlformats.org/officeDocument/2006/relationships/hyperlink" Target="https://www.oracle.com/database/vm-cloud-pricing.html" TargetMode="External"/><Relationship Id="rId7" Type="http://schemas.openxmlformats.org/officeDocument/2006/relationships/hyperlink" Target="https://www.cpubenchmark.net/compare/AMD-EPYC-7742-vs-Intel-Xeon-Platinum-8168/3547vs3111" TargetMode="External"/><Relationship Id="rId2" Type="http://schemas.openxmlformats.org/officeDocument/2006/relationships/hyperlink" Target="https://www.oracle.com/cloud/storage/pricing.html" TargetMode="External"/><Relationship Id="rId1" Type="http://schemas.openxmlformats.org/officeDocument/2006/relationships/hyperlink" Target="https://www.oracle.com/cloud/storage/pricing.html" TargetMode="External"/><Relationship Id="rId6" Type="http://schemas.openxmlformats.org/officeDocument/2006/relationships/hyperlink" Target="https://docs.cloud.oracle.com/en-us/" TargetMode="External"/><Relationship Id="rId5" Type="http://schemas.openxmlformats.org/officeDocument/2006/relationships/hyperlink" Target="https://docs.cloud.oracle.com/en-us/iaas/Content/Block/Concepts/blockvolumeelasticperformance.htm" TargetMode="External"/><Relationship Id="rId10" Type="http://schemas.openxmlformats.org/officeDocument/2006/relationships/printerSettings" Target="../printerSettings/printerSettings17.bin"/><Relationship Id="rId4" Type="http://schemas.openxmlformats.org/officeDocument/2006/relationships/hyperlink" Target="https://www.oracle.com/cloud/products.html" TargetMode="External"/><Relationship Id="rId9" Type="http://schemas.openxmlformats.org/officeDocument/2006/relationships/hyperlink" Target="https://www.oc-blog.com/2020/04/24/new-powerful-cpu-shape-e3/"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docs.oracle.com/en/engineered-systems/exadata-cloud-at-customer/index.html" TargetMode="External"/><Relationship Id="rId1" Type="http://schemas.openxmlformats.org/officeDocument/2006/relationships/hyperlink" Target="https://www.oracle.com/a/ocom/docs/engineered-systems/exadata/gen2-exacc-ds.pdf" TargetMode="External"/><Relationship Id="rId4"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0.bin"/><Relationship Id="rId1" Type="http://schemas.openxmlformats.org/officeDocument/2006/relationships/hyperlink" Target="https://esource.oraclecorp.com/sites/eSource/ContentAsset_1534953218538"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hyperlink" Target="https://esource.oraclecorp.com/sites/eSource/ContentAsset_1530207389761"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esource.oraclecorp.com/sites/eSource/ContentAsset_1530207389761"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esource.oraclecorp.com/sites/eSource/ContentAsset_1530207473194"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B1C6E-5C83-429B-A5A9-28DFB1B201AF}">
  <sheetPr>
    <tabColor theme="5" tint="-0.249977111117893"/>
    <pageSetUpPr fitToPage="1"/>
  </sheetPr>
  <dimension ref="A1:BC97"/>
  <sheetViews>
    <sheetView showZeros="0" tabSelected="1" zoomScaleNormal="100" zoomScaleSheetLayoutView="100" workbookViewId="0">
      <pane xSplit="2" ySplit="10" topLeftCell="C60" activePane="bottomRight" state="frozen"/>
      <selection activeCell="M8" sqref="M8"/>
      <selection pane="topRight" activeCell="M8" sqref="M8"/>
      <selection pane="bottomLeft" activeCell="M8" sqref="M8"/>
      <selection pane="bottomRight" activeCell="K26" sqref="K26"/>
    </sheetView>
  </sheetViews>
  <sheetFormatPr baseColWidth="10" defaultColWidth="8.83203125" defaultRowHeight="15"/>
  <cols>
    <col min="1" max="1" width="10.1640625" customWidth="1"/>
    <col min="2" max="2" width="84.1640625" customWidth="1"/>
    <col min="3" max="3" width="13.5" style="334" customWidth="1"/>
    <col min="4" max="4" width="5.33203125" style="14" customWidth="1"/>
    <col min="5" max="5" width="12.1640625" style="14" bestFit="1" customWidth="1"/>
    <col min="6" max="6" width="11.83203125" customWidth="1"/>
    <col min="7" max="7" width="9.1640625" customWidth="1"/>
    <col min="8" max="8" width="1.6640625" customWidth="1"/>
    <col min="9" max="9" width="8.33203125" bestFit="1" customWidth="1"/>
    <col min="10" max="10" width="4.6640625" customWidth="1"/>
    <col min="11" max="12" width="10.83203125" customWidth="1"/>
    <col min="13" max="13" width="1.6640625" customWidth="1"/>
    <col min="14" max="14" width="8.33203125" bestFit="1" customWidth="1"/>
    <col min="15" max="15" width="4.6640625" customWidth="1"/>
    <col min="16" max="17" width="10.83203125" customWidth="1"/>
    <col min="18" max="18" width="1.6640625" customWidth="1"/>
    <col min="19" max="19" width="6.33203125" customWidth="1"/>
    <col min="20" max="20" width="4.6640625" customWidth="1"/>
    <col min="21" max="22" width="10.83203125" customWidth="1"/>
    <col min="23" max="23" width="1.6640625" customWidth="1"/>
    <col min="24" max="24" width="6.33203125" customWidth="1"/>
    <col min="25" max="25" width="4.6640625" customWidth="1"/>
    <col min="26" max="27" width="10.83203125" customWidth="1"/>
    <col min="28" max="28" width="1.6640625" customWidth="1"/>
    <col min="29" max="29" width="7.33203125" bestFit="1" customWidth="1"/>
    <col min="30" max="30" width="4.6640625" customWidth="1"/>
    <col min="31" max="32" width="10.83203125" customWidth="1"/>
    <col min="33" max="33" width="1.6640625" customWidth="1"/>
    <col min="34" max="34" width="10" customWidth="1"/>
    <col min="35" max="35" width="10.83203125" customWidth="1"/>
    <col min="36" max="36" width="12.5" style="6" customWidth="1"/>
    <col min="37" max="37" width="1.6640625" customWidth="1"/>
    <col min="38" max="38" width="11.83203125" style="328" bestFit="1" customWidth="1"/>
    <col min="39" max="39" width="1.6640625" customWidth="1"/>
    <col min="40" max="40" width="7.5" style="323" customWidth="1"/>
  </cols>
  <sheetData>
    <row r="1" spans="1:55">
      <c r="B1" s="841" t="s">
        <v>3099</v>
      </c>
    </row>
    <row r="3" spans="1:55" s="1" customFormat="1">
      <c r="A3" s="255" t="s">
        <v>485</v>
      </c>
      <c r="B3" s="287" t="s">
        <v>487</v>
      </c>
      <c r="E3" s="16" t="s">
        <v>2832</v>
      </c>
      <c r="F3" s="17" t="s">
        <v>2831</v>
      </c>
      <c r="AJ3" s="10"/>
      <c r="AL3" s="328"/>
      <c r="AN3" s="323"/>
    </row>
    <row r="4" spans="1:55" s="1" customFormat="1">
      <c r="A4" s="256">
        <v>1</v>
      </c>
      <c r="B4" s="287" t="s">
        <v>2829</v>
      </c>
      <c r="D4" s="2" t="s">
        <v>2158</v>
      </c>
      <c r="E4" s="257"/>
      <c r="F4" s="252">
        <f>SUMIF($D$12:$D$65,D4,$AJ$12:$AJ$65)</f>
        <v>16361.245799999999</v>
      </c>
      <c r="G4" s="94">
        <f>VLOOKUP(AI66,Discounts!N5:O10,2)</f>
        <v>0.05</v>
      </c>
      <c r="AJ4" s="10"/>
      <c r="AL4" s="328"/>
      <c r="AN4" s="323"/>
    </row>
    <row r="5" spans="1:55" s="1" customFormat="1">
      <c r="A5" s="256">
        <v>12</v>
      </c>
      <c r="B5" s="287" t="s">
        <v>2828</v>
      </c>
      <c r="D5" s="415" t="s">
        <v>1338</v>
      </c>
      <c r="E5" s="257"/>
      <c r="F5" s="252">
        <f>SUMIF($D$12:$D$65,D5,$AJ$12:$AJ$65)</f>
        <v>0</v>
      </c>
      <c r="AJ5" s="10"/>
      <c r="AL5" s="328"/>
      <c r="AN5" s="323"/>
    </row>
    <row r="6" spans="1:55" s="1" customFormat="1">
      <c r="A6" s="256">
        <f>IF($A$3="Annual",365*24/12,31*24)</f>
        <v>730</v>
      </c>
      <c r="B6" s="287" t="s">
        <v>2830</v>
      </c>
      <c r="D6" s="415" t="s">
        <v>2159</v>
      </c>
      <c r="E6" s="257"/>
      <c r="F6" s="252">
        <f>SUMIF($D$12:$D$65,D6,$AJ$12:$AJ$65)</f>
        <v>128526.05099999999</v>
      </c>
      <c r="AJ6" s="10"/>
      <c r="AL6" s="328"/>
      <c r="AN6" s="323"/>
    </row>
    <row r="7" spans="1:55" s="1" customFormat="1">
      <c r="C7" s="441"/>
      <c r="D7" s="243" t="s">
        <v>2160</v>
      </c>
      <c r="E7" s="257"/>
      <c r="F7" s="252">
        <f>SUMIF($D$12:$D$65,D7,$AJ$12:$AJ$65)</f>
        <v>0</v>
      </c>
      <c r="AJ7" s="10"/>
      <c r="AL7" s="328"/>
      <c r="AN7" s="323"/>
    </row>
    <row r="8" spans="1:55" s="1" customFormat="1">
      <c r="A8" s="252">
        <f>AJ68</f>
        <v>144887.29680000001</v>
      </c>
      <c r="B8" s="1" t="s">
        <v>2831</v>
      </c>
      <c r="C8" s="441"/>
      <c r="D8" s="2" t="s">
        <v>943</v>
      </c>
      <c r="F8" s="252">
        <f>AJ68</f>
        <v>144887.29680000001</v>
      </c>
      <c r="G8" s="35"/>
      <c r="I8" s="250" t="s">
        <v>587</v>
      </c>
      <c r="J8" s="250"/>
      <c r="K8" s="250"/>
      <c r="L8" s="308" t="s">
        <v>589</v>
      </c>
      <c r="M8" s="250"/>
      <c r="N8" s="250"/>
      <c r="O8" s="250"/>
      <c r="P8" s="250"/>
      <c r="Q8" s="746" t="s">
        <v>589</v>
      </c>
      <c r="R8" s="250"/>
      <c r="S8" s="250"/>
      <c r="T8" s="250"/>
      <c r="U8" s="250"/>
      <c r="V8" s="309" t="s">
        <v>589</v>
      </c>
      <c r="W8" s="250"/>
      <c r="X8" s="250"/>
      <c r="Y8" s="250"/>
      <c r="Z8" s="250"/>
      <c r="AA8" s="310" t="s">
        <v>588</v>
      </c>
      <c r="AB8" s="250"/>
      <c r="AC8" s="250"/>
      <c r="AD8" s="250"/>
      <c r="AE8" s="250"/>
      <c r="AF8" s="311" t="s">
        <v>588</v>
      </c>
      <c r="AJ8" s="10"/>
      <c r="AL8" s="328"/>
      <c r="AN8" s="16" t="s">
        <v>587</v>
      </c>
      <c r="AO8" s="1" t="s">
        <v>1638</v>
      </c>
    </row>
    <row r="9" spans="1:55">
      <c r="A9" s="2"/>
      <c r="B9" s="2"/>
      <c r="C9" s="2"/>
      <c r="D9" s="16"/>
      <c r="E9" s="16"/>
      <c r="F9" s="2"/>
      <c r="G9" s="2"/>
      <c r="H9" s="2"/>
      <c r="I9" s="481" t="s">
        <v>489</v>
      </c>
      <c r="J9" s="482"/>
      <c r="K9" s="482"/>
      <c r="L9" s="483"/>
      <c r="M9" s="1"/>
      <c r="N9" s="737" t="s">
        <v>1157</v>
      </c>
      <c r="O9" s="732"/>
      <c r="P9" s="732"/>
      <c r="Q9" s="733"/>
      <c r="R9" s="1"/>
      <c r="S9" s="669" t="s">
        <v>483</v>
      </c>
      <c r="T9" s="670"/>
      <c r="U9" s="670"/>
      <c r="V9" s="671"/>
      <c r="W9" s="12"/>
      <c r="X9" s="253" t="s">
        <v>488</v>
      </c>
      <c r="Y9" s="65"/>
      <c r="Z9" s="65"/>
      <c r="AA9" s="66"/>
      <c r="AB9" s="12"/>
      <c r="AC9" s="752" t="s">
        <v>3223</v>
      </c>
      <c r="AD9" s="753"/>
      <c r="AE9" s="753"/>
      <c r="AF9" s="754"/>
      <c r="AG9" s="12"/>
      <c r="AH9" s="680" t="s">
        <v>34</v>
      </c>
      <c r="AI9" s="681"/>
      <c r="AJ9" s="682"/>
      <c r="AK9" s="12"/>
      <c r="AL9" s="678"/>
      <c r="AM9" s="259"/>
      <c r="AN9" s="324"/>
      <c r="AO9" s="259"/>
      <c r="AP9" s="259"/>
      <c r="AQ9" s="259"/>
      <c r="AR9" s="259"/>
      <c r="AS9" s="259"/>
      <c r="AT9" s="259"/>
      <c r="AU9" s="259"/>
      <c r="AV9" s="259"/>
      <c r="AW9" s="259"/>
      <c r="AX9" s="259"/>
      <c r="AY9" s="259"/>
      <c r="AZ9" s="259"/>
      <c r="BA9" s="259"/>
      <c r="BB9" s="259"/>
      <c r="BC9" s="259"/>
    </row>
    <row r="10" spans="1:55" ht="32">
      <c r="A10" s="739" t="s">
        <v>13</v>
      </c>
      <c r="B10" s="739" t="s">
        <v>1284</v>
      </c>
      <c r="C10" s="740" t="s">
        <v>28</v>
      </c>
      <c r="D10" s="741" t="s">
        <v>2236</v>
      </c>
      <c r="E10" s="741" t="s">
        <v>1298</v>
      </c>
      <c r="F10" s="742" t="s">
        <v>12</v>
      </c>
      <c r="G10" s="743" t="s">
        <v>1</v>
      </c>
      <c r="H10" s="3"/>
      <c r="I10" s="484" t="s">
        <v>0</v>
      </c>
      <c r="J10" s="484" t="s">
        <v>24</v>
      </c>
      <c r="K10" s="484" t="s">
        <v>2402</v>
      </c>
      <c r="L10" s="485" t="s">
        <v>574</v>
      </c>
      <c r="M10" s="4"/>
      <c r="N10" s="736" t="s">
        <v>0</v>
      </c>
      <c r="O10" s="736" t="s">
        <v>24</v>
      </c>
      <c r="P10" s="736" t="s">
        <v>2402</v>
      </c>
      <c r="Q10" s="738" t="s">
        <v>574</v>
      </c>
      <c r="R10" s="4"/>
      <c r="S10" s="672" t="s">
        <v>0</v>
      </c>
      <c r="T10" s="672" t="s">
        <v>24</v>
      </c>
      <c r="U10" s="672" t="s">
        <v>2402</v>
      </c>
      <c r="V10" s="673" t="s">
        <v>574</v>
      </c>
      <c r="W10" s="4"/>
      <c r="X10" s="58" t="s">
        <v>0</v>
      </c>
      <c r="Y10" s="58" t="s">
        <v>24</v>
      </c>
      <c r="Z10" s="58" t="s">
        <v>2402</v>
      </c>
      <c r="AA10" s="59" t="s">
        <v>574</v>
      </c>
      <c r="AB10" s="4"/>
      <c r="AC10" s="755" t="s">
        <v>0</v>
      </c>
      <c r="AD10" s="755" t="s">
        <v>24</v>
      </c>
      <c r="AE10" s="755" t="s">
        <v>2402</v>
      </c>
      <c r="AF10" s="756" t="s">
        <v>574</v>
      </c>
      <c r="AG10" s="4"/>
      <c r="AH10" s="683" t="s">
        <v>575</v>
      </c>
      <c r="AI10" s="683" t="s">
        <v>2402</v>
      </c>
      <c r="AJ10" s="683" t="s">
        <v>574</v>
      </c>
      <c r="AK10" s="4"/>
      <c r="AL10" s="679" t="s">
        <v>1358</v>
      </c>
      <c r="AM10" s="259"/>
      <c r="AN10" s="324"/>
      <c r="AO10" s="259"/>
      <c r="AP10" s="259"/>
      <c r="AQ10" s="259"/>
      <c r="AR10" s="259"/>
      <c r="AS10" s="259"/>
      <c r="AT10" s="259"/>
      <c r="AU10" s="259"/>
      <c r="AV10" s="259"/>
      <c r="AW10" s="259"/>
      <c r="AX10" s="259"/>
      <c r="AY10" s="259"/>
      <c r="AZ10" s="259"/>
      <c r="BA10" s="259"/>
      <c r="BB10" s="259"/>
      <c r="BC10" s="259"/>
    </row>
    <row r="11" spans="1:55" s="260" customFormat="1">
      <c r="A11" s="845"/>
      <c r="B11" s="249" t="s">
        <v>3222</v>
      </c>
      <c r="C11" s="443"/>
      <c r="D11" s="258"/>
      <c r="E11" s="264"/>
      <c r="F11" s="265"/>
      <c r="G11" s="251"/>
      <c r="I11" s="252"/>
      <c r="J11" s="252"/>
      <c r="K11" s="252"/>
      <c r="L11" s="252"/>
      <c r="M11" s="250"/>
      <c r="N11" s="252"/>
      <c r="O11" s="252"/>
      <c r="P11" s="252"/>
      <c r="Q11" s="252"/>
      <c r="R11" s="250"/>
      <c r="S11" s="252"/>
      <c r="T11" s="252"/>
      <c r="U11" s="252"/>
      <c r="V11" s="252"/>
      <c r="W11" s="250"/>
      <c r="X11" s="252"/>
      <c r="Y11" s="252"/>
      <c r="Z11" s="252"/>
      <c r="AA11" s="252"/>
      <c r="AB11" s="250"/>
      <c r="AC11" s="252"/>
      <c r="AD11" s="252"/>
      <c r="AE11" s="252"/>
      <c r="AF11" s="252"/>
      <c r="AG11" s="250"/>
      <c r="AH11" s="252"/>
      <c r="AI11" s="252"/>
      <c r="AJ11" s="252"/>
      <c r="AK11" s="250"/>
      <c r="AL11" s="333"/>
      <c r="AN11" s="325"/>
    </row>
    <row r="12" spans="1:55" s="260" customFormat="1">
      <c r="A12" s="842" t="s">
        <v>3206</v>
      </c>
      <c r="B12" s="249" t="str">
        <f>INDEX('Cloud Price List'!$B$3:$N$1491,MATCH(BOM!$A12,'Cloud Price List'!$A$3:$A$1491,0),1)</f>
        <v xml:space="preserve">Oracle Cloud Infrastructure - Compute - Standard - X9 </v>
      </c>
      <c r="C12" s="443" t="str">
        <f>INDEX('Cloud Price List'!$B$3:$N$1491,MATCH(BOM!$A12,'Cloud Price List'!$A$3:$A$1491,0),4)</f>
        <v>OCPU Per Hour</v>
      </c>
      <c r="D12" s="258" t="str">
        <f>INDEX('Cloud Price List'!$B$3:$N$1491,MATCH(BOM!$A12,'Cloud Price List'!$A$3:$A$1491,0),9)</f>
        <v>IAAS</v>
      </c>
      <c r="E12" s="264">
        <f>INDEX('Cloud Price List'!$B$3:$N$1491,MATCH(BOM!$A12,'Cloud Price List'!$A$3:$A$1491,0),3)*'Cloud Price List'!$E$1</f>
        <v>0.04</v>
      </c>
      <c r="F12" s="265">
        <f>E12</f>
        <v>0.04</v>
      </c>
      <c r="G12" s="251">
        <f>IF(INDEX('Cloud Price List'!$B$3:$N$1491,MATCH($A12,'Cloud Price List'!$A$3:$A$1491,0),8)="UC0",0,IF(ISBLANK(VLOOKUP($D12,$D$4:$E$7,2,FALSE)),$AI$74,VLOOKUP($D12,$D$4:$E$7,2,FALSE)))</f>
        <v>0.05</v>
      </c>
      <c r="I12" s="252"/>
      <c r="J12" s="252"/>
      <c r="K12" s="252">
        <f t="shared" ref="K12:K64" si="0">IF(L$8="y",IF($AN12="y",IF(ISNUMBER(SEARCH("Hour",$C12)),IF(J12=0,$A$5*$A$6*$F12*I12,$A$5*J12*$F12*I12),IF($D12="SRV",$F12*I12,$A$5*$F12*I12)),0),0)</f>
        <v>0</v>
      </c>
      <c r="L12" s="252">
        <f t="shared" ref="L12:L32" si="1">K12*(1-$G12)</f>
        <v>0</v>
      </c>
      <c r="M12" s="250"/>
      <c r="N12" s="252"/>
      <c r="O12" s="252"/>
      <c r="P12" s="252">
        <f t="shared" ref="P12:P64" si="2">IF(Q$8="y",IF($AN12="y",IF(ISNUMBER(SEARCH("Hour",$C12)),IF(O12=0,$A$5*$A$6*$F12*N12,$A$5*O12*$F12*N12),IF($D12="SRV",$F12*N12,$A$5*$F12*N12)),0),0)</f>
        <v>0</v>
      </c>
      <c r="Q12" s="252">
        <f t="shared" ref="Q12:Q32" si="3">P12*(1-$G12)</f>
        <v>0</v>
      </c>
      <c r="R12" s="250"/>
      <c r="S12" s="252"/>
      <c r="T12" s="252"/>
      <c r="U12" s="252">
        <f t="shared" ref="U12:U64" si="4">IF(V$8="y",IF($AN12="y",IF(ISNUMBER(SEARCH("Hour",$C12)),IF(T12=0,$A$5*$A$6*$F12*S12,$A$5*T12*$F12*S12),IF($D12="SRV",$F12*S12,$A$5*$F12*S12)),0),0)</f>
        <v>0</v>
      </c>
      <c r="V12" s="252">
        <f t="shared" ref="V12:V43" si="5">U12*(1-$G12)</f>
        <v>0</v>
      </c>
      <c r="W12" s="250"/>
      <c r="X12" s="252"/>
      <c r="Y12" s="252"/>
      <c r="Z12" s="252">
        <f t="shared" ref="Z12:Z64" si="6">IF(AA$8="y",IF($AN12="y",IF(ISNUMBER(SEARCH("Hour",$C12)),IF(Y12=0,$A$5*$A$6*$F12*X12,$A$5*Y12*$F12*X12),IF($D12="SRV",$F12*X12,$A$5*$F12*X12)),0),0)</f>
        <v>0</v>
      </c>
      <c r="AA12" s="252">
        <f t="shared" ref="AA12:AA32" si="7">Z12*(1-$G12)</f>
        <v>0</v>
      </c>
      <c r="AB12" s="250"/>
      <c r="AC12" s="252"/>
      <c r="AD12" s="252"/>
      <c r="AE12" s="252">
        <f t="shared" ref="AE12:AE64" si="8">IF(AF$8="y",IF($AN12="y",IF(ISNUMBER(SEARCH("Hour",$C12)),IF(AD12=0,$A$5*$A$6*$F12*AC12,$A$5*AD12*$F12*AC12),IF($D12="SRV",$F12*AC12,$A$5*$F12*AC12)),0),0)</f>
        <v>0</v>
      </c>
      <c r="AF12" s="252">
        <f t="shared" ref="AF12:AF32" si="9">AE12*(1-$G12)</f>
        <v>0</v>
      </c>
      <c r="AG12" s="250"/>
      <c r="AH12" s="252">
        <f t="shared" ref="AH12:AH43" si="10">SUMIF($L$8,"Y",I12)+SUMIF($Q$8,"Y",N12)+SUMIF($V$8,"Y",S12)+SUMIF($AA$8,"Y",X12)+SUMIF($AF$8,"Y",AC12)</f>
        <v>0</v>
      </c>
      <c r="AI12" s="252">
        <f t="shared" ref="AI12:AI43" si="11">SUMIF(H$10:AG$10,AI$10,H12:AG12)</f>
        <v>0</v>
      </c>
      <c r="AJ12" s="252">
        <f t="shared" ref="AJ12:AJ43" si="12">SUMIF(H$10:AG$10,AJ$10,H12:AG12)</f>
        <v>0</v>
      </c>
      <c r="AK12" s="250"/>
      <c r="AL12" s="333">
        <f t="shared" ref="AL12:AL43" si="13">F12*(1-G12)</f>
        <v>3.7999999999999999E-2</v>
      </c>
      <c r="AN12" s="325" t="s">
        <v>589</v>
      </c>
      <c r="AO12" s="260" t="str">
        <f>INDEX('Cloud Price List'!$B$3:$N$1491,MATCH(BOM!$A12,'Cloud Price List'!$A$3:$A$1491,0),6)</f>
        <v>Compute</v>
      </c>
    </row>
    <row r="13" spans="1:55" s="260" customFormat="1">
      <c r="A13" s="843" t="s">
        <v>3208</v>
      </c>
      <c r="B13" s="249" t="str">
        <f>INDEX('Cloud Price List'!$B$3:$N$1491,MATCH(BOM!$A13,'Cloud Price List'!$A$3:$A$1491,0),1)</f>
        <v>Oracle Cloud Infrastructure - Compute - Standard - X9 - Memory</v>
      </c>
      <c r="C13" s="443" t="str">
        <f>INDEX('Cloud Price List'!$B$3:$N$1491,MATCH(BOM!$A13,'Cloud Price List'!$A$3:$A$1491,0),4)</f>
        <v>Gigabyte Per Hour</v>
      </c>
      <c r="D13" s="258" t="str">
        <f>INDEX('Cloud Price List'!$B$3:$N$1491,MATCH(BOM!$A13,'Cloud Price List'!$A$3:$A$1491,0),9)</f>
        <v>IAAS</v>
      </c>
      <c r="E13" s="264">
        <f>INDEX('Cloud Price List'!$B$3:$N$1491,MATCH(BOM!$A13,'Cloud Price List'!$A$3:$A$1491,0),3)*'Cloud Price List'!$E$1</f>
        <v>1.5E-3</v>
      </c>
      <c r="F13" s="265">
        <f t="shared" ref="F13" si="14">E13</f>
        <v>1.5E-3</v>
      </c>
      <c r="G13" s="251">
        <f>IF(INDEX('Cloud Price List'!$B$3:$N$1491,MATCH($A13,'Cloud Price List'!$A$3:$A$1491,0),8)="UC0",0,IF(ISBLANK(VLOOKUP($D13,$D$4:$E$7,2,FALSE)),$AI$74,VLOOKUP($D13,$D$4:$E$7,2,FALSE)))</f>
        <v>0.05</v>
      </c>
      <c r="I13" s="252"/>
      <c r="J13" s="252"/>
      <c r="K13" s="252">
        <f t="shared" si="0"/>
        <v>0</v>
      </c>
      <c r="L13" s="252">
        <f t="shared" si="1"/>
        <v>0</v>
      </c>
      <c r="M13" s="250"/>
      <c r="N13" s="252"/>
      <c r="O13" s="252"/>
      <c r="P13" s="252">
        <f t="shared" si="2"/>
        <v>0</v>
      </c>
      <c r="Q13" s="252">
        <f t="shared" si="3"/>
        <v>0</v>
      </c>
      <c r="R13" s="250"/>
      <c r="S13" s="252"/>
      <c r="T13" s="252"/>
      <c r="U13" s="252">
        <f t="shared" si="4"/>
        <v>0</v>
      </c>
      <c r="V13" s="252">
        <f t="shared" si="5"/>
        <v>0</v>
      </c>
      <c r="W13" s="250"/>
      <c r="X13" s="252"/>
      <c r="Y13" s="252"/>
      <c r="Z13" s="252">
        <f t="shared" si="6"/>
        <v>0</v>
      </c>
      <c r="AA13" s="252">
        <f t="shared" si="7"/>
        <v>0</v>
      </c>
      <c r="AB13" s="250"/>
      <c r="AC13" s="252"/>
      <c r="AD13" s="252"/>
      <c r="AE13" s="252">
        <f t="shared" si="8"/>
        <v>0</v>
      </c>
      <c r="AF13" s="252">
        <f t="shared" si="9"/>
        <v>0</v>
      </c>
      <c r="AG13" s="250"/>
      <c r="AH13" s="252">
        <f t="shared" si="10"/>
        <v>0</v>
      </c>
      <c r="AI13" s="252">
        <f t="shared" si="11"/>
        <v>0</v>
      </c>
      <c r="AJ13" s="252">
        <f t="shared" si="12"/>
        <v>0</v>
      </c>
      <c r="AK13" s="250"/>
      <c r="AL13" s="333">
        <f t="shared" si="13"/>
        <v>1.4250000000000001E-3</v>
      </c>
      <c r="AN13" s="325" t="s">
        <v>589</v>
      </c>
      <c r="AO13" s="260" t="str">
        <f>INDEX('Cloud Price List'!$B$3:$N$1491,MATCH(BOM!$A13,'Cloud Price List'!$A$3:$A$1491,0),6)</f>
        <v>Compute</v>
      </c>
    </row>
    <row r="14" spans="1:55" s="260" customFormat="1">
      <c r="A14" s="843" t="s">
        <v>3056</v>
      </c>
      <c r="B14" s="249" t="str">
        <f>INDEX('Cloud Price List'!$B$3:$N$1491,MATCH(BOM!$A14,'Cloud Price List'!$A$3:$A$1491,0),1)</f>
        <v>Oracle Cloud Infrastructure - Compute - Optimized - X9</v>
      </c>
      <c r="C14" s="443" t="str">
        <f>INDEX('Cloud Price List'!$B$3:$N$1491,MATCH(BOM!$A14,'Cloud Price List'!$A$3:$A$1491,0),4)</f>
        <v>OCPU Per Hour</v>
      </c>
      <c r="D14" s="258" t="str">
        <f>INDEX('Cloud Price List'!$B$3:$N$1491,MATCH(BOM!$A14,'Cloud Price List'!$A$3:$A$1491,0),9)</f>
        <v>IAAS</v>
      </c>
      <c r="E14" s="264">
        <f>INDEX('Cloud Price List'!$B$3:$N$1491,MATCH(BOM!$A14,'Cloud Price List'!$A$3:$A$1491,0),3)*'Cloud Price List'!$E$1</f>
        <v>5.3999999999999999E-2</v>
      </c>
      <c r="F14" s="265">
        <f t="shared" ref="F14:F15" si="15">E14</f>
        <v>5.3999999999999999E-2</v>
      </c>
      <c r="G14" s="251">
        <f>IF(INDEX('Cloud Price List'!$B$3:$N$1491,MATCH($A14,'Cloud Price List'!$A$3:$A$1491,0),8)="UC0",0,IF(ISBLANK(VLOOKUP($D14,$D$4:$E$7,2,FALSE)),$AI$74,VLOOKUP($D14,$D$4:$E$7,2,FALSE)))</f>
        <v>0.05</v>
      </c>
      <c r="I14" s="252"/>
      <c r="J14" s="252"/>
      <c r="K14" s="252">
        <f t="shared" ref="K14:K15" si="16">IF(L$8="y",IF($AN14="y",IF(ISNUMBER(SEARCH("Hour",$C14)),IF(J14=0,$A$5*$A$6*$F14*I14,$A$5*J14*$F14*I14),IF($D14="SRV",$F14*I14,$A$5*$F14*I14)),0),0)</f>
        <v>0</v>
      </c>
      <c r="L14" s="252">
        <f t="shared" ref="L14:L15" si="17">K14*(1-$G14)</f>
        <v>0</v>
      </c>
      <c r="M14" s="250"/>
      <c r="N14" s="252"/>
      <c r="O14" s="252"/>
      <c r="P14" s="252">
        <f t="shared" ref="P14:P15" si="18">IF(Q$8="y",IF($AN14="y",IF(ISNUMBER(SEARCH("Hour",$C14)),IF(O14=0,$A$5*$A$6*$F14*N14,$A$5*O14*$F14*N14),IF($D14="SRV",$F14*N14,$A$5*$F14*N14)),0),0)</f>
        <v>0</v>
      </c>
      <c r="Q14" s="252">
        <f t="shared" ref="Q14:Q15" si="19">P14*(1-$G14)</f>
        <v>0</v>
      </c>
      <c r="R14" s="250"/>
      <c r="S14" s="252"/>
      <c r="T14" s="252"/>
      <c r="U14" s="252">
        <f t="shared" ref="U14:U15" si="20">IF(V$8="y",IF($AN14="y",IF(ISNUMBER(SEARCH("Hour",$C14)),IF(T14=0,$A$5*$A$6*$F14*S14,$A$5*T14*$F14*S14),IF($D14="SRV",$F14*S14,$A$5*$F14*S14)),0),0)</f>
        <v>0</v>
      </c>
      <c r="V14" s="252">
        <f t="shared" ref="V14:V15" si="21">U14*(1-$G14)</f>
        <v>0</v>
      </c>
      <c r="W14" s="250"/>
      <c r="X14" s="252"/>
      <c r="Y14" s="252"/>
      <c r="Z14" s="252">
        <f t="shared" ref="Z14:Z15" si="22">IF(AA$8="y",IF($AN14="y",IF(ISNUMBER(SEARCH("Hour",$C14)),IF(Y14=0,$A$5*$A$6*$F14*X14,$A$5*Y14*$F14*X14),IF($D14="SRV",$F14*X14,$A$5*$F14*X14)),0),0)</f>
        <v>0</v>
      </c>
      <c r="AA14" s="252">
        <f t="shared" ref="AA14:AA15" si="23">Z14*(1-$G14)</f>
        <v>0</v>
      </c>
      <c r="AB14" s="250"/>
      <c r="AC14" s="252"/>
      <c r="AD14" s="252"/>
      <c r="AE14" s="252">
        <f t="shared" ref="AE14:AE15" si="24">IF(AF$8="y",IF($AN14="y",IF(ISNUMBER(SEARCH("Hour",$C14)),IF(AD14=0,$A$5*$A$6*$F14*AC14,$A$5*AD14*$F14*AC14),IF($D14="SRV",$F14*AC14,$A$5*$F14*AC14)),0),0)</f>
        <v>0</v>
      </c>
      <c r="AF14" s="252">
        <f t="shared" ref="AF14:AF15" si="25">AE14*(1-$G14)</f>
        <v>0</v>
      </c>
      <c r="AG14" s="250"/>
      <c r="AH14" s="252">
        <f t="shared" ref="AH14:AH15" si="26">SUMIF($L$8,"Y",I14)+SUMIF($Q$8,"Y",N14)+SUMIF($V$8,"Y",S14)+SUMIF($AA$8,"Y",X14)+SUMIF($AF$8,"Y",AC14)</f>
        <v>0</v>
      </c>
      <c r="AI14" s="252">
        <f t="shared" ref="AI14:AI15" si="27">SUMIF(H$10:AG$10,AI$10,H14:AG14)</f>
        <v>0</v>
      </c>
      <c r="AJ14" s="252">
        <f t="shared" ref="AJ14:AJ15" si="28">SUMIF(H$10:AG$10,AJ$10,H14:AG14)</f>
        <v>0</v>
      </c>
      <c r="AK14" s="250"/>
      <c r="AL14" s="333">
        <f t="shared" ref="AL14:AL15" si="29">F14*(1-G14)</f>
        <v>5.1299999999999998E-2</v>
      </c>
      <c r="AN14" s="325" t="s">
        <v>589</v>
      </c>
      <c r="AO14" s="260" t="str">
        <f>INDEX('Cloud Price List'!$B$3:$N$1491,MATCH(BOM!$A14,'Cloud Price List'!$A$3:$A$1491,0),6)</f>
        <v>Compute</v>
      </c>
    </row>
    <row r="15" spans="1:55" s="260" customFormat="1">
      <c r="A15" s="843" t="s">
        <v>3058</v>
      </c>
      <c r="B15" s="249" t="str">
        <f>INDEX('Cloud Price List'!$B$3:$N$1491,MATCH(BOM!$A15,'Cloud Price List'!$A$3:$A$1491,0),1)</f>
        <v>Oracle Cloud Infrastructure - Compute - Optimized - X9 - Memory</v>
      </c>
      <c r="C15" s="443" t="str">
        <f>INDEX('Cloud Price List'!$B$3:$N$1491,MATCH(BOM!$A15,'Cloud Price List'!$A$3:$A$1491,0),4)</f>
        <v>Gigabyte Per Hour</v>
      </c>
      <c r="D15" s="258" t="str">
        <f>INDEX('Cloud Price List'!$B$3:$N$1491,MATCH(BOM!$A15,'Cloud Price List'!$A$3:$A$1491,0),9)</f>
        <v>IAAS</v>
      </c>
      <c r="E15" s="264">
        <f>INDEX('Cloud Price List'!$B$3:$N$1491,MATCH(BOM!$A15,'Cloud Price List'!$A$3:$A$1491,0),3)*'Cloud Price List'!$E$1</f>
        <v>1.5E-3</v>
      </c>
      <c r="F15" s="265">
        <f t="shared" si="15"/>
        <v>1.5E-3</v>
      </c>
      <c r="G15" s="251">
        <f>IF(INDEX('Cloud Price List'!$B$3:$N$1491,MATCH($A15,'Cloud Price List'!$A$3:$A$1491,0),8)="UC0",0,IF(ISBLANK(VLOOKUP($D15,$D$4:$E$7,2,FALSE)),$AI$74,VLOOKUP($D15,$D$4:$E$7,2,FALSE)))</f>
        <v>0.05</v>
      </c>
      <c r="I15" s="252"/>
      <c r="J15" s="252"/>
      <c r="K15" s="252">
        <f t="shared" si="16"/>
        <v>0</v>
      </c>
      <c r="L15" s="252">
        <f t="shared" si="17"/>
        <v>0</v>
      </c>
      <c r="M15" s="250"/>
      <c r="N15" s="252"/>
      <c r="O15" s="252"/>
      <c r="P15" s="252">
        <f t="shared" si="18"/>
        <v>0</v>
      </c>
      <c r="Q15" s="252">
        <f t="shared" si="19"/>
        <v>0</v>
      </c>
      <c r="R15" s="250"/>
      <c r="S15" s="252"/>
      <c r="T15" s="252"/>
      <c r="U15" s="252">
        <f t="shared" si="20"/>
        <v>0</v>
      </c>
      <c r="V15" s="252">
        <f t="shared" si="21"/>
        <v>0</v>
      </c>
      <c r="W15" s="250"/>
      <c r="X15" s="252"/>
      <c r="Y15" s="252"/>
      <c r="Z15" s="252">
        <f t="shared" si="22"/>
        <v>0</v>
      </c>
      <c r="AA15" s="252">
        <f t="shared" si="23"/>
        <v>0</v>
      </c>
      <c r="AB15" s="250"/>
      <c r="AC15" s="252"/>
      <c r="AD15" s="252"/>
      <c r="AE15" s="252">
        <f t="shared" si="24"/>
        <v>0</v>
      </c>
      <c r="AF15" s="252">
        <f t="shared" si="25"/>
        <v>0</v>
      </c>
      <c r="AG15" s="250"/>
      <c r="AH15" s="252">
        <f t="shared" si="26"/>
        <v>0</v>
      </c>
      <c r="AI15" s="252">
        <f t="shared" si="27"/>
        <v>0</v>
      </c>
      <c r="AJ15" s="252">
        <f t="shared" si="28"/>
        <v>0</v>
      </c>
      <c r="AK15" s="250"/>
      <c r="AL15" s="333">
        <f t="shared" si="29"/>
        <v>1.4250000000000001E-3</v>
      </c>
      <c r="AN15" s="325" t="s">
        <v>589</v>
      </c>
      <c r="AO15" s="260" t="str">
        <f>INDEX('Cloud Price List'!$B$3:$N$1491,MATCH(BOM!$A15,'Cloud Price List'!$A$3:$A$1491,0),6)</f>
        <v>Compute</v>
      </c>
    </row>
    <row r="16" spans="1:55" s="260" customFormat="1" ht="16">
      <c r="A16" s="844" t="s">
        <v>2776</v>
      </c>
      <c r="B16" s="249" t="str">
        <f>INDEX('Cloud Price List'!$B$3:$N$1491,MATCH(BOM!$A16,'Cloud Price List'!$A$3:$A$1491,0),1)</f>
        <v>Oracle Cloud Infrastructure - Compute - Standard - E4</v>
      </c>
      <c r="C16" s="443" t="str">
        <f>INDEX('Cloud Price List'!$B$3:$N$1491,MATCH(BOM!$A16,'Cloud Price List'!$A$3:$A$1491,0),4)</f>
        <v>OCPU Per Hour</v>
      </c>
      <c r="D16" s="258" t="str">
        <f>INDEX('Cloud Price List'!$B$3:$N$1491,MATCH(BOM!$A16,'Cloud Price List'!$A$3:$A$1491,0),9)</f>
        <v>IAAS</v>
      </c>
      <c r="E16" s="264">
        <f>INDEX('Cloud Price List'!$B$3:$N$1491,MATCH(BOM!$A16,'Cloud Price List'!$A$3:$A$1491,0),3)*'Cloud Price List'!$E$1</f>
        <v>2.5000000000000001E-2</v>
      </c>
      <c r="F16" s="265">
        <f t="shared" ref="F16:F17" si="30">E16</f>
        <v>2.5000000000000001E-2</v>
      </c>
      <c r="G16" s="251">
        <f>IF(INDEX('Cloud Price List'!$B$3:$N$1491,MATCH($A16,'Cloud Price List'!$A$3:$A$1491,0),8)="UC0",0,IF(ISBLANK(VLOOKUP($D16,$D$4:$E$7,2,FALSE)),$AI$74,VLOOKUP($D16,$D$4:$E$7,2,FALSE)))</f>
        <v>0.05</v>
      </c>
      <c r="I16" s="252">
        <v>6</v>
      </c>
      <c r="J16" s="252"/>
      <c r="K16" s="252">
        <f t="shared" si="0"/>
        <v>1314</v>
      </c>
      <c r="L16" s="252">
        <f>K16*(1-$G16)</f>
        <v>1248.3</v>
      </c>
      <c r="M16" s="250"/>
      <c r="N16" s="252">
        <v>3</v>
      </c>
      <c r="O16" s="252"/>
      <c r="P16" s="252">
        <f t="shared" si="2"/>
        <v>657</v>
      </c>
      <c r="Q16" s="252">
        <f>P16*(1-$G16)</f>
        <v>624.15</v>
      </c>
      <c r="R16" s="250"/>
      <c r="S16" s="252"/>
      <c r="T16" s="252"/>
      <c r="U16" s="252">
        <f t="shared" si="4"/>
        <v>0</v>
      </c>
      <c r="V16" s="252">
        <f>U16*(1-$G16)</f>
        <v>0</v>
      </c>
      <c r="W16" s="250"/>
      <c r="X16" s="252"/>
      <c r="Y16" s="252"/>
      <c r="Z16" s="252">
        <f t="shared" si="6"/>
        <v>0</v>
      </c>
      <c r="AA16" s="252">
        <f>Z16*(1-$G16)</f>
        <v>0</v>
      </c>
      <c r="AB16" s="250"/>
      <c r="AC16" s="252">
        <v>4</v>
      </c>
      <c r="AD16" s="252"/>
      <c r="AE16" s="252">
        <f t="shared" si="8"/>
        <v>876</v>
      </c>
      <c r="AF16" s="252">
        <f>AE16*(1-$G16)</f>
        <v>832.19999999999993</v>
      </c>
      <c r="AG16" s="250"/>
      <c r="AH16" s="252">
        <f t="shared" ref="AH16:AH17" si="31">SUMIF($L$8,"Y",I16)+SUMIF($Q$8,"Y",N16)+SUMIF($V$8,"Y",S16)+SUMIF($AA$8,"Y",X16)+SUMIF($AF$8,"Y",AC16)</f>
        <v>13</v>
      </c>
      <c r="AI16" s="252">
        <f>SUMIF(H$10:AG$10,AI$10,H16:AG16)</f>
        <v>2847</v>
      </c>
      <c r="AJ16" s="252">
        <f>SUMIF(H$10:AG$10,AJ$10,H16:AG16)</f>
        <v>2704.6499999999996</v>
      </c>
      <c r="AK16" s="250"/>
      <c r="AL16" s="333">
        <f t="shared" ref="AL16:AL17" si="32">F16*(1-G16)</f>
        <v>2.375E-2</v>
      </c>
      <c r="AN16" s="325" t="s">
        <v>589</v>
      </c>
      <c r="AO16" s="260" t="str">
        <f>INDEX('Cloud Price List'!$B$3:$N$1491,MATCH(BOM!$A16,'Cloud Price List'!$A$3:$A$1491,0),6)</f>
        <v>Compute</v>
      </c>
    </row>
    <row r="17" spans="1:41" s="260" customFormat="1" ht="16">
      <c r="A17" s="844" t="s">
        <v>2784</v>
      </c>
      <c r="B17" s="249" t="str">
        <f>INDEX('Cloud Price List'!$B$3:$N$1491,MATCH(BOM!$A17,'Cloud Price List'!$A$3:$A$1491,0),1)</f>
        <v>Oracle Cloud Infrastructure - Compute - Standard - E4  - Memory</v>
      </c>
      <c r="C17" s="443" t="str">
        <f>INDEX('Cloud Price List'!$B$3:$N$1491,MATCH(BOM!$A17,'Cloud Price List'!$A$3:$A$1491,0),4)</f>
        <v>Gigabyte Per Hour</v>
      </c>
      <c r="D17" s="258" t="str">
        <f>INDEX('Cloud Price List'!$B$3:$N$1491,MATCH(BOM!$A17,'Cloud Price List'!$A$3:$A$1491,0),9)</f>
        <v>IAAS</v>
      </c>
      <c r="E17" s="264">
        <f>INDEX('Cloud Price List'!$B$3:$N$1491,MATCH(BOM!$A17,'Cloud Price List'!$A$3:$A$1491,0),3)*'Cloud Price List'!$E$1</f>
        <v>1.5E-3</v>
      </c>
      <c r="F17" s="265">
        <f t="shared" si="30"/>
        <v>1.5E-3</v>
      </c>
      <c r="G17" s="251">
        <f>IF(INDEX('Cloud Price List'!$B$3:$N$1491,MATCH($A17,'Cloud Price List'!$A$3:$A$1491,0),8)="UC0",0,IF(ISBLANK(VLOOKUP($D17,$D$4:$E$7,2,FALSE)),$AI$74,VLOOKUP($D17,$D$4:$E$7,2,FALSE)))</f>
        <v>0.05</v>
      </c>
      <c r="I17" s="252">
        <f>16*6</f>
        <v>96</v>
      </c>
      <c r="J17" s="252"/>
      <c r="K17" s="252">
        <f t="shared" si="0"/>
        <v>1261.44</v>
      </c>
      <c r="L17" s="252">
        <f>K17*(1-$G17)</f>
        <v>1198.3679999999999</v>
      </c>
      <c r="M17" s="250"/>
      <c r="N17" s="252">
        <f>16*3</f>
        <v>48</v>
      </c>
      <c r="O17" s="252"/>
      <c r="P17" s="252">
        <f t="shared" si="2"/>
        <v>630.72</v>
      </c>
      <c r="Q17" s="252">
        <f>P17*(1-$G17)</f>
        <v>599.18399999999997</v>
      </c>
      <c r="R17" s="250"/>
      <c r="S17" s="252"/>
      <c r="T17" s="252"/>
      <c r="U17" s="252">
        <f t="shared" si="4"/>
        <v>0</v>
      </c>
      <c r="V17" s="252">
        <f>U17*(1-$G17)</f>
        <v>0</v>
      </c>
      <c r="W17" s="250"/>
      <c r="X17" s="252"/>
      <c r="Y17" s="252"/>
      <c r="Z17" s="252">
        <f t="shared" si="6"/>
        <v>0</v>
      </c>
      <c r="AA17" s="252">
        <f>Z17*(1-$G17)</f>
        <v>0</v>
      </c>
      <c r="AB17" s="250"/>
      <c r="AC17" s="252">
        <f>16*AC16</f>
        <v>64</v>
      </c>
      <c r="AD17" s="252"/>
      <c r="AE17" s="252">
        <f t="shared" si="8"/>
        <v>840.96</v>
      </c>
      <c r="AF17" s="252">
        <f>AE17*(1-$G17)</f>
        <v>798.91200000000003</v>
      </c>
      <c r="AG17" s="250"/>
      <c r="AH17" s="252">
        <f t="shared" si="31"/>
        <v>208</v>
      </c>
      <c r="AI17" s="252">
        <f>SUMIF(H$10:AG$10,AI$10,H17:AG17)</f>
        <v>2733.12</v>
      </c>
      <c r="AJ17" s="252">
        <f>SUMIF(H$10:AG$10,AJ$10,H17:AG17)</f>
        <v>2596.4639999999999</v>
      </c>
      <c r="AK17" s="250"/>
      <c r="AL17" s="333">
        <f t="shared" si="32"/>
        <v>1.4250000000000001E-3</v>
      </c>
      <c r="AN17" s="325" t="s">
        <v>589</v>
      </c>
      <c r="AO17" s="260" t="str">
        <f>INDEX('Cloud Price List'!$B$3:$N$1491,MATCH(BOM!$A17,'Cloud Price List'!$A$3:$A$1491,0),6)</f>
        <v>Compute</v>
      </c>
    </row>
    <row r="18" spans="1:41" s="260" customFormat="1">
      <c r="A18" s="842" t="s">
        <v>40</v>
      </c>
      <c r="B18" s="249" t="str">
        <f>INDEX('Cloud Price List'!$B$3:$N$1491,MATCH(BOM!$A18,'Cloud Price List'!$A$3:$A$1491,0),1)</f>
        <v>Oracle Cloud Infrastructure - Compute - Windows OS</v>
      </c>
      <c r="C18" s="443" t="str">
        <f>INDEX('Cloud Price List'!$B$3:$N$1491,MATCH(BOM!$A18,'Cloud Price List'!$A$3:$A$1491,0),4)</f>
        <v>OCPU Per Hour</v>
      </c>
      <c r="D18" s="258" t="str">
        <f>INDEX('Cloud Price List'!$B$3:$N$1491,MATCH(BOM!$A18,'Cloud Price List'!$A$3:$A$1491,0),9)</f>
        <v>IAAS</v>
      </c>
      <c r="E18" s="264">
        <f>INDEX('Cloud Price List'!$B$3:$N$1491,MATCH(BOM!$A18,'Cloud Price List'!$A$3:$A$1491,0),3)*'Cloud Price List'!$E$1</f>
        <v>9.1999999999999998E-2</v>
      </c>
      <c r="F18" s="265">
        <f t="shared" ref="F18:F62" si="33">E18</f>
        <v>9.1999999999999998E-2</v>
      </c>
      <c r="G18" s="251">
        <f>IF(INDEX('Cloud Price List'!$B$3:$N$1491,MATCH($A18,'Cloud Price List'!$A$3:$A$1491,0),8)="UC0",0,IF(ISBLANK(VLOOKUP($D18,$D$4:$E$7,2,FALSE)),$AI$74,VLOOKUP($D18,$D$4:$E$7,2,FALSE)))</f>
        <v>0</v>
      </c>
      <c r="I18" s="252"/>
      <c r="J18" s="252"/>
      <c r="K18" s="252">
        <f t="shared" si="0"/>
        <v>0</v>
      </c>
      <c r="L18" s="252">
        <f t="shared" si="1"/>
        <v>0</v>
      </c>
      <c r="M18" s="250"/>
      <c r="N18" s="252"/>
      <c r="O18" s="252"/>
      <c r="P18" s="252">
        <f t="shared" si="2"/>
        <v>0</v>
      </c>
      <c r="Q18" s="252">
        <f t="shared" si="3"/>
        <v>0</v>
      </c>
      <c r="R18" s="250"/>
      <c r="S18" s="252"/>
      <c r="T18" s="252"/>
      <c r="U18" s="252">
        <f t="shared" si="4"/>
        <v>0</v>
      </c>
      <c r="V18" s="252">
        <f t="shared" si="5"/>
        <v>0</v>
      </c>
      <c r="W18" s="250"/>
      <c r="X18" s="252"/>
      <c r="Y18" s="252"/>
      <c r="Z18" s="252">
        <f t="shared" si="6"/>
        <v>0</v>
      </c>
      <c r="AA18" s="252">
        <f t="shared" si="7"/>
        <v>0</v>
      </c>
      <c r="AB18" s="250"/>
      <c r="AC18" s="252"/>
      <c r="AD18" s="252"/>
      <c r="AE18" s="252">
        <f t="shared" si="8"/>
        <v>0</v>
      </c>
      <c r="AF18" s="252">
        <f t="shared" si="9"/>
        <v>0</v>
      </c>
      <c r="AG18" s="250"/>
      <c r="AH18" s="252">
        <f t="shared" si="10"/>
        <v>0</v>
      </c>
      <c r="AI18" s="252">
        <f t="shared" si="11"/>
        <v>0</v>
      </c>
      <c r="AJ18" s="252">
        <f t="shared" si="12"/>
        <v>0</v>
      </c>
      <c r="AK18" s="250"/>
      <c r="AL18" s="333">
        <f t="shared" si="13"/>
        <v>9.1999999999999998E-2</v>
      </c>
      <c r="AN18" s="325" t="s">
        <v>589</v>
      </c>
      <c r="AO18" s="260" t="str">
        <f>INDEX('Cloud Price List'!$B$3:$N$1491,MATCH(BOM!$A18,'Cloud Price List'!$A$3:$A$1491,0),6)</f>
        <v>Compute</v>
      </c>
    </row>
    <row r="19" spans="1:41" s="260" customFormat="1">
      <c r="A19" s="842" t="s">
        <v>1842</v>
      </c>
      <c r="B19" s="249" t="str">
        <f>INDEX('Cloud Price List'!$B$3:$N$1491,MATCH(BOM!$A19,'Cloud Price List'!$A$3:$A$1491,0),1)</f>
        <v xml:space="preserve">Oracle Cloud Infrastructure - Block Volume Storage </v>
      </c>
      <c r="C19" s="443" t="str">
        <f>INDEX('Cloud Price List'!$B$3:$N$1491,MATCH(BOM!$A19,'Cloud Price List'!$A$3:$A$1491,0),4)</f>
        <v>Gigabyte Storage Capacity Per Month</v>
      </c>
      <c r="D19" s="258" t="str">
        <f>INDEX('Cloud Price List'!$B$3:$N$1491,MATCH(BOM!$A19,'Cloud Price List'!$A$3:$A$1491,0),9)</f>
        <v>IAAS</v>
      </c>
      <c r="E19" s="264">
        <f>INDEX('Cloud Price List'!$B$3:$N$1491,MATCH(BOM!$A19,'Cloud Price List'!$A$3:$A$1491,0),3)*'Cloud Price List'!$E$1</f>
        <v>2.5499999999999998E-2</v>
      </c>
      <c r="F19" s="265">
        <f t="shared" si="33"/>
        <v>2.5499999999999998E-2</v>
      </c>
      <c r="G19" s="251">
        <f>IF(INDEX('Cloud Price List'!$B$3:$N$1491,MATCH($A19,'Cloud Price List'!$A$3:$A$1491,0),8)="UC0",0,IF(ISBLANK(VLOOKUP($D19,$D$4:$E$7,2,FALSE)),$AI$74,VLOOKUP($D19,$D$4:$E$7,2,FALSE)))</f>
        <v>0.05</v>
      </c>
      <c r="I19" s="252">
        <v>200</v>
      </c>
      <c r="J19" s="252"/>
      <c r="K19" s="252">
        <f t="shared" si="0"/>
        <v>61.199999999999996</v>
      </c>
      <c r="L19" s="252">
        <f t="shared" si="1"/>
        <v>58.139999999999993</v>
      </c>
      <c r="M19" s="250"/>
      <c r="N19" s="252">
        <v>750</v>
      </c>
      <c r="O19" s="252"/>
      <c r="P19" s="252">
        <f t="shared" si="2"/>
        <v>229.5</v>
      </c>
      <c r="Q19" s="252">
        <f t="shared" si="3"/>
        <v>218.02499999999998</v>
      </c>
      <c r="R19" s="250"/>
      <c r="S19" s="252"/>
      <c r="T19" s="252"/>
      <c r="U19" s="252">
        <f t="shared" si="4"/>
        <v>0</v>
      </c>
      <c r="V19" s="252">
        <f t="shared" si="5"/>
        <v>0</v>
      </c>
      <c r="W19" s="250"/>
      <c r="X19" s="252"/>
      <c r="Y19" s="252"/>
      <c r="Z19" s="252">
        <f t="shared" si="6"/>
        <v>0</v>
      </c>
      <c r="AA19" s="252">
        <f t="shared" si="7"/>
        <v>0</v>
      </c>
      <c r="AB19" s="250"/>
      <c r="AC19" s="252">
        <v>500</v>
      </c>
      <c r="AD19" s="252"/>
      <c r="AE19" s="252">
        <f t="shared" si="8"/>
        <v>153</v>
      </c>
      <c r="AF19" s="252">
        <f t="shared" si="9"/>
        <v>145.35</v>
      </c>
      <c r="AG19" s="250"/>
      <c r="AH19" s="252">
        <f t="shared" si="10"/>
        <v>1450</v>
      </c>
      <c r="AI19" s="252">
        <f t="shared" si="11"/>
        <v>443.7</v>
      </c>
      <c r="AJ19" s="252">
        <f t="shared" si="12"/>
        <v>421.51499999999999</v>
      </c>
      <c r="AK19" s="250"/>
      <c r="AL19" s="333">
        <f t="shared" si="13"/>
        <v>2.4224999999999997E-2</v>
      </c>
      <c r="AN19" s="325" t="s">
        <v>589</v>
      </c>
      <c r="AO19" s="260" t="str">
        <f>INDEX('Cloud Price List'!$B$3:$N$1491,MATCH(BOM!$A19,'Cloud Price List'!$A$3:$A$1491,0),6)</f>
        <v>Storage</v>
      </c>
    </row>
    <row r="20" spans="1:41" s="260" customFormat="1">
      <c r="A20" s="842" t="s">
        <v>1844</v>
      </c>
      <c r="B20" s="249" t="str">
        <f>INDEX('Cloud Price List'!$B$3:$N$1491,MATCH(BOM!$A20,'Cloud Price List'!$A$3:$A$1491,0),1)</f>
        <v>Oracle Cloud Infrastructure - Block Volume Performance</v>
      </c>
      <c r="C20" s="443" t="str">
        <f>INDEX('Cloud Price List'!$B$3:$N$1491,MATCH(BOM!$A20,'Cloud Price List'!$A$3:$A$1491,0),4)</f>
        <v>Performance Units Per Gigabyte Per Month</v>
      </c>
      <c r="D20" s="258" t="str">
        <f>INDEX('Cloud Price List'!$B$3:$N$1491,MATCH(BOM!$A20,'Cloud Price List'!$A$3:$A$1491,0),9)</f>
        <v>IAAS</v>
      </c>
      <c r="E20" s="264">
        <f>INDEX('Cloud Price List'!$B$3:$N$1491,MATCH(BOM!$A20,'Cloud Price List'!$A$3:$A$1491,0),3)*'Cloud Price List'!$E$1</f>
        <v>1.6999999999999999E-3</v>
      </c>
      <c r="F20" s="265">
        <f t="shared" si="33"/>
        <v>1.6999999999999999E-3</v>
      </c>
      <c r="G20" s="251">
        <f>IF(INDEX('Cloud Price List'!$B$3:$N$1491,MATCH($A20,'Cloud Price List'!$A$3:$A$1491,0),8)="UC0",0,IF(ISBLANK(VLOOKUP($D20,$D$4:$E$7,2,FALSE)),$AI$74,VLOOKUP($D20,$D$4:$E$7,2,FALSE)))</f>
        <v>0.05</v>
      </c>
      <c r="I20" s="252">
        <f>10*I19</f>
        <v>2000</v>
      </c>
      <c r="J20" s="252"/>
      <c r="K20" s="252">
        <f t="shared" si="0"/>
        <v>40.799999999999997</v>
      </c>
      <c r="L20" s="252">
        <f t="shared" si="1"/>
        <v>38.76</v>
      </c>
      <c r="M20" s="250"/>
      <c r="N20" s="252">
        <f>10*N19</f>
        <v>7500</v>
      </c>
      <c r="O20" s="252"/>
      <c r="P20" s="252">
        <f t="shared" si="2"/>
        <v>152.99999999999997</v>
      </c>
      <c r="Q20" s="252">
        <f t="shared" si="3"/>
        <v>145.34999999999997</v>
      </c>
      <c r="R20" s="250"/>
      <c r="S20" s="252"/>
      <c r="T20" s="252"/>
      <c r="U20" s="252">
        <f t="shared" si="4"/>
        <v>0</v>
      </c>
      <c r="V20" s="252">
        <f t="shared" si="5"/>
        <v>0</v>
      </c>
      <c r="W20" s="250"/>
      <c r="X20" s="252"/>
      <c r="Y20" s="252"/>
      <c r="Z20" s="252">
        <f t="shared" si="6"/>
        <v>0</v>
      </c>
      <c r="AA20" s="252">
        <f t="shared" si="7"/>
        <v>0</v>
      </c>
      <c r="AB20" s="250"/>
      <c r="AC20" s="252">
        <f>10*AC19</f>
        <v>5000</v>
      </c>
      <c r="AD20" s="252"/>
      <c r="AE20" s="252">
        <f t="shared" si="8"/>
        <v>101.99999999999999</v>
      </c>
      <c r="AF20" s="252">
        <f t="shared" si="9"/>
        <v>96.899999999999977</v>
      </c>
      <c r="AG20" s="250"/>
      <c r="AH20" s="252">
        <f t="shared" si="10"/>
        <v>14500</v>
      </c>
      <c r="AI20" s="252">
        <f t="shared" si="11"/>
        <v>295.79999999999995</v>
      </c>
      <c r="AJ20" s="252">
        <f t="shared" si="12"/>
        <v>281.00999999999993</v>
      </c>
      <c r="AK20" s="250"/>
      <c r="AL20" s="333">
        <f t="shared" si="13"/>
        <v>1.6149999999999999E-3</v>
      </c>
      <c r="AN20" s="325" t="s">
        <v>589</v>
      </c>
      <c r="AO20" s="260" t="str">
        <f>INDEX('Cloud Price List'!$B$3:$N$1491,MATCH(BOM!$A20,'Cloud Price List'!$A$3:$A$1491,0),6)</f>
        <v>Storage</v>
      </c>
    </row>
    <row r="21" spans="1:41" s="260" customFormat="1">
      <c r="A21" s="842" t="s">
        <v>1700</v>
      </c>
      <c r="B21" s="249" t="str">
        <f>INDEX('Cloud Price List'!$B$3:$N$1491,MATCH(BOM!$A21,'Cloud Price List'!$A$3:$A$1491,0),1)</f>
        <v>Oracle Cloud Infrastructure - Object Storage - Storage - Over 10 Gigabytes Storage Capacity Per Month</v>
      </c>
      <c r="C21" s="443" t="str">
        <f>INDEX('Cloud Price List'!$B$3:$N$1491,MATCH(BOM!$A21,'Cloud Price List'!$A$3:$A$1491,0),4)</f>
        <v>Gigabyte Storage Capacity Per Month</v>
      </c>
      <c r="D21" s="258" t="str">
        <f>INDEX('Cloud Price List'!$B$3:$N$1491,MATCH(BOM!$A21,'Cloud Price List'!$A$3:$A$1491,0),9)</f>
        <v>IAAS</v>
      </c>
      <c r="E21" s="264">
        <f>INDEX('Cloud Price List'!$B$3:$N$1491,MATCH(BOM!$A21,'Cloud Price List'!$A$3:$A$1491,0),3)*'Cloud Price List'!$E$1</f>
        <v>2.5499999999999998E-2</v>
      </c>
      <c r="F21" s="265">
        <f t="shared" si="33"/>
        <v>2.5499999999999998E-2</v>
      </c>
      <c r="G21" s="251">
        <f>IF(INDEX('Cloud Price List'!$B$3:$N$1491,MATCH($A21,'Cloud Price List'!$A$3:$A$1491,0),8)="UC0",0,IF(ISBLANK(VLOOKUP($D21,$D$4:$E$7,2,FALSE)),$AI$74,VLOOKUP($D21,$D$4:$E$7,2,FALSE)))</f>
        <v>0.05</v>
      </c>
      <c r="I21" s="252"/>
      <c r="J21" s="252"/>
      <c r="K21" s="252">
        <f t="shared" si="0"/>
        <v>0</v>
      </c>
      <c r="L21" s="252">
        <f>K21*(1-$G21)</f>
        <v>0</v>
      </c>
      <c r="M21" s="250"/>
      <c r="N21" s="252"/>
      <c r="O21" s="252"/>
      <c r="P21" s="252">
        <f t="shared" si="2"/>
        <v>0</v>
      </c>
      <c r="Q21" s="252">
        <f>P21*(1-$G21)</f>
        <v>0</v>
      </c>
      <c r="R21" s="250"/>
      <c r="S21" s="252"/>
      <c r="T21" s="252"/>
      <c r="U21" s="252">
        <f t="shared" si="4"/>
        <v>0</v>
      </c>
      <c r="V21" s="252">
        <f t="shared" si="5"/>
        <v>0</v>
      </c>
      <c r="W21" s="250"/>
      <c r="X21" s="252"/>
      <c r="Y21" s="252"/>
      <c r="Z21" s="252">
        <f t="shared" si="6"/>
        <v>0</v>
      </c>
      <c r="AA21" s="252">
        <f>Z21*(1-$G21)</f>
        <v>0</v>
      </c>
      <c r="AB21" s="250"/>
      <c r="AC21" s="252"/>
      <c r="AD21" s="252"/>
      <c r="AE21" s="252">
        <f t="shared" si="8"/>
        <v>0</v>
      </c>
      <c r="AF21" s="252">
        <f>AE21*(1-$G21)</f>
        <v>0</v>
      </c>
      <c r="AG21" s="250"/>
      <c r="AH21" s="252">
        <f t="shared" si="10"/>
        <v>0</v>
      </c>
      <c r="AI21" s="252">
        <f t="shared" si="11"/>
        <v>0</v>
      </c>
      <c r="AJ21" s="252">
        <f t="shared" si="12"/>
        <v>0</v>
      </c>
      <c r="AK21" s="250"/>
      <c r="AL21" s="333">
        <f t="shared" si="13"/>
        <v>2.4224999999999997E-2</v>
      </c>
      <c r="AN21" s="325" t="s">
        <v>589</v>
      </c>
      <c r="AO21" s="260" t="str">
        <f>INDEX('Cloud Price List'!$B$3:$N$1491,MATCH(BOM!$A21,'Cloud Price List'!$A$3:$A$1491,0),6)</f>
        <v>Storage</v>
      </c>
    </row>
    <row r="22" spans="1:41" s="260" customFormat="1">
      <c r="A22" s="841" t="s">
        <v>1702</v>
      </c>
      <c r="B22" s="249" t="str">
        <f>INDEX('Cloud Price List'!$B$3:$N$1491,MATCH(BOM!$A22,'Cloud Price List'!$A$3:$A$1491,0),1)</f>
        <v>Oracle Cloud Infrastructure - Archive Storage - Over 10 Gigabytes Storage Capacity Per Month</v>
      </c>
      <c r="C22" s="443" t="str">
        <f>INDEX('Cloud Price List'!$B$3:$N$1491,MATCH(BOM!$A22,'Cloud Price List'!$A$3:$A$1491,0),4)</f>
        <v>Gigabyte Storage Capacity Per Month</v>
      </c>
      <c r="D22" s="258" t="str">
        <f>INDEX('Cloud Price List'!$B$3:$N$1491,MATCH(BOM!$A22,'Cloud Price List'!$A$3:$A$1491,0),9)</f>
        <v>IAAS</v>
      </c>
      <c r="E22" s="264">
        <f>INDEX('Cloud Price List'!$B$3:$N$1491,MATCH(BOM!$A22,'Cloud Price List'!$A$3:$A$1491,0),3)*'Cloud Price List'!$E$1</f>
        <v>2.5999999999999999E-3</v>
      </c>
      <c r="F22" s="265">
        <f t="shared" ref="F22" si="34">E22</f>
        <v>2.5999999999999999E-3</v>
      </c>
      <c r="G22" s="251">
        <f>IF(INDEX('Cloud Price List'!$B$3:$N$1491,MATCH($A22,'Cloud Price List'!$A$3:$A$1491,0),8)="UC0",0,IF(ISBLANK(VLOOKUP($D22,$D$4:$E$7,2,FALSE)),$AI$74,VLOOKUP($D22,$D$4:$E$7,2,FALSE)))</f>
        <v>0.05</v>
      </c>
      <c r="I22" s="252"/>
      <c r="J22" s="252"/>
      <c r="K22" s="252">
        <f t="shared" ref="K22" si="35">IF(L$8="y",IF($AN22="y",IF(ISNUMBER(SEARCH("Hour",$C22)),IF(J22=0,$A$5*$A$6*$F22*I22,$A$5*J22*$F22*I22),IF($D22="SRV",$F22*I22,$A$5*$F22*I22)),0),0)</f>
        <v>0</v>
      </c>
      <c r="L22" s="252">
        <f>K22*(1-$G22)</f>
        <v>0</v>
      </c>
      <c r="M22" s="250"/>
      <c r="N22" s="252"/>
      <c r="O22" s="252"/>
      <c r="P22" s="252">
        <f t="shared" ref="P22" si="36">IF(Q$8="y",IF($AN22="y",IF(ISNUMBER(SEARCH("Hour",$C22)),IF(O22=0,$A$5*$A$6*$F22*N22,$A$5*O22*$F22*N22),IF($D22="SRV",$F22*N22,$A$5*$F22*N22)),0),0)</f>
        <v>0</v>
      </c>
      <c r="Q22" s="252">
        <f>P22*(1-$G22)</f>
        <v>0</v>
      </c>
      <c r="R22" s="250"/>
      <c r="S22" s="252"/>
      <c r="T22" s="252"/>
      <c r="U22" s="252">
        <f t="shared" ref="U22" si="37">IF(V$8="y",IF($AN22="y",IF(ISNUMBER(SEARCH("Hour",$C22)),IF(T22=0,$A$5*$A$6*$F22*S22,$A$5*T22*$F22*S22),IF($D22="SRV",$F22*S22,$A$5*$F22*S22)),0),0)</f>
        <v>0</v>
      </c>
      <c r="V22" s="252">
        <f t="shared" ref="V22" si="38">U22*(1-$G22)</f>
        <v>0</v>
      </c>
      <c r="W22" s="250"/>
      <c r="X22" s="252"/>
      <c r="Y22" s="252"/>
      <c r="Z22" s="252">
        <f t="shared" ref="Z22" si="39">IF(AA$8="y",IF($AN22="y",IF(ISNUMBER(SEARCH("Hour",$C22)),IF(Y22=0,$A$5*$A$6*$F22*X22,$A$5*Y22*$F22*X22),IF($D22="SRV",$F22*X22,$A$5*$F22*X22)),0),0)</f>
        <v>0</v>
      </c>
      <c r="AA22" s="252">
        <f>Z22*(1-$G22)</f>
        <v>0</v>
      </c>
      <c r="AB22" s="250"/>
      <c r="AC22" s="252"/>
      <c r="AD22" s="252"/>
      <c r="AE22" s="252">
        <f t="shared" ref="AE22" si="40">IF(AF$8="y",IF($AN22="y",IF(ISNUMBER(SEARCH("Hour",$C22)),IF(AD22=0,$A$5*$A$6*$F22*AC22,$A$5*AD22*$F22*AC22),IF($D22="SRV",$F22*AC22,$A$5*$F22*AC22)),0),0)</f>
        <v>0</v>
      </c>
      <c r="AF22" s="252">
        <f>AE22*(1-$G22)</f>
        <v>0</v>
      </c>
      <c r="AG22" s="250"/>
      <c r="AH22" s="252">
        <f t="shared" ref="AH22" si="41">SUMIF($L$8,"Y",I22)+SUMIF($Q$8,"Y",N22)+SUMIF($V$8,"Y",S22)+SUMIF($AA$8,"Y",X22)+SUMIF($AF$8,"Y",AC22)</f>
        <v>0</v>
      </c>
      <c r="AI22" s="252">
        <f t="shared" ref="AI22" si="42">SUMIF(H$10:AG$10,AI$10,H22:AG22)</f>
        <v>0</v>
      </c>
      <c r="AJ22" s="252">
        <f t="shared" ref="AJ22" si="43">SUMIF(H$10:AG$10,AJ$10,H22:AG22)</f>
        <v>0</v>
      </c>
      <c r="AK22" s="250"/>
      <c r="AL22" s="333">
        <f t="shared" ref="AL22" si="44">F22*(1-G22)</f>
        <v>2.47E-3</v>
      </c>
      <c r="AN22" s="325" t="s">
        <v>589</v>
      </c>
      <c r="AO22" s="260" t="str">
        <f>INDEX('Cloud Price List'!$B$3:$N$1491,MATCH(BOM!$A22,'Cloud Price List'!$A$3:$A$1491,0),6)</f>
        <v>Storage</v>
      </c>
    </row>
    <row r="23" spans="1:41" s="260" customFormat="1">
      <c r="A23" s="845" t="s">
        <v>979</v>
      </c>
      <c r="B23" s="249" t="str">
        <f>INDEX('Cloud Price List'!$B$3:$N$1491,MATCH(BOM!$A23,'Cloud Price List'!$A$3:$A$1491,0),1)</f>
        <v>Oracle Cloud Infrastructure - File Storage</v>
      </c>
      <c r="C23" s="443" t="str">
        <f>INDEX('Cloud Price List'!$B$3:$N$1491,MATCH(BOM!$A23,'Cloud Price List'!$A$3:$A$1491,0),4)</f>
        <v>Gigabyte Storage Capacity Per Month</v>
      </c>
      <c r="D23" s="258" t="str">
        <f>INDEX('Cloud Price List'!$B$3:$N$1491,MATCH(BOM!$A23,'Cloud Price List'!$A$3:$A$1491,0),9)</f>
        <v>IAAS</v>
      </c>
      <c r="E23" s="264">
        <f>INDEX('Cloud Price List'!$B$3:$N$1491,MATCH(BOM!$A23,'Cloud Price List'!$A$3:$A$1491,0),3)*'Cloud Price List'!$E$1</f>
        <v>0.3</v>
      </c>
      <c r="F23" s="265">
        <f t="shared" si="33"/>
        <v>0.3</v>
      </c>
      <c r="G23" s="251">
        <f>IF(INDEX('Cloud Price List'!$B$3:$N$1491,MATCH($A23,'Cloud Price List'!$A$3:$A$1491,0),8)="UC0",0,IF(ISBLANK(VLOOKUP($D23,$D$4:$E$7,2,FALSE)),$AI$74,VLOOKUP($D23,$D$4:$E$7,2,FALSE)))</f>
        <v>0.05</v>
      </c>
      <c r="I23" s="252">
        <v>1024</v>
      </c>
      <c r="J23" s="252"/>
      <c r="K23" s="252">
        <f t="shared" si="0"/>
        <v>3686.3999999999996</v>
      </c>
      <c r="L23" s="252">
        <f t="shared" ref="L23" si="45">K23*(1-$G23)</f>
        <v>3502.0799999999995</v>
      </c>
      <c r="M23" s="250"/>
      <c r="N23" s="252">
        <v>1024</v>
      </c>
      <c r="O23" s="252"/>
      <c r="P23" s="252">
        <f t="shared" si="2"/>
        <v>3686.3999999999996</v>
      </c>
      <c r="Q23" s="252">
        <f t="shared" ref="Q23" si="46">P23*(1-$G23)</f>
        <v>3502.0799999999995</v>
      </c>
      <c r="R23" s="250"/>
      <c r="S23" s="252"/>
      <c r="T23" s="252"/>
      <c r="U23" s="252">
        <f t="shared" si="4"/>
        <v>0</v>
      </c>
      <c r="V23" s="252">
        <f t="shared" si="5"/>
        <v>0</v>
      </c>
      <c r="W23" s="250"/>
      <c r="X23" s="252"/>
      <c r="Y23" s="252"/>
      <c r="Z23" s="252">
        <f t="shared" si="6"/>
        <v>0</v>
      </c>
      <c r="AA23" s="252">
        <f t="shared" ref="AA23" si="47">Z23*(1-$G23)</f>
        <v>0</v>
      </c>
      <c r="AB23" s="250"/>
      <c r="AC23" s="252"/>
      <c r="AD23" s="252"/>
      <c r="AE23" s="252">
        <f t="shared" si="8"/>
        <v>0</v>
      </c>
      <c r="AF23" s="252">
        <f t="shared" ref="AF23" si="48">AE23*(1-$G23)</f>
        <v>0</v>
      </c>
      <c r="AG23" s="250"/>
      <c r="AH23" s="252">
        <f t="shared" si="10"/>
        <v>2048</v>
      </c>
      <c r="AI23" s="252">
        <f t="shared" si="11"/>
        <v>7372.7999999999993</v>
      </c>
      <c r="AJ23" s="252">
        <f t="shared" si="12"/>
        <v>7004.1599999999989</v>
      </c>
      <c r="AK23" s="250"/>
      <c r="AL23" s="333">
        <f t="shared" si="13"/>
        <v>0.28499999999999998</v>
      </c>
      <c r="AN23" s="325" t="s">
        <v>589</v>
      </c>
      <c r="AO23" s="260" t="str">
        <f>INDEX('Cloud Price List'!$B$3:$N$1491,MATCH(BOM!$A23,'Cloud Price List'!$A$3:$A$1491,0),6)</f>
        <v>Storage</v>
      </c>
    </row>
    <row r="24" spans="1:41" s="260" customFormat="1">
      <c r="A24" s="845"/>
      <c r="B24" s="249" t="s">
        <v>2057</v>
      </c>
      <c r="C24" s="443"/>
      <c r="D24" s="258"/>
      <c r="E24" s="264"/>
      <c r="F24" s="265"/>
      <c r="G24" s="251"/>
      <c r="I24" s="252"/>
      <c r="J24" s="252"/>
      <c r="K24" s="252"/>
      <c r="L24" s="252"/>
      <c r="M24" s="250"/>
      <c r="N24" s="252"/>
      <c r="O24" s="252"/>
      <c r="P24" s="252"/>
      <c r="Q24" s="252"/>
      <c r="R24" s="250"/>
      <c r="S24" s="252"/>
      <c r="T24" s="252"/>
      <c r="U24" s="252"/>
      <c r="V24" s="252"/>
      <c r="W24" s="250"/>
      <c r="X24" s="252"/>
      <c r="Y24" s="252"/>
      <c r="Z24" s="252"/>
      <c r="AA24" s="252"/>
      <c r="AB24" s="250"/>
      <c r="AC24" s="252"/>
      <c r="AD24" s="252"/>
      <c r="AE24" s="252"/>
      <c r="AF24" s="252"/>
      <c r="AG24" s="250"/>
      <c r="AH24" s="252"/>
      <c r="AI24" s="252"/>
      <c r="AJ24" s="252"/>
      <c r="AK24" s="250"/>
      <c r="AL24" s="333"/>
      <c r="AN24" s="325"/>
    </row>
    <row r="25" spans="1:41" s="260" customFormat="1">
      <c r="A25" s="842" t="s">
        <v>1192</v>
      </c>
      <c r="B25" s="249" t="str">
        <f>INDEX('Cloud Price List'!$B$3:$N$1491,MATCH(BOM!$A25,'Cloud Price List'!$A$3:$A$1491,0),1)</f>
        <v>Oracle Cloud Infrastructure - Database Cloud Service - All Editions - BYOL</v>
      </c>
      <c r="C25" s="443" t="str">
        <f>INDEX('Cloud Price List'!$B$3:$N$1491,MATCH(BOM!$A25,'Cloud Price List'!$A$3:$A$1491,0),4)</f>
        <v>OCPU Per Hour</v>
      </c>
      <c r="D25" s="258" t="str">
        <f>INDEX('Cloud Price List'!$B$3:$N$1491,MATCH(BOM!$A25,'Cloud Price List'!$A$3:$A$1491,0),9)</f>
        <v>BYOL</v>
      </c>
      <c r="E25" s="264">
        <f>INDEX('Cloud Price List'!$B$3:$N$1491,MATCH(BOM!$A25,'Cloud Price List'!$A$3:$A$1491,0),3)*'Cloud Price List'!$E$1</f>
        <v>0.19350000000000001</v>
      </c>
      <c r="F25" s="265">
        <f t="shared" si="33"/>
        <v>0.19350000000000001</v>
      </c>
      <c r="G25" s="251">
        <f>IF(INDEX('Cloud Price List'!$B$3:$N$1491,MATCH($A25,'Cloud Price List'!$A$3:$A$1491,0),8)="UC0",0,IF(ISBLANK(VLOOKUP($D25,$D$4:$E$7,2,FALSE)),$AI$74,VLOOKUP($D25,$D$4:$E$7,2,FALSE)))</f>
        <v>0.05</v>
      </c>
      <c r="I25" s="252"/>
      <c r="J25" s="252"/>
      <c r="K25" s="252">
        <f t="shared" si="0"/>
        <v>0</v>
      </c>
      <c r="L25" s="252">
        <f t="shared" si="1"/>
        <v>0</v>
      </c>
      <c r="M25" s="250"/>
      <c r="N25" s="252"/>
      <c r="O25" s="252"/>
      <c r="P25" s="252">
        <f t="shared" si="2"/>
        <v>0</v>
      </c>
      <c r="Q25" s="252">
        <f t="shared" si="3"/>
        <v>0</v>
      </c>
      <c r="R25" s="250"/>
      <c r="S25" s="252"/>
      <c r="T25" s="252"/>
      <c r="U25" s="252">
        <f t="shared" si="4"/>
        <v>0</v>
      </c>
      <c r="V25" s="252">
        <f t="shared" si="5"/>
        <v>0</v>
      </c>
      <c r="W25" s="250"/>
      <c r="X25" s="252"/>
      <c r="Y25" s="252"/>
      <c r="Z25" s="252">
        <f t="shared" si="6"/>
        <v>0</v>
      </c>
      <c r="AA25" s="252">
        <f t="shared" si="7"/>
        <v>0</v>
      </c>
      <c r="AB25" s="250"/>
      <c r="AC25" s="252"/>
      <c r="AD25" s="252"/>
      <c r="AE25" s="252">
        <f t="shared" si="8"/>
        <v>0</v>
      </c>
      <c r="AF25" s="252">
        <f t="shared" si="9"/>
        <v>0</v>
      </c>
      <c r="AG25" s="250"/>
      <c r="AH25" s="252">
        <f t="shared" si="10"/>
        <v>0</v>
      </c>
      <c r="AI25" s="252">
        <f t="shared" si="11"/>
        <v>0</v>
      </c>
      <c r="AJ25" s="252">
        <f t="shared" si="12"/>
        <v>0</v>
      </c>
      <c r="AK25" s="250"/>
      <c r="AL25" s="333">
        <f t="shared" si="13"/>
        <v>0.18382499999999999</v>
      </c>
      <c r="AN25" s="325" t="s">
        <v>589</v>
      </c>
      <c r="AO25" s="260" t="str">
        <f>INDEX('Cloud Price List'!$B$3:$N$1491,MATCH(BOM!$A25,'Cloud Price List'!$A$3:$A$1491,0),6)</f>
        <v>DBaaS</v>
      </c>
    </row>
    <row r="26" spans="1:41" s="260" customFormat="1">
      <c r="A26" s="845" t="s">
        <v>1189</v>
      </c>
      <c r="B26" s="249" t="str">
        <f>INDEX('Cloud Price List'!$B$3:$N$1491,MATCH(BOM!$A26,'Cloud Price List'!$A$3:$A$1491,0),1)</f>
        <v>Oracle Cloud Infrastructure - Database Cloud Service - 
Enterprise Edition</v>
      </c>
      <c r="C26" s="443" t="str">
        <f>INDEX('Cloud Price List'!$B$3:$N$1491,MATCH(BOM!$A26,'Cloud Price List'!$A$3:$A$1491,0),4)</f>
        <v>OCPU Per Hour</v>
      </c>
      <c r="D26" s="258" t="str">
        <f>INDEX('Cloud Price List'!$B$3:$N$1491,MATCH(BOM!$A26,'Cloud Price List'!$A$3:$A$1491,0),9)</f>
        <v>PAAS</v>
      </c>
      <c r="E26" s="264">
        <f>INDEX('Cloud Price List'!$B$3:$N$1491,MATCH(BOM!$A26,'Cloud Price List'!$A$3:$A$1491,0),3)*'Cloud Price List'!$E$1</f>
        <v>0.43009999999999998</v>
      </c>
      <c r="F26" s="265">
        <f t="shared" si="33"/>
        <v>0.43009999999999998</v>
      </c>
      <c r="G26" s="251">
        <f>IF(INDEX('Cloud Price List'!$B$3:$N$1491,MATCH($A26,'Cloud Price List'!$A$3:$A$1491,0),8)="UC0",0,IF(ISBLANK(VLOOKUP($D26,$D$4:$E$7,2,FALSE)),$AI$74,VLOOKUP($D26,$D$4:$E$7,2,FALSE)))</f>
        <v>0.05</v>
      </c>
      <c r="I26" s="252">
        <v>8</v>
      </c>
      <c r="J26" s="252"/>
      <c r="K26" s="252">
        <f t="shared" si="0"/>
        <v>30141.407999999999</v>
      </c>
      <c r="L26" s="252">
        <f>K26*(1-$G26)</f>
        <v>28634.337599999999</v>
      </c>
      <c r="M26" s="250"/>
      <c r="N26" s="252">
        <v>4</v>
      </c>
      <c r="O26" s="252"/>
      <c r="P26" s="252">
        <f t="shared" si="2"/>
        <v>15070.704</v>
      </c>
      <c r="Q26" s="252">
        <f>P26*(1-$G26)</f>
        <v>14317.168799999999</v>
      </c>
      <c r="R26" s="250"/>
      <c r="S26" s="252"/>
      <c r="T26" s="252"/>
      <c r="U26" s="252">
        <f t="shared" si="4"/>
        <v>0</v>
      </c>
      <c r="V26" s="252">
        <f t="shared" si="5"/>
        <v>0</v>
      </c>
      <c r="W26" s="250"/>
      <c r="X26" s="252"/>
      <c r="Y26" s="252"/>
      <c r="Z26" s="252">
        <f t="shared" si="6"/>
        <v>0</v>
      </c>
      <c r="AA26" s="252">
        <f>Z26*(1-$G26)</f>
        <v>0</v>
      </c>
      <c r="AB26" s="250"/>
      <c r="AC26" s="252"/>
      <c r="AD26" s="252"/>
      <c r="AE26" s="252">
        <f t="shared" si="8"/>
        <v>0</v>
      </c>
      <c r="AF26" s="252">
        <f>AE26*(1-$G26)</f>
        <v>0</v>
      </c>
      <c r="AG26" s="250"/>
      <c r="AH26" s="252">
        <f t="shared" si="10"/>
        <v>12</v>
      </c>
      <c r="AI26" s="252">
        <f t="shared" si="11"/>
        <v>45212.112000000001</v>
      </c>
      <c r="AJ26" s="252">
        <f t="shared" si="12"/>
        <v>42951.506399999998</v>
      </c>
      <c r="AK26" s="250"/>
      <c r="AL26" s="333">
        <f t="shared" si="13"/>
        <v>0.40859499999999999</v>
      </c>
      <c r="AN26" s="325" t="s">
        <v>589</v>
      </c>
      <c r="AO26" s="260" t="str">
        <f>INDEX('Cloud Price List'!$B$3:$N$1491,MATCH(BOM!$A26,'Cloud Price List'!$A$3:$A$1491,0),6)</f>
        <v>DBaaS</v>
      </c>
    </row>
    <row r="27" spans="1:41" s="260" customFormat="1">
      <c r="A27" s="845" t="s">
        <v>1190</v>
      </c>
      <c r="B27" s="249" t="str">
        <f>INDEX('Cloud Price List'!$B$3:$N$1491,MATCH(BOM!$A27,'Cloud Price List'!$A$3:$A$1491,0),1)</f>
        <v>Oracle Cloud Infrastructure - Database Cloud Service - 
Enterprise Edition High Performance</v>
      </c>
      <c r="C27" s="443" t="str">
        <f>INDEX('Cloud Price List'!$B$3:$N$1491,MATCH(BOM!$A27,'Cloud Price List'!$A$3:$A$1491,0),4)</f>
        <v>OCPU Per Hour</v>
      </c>
      <c r="D27" s="258" t="str">
        <f>INDEX('Cloud Price List'!$B$3:$N$1491,MATCH(BOM!$A27,'Cloud Price List'!$A$3:$A$1491,0),9)</f>
        <v>PAAS</v>
      </c>
      <c r="E27" s="264">
        <f>INDEX('Cloud Price List'!$B$3:$N$1491,MATCH(BOM!$A27,'Cloud Price List'!$A$3:$A$1491,0),3)*'Cloud Price List'!$E$1</f>
        <v>0.8871</v>
      </c>
      <c r="F27" s="265">
        <f t="shared" si="33"/>
        <v>0.8871</v>
      </c>
      <c r="G27" s="251">
        <f>IF(INDEX('Cloud Price List'!$B$3:$N$1491,MATCH($A27,'Cloud Price List'!$A$3:$A$1491,0),8)="UC0",0,IF(ISBLANK(VLOOKUP($D27,$D$4:$E$7,2,FALSE)),$AI$74,VLOOKUP($D27,$D$4:$E$7,2,FALSE)))</f>
        <v>0.05</v>
      </c>
      <c r="I27" s="252"/>
      <c r="J27" s="252"/>
      <c r="K27" s="252">
        <f t="shared" si="0"/>
        <v>0</v>
      </c>
      <c r="L27" s="252">
        <f t="shared" si="1"/>
        <v>0</v>
      </c>
      <c r="M27" s="250"/>
      <c r="N27" s="252"/>
      <c r="O27" s="252"/>
      <c r="P27" s="252">
        <f t="shared" si="2"/>
        <v>0</v>
      </c>
      <c r="Q27" s="252">
        <f t="shared" si="3"/>
        <v>0</v>
      </c>
      <c r="R27" s="250"/>
      <c r="S27" s="252"/>
      <c r="T27" s="252"/>
      <c r="U27" s="252">
        <f t="shared" si="4"/>
        <v>0</v>
      </c>
      <c r="V27" s="252">
        <f t="shared" si="5"/>
        <v>0</v>
      </c>
      <c r="W27" s="250"/>
      <c r="X27" s="252"/>
      <c r="Y27" s="252"/>
      <c r="Z27" s="252">
        <f t="shared" si="6"/>
        <v>0</v>
      </c>
      <c r="AA27" s="252">
        <f t="shared" si="7"/>
        <v>0</v>
      </c>
      <c r="AB27" s="250"/>
      <c r="AC27" s="252"/>
      <c r="AD27" s="252"/>
      <c r="AE27" s="252">
        <f t="shared" si="8"/>
        <v>0</v>
      </c>
      <c r="AF27" s="252">
        <f t="shared" si="9"/>
        <v>0</v>
      </c>
      <c r="AG27" s="250"/>
      <c r="AH27" s="252">
        <f t="shared" si="10"/>
        <v>0</v>
      </c>
      <c r="AI27" s="252">
        <f t="shared" si="11"/>
        <v>0</v>
      </c>
      <c r="AJ27" s="252">
        <f t="shared" si="12"/>
        <v>0</v>
      </c>
      <c r="AK27" s="250"/>
      <c r="AL27" s="333">
        <f t="shared" si="13"/>
        <v>0.84274499999999997</v>
      </c>
      <c r="AN27" s="325" t="s">
        <v>589</v>
      </c>
      <c r="AO27" s="260" t="str">
        <f>INDEX('Cloud Price List'!$B$3:$N$1491,MATCH(BOM!$A27,'Cloud Price List'!$A$3:$A$1491,0),6)</f>
        <v>DBaaS</v>
      </c>
    </row>
    <row r="28" spans="1:41" s="260" customFormat="1">
      <c r="A28" s="845" t="s">
        <v>1191</v>
      </c>
      <c r="B28" s="249" t="str">
        <f>INDEX('Cloud Price List'!$B$3:$N$1491,MATCH(BOM!$A28,'Cloud Price List'!$A$3:$A$1491,0),1)</f>
        <v>Oracle Cloud Infrastructure - Database Cloud Service - 
Enterprise Edition Extreme Performance</v>
      </c>
      <c r="C28" s="443" t="str">
        <f>INDEX('Cloud Price List'!$B$3:$N$1491,MATCH(BOM!$A28,'Cloud Price List'!$A$3:$A$1491,0),4)</f>
        <v>OCPU Per Hour</v>
      </c>
      <c r="D28" s="258" t="str">
        <f>INDEX('Cloud Price List'!$B$3:$N$1491,MATCH(BOM!$A28,'Cloud Price List'!$A$3:$A$1491,0),9)</f>
        <v>PAAS</v>
      </c>
      <c r="E28" s="264">
        <f>INDEX('Cloud Price List'!$B$3:$N$1491,MATCH(BOM!$A28,'Cloud Price List'!$A$3:$A$1491,0),3)*'Cloud Price List'!$E$1</f>
        <v>1.3441000000000001</v>
      </c>
      <c r="F28" s="265">
        <f t="shared" si="33"/>
        <v>1.3441000000000001</v>
      </c>
      <c r="G28" s="251">
        <f>IF(INDEX('Cloud Price List'!$B$3:$N$1491,MATCH($A28,'Cloud Price List'!$A$3:$A$1491,0),8)="UC0",0,IF(ISBLANK(VLOOKUP($D28,$D$4:$E$7,2,FALSE)),$AI$74,VLOOKUP($D28,$D$4:$E$7,2,FALSE)))</f>
        <v>0.05</v>
      </c>
      <c r="I28" s="252"/>
      <c r="J28" s="252"/>
      <c r="K28" s="252">
        <f t="shared" si="0"/>
        <v>0</v>
      </c>
      <c r="L28" s="252">
        <f>K28*(1-$G28)</f>
        <v>0</v>
      </c>
      <c r="M28" s="250"/>
      <c r="N28" s="252"/>
      <c r="O28" s="252"/>
      <c r="P28" s="252">
        <f t="shared" si="2"/>
        <v>0</v>
      </c>
      <c r="Q28" s="252">
        <f>P28*(1-$G28)</f>
        <v>0</v>
      </c>
      <c r="R28" s="250"/>
      <c r="S28" s="252"/>
      <c r="T28" s="252"/>
      <c r="U28" s="252">
        <f t="shared" si="4"/>
        <v>0</v>
      </c>
      <c r="V28" s="252">
        <f t="shared" si="5"/>
        <v>0</v>
      </c>
      <c r="W28" s="250"/>
      <c r="X28" s="252"/>
      <c r="Y28" s="252"/>
      <c r="Z28" s="252">
        <f t="shared" si="6"/>
        <v>0</v>
      </c>
      <c r="AA28" s="252">
        <f>Z28*(1-$G28)</f>
        <v>0</v>
      </c>
      <c r="AB28" s="250"/>
      <c r="AC28" s="252"/>
      <c r="AD28" s="252"/>
      <c r="AE28" s="252">
        <f t="shared" si="8"/>
        <v>0</v>
      </c>
      <c r="AF28" s="252">
        <f>AE28*(1-$G28)</f>
        <v>0</v>
      </c>
      <c r="AG28" s="250"/>
      <c r="AH28" s="252">
        <f t="shared" si="10"/>
        <v>0</v>
      </c>
      <c r="AI28" s="252">
        <f t="shared" si="11"/>
        <v>0</v>
      </c>
      <c r="AJ28" s="252">
        <f t="shared" si="12"/>
        <v>0</v>
      </c>
      <c r="AK28" s="250"/>
      <c r="AL28" s="333">
        <f t="shared" si="13"/>
        <v>1.2768950000000001</v>
      </c>
      <c r="AN28" s="325" t="s">
        <v>589</v>
      </c>
      <c r="AO28" s="260" t="str">
        <f>INDEX('Cloud Price List'!$B$3:$N$1491,MATCH(BOM!$A28,'Cloud Price List'!$A$3:$A$1491,0),6)</f>
        <v>DBaaS</v>
      </c>
    </row>
    <row r="29" spans="1:41" s="260" customFormat="1">
      <c r="A29" s="842" t="s">
        <v>1842</v>
      </c>
      <c r="B29" s="249" t="str">
        <f>INDEX('Cloud Price List'!$B$3:$N$1491,MATCH(BOM!$A29,'Cloud Price List'!$A$3:$A$1491,0),1)</f>
        <v xml:space="preserve">Oracle Cloud Infrastructure - Block Volume Storage </v>
      </c>
      <c r="C29" s="443" t="str">
        <f>INDEX('Cloud Price List'!$B$3:$N$1491,MATCH(BOM!$A29,'Cloud Price List'!$A$3:$A$1491,0),4)</f>
        <v>Gigabyte Storage Capacity Per Month</v>
      </c>
      <c r="D29" s="258" t="str">
        <f>INDEX('Cloud Price List'!$B$3:$N$1491,MATCH(BOM!$A29,'Cloud Price List'!$A$3:$A$1491,0),9)</f>
        <v>IAAS</v>
      </c>
      <c r="E29" s="264">
        <f>INDEX('Cloud Price List'!$B$3:$N$1491,MATCH(BOM!$A29,'Cloud Price List'!$A$3:$A$1491,0),3)*'Cloud Price List'!$E$1</f>
        <v>2.5499999999999998E-2</v>
      </c>
      <c r="F29" s="265">
        <f t="shared" ref="F29" si="49">E29</f>
        <v>2.5499999999999998E-2</v>
      </c>
      <c r="G29" s="251">
        <f>IF(INDEX('Cloud Price List'!$B$3:$N$1491,MATCH($A29,'Cloud Price List'!$A$3:$A$1491,0),8)="UC0",0,IF(ISBLANK(VLOOKUP($D29,$D$4:$E$7,2,FALSE)),$AI$74,VLOOKUP($D29,$D$4:$E$7,2,FALSE)))</f>
        <v>0.05</v>
      </c>
      <c r="I29" s="252">
        <v>450</v>
      </c>
      <c r="J29" s="252"/>
      <c r="K29" s="252">
        <f t="shared" ref="K29" si="50">IF(L$8="y",IF($AN29="y",IF(ISNUMBER(SEARCH("Hour",$C29)),IF(J29=0,$A$5*$A$6*$F29*I29,$A$5*J29*$F29*I29),IF($D29="SRV",$F29*I29,$A$5*$F29*I29)),0),0)</f>
        <v>137.69999999999999</v>
      </c>
      <c r="L29" s="252">
        <f>K29*(1-$G29)</f>
        <v>130.81499999999997</v>
      </c>
      <c r="M29" s="250"/>
      <c r="N29" s="252">
        <v>2500</v>
      </c>
      <c r="O29" s="252"/>
      <c r="P29" s="252">
        <f t="shared" ref="P29" si="51">IF(Q$8="y",IF($AN29="y",IF(ISNUMBER(SEARCH("Hour",$C29)),IF(O29=0,$A$5*$A$6*$F29*N29,$A$5*O29*$F29*N29),IF($D29="SRV",$F29*N29,$A$5*$F29*N29)),0),0)</f>
        <v>765</v>
      </c>
      <c r="Q29" s="252">
        <f>P29*(1-$G29)</f>
        <v>726.75</v>
      </c>
      <c r="R29" s="250"/>
      <c r="S29" s="252"/>
      <c r="T29" s="252"/>
      <c r="U29" s="252">
        <f t="shared" ref="U29" si="52">IF(V$8="y",IF($AN29="y",IF(ISNUMBER(SEARCH("Hour",$C29)),IF(T29=0,$A$5*$A$6*$F29*S29,$A$5*T29*$F29*S29),IF($D29="SRV",$F29*S29,$A$5*$F29*S29)),0),0)</f>
        <v>0</v>
      </c>
      <c r="V29" s="252">
        <f t="shared" ref="V29" si="53">U29*(1-$G29)</f>
        <v>0</v>
      </c>
      <c r="W29" s="250"/>
      <c r="X29" s="252"/>
      <c r="Y29" s="252"/>
      <c r="Z29" s="252">
        <f t="shared" ref="Z29" si="54">IF(AA$8="y",IF($AN29="y",IF(ISNUMBER(SEARCH("Hour",$C29)),IF(Y29=0,$A$5*$A$6*$F29*X29,$A$5*Y29*$F29*X29),IF($D29="SRV",$F29*X29,$A$5*$F29*X29)),0),0)</f>
        <v>0</v>
      </c>
      <c r="AA29" s="252">
        <f>Z29*(1-$G29)</f>
        <v>0</v>
      </c>
      <c r="AB29" s="250"/>
      <c r="AC29" s="252"/>
      <c r="AD29" s="252"/>
      <c r="AE29" s="252">
        <f t="shared" ref="AE29" si="55">IF(AF$8="y",IF($AN29="y",IF(ISNUMBER(SEARCH("Hour",$C29)),IF(AD29=0,$A$5*$A$6*$F29*AC29,$A$5*AD29*$F29*AC29),IF($D29="SRV",$F29*AC29,$A$5*$F29*AC29)),0),0)</f>
        <v>0</v>
      </c>
      <c r="AF29" s="252">
        <f>AE29*(1-$G29)</f>
        <v>0</v>
      </c>
      <c r="AG29" s="250"/>
      <c r="AH29" s="252">
        <f t="shared" ref="AH29" si="56">SUMIF($L$8,"Y",I29)+SUMIF($Q$8,"Y",N29)+SUMIF($V$8,"Y",S29)+SUMIF($AA$8,"Y",X29)+SUMIF($AF$8,"Y",AC29)</f>
        <v>2950</v>
      </c>
      <c r="AI29" s="252">
        <f t="shared" ref="AI29" si="57">SUMIF(H$10:AG$10,AI$10,H29:AG29)</f>
        <v>902.7</v>
      </c>
      <c r="AJ29" s="252">
        <f t="shared" ref="AJ29" si="58">SUMIF(H$10:AG$10,AJ$10,H29:AG29)</f>
        <v>857.56499999999994</v>
      </c>
      <c r="AK29" s="250"/>
      <c r="AL29" s="333">
        <f t="shared" ref="AL29" si="59">F29*(1-G29)</f>
        <v>2.4224999999999997E-2</v>
      </c>
      <c r="AN29" s="325" t="s">
        <v>589</v>
      </c>
      <c r="AO29" s="260" t="str">
        <f>INDEX('Cloud Price List'!$B$3:$N$1491,MATCH(BOM!$A29,'Cloud Price List'!$A$3:$A$1491,0),6)</f>
        <v>Storage</v>
      </c>
    </row>
    <row r="30" spans="1:41" s="260" customFormat="1">
      <c r="A30" s="842" t="s">
        <v>1844</v>
      </c>
      <c r="B30" s="249" t="str">
        <f>INDEX('Cloud Price List'!$B$3:$N$1491,MATCH(BOM!$A30,'Cloud Price List'!$A$3:$A$1491,0),1)</f>
        <v>Oracle Cloud Infrastructure - Block Volume Performance</v>
      </c>
      <c r="C30" s="443" t="str">
        <f>INDEX('Cloud Price List'!$B$3:$N$1491,MATCH(BOM!$A30,'Cloud Price List'!$A$3:$A$1491,0),4)</f>
        <v>Performance Units Per Gigabyte Per Month</v>
      </c>
      <c r="D30" s="258" t="str">
        <f>INDEX('Cloud Price List'!$B$3:$N$1491,MATCH(BOM!$A30,'Cloud Price List'!$A$3:$A$1491,0),9)</f>
        <v>IAAS</v>
      </c>
      <c r="E30" s="264">
        <f>INDEX('Cloud Price List'!$B$3:$N$1491,MATCH(BOM!$A30,'Cloud Price List'!$A$3:$A$1491,0),3)*'Cloud Price List'!$E$1</f>
        <v>1.6999999999999999E-3</v>
      </c>
      <c r="F30" s="265">
        <f t="shared" si="33"/>
        <v>1.6999999999999999E-3</v>
      </c>
      <c r="G30" s="251">
        <f>IF(INDEX('Cloud Price List'!$B$3:$N$1491,MATCH($A30,'Cloud Price List'!$A$3:$A$1491,0),8)="UC0",0,IF(ISBLANK(VLOOKUP($D30,$D$4:$E$7,2,FALSE)),$AI$74,VLOOKUP($D30,$D$4:$E$7,2,FALSE)))</f>
        <v>0.05</v>
      </c>
      <c r="I30" s="252">
        <f>10*I29</f>
        <v>4500</v>
      </c>
      <c r="J30" s="252"/>
      <c r="K30" s="252">
        <f t="shared" si="0"/>
        <v>91.8</v>
      </c>
      <c r="L30" s="252">
        <f t="shared" si="1"/>
        <v>87.21</v>
      </c>
      <c r="M30" s="250"/>
      <c r="N30" s="252">
        <f>10*N29</f>
        <v>25000</v>
      </c>
      <c r="O30" s="252"/>
      <c r="P30" s="252">
        <f t="shared" si="2"/>
        <v>509.99999999999994</v>
      </c>
      <c r="Q30" s="252">
        <f t="shared" si="3"/>
        <v>484.49999999999994</v>
      </c>
      <c r="R30" s="250"/>
      <c r="S30" s="252"/>
      <c r="T30" s="252"/>
      <c r="U30" s="252">
        <f t="shared" si="4"/>
        <v>0</v>
      </c>
      <c r="V30" s="252">
        <f t="shared" si="5"/>
        <v>0</v>
      </c>
      <c r="W30" s="250"/>
      <c r="X30" s="252"/>
      <c r="Y30" s="252"/>
      <c r="Z30" s="252">
        <f t="shared" si="6"/>
        <v>0</v>
      </c>
      <c r="AA30" s="252">
        <f t="shared" si="7"/>
        <v>0</v>
      </c>
      <c r="AB30" s="250"/>
      <c r="AC30" s="252"/>
      <c r="AD30" s="252"/>
      <c r="AE30" s="252">
        <f t="shared" si="8"/>
        <v>0</v>
      </c>
      <c r="AF30" s="252">
        <f t="shared" si="9"/>
        <v>0</v>
      </c>
      <c r="AG30" s="250"/>
      <c r="AH30" s="252">
        <f t="shared" si="10"/>
        <v>29500</v>
      </c>
      <c r="AI30" s="252">
        <f t="shared" si="11"/>
        <v>601.79999999999995</v>
      </c>
      <c r="AJ30" s="252">
        <f t="shared" si="12"/>
        <v>571.70999999999992</v>
      </c>
      <c r="AK30" s="250"/>
      <c r="AL30" s="333">
        <f t="shared" si="13"/>
        <v>1.6149999999999999E-3</v>
      </c>
      <c r="AN30" s="325" t="s">
        <v>589</v>
      </c>
      <c r="AO30" s="260" t="str">
        <f>INDEX('Cloud Price List'!$B$3:$N$1491,MATCH(BOM!$A30,'Cloud Price List'!$A$3:$A$1491,0),6)</f>
        <v>Storage</v>
      </c>
    </row>
    <row r="31" spans="1:41" s="260" customFormat="1">
      <c r="A31" s="846" t="s">
        <v>1329</v>
      </c>
      <c r="B31" s="249" t="str">
        <f>INDEX('Cloud Price List'!$B$3:$N$1491,MATCH(BOM!$A31,'Cloud Price List'!$A$3:$A$1491,0),1)</f>
        <v>Oracle Cloud Infrastructure - Database Exadata Infrastructure - Base System</v>
      </c>
      <c r="C31" s="443" t="str">
        <f>INDEX('Cloud Price List'!$B$3:$N$1491,MATCH(BOM!$A31,'Cloud Price List'!$A$3:$A$1491,0),4)</f>
        <v>Hosted Environment Per Hour</v>
      </c>
      <c r="D31" s="258" t="str">
        <f>INDEX('Cloud Price List'!$B$3:$N$1491,MATCH(BOM!$A31,'Cloud Price List'!$A$3:$A$1491,0),9)</f>
        <v>PAAS</v>
      </c>
      <c r="E31" s="264">
        <f>INDEX('Cloud Price List'!$B$3:$N$1491,MATCH(BOM!$A31,'Cloud Price List'!$A$3:$A$1491,0),3)*'Cloud Price List'!$E$1</f>
        <v>10.752700000000001</v>
      </c>
      <c r="F31" s="265">
        <f t="shared" si="33"/>
        <v>10.752700000000001</v>
      </c>
      <c r="G31" s="251">
        <f>IF(INDEX('Cloud Price List'!$B$3:$N$1491,MATCH($A31,'Cloud Price List'!$A$3:$A$1491,0),8)="UC0",0,IF(ISBLANK(VLOOKUP($D31,$D$4:$E$7,2,FALSE)),$AI$74,VLOOKUP($D31,$D$4:$E$7,2,FALSE)))</f>
        <v>0.05</v>
      </c>
      <c r="I31" s="252"/>
      <c r="J31" s="252"/>
      <c r="K31" s="252">
        <f t="shared" si="0"/>
        <v>0</v>
      </c>
      <c r="L31" s="252">
        <f t="shared" si="1"/>
        <v>0</v>
      </c>
      <c r="M31" s="250"/>
      <c r="N31" s="252"/>
      <c r="O31" s="252"/>
      <c r="P31" s="252">
        <f t="shared" si="2"/>
        <v>0</v>
      </c>
      <c r="Q31" s="252">
        <f t="shared" si="3"/>
        <v>0</v>
      </c>
      <c r="R31" s="250"/>
      <c r="S31" s="252"/>
      <c r="T31" s="252"/>
      <c r="U31" s="252">
        <f t="shared" si="4"/>
        <v>0</v>
      </c>
      <c r="V31" s="252">
        <f t="shared" si="5"/>
        <v>0</v>
      </c>
      <c r="W31" s="250"/>
      <c r="X31" s="252"/>
      <c r="Y31" s="252"/>
      <c r="Z31" s="252">
        <f t="shared" si="6"/>
        <v>0</v>
      </c>
      <c r="AA31" s="252">
        <f t="shared" si="7"/>
        <v>0</v>
      </c>
      <c r="AB31" s="250"/>
      <c r="AC31" s="252"/>
      <c r="AD31" s="252"/>
      <c r="AE31" s="252">
        <f t="shared" si="8"/>
        <v>0</v>
      </c>
      <c r="AF31" s="252">
        <f t="shared" si="9"/>
        <v>0</v>
      </c>
      <c r="AG31" s="250"/>
      <c r="AH31" s="252">
        <f t="shared" si="10"/>
        <v>0</v>
      </c>
      <c r="AI31" s="252">
        <f t="shared" si="11"/>
        <v>0</v>
      </c>
      <c r="AJ31" s="252">
        <f t="shared" si="12"/>
        <v>0</v>
      </c>
      <c r="AK31" s="250"/>
      <c r="AL31" s="333">
        <f t="shared" si="13"/>
        <v>10.215065000000001</v>
      </c>
      <c r="AN31" s="325" t="s">
        <v>589</v>
      </c>
      <c r="AO31" s="260" t="str">
        <f>INDEX('Cloud Price List'!$B$3:$N$1491,MATCH(BOM!$A31,'Cloud Price List'!$A$3:$A$1491,0),6)</f>
        <v>ExaCS</v>
      </c>
    </row>
    <row r="32" spans="1:41" s="260" customFormat="1">
      <c r="A32" s="842" t="s">
        <v>2625</v>
      </c>
      <c r="B32" s="249" t="str">
        <f>INDEX('Cloud Price List'!$B$3:$N$1491,MATCH(BOM!$A32,'Cloud Price List'!$A$3:$A$1491,0),1)</f>
        <v xml:space="preserve">Oracle Cloud Infrastructure - Database Exadata Infrastructure - Quarter Rack - X8M
</v>
      </c>
      <c r="C32" s="443" t="str">
        <f>INDEX('Cloud Price List'!$B$3:$N$1491,MATCH(BOM!$A32,'Cloud Price List'!$A$3:$A$1491,0),4)</f>
        <v>Hosted Environment Per Hour</v>
      </c>
      <c r="D32" s="258" t="str">
        <f>INDEX('Cloud Price List'!$B$3:$N$1491,MATCH(BOM!$A32,'Cloud Price List'!$A$3:$A$1491,0),9)</f>
        <v>PAAS</v>
      </c>
      <c r="E32" s="264">
        <f>INDEX('Cloud Price List'!$B$3:$N$1491,MATCH(BOM!$A32,'Cloud Price List'!$A$3:$A$1491,0),3)*'Cloud Price List'!$E$1</f>
        <v>14.5162</v>
      </c>
      <c r="F32" s="265">
        <f t="shared" si="33"/>
        <v>14.5162</v>
      </c>
      <c r="G32" s="251">
        <f>IF(INDEX('Cloud Price List'!$B$3:$N$1491,MATCH($A32,'Cloud Price List'!$A$3:$A$1491,0),8)="UC0",0,IF(ISBLANK(VLOOKUP($D32,$D$4:$E$7,2,FALSE)),$AI$74,VLOOKUP($D32,$D$4:$E$7,2,FALSE)))</f>
        <v>0.05</v>
      </c>
      <c r="I32" s="252"/>
      <c r="J32" s="252"/>
      <c r="K32" s="252">
        <f t="shared" si="0"/>
        <v>0</v>
      </c>
      <c r="L32" s="252">
        <f t="shared" si="1"/>
        <v>0</v>
      </c>
      <c r="M32" s="250"/>
      <c r="N32" s="252"/>
      <c r="O32" s="252"/>
      <c r="P32" s="252">
        <f t="shared" si="2"/>
        <v>0</v>
      </c>
      <c r="Q32" s="252">
        <f t="shared" si="3"/>
        <v>0</v>
      </c>
      <c r="R32" s="250"/>
      <c r="S32" s="252"/>
      <c r="T32" s="252"/>
      <c r="U32" s="252">
        <f t="shared" si="4"/>
        <v>0</v>
      </c>
      <c r="V32" s="252">
        <f t="shared" si="5"/>
        <v>0</v>
      </c>
      <c r="W32" s="250"/>
      <c r="X32" s="252"/>
      <c r="Y32" s="252"/>
      <c r="Z32" s="252">
        <f t="shared" si="6"/>
        <v>0</v>
      </c>
      <c r="AA32" s="252">
        <f t="shared" si="7"/>
        <v>0</v>
      </c>
      <c r="AB32" s="250"/>
      <c r="AC32" s="252"/>
      <c r="AD32" s="252"/>
      <c r="AE32" s="252">
        <f t="shared" si="8"/>
        <v>0</v>
      </c>
      <c r="AF32" s="252">
        <f t="shared" si="9"/>
        <v>0</v>
      </c>
      <c r="AG32" s="250"/>
      <c r="AH32" s="252">
        <f t="shared" si="10"/>
        <v>0</v>
      </c>
      <c r="AI32" s="252">
        <f t="shared" si="11"/>
        <v>0</v>
      </c>
      <c r="AJ32" s="252">
        <f t="shared" si="12"/>
        <v>0</v>
      </c>
      <c r="AK32" s="250"/>
      <c r="AL32" s="333">
        <f t="shared" si="13"/>
        <v>13.790389999999999</v>
      </c>
      <c r="AN32" s="325" t="s">
        <v>589</v>
      </c>
      <c r="AO32" s="260" t="str">
        <f>INDEX('Cloud Price List'!$B$3:$N$1491,MATCH(BOM!$A32,'Cloud Price List'!$A$3:$A$1491,0),6)</f>
        <v>ExaCS</v>
      </c>
    </row>
    <row r="33" spans="1:41" s="260" customFormat="1">
      <c r="A33" s="842" t="s">
        <v>2623</v>
      </c>
      <c r="B33" s="249" t="str">
        <f>INDEX('Cloud Price List'!$B$3:$N$1491,MATCH(BOM!$A33,'Cloud Price List'!$A$3:$A$1491,0),1)</f>
        <v xml:space="preserve">Oracle Cloud Infrastructure - Database Exadata Infrastructure - Database Server - X8M
</v>
      </c>
      <c r="C33" s="443" t="str">
        <f>INDEX('Cloud Price List'!$B$3:$N$1491,MATCH(BOM!$A33,'Cloud Price List'!$A$3:$A$1491,0),4)</f>
        <v>Hosted Environment Per Hour</v>
      </c>
      <c r="D33" s="258" t="str">
        <f>INDEX('Cloud Price List'!$B$3:$N$1491,MATCH(BOM!$A33,'Cloud Price List'!$A$3:$A$1491,0),9)</f>
        <v>PAAS</v>
      </c>
      <c r="E33" s="264">
        <f>INDEX('Cloud Price List'!$B$3:$N$1491,MATCH(BOM!$A33,'Cloud Price List'!$A$3:$A$1491,0),3)*'Cloud Price List'!$E$1</f>
        <v>2.9032</v>
      </c>
      <c r="F33" s="265">
        <f t="shared" si="33"/>
        <v>2.9032</v>
      </c>
      <c r="G33" s="251">
        <f>IF(INDEX('Cloud Price List'!$B$3:$N$1491,MATCH($A33,'Cloud Price List'!$A$3:$A$1491,0),8)="UC0",0,IF(ISBLANK(VLOOKUP($D33,$D$4:$E$7,2,FALSE)),$AI$74,VLOOKUP($D33,$D$4:$E$7,2,FALSE)))</f>
        <v>0.05</v>
      </c>
      <c r="I33" s="252"/>
      <c r="J33" s="252"/>
      <c r="K33" s="252">
        <f t="shared" si="0"/>
        <v>0</v>
      </c>
      <c r="L33" s="252">
        <f>K33*(1-$G33)</f>
        <v>0</v>
      </c>
      <c r="M33" s="250"/>
      <c r="N33" s="252"/>
      <c r="O33" s="252"/>
      <c r="P33" s="252">
        <f t="shared" si="2"/>
        <v>0</v>
      </c>
      <c r="Q33" s="252">
        <f>P33*(1-$G33)</f>
        <v>0</v>
      </c>
      <c r="R33" s="250"/>
      <c r="S33" s="252"/>
      <c r="T33" s="252"/>
      <c r="U33" s="252">
        <f t="shared" si="4"/>
        <v>0</v>
      </c>
      <c r="V33" s="252">
        <f t="shared" si="5"/>
        <v>0</v>
      </c>
      <c r="W33" s="250"/>
      <c r="X33" s="252"/>
      <c r="Y33" s="252"/>
      <c r="Z33" s="252">
        <f t="shared" si="6"/>
        <v>0</v>
      </c>
      <c r="AA33" s="252">
        <f>Z33*(1-$G33)</f>
        <v>0</v>
      </c>
      <c r="AB33" s="250"/>
      <c r="AC33" s="252"/>
      <c r="AD33" s="252"/>
      <c r="AE33" s="252">
        <f t="shared" si="8"/>
        <v>0</v>
      </c>
      <c r="AF33" s="252">
        <f>AE33*(1-$G33)</f>
        <v>0</v>
      </c>
      <c r="AG33" s="250"/>
      <c r="AH33" s="252">
        <f t="shared" si="10"/>
        <v>0</v>
      </c>
      <c r="AI33" s="252">
        <f t="shared" si="11"/>
        <v>0</v>
      </c>
      <c r="AJ33" s="252">
        <f t="shared" si="12"/>
        <v>0</v>
      </c>
      <c r="AK33" s="250"/>
      <c r="AL33" s="333">
        <f t="shared" si="13"/>
        <v>2.7580399999999998</v>
      </c>
      <c r="AN33" s="325" t="s">
        <v>589</v>
      </c>
      <c r="AO33" s="260" t="str">
        <f>INDEX('Cloud Price List'!$B$3:$N$1491,MATCH(BOM!$A33,'Cloud Price List'!$A$3:$A$1491,0),6)</f>
        <v>ExaCS</v>
      </c>
    </row>
    <row r="34" spans="1:41" s="260" customFormat="1">
      <c r="A34" s="845" t="s">
        <v>2624</v>
      </c>
      <c r="B34" s="249" t="str">
        <f>INDEX('Cloud Price List'!$B$3:$N$1491,MATCH(BOM!$A34,'Cloud Price List'!$A$3:$A$1491,0),1)</f>
        <v>Oracle Cloud Infrastructure - Database Exadata Infrastructure - Storage Server - X8M</v>
      </c>
      <c r="C34" s="443" t="str">
        <f>INDEX('Cloud Price List'!$B$3:$N$1491,MATCH(BOM!$A34,'Cloud Price List'!$A$3:$A$1491,0),4)</f>
        <v>Hosted Environment Per Hour</v>
      </c>
      <c r="D34" s="258" t="str">
        <f>INDEX('Cloud Price List'!$B$3:$N$1491,MATCH(BOM!$A34,'Cloud Price List'!$A$3:$A$1491,0),9)</f>
        <v>IAAS</v>
      </c>
      <c r="E34" s="264">
        <f>INDEX('Cloud Price List'!$B$3:$N$1491,MATCH(BOM!$A34,'Cloud Price List'!$A$3:$A$1491,0),3)*'Cloud Price List'!$E$1</f>
        <v>2.9032</v>
      </c>
      <c r="F34" s="265">
        <f t="shared" si="33"/>
        <v>2.9032</v>
      </c>
      <c r="G34" s="251">
        <f>IF(INDEX('Cloud Price List'!$B$3:$N$1491,MATCH($A34,'Cloud Price List'!$A$3:$A$1491,0),8)="UC0",0,IF(ISBLANK(VLOOKUP($D34,$D$4:$E$7,2,FALSE)),$AI$74,VLOOKUP($D34,$D$4:$E$7,2,FALSE)))</f>
        <v>0.05</v>
      </c>
      <c r="I34" s="252"/>
      <c r="J34" s="252"/>
      <c r="K34" s="252">
        <f t="shared" si="0"/>
        <v>0</v>
      </c>
      <c r="L34" s="252">
        <f t="shared" ref="L34:L43" si="60">K34*(1-$G34)</f>
        <v>0</v>
      </c>
      <c r="M34" s="250"/>
      <c r="N34" s="252"/>
      <c r="O34" s="252"/>
      <c r="P34" s="252">
        <f t="shared" si="2"/>
        <v>0</v>
      </c>
      <c r="Q34" s="252">
        <f t="shared" ref="Q34:Q43" si="61">P34*(1-$G34)</f>
        <v>0</v>
      </c>
      <c r="R34" s="250"/>
      <c r="S34" s="252"/>
      <c r="T34" s="252"/>
      <c r="U34" s="252">
        <f t="shared" si="4"/>
        <v>0</v>
      </c>
      <c r="V34" s="252">
        <f t="shared" si="5"/>
        <v>0</v>
      </c>
      <c r="W34" s="250"/>
      <c r="X34" s="252"/>
      <c r="Y34" s="252"/>
      <c r="Z34" s="252">
        <f t="shared" si="6"/>
        <v>0</v>
      </c>
      <c r="AA34" s="252">
        <f t="shared" ref="AA34:AA43" si="62">Z34*(1-$G34)</f>
        <v>0</v>
      </c>
      <c r="AB34" s="250"/>
      <c r="AC34" s="252"/>
      <c r="AD34" s="252"/>
      <c r="AE34" s="252">
        <f t="shared" si="8"/>
        <v>0</v>
      </c>
      <c r="AF34" s="252">
        <f t="shared" ref="AF34:AF43" si="63">AE34*(1-$G34)</f>
        <v>0</v>
      </c>
      <c r="AG34" s="250"/>
      <c r="AH34" s="252">
        <f t="shared" si="10"/>
        <v>0</v>
      </c>
      <c r="AI34" s="252">
        <f t="shared" si="11"/>
        <v>0</v>
      </c>
      <c r="AJ34" s="252">
        <f t="shared" si="12"/>
        <v>0</v>
      </c>
      <c r="AK34" s="250"/>
      <c r="AL34" s="333">
        <f t="shared" si="13"/>
        <v>2.7580399999999998</v>
      </c>
      <c r="AN34" s="325" t="s">
        <v>589</v>
      </c>
      <c r="AO34" s="260" t="str">
        <f>INDEX('Cloud Price List'!$B$3:$N$1491,MATCH(BOM!$A34,'Cloud Price List'!$A$3:$A$1491,0),6)</f>
        <v>Storage</v>
      </c>
    </row>
    <row r="35" spans="1:41" s="260" customFormat="1">
      <c r="A35" s="842" t="s">
        <v>111</v>
      </c>
      <c r="B35" s="249" t="str">
        <f>INDEX('Cloud Price List'!$B$3:$N$1491,MATCH(BOM!$A35,'Cloud Price List'!$A$3:$A$1491,0),1)</f>
        <v>Oracle Cloud Infrastructure - Database Exadata OCPU</v>
      </c>
      <c r="C35" s="443" t="str">
        <f>INDEX('Cloud Price List'!$B$3:$N$1491,MATCH(BOM!$A35,'Cloud Price List'!$A$3:$A$1491,0),4)</f>
        <v>OCPU Per Hour</v>
      </c>
      <c r="D35" s="258" t="str">
        <f>INDEX('Cloud Price List'!$B$3:$N$1491,MATCH(BOM!$A35,'Cloud Price List'!$A$3:$A$1491,0),9)</f>
        <v>PAAS</v>
      </c>
      <c r="E35" s="264">
        <f>INDEX('Cloud Price List'!$B$3:$N$1491,MATCH(BOM!$A35,'Cloud Price List'!$A$3:$A$1491,0),3)*'Cloud Price List'!$E$1</f>
        <v>1.3441000000000001</v>
      </c>
      <c r="F35" s="265">
        <f t="shared" si="33"/>
        <v>1.3441000000000001</v>
      </c>
      <c r="G35" s="251">
        <f>IF(INDEX('Cloud Price List'!$B$3:$N$1491,MATCH($A35,'Cloud Price List'!$A$3:$A$1491,0),8)="UC0",0,IF(ISBLANK(VLOOKUP($D35,$D$4:$E$7,2,FALSE)),$AI$74,VLOOKUP($D35,$D$4:$E$7,2,FALSE)))</f>
        <v>0.05</v>
      </c>
      <c r="I35" s="252"/>
      <c r="J35" s="252"/>
      <c r="K35" s="252">
        <f t="shared" si="0"/>
        <v>0</v>
      </c>
      <c r="L35" s="252">
        <f t="shared" si="60"/>
        <v>0</v>
      </c>
      <c r="M35" s="250"/>
      <c r="N35" s="252"/>
      <c r="O35" s="252"/>
      <c r="P35" s="252">
        <f t="shared" si="2"/>
        <v>0</v>
      </c>
      <c r="Q35" s="252">
        <f t="shared" si="61"/>
        <v>0</v>
      </c>
      <c r="R35" s="250"/>
      <c r="S35" s="252"/>
      <c r="T35" s="252"/>
      <c r="U35" s="252">
        <f t="shared" si="4"/>
        <v>0</v>
      </c>
      <c r="V35" s="252">
        <f t="shared" si="5"/>
        <v>0</v>
      </c>
      <c r="W35" s="250"/>
      <c r="X35" s="252"/>
      <c r="Y35" s="252"/>
      <c r="Z35" s="252">
        <f t="shared" si="6"/>
        <v>0</v>
      </c>
      <c r="AA35" s="252">
        <f t="shared" si="62"/>
        <v>0</v>
      </c>
      <c r="AB35" s="250"/>
      <c r="AC35" s="252"/>
      <c r="AD35" s="252"/>
      <c r="AE35" s="252">
        <f t="shared" si="8"/>
        <v>0</v>
      </c>
      <c r="AF35" s="252">
        <f t="shared" si="63"/>
        <v>0</v>
      </c>
      <c r="AG35" s="250"/>
      <c r="AH35" s="252">
        <f t="shared" si="10"/>
        <v>0</v>
      </c>
      <c r="AI35" s="252">
        <f t="shared" si="11"/>
        <v>0</v>
      </c>
      <c r="AJ35" s="252">
        <f t="shared" si="12"/>
        <v>0</v>
      </c>
      <c r="AK35" s="250"/>
      <c r="AL35" s="333">
        <f t="shared" si="13"/>
        <v>1.2768950000000001</v>
      </c>
      <c r="AN35" s="325" t="s">
        <v>589</v>
      </c>
      <c r="AO35" s="260" t="str">
        <f>INDEX('Cloud Price List'!$B$3:$N$1491,MATCH(BOM!$A35,'Cloud Price List'!$A$3:$A$1491,0),6)</f>
        <v>ExaCS</v>
      </c>
    </row>
    <row r="36" spans="1:41" s="260" customFormat="1">
      <c r="A36" s="842" t="s">
        <v>81</v>
      </c>
      <c r="B36" s="249" t="str">
        <f>INDEX('Cloud Price List'!$B$3:$N$1491,MATCH(BOM!$A36,'Cloud Price List'!$A$3:$A$1491,0),1)</f>
        <v>Oracle Cloud Infrastructure - Database Exadata OCPU - BYOL</v>
      </c>
      <c r="C36" s="443" t="str">
        <f>INDEX('Cloud Price List'!$B$3:$N$1491,MATCH(BOM!$A36,'Cloud Price List'!$A$3:$A$1491,0),4)</f>
        <v>OCPU Per Hour</v>
      </c>
      <c r="D36" s="258" t="str">
        <f>INDEX('Cloud Price List'!$B$3:$N$1491,MATCH(BOM!$A36,'Cloud Price List'!$A$3:$A$1491,0),9)</f>
        <v>BYOL</v>
      </c>
      <c r="E36" s="264">
        <f>INDEX('Cloud Price List'!$B$3:$N$1491,MATCH(BOM!$A36,'Cloud Price List'!$A$3:$A$1491,0),3)*'Cloud Price List'!$E$1</f>
        <v>0.3226</v>
      </c>
      <c r="F36" s="265">
        <f t="shared" si="33"/>
        <v>0.3226</v>
      </c>
      <c r="G36" s="251">
        <f>IF(INDEX('Cloud Price List'!$B$3:$N$1491,MATCH($A36,'Cloud Price List'!$A$3:$A$1491,0),8)="UC0",0,IF(ISBLANK(VLOOKUP($D36,$D$4:$E$7,2,FALSE)),$AI$74,VLOOKUP($D36,$D$4:$E$7,2,FALSE)))</f>
        <v>0.05</v>
      </c>
      <c r="I36" s="252"/>
      <c r="J36" s="252"/>
      <c r="K36" s="252">
        <f t="shared" si="0"/>
        <v>0</v>
      </c>
      <c r="L36" s="252">
        <f>K36*(1-$G36)</f>
        <v>0</v>
      </c>
      <c r="M36" s="250"/>
      <c r="N36" s="252"/>
      <c r="O36" s="252"/>
      <c r="P36" s="252">
        <f t="shared" si="2"/>
        <v>0</v>
      </c>
      <c r="Q36" s="252">
        <f>P36*(1-$G36)</f>
        <v>0</v>
      </c>
      <c r="R36" s="250"/>
      <c r="S36" s="252"/>
      <c r="T36" s="252"/>
      <c r="U36" s="252">
        <f t="shared" si="4"/>
        <v>0</v>
      </c>
      <c r="V36" s="252">
        <f t="shared" si="5"/>
        <v>0</v>
      </c>
      <c r="W36" s="250"/>
      <c r="X36" s="252"/>
      <c r="Y36" s="252"/>
      <c r="Z36" s="252">
        <f t="shared" si="6"/>
        <v>0</v>
      </c>
      <c r="AA36" s="252">
        <f>Z36*(1-$G36)</f>
        <v>0</v>
      </c>
      <c r="AB36" s="250"/>
      <c r="AC36" s="252"/>
      <c r="AD36" s="252"/>
      <c r="AE36" s="252">
        <f t="shared" si="8"/>
        <v>0</v>
      </c>
      <c r="AF36" s="252">
        <f>AE36*(1-$G36)</f>
        <v>0</v>
      </c>
      <c r="AG36" s="250"/>
      <c r="AH36" s="252">
        <f t="shared" si="10"/>
        <v>0</v>
      </c>
      <c r="AI36" s="252">
        <f t="shared" si="11"/>
        <v>0</v>
      </c>
      <c r="AJ36" s="252">
        <f t="shared" si="12"/>
        <v>0</v>
      </c>
      <c r="AK36" s="250"/>
      <c r="AL36" s="333">
        <f t="shared" si="13"/>
        <v>0.30646999999999996</v>
      </c>
      <c r="AN36" s="325" t="s">
        <v>589</v>
      </c>
      <c r="AO36" s="260" t="str">
        <f>INDEX('Cloud Price List'!$B$3:$N$1491,MATCH(BOM!$A36,'Cloud Price List'!$A$3:$A$1491,0),6)</f>
        <v>ExaCS</v>
      </c>
    </row>
    <row r="37" spans="1:41" s="260" customFormat="1">
      <c r="A37" s="842" t="s">
        <v>2284</v>
      </c>
      <c r="B37" s="249" t="str">
        <f>INDEX('Cloud Price List'!$B$3:$N$1491,MATCH(BOM!$A37,'Cloud Price List'!$A$3:$A$1491,0),1)</f>
        <v>Oracle Cloud VMware Solution</v>
      </c>
      <c r="C37" s="443" t="str">
        <f>INDEX('Cloud Price List'!$B$3:$N$1491,MATCH(BOM!$A37,'Cloud Price List'!$A$3:$A$1491,0),4)</f>
        <v>OCPU Per Hour</v>
      </c>
      <c r="D37" s="258" t="str">
        <f>INDEX('Cloud Price List'!$B$3:$N$1491,MATCH(BOM!$A37,'Cloud Price List'!$A$3:$A$1491,0),9)</f>
        <v>PAAS</v>
      </c>
      <c r="E37" s="264">
        <f>INDEX('Cloud Price List'!$B$3:$N$1491,MATCH(BOM!$A37,'Cloud Price List'!$A$3:$A$1491,0),3)*'Cloud Price List'!$E$1</f>
        <v>0.2031</v>
      </c>
      <c r="F37" s="265">
        <f t="shared" ref="F37" si="64">E37</f>
        <v>0.2031</v>
      </c>
      <c r="G37" s="251">
        <f>IF(INDEX('Cloud Price List'!$B$3:$N$1491,MATCH($A37,'Cloud Price List'!$A$3:$A$1491,0),8)="UC0",0,IF(ISBLANK(VLOOKUP($D37,$D$4:$E$7,2,FALSE)),$AI$74,VLOOKUP($D37,$D$4:$E$7,2,FALSE)))</f>
        <v>0</v>
      </c>
      <c r="I37" s="252"/>
      <c r="J37" s="252"/>
      <c r="K37" s="252">
        <f t="shared" ref="K37" si="65">IF(L$8="y",IF($AN37="y",IF(ISNUMBER(SEARCH("Hour",$C37)),IF(J37=0,$A$5*$A$6*$F37*I37,$A$5*J37*$F37*I37),IF($D37="SRV",$F37*I37,$A$5*$F37*I37)),0),0)</f>
        <v>0</v>
      </c>
      <c r="L37" s="252">
        <f>K37*(1-$G37)</f>
        <v>0</v>
      </c>
      <c r="M37" s="250"/>
      <c r="N37" s="252"/>
      <c r="O37" s="252"/>
      <c r="P37" s="252">
        <f t="shared" ref="P37" si="66">IF(Q$8="y",IF($AN37="y",IF(ISNUMBER(SEARCH("Hour",$C37)),IF(O37=0,$A$5*$A$6*$F37*N37,$A$5*O37*$F37*N37),IF($D37="SRV",$F37*N37,$A$5*$F37*N37)),0),0)</f>
        <v>0</v>
      </c>
      <c r="Q37" s="252">
        <f>P37*(1-$G37)</f>
        <v>0</v>
      </c>
      <c r="R37" s="250"/>
      <c r="S37" s="252"/>
      <c r="T37" s="252"/>
      <c r="U37" s="252">
        <f t="shared" ref="U37" si="67">IF(V$8="y",IF($AN37="y",IF(ISNUMBER(SEARCH("Hour",$C37)),IF(T37=0,$A$5*$A$6*$F37*S37,$A$5*T37*$F37*S37),IF($D37="SRV",$F37*S37,$A$5*$F37*S37)),0),0)</f>
        <v>0</v>
      </c>
      <c r="V37" s="252">
        <f t="shared" ref="V37" si="68">U37*(1-$G37)</f>
        <v>0</v>
      </c>
      <c r="W37" s="250"/>
      <c r="X37" s="252"/>
      <c r="Y37" s="252"/>
      <c r="Z37" s="252">
        <f t="shared" ref="Z37" si="69">IF(AA$8="y",IF($AN37="y",IF(ISNUMBER(SEARCH("Hour",$C37)),IF(Y37=0,$A$5*$A$6*$F37*X37,$A$5*Y37*$F37*X37),IF($D37="SRV",$F37*X37,$A$5*$F37*X37)),0),0)</f>
        <v>0</v>
      </c>
      <c r="AA37" s="252">
        <f>Z37*(1-$G37)</f>
        <v>0</v>
      </c>
      <c r="AB37" s="250"/>
      <c r="AC37" s="252"/>
      <c r="AD37" s="252"/>
      <c r="AE37" s="252">
        <f t="shared" ref="AE37" si="70">IF(AF$8="y",IF($AN37="y",IF(ISNUMBER(SEARCH("Hour",$C37)),IF(AD37=0,$A$5*$A$6*$F37*AC37,$A$5*AD37*$F37*AC37),IF($D37="SRV",$F37*AC37,$A$5*$F37*AC37)),0),0)</f>
        <v>0</v>
      </c>
      <c r="AF37" s="252">
        <f>AE37*(1-$G37)</f>
        <v>0</v>
      </c>
      <c r="AG37" s="250"/>
      <c r="AH37" s="252">
        <f t="shared" ref="AH37" si="71">SUMIF($L$8,"Y",I37)+SUMIF($Q$8,"Y",N37)+SUMIF($V$8,"Y",S37)+SUMIF($AA$8,"Y",X37)+SUMIF($AF$8,"Y",AC37)</f>
        <v>0</v>
      </c>
      <c r="AI37" s="252">
        <f t="shared" ref="AI37" si="72">SUMIF(H$10:AG$10,AI$10,H37:AG37)</f>
        <v>0</v>
      </c>
      <c r="AJ37" s="252">
        <f t="shared" ref="AJ37" si="73">SUMIF(H$10:AG$10,AJ$10,H37:AG37)</f>
        <v>0</v>
      </c>
      <c r="AK37" s="250"/>
      <c r="AL37" s="333">
        <f t="shared" ref="AL37" si="74">F37*(1-G37)</f>
        <v>0.2031</v>
      </c>
      <c r="AN37" s="325" t="s">
        <v>589</v>
      </c>
      <c r="AO37" s="260" t="str">
        <f>INDEX('Cloud Price List'!$B$3:$N$1491,MATCH(BOM!$A37,'Cloud Price List'!$A$3:$A$1491,0),6)</f>
        <v>Platform</v>
      </c>
    </row>
    <row r="38" spans="1:41" s="260" customFormat="1">
      <c r="A38" s="842" t="s">
        <v>1127</v>
      </c>
      <c r="B38" s="249" t="str">
        <f>INDEX('Cloud Price List'!$B$3:$N$1491,MATCH(BOM!$A38,'Cloud Price List'!$A$3:$A$1491,0),1)</f>
        <v>Oracle Autonomous Transaction Processing</v>
      </c>
      <c r="C38" s="443" t="str">
        <f>INDEX('Cloud Price List'!$B$3:$N$1491,MATCH(BOM!$A38,'Cloud Price List'!$A$3:$A$1491,0),4)</f>
        <v>OCPU Per Hour</v>
      </c>
      <c r="D38" s="258" t="str">
        <f>INDEX('Cloud Price List'!$B$3:$N$1491,MATCH(BOM!$A38,'Cloud Price List'!$A$3:$A$1491,0),9)</f>
        <v>PAAS</v>
      </c>
      <c r="E38" s="264">
        <f>INDEX('Cloud Price List'!$B$3:$N$1491,MATCH(BOM!$A38,'Cloud Price List'!$A$3:$A$1491,0),3)*'Cloud Price List'!$E$1</f>
        <v>1.3441000000000001</v>
      </c>
      <c r="F38" s="265">
        <f t="shared" si="33"/>
        <v>1.3441000000000001</v>
      </c>
      <c r="G38" s="251">
        <f>IF(INDEX('Cloud Price List'!$B$3:$N$1491,MATCH($A38,'Cloud Price List'!$A$3:$A$1491,0),8)="UC0",0,IF(ISBLANK(VLOOKUP($D38,$D$4:$E$7,2,FALSE)),$AI$74,VLOOKUP($D38,$D$4:$E$7,2,FALSE)))</f>
        <v>0.05</v>
      </c>
      <c r="I38" s="252"/>
      <c r="J38" s="252"/>
      <c r="K38" s="252">
        <f t="shared" si="0"/>
        <v>0</v>
      </c>
      <c r="L38" s="252">
        <f t="shared" si="60"/>
        <v>0</v>
      </c>
      <c r="M38" s="250"/>
      <c r="N38" s="252"/>
      <c r="O38" s="252"/>
      <c r="P38" s="252">
        <f t="shared" si="2"/>
        <v>0</v>
      </c>
      <c r="Q38" s="252">
        <f t="shared" si="61"/>
        <v>0</v>
      </c>
      <c r="R38" s="250"/>
      <c r="S38" s="252"/>
      <c r="T38" s="252"/>
      <c r="U38" s="252">
        <f t="shared" si="4"/>
        <v>0</v>
      </c>
      <c r="V38" s="252">
        <f t="shared" si="5"/>
        <v>0</v>
      </c>
      <c r="W38" s="250"/>
      <c r="X38" s="252"/>
      <c r="Y38" s="252"/>
      <c r="Z38" s="252">
        <f t="shared" si="6"/>
        <v>0</v>
      </c>
      <c r="AA38" s="252">
        <f t="shared" si="62"/>
        <v>0</v>
      </c>
      <c r="AB38" s="250"/>
      <c r="AC38" s="252"/>
      <c r="AD38" s="252"/>
      <c r="AE38" s="252">
        <f t="shared" si="8"/>
        <v>0</v>
      </c>
      <c r="AF38" s="252">
        <f t="shared" si="63"/>
        <v>0</v>
      </c>
      <c r="AG38" s="250"/>
      <c r="AH38" s="252">
        <f t="shared" si="10"/>
        <v>0</v>
      </c>
      <c r="AI38" s="252">
        <f t="shared" si="11"/>
        <v>0</v>
      </c>
      <c r="AJ38" s="252">
        <f t="shared" si="12"/>
        <v>0</v>
      </c>
      <c r="AK38" s="250"/>
      <c r="AL38" s="333">
        <f t="shared" si="13"/>
        <v>1.2768950000000001</v>
      </c>
      <c r="AN38" s="325" t="s">
        <v>589</v>
      </c>
      <c r="AO38" s="260" t="str">
        <f>INDEX('Cloud Price List'!$B$3:$N$1491,MATCH(BOM!$A38,'Cloud Price List'!$A$3:$A$1491,0),6)</f>
        <v>ATP</v>
      </c>
    </row>
    <row r="39" spans="1:41" s="260" customFormat="1">
      <c r="A39" s="842" t="s">
        <v>1129</v>
      </c>
      <c r="B39" s="249" t="str">
        <f>INDEX('Cloud Price List'!$B$3:$N$1491,MATCH(BOM!$A39,'Cloud Price List'!$A$3:$A$1491,0),1)</f>
        <v>Oracle Autonomous Transaction Processing - BYOL</v>
      </c>
      <c r="C39" s="443" t="str">
        <f>INDEX('Cloud Price List'!$B$3:$N$1491,MATCH(BOM!$A39,'Cloud Price List'!$A$3:$A$1491,0),4)</f>
        <v>OCPU Per Hour</v>
      </c>
      <c r="D39" s="258" t="str">
        <f>INDEX('Cloud Price List'!$B$3:$N$1491,MATCH(BOM!$A39,'Cloud Price List'!$A$3:$A$1491,0),9)</f>
        <v>BYOL</v>
      </c>
      <c r="E39" s="264">
        <f>INDEX('Cloud Price List'!$B$3:$N$1491,MATCH(BOM!$A39,'Cloud Price List'!$A$3:$A$1491,0),3)*'Cloud Price List'!$E$1</f>
        <v>0.3226</v>
      </c>
      <c r="F39" s="265">
        <f t="shared" si="33"/>
        <v>0.3226</v>
      </c>
      <c r="G39" s="251">
        <f>IF(INDEX('Cloud Price List'!$B$3:$N$1491,MATCH($A39,'Cloud Price List'!$A$3:$A$1491,0),8)="UC0",0,IF(ISBLANK(VLOOKUP($D39,$D$4:$E$7,2,FALSE)),$AI$74,VLOOKUP($D39,$D$4:$E$7,2,FALSE)))</f>
        <v>0.05</v>
      </c>
      <c r="I39" s="252"/>
      <c r="J39" s="252"/>
      <c r="K39" s="252">
        <f t="shared" si="0"/>
        <v>0</v>
      </c>
      <c r="L39" s="252">
        <f t="shared" si="60"/>
        <v>0</v>
      </c>
      <c r="M39" s="250"/>
      <c r="N39" s="252"/>
      <c r="O39" s="252"/>
      <c r="P39" s="252">
        <f t="shared" si="2"/>
        <v>0</v>
      </c>
      <c r="Q39" s="252">
        <f t="shared" si="61"/>
        <v>0</v>
      </c>
      <c r="R39" s="250"/>
      <c r="S39" s="252"/>
      <c r="T39" s="252"/>
      <c r="U39" s="252">
        <f t="shared" si="4"/>
        <v>0</v>
      </c>
      <c r="V39" s="252">
        <f t="shared" si="5"/>
        <v>0</v>
      </c>
      <c r="W39" s="250"/>
      <c r="X39" s="252"/>
      <c r="Y39" s="252"/>
      <c r="Z39" s="252">
        <f t="shared" si="6"/>
        <v>0</v>
      </c>
      <c r="AA39" s="252">
        <f t="shared" si="62"/>
        <v>0</v>
      </c>
      <c r="AB39" s="250"/>
      <c r="AC39" s="252"/>
      <c r="AD39" s="252"/>
      <c r="AE39" s="252">
        <f t="shared" si="8"/>
        <v>0</v>
      </c>
      <c r="AF39" s="252">
        <f t="shared" si="63"/>
        <v>0</v>
      </c>
      <c r="AG39" s="250"/>
      <c r="AH39" s="252">
        <f t="shared" si="10"/>
        <v>0</v>
      </c>
      <c r="AI39" s="252">
        <f t="shared" si="11"/>
        <v>0</v>
      </c>
      <c r="AJ39" s="252">
        <f t="shared" si="12"/>
        <v>0</v>
      </c>
      <c r="AK39" s="250"/>
      <c r="AL39" s="333">
        <f t="shared" si="13"/>
        <v>0.30646999999999996</v>
      </c>
      <c r="AN39" s="325" t="s">
        <v>589</v>
      </c>
      <c r="AO39" s="260" t="str">
        <f>INDEX('Cloud Price List'!$B$3:$N$1491,MATCH(BOM!$A39,'Cloud Price List'!$A$3:$A$1491,0),6)</f>
        <v>ATP</v>
      </c>
    </row>
    <row r="40" spans="1:41" s="260" customFormat="1">
      <c r="A40" s="842" t="s">
        <v>1131</v>
      </c>
      <c r="B40" s="249" t="str">
        <f>INDEX('Cloud Price List'!$B$3:$N$1491,MATCH(BOM!$A40,'Cloud Price List'!$A$3:$A$1491,0),1)</f>
        <v>Oracle Autonomous Transaction Processing - Exadata Storage</v>
      </c>
      <c r="C40" s="443" t="str">
        <f>INDEX('Cloud Price List'!$B$3:$N$1491,MATCH(BOM!$A40,'Cloud Price List'!$A$3:$A$1491,0),4)</f>
        <v>Terabyte Storage Capacity Per Month</v>
      </c>
      <c r="D40" s="258" t="str">
        <f>INDEX('Cloud Price List'!$B$3:$N$1491,MATCH(BOM!$A40,'Cloud Price List'!$A$3:$A$1491,0),9)</f>
        <v>PAAS</v>
      </c>
      <c r="E40" s="264">
        <f>INDEX('Cloud Price List'!$B$3:$N$1491,MATCH(BOM!$A40,'Cloud Price List'!$A$3:$A$1491,0),3)*'Cloud Price List'!$E$1</f>
        <v>118.4</v>
      </c>
      <c r="F40" s="265">
        <f t="shared" si="33"/>
        <v>118.4</v>
      </c>
      <c r="G40" s="251">
        <f>IF(INDEX('Cloud Price List'!$B$3:$N$1491,MATCH($A40,'Cloud Price List'!$A$3:$A$1491,0),8)="UC0",0,IF(ISBLANK(VLOOKUP($D40,$D$4:$E$7,2,FALSE)),$AI$74,VLOOKUP($D40,$D$4:$E$7,2,FALSE)))</f>
        <v>0.05</v>
      </c>
      <c r="I40" s="252"/>
      <c r="J40" s="252"/>
      <c r="K40" s="252">
        <f t="shared" si="0"/>
        <v>0</v>
      </c>
      <c r="L40" s="252">
        <f t="shared" si="60"/>
        <v>0</v>
      </c>
      <c r="M40" s="250"/>
      <c r="N40" s="252"/>
      <c r="O40" s="252"/>
      <c r="P40" s="252">
        <f t="shared" si="2"/>
        <v>0</v>
      </c>
      <c r="Q40" s="252">
        <f t="shared" si="61"/>
        <v>0</v>
      </c>
      <c r="R40" s="250"/>
      <c r="S40" s="252"/>
      <c r="T40" s="252"/>
      <c r="U40" s="252">
        <f t="shared" si="4"/>
        <v>0</v>
      </c>
      <c r="V40" s="252">
        <f t="shared" si="5"/>
        <v>0</v>
      </c>
      <c r="W40" s="250"/>
      <c r="X40" s="252"/>
      <c r="Y40" s="252"/>
      <c r="Z40" s="252">
        <f t="shared" si="6"/>
        <v>0</v>
      </c>
      <c r="AA40" s="252">
        <f t="shared" si="62"/>
        <v>0</v>
      </c>
      <c r="AB40" s="250"/>
      <c r="AC40" s="252"/>
      <c r="AD40" s="252"/>
      <c r="AE40" s="252">
        <f t="shared" si="8"/>
        <v>0</v>
      </c>
      <c r="AF40" s="252">
        <f t="shared" si="63"/>
        <v>0</v>
      </c>
      <c r="AG40" s="250"/>
      <c r="AH40" s="252">
        <f t="shared" si="10"/>
        <v>0</v>
      </c>
      <c r="AI40" s="252">
        <f t="shared" si="11"/>
        <v>0</v>
      </c>
      <c r="AJ40" s="252">
        <f t="shared" si="12"/>
        <v>0</v>
      </c>
      <c r="AK40" s="250"/>
      <c r="AL40" s="333">
        <f t="shared" si="13"/>
        <v>112.48</v>
      </c>
      <c r="AN40" s="325" t="s">
        <v>589</v>
      </c>
      <c r="AO40" s="260" t="str">
        <f>INDEX('Cloud Price List'!$B$3:$N$1491,MATCH(BOM!$A40,'Cloud Price List'!$A$3:$A$1491,0),6)</f>
        <v>Exa Storage</v>
      </c>
    </row>
    <row r="41" spans="1:41" s="260" customFormat="1">
      <c r="A41" s="842" t="s">
        <v>591</v>
      </c>
      <c r="B41" s="249" t="str">
        <f>INDEX('Cloud Price List'!$B$3:$N$1491,MATCH(BOM!$A41,'Cloud Price List'!$A$3:$A$1491,0),1)</f>
        <v>Oracle Autonomous Data Warehouse</v>
      </c>
      <c r="C41" s="443" t="str">
        <f>INDEX('Cloud Price List'!$B$3:$N$1491,MATCH(BOM!$A41,'Cloud Price List'!$A$3:$A$1491,0),4)</f>
        <v>OCPU Per Hour</v>
      </c>
      <c r="D41" s="258" t="str">
        <f>INDEX('Cloud Price List'!$B$3:$N$1491,MATCH(BOM!$A41,'Cloud Price List'!$A$3:$A$1491,0),9)</f>
        <v>PAAS</v>
      </c>
      <c r="E41" s="264">
        <f>INDEX('Cloud Price List'!$B$3:$N$1491,MATCH(BOM!$A41,'Cloud Price List'!$A$3:$A$1491,0),3)*'Cloud Price List'!$E$1</f>
        <v>1.3441000000000001</v>
      </c>
      <c r="F41" s="265">
        <f t="shared" si="33"/>
        <v>1.3441000000000001</v>
      </c>
      <c r="G41" s="251">
        <f>IF(INDEX('Cloud Price List'!$B$3:$N$1491,MATCH($A41,'Cloud Price List'!$A$3:$A$1491,0),8)="UC0",0,IF(ISBLANK(VLOOKUP($D41,$D$4:$E$7,2,FALSE)),$AI$74,VLOOKUP($D41,$D$4:$E$7,2,FALSE)))</f>
        <v>0.05</v>
      </c>
      <c r="I41" s="252"/>
      <c r="J41" s="252"/>
      <c r="K41" s="252">
        <f t="shared" si="0"/>
        <v>0</v>
      </c>
      <c r="L41" s="252">
        <f t="shared" si="60"/>
        <v>0</v>
      </c>
      <c r="M41" s="250"/>
      <c r="N41" s="252"/>
      <c r="O41" s="252"/>
      <c r="P41" s="252">
        <f t="shared" si="2"/>
        <v>0</v>
      </c>
      <c r="Q41" s="252">
        <f t="shared" si="61"/>
        <v>0</v>
      </c>
      <c r="R41" s="250"/>
      <c r="S41" s="252"/>
      <c r="T41" s="252"/>
      <c r="U41" s="252">
        <f t="shared" si="4"/>
        <v>0</v>
      </c>
      <c r="V41" s="252">
        <f t="shared" si="5"/>
        <v>0</v>
      </c>
      <c r="W41" s="250"/>
      <c r="X41" s="252"/>
      <c r="Y41" s="252"/>
      <c r="Z41" s="252">
        <f t="shared" si="6"/>
        <v>0</v>
      </c>
      <c r="AA41" s="252">
        <f t="shared" si="62"/>
        <v>0</v>
      </c>
      <c r="AB41" s="250"/>
      <c r="AC41" s="252"/>
      <c r="AD41" s="252"/>
      <c r="AE41" s="252">
        <f t="shared" si="8"/>
        <v>0</v>
      </c>
      <c r="AF41" s="252">
        <f t="shared" si="63"/>
        <v>0</v>
      </c>
      <c r="AG41" s="250"/>
      <c r="AH41" s="252">
        <f t="shared" si="10"/>
        <v>0</v>
      </c>
      <c r="AI41" s="252">
        <f t="shared" si="11"/>
        <v>0</v>
      </c>
      <c r="AJ41" s="252">
        <f t="shared" si="12"/>
        <v>0</v>
      </c>
      <c r="AK41" s="250"/>
      <c r="AL41" s="333">
        <f t="shared" si="13"/>
        <v>1.2768950000000001</v>
      </c>
      <c r="AN41" s="325" t="s">
        <v>589</v>
      </c>
      <c r="AO41" s="260" t="str">
        <f>INDEX('Cloud Price List'!$B$3:$N$1491,MATCH(BOM!$A41,'Cloud Price List'!$A$3:$A$1491,0),6)</f>
        <v>ADW</v>
      </c>
    </row>
    <row r="42" spans="1:41" s="260" customFormat="1">
      <c r="A42" s="842" t="s">
        <v>590</v>
      </c>
      <c r="B42" s="249" t="str">
        <f>INDEX('Cloud Price List'!$B$3:$N$1491,MATCH(BOM!$A42,'Cloud Price List'!$A$3:$A$1491,0),1)</f>
        <v>Oracle Autonomous Data Warehouse - BYOL</v>
      </c>
      <c r="C42" s="443" t="str">
        <f>INDEX('Cloud Price List'!$B$3:$N$1491,MATCH(BOM!$A42,'Cloud Price List'!$A$3:$A$1491,0),4)</f>
        <v>OCPU Per Hour</v>
      </c>
      <c r="D42" s="258" t="str">
        <f>INDEX('Cloud Price List'!$B$3:$N$1491,MATCH(BOM!$A42,'Cloud Price List'!$A$3:$A$1491,0),9)</f>
        <v>BYOL</v>
      </c>
      <c r="E42" s="264">
        <f>INDEX('Cloud Price List'!$B$3:$N$1491,MATCH(BOM!$A42,'Cloud Price List'!$A$3:$A$1491,0),3)*'Cloud Price List'!$E$1</f>
        <v>0.3226</v>
      </c>
      <c r="F42" s="265">
        <f t="shared" si="33"/>
        <v>0.3226</v>
      </c>
      <c r="G42" s="251">
        <f>IF(INDEX('Cloud Price List'!$B$3:$N$1491,MATCH($A42,'Cloud Price List'!$A$3:$A$1491,0),8)="UC0",0,IF(ISBLANK(VLOOKUP($D42,$D$4:$E$7,2,FALSE)),$AI$74,VLOOKUP($D42,$D$4:$E$7,2,FALSE)))</f>
        <v>0.05</v>
      </c>
      <c r="I42" s="252"/>
      <c r="J42" s="252"/>
      <c r="K42" s="252">
        <f t="shared" si="0"/>
        <v>0</v>
      </c>
      <c r="L42" s="252">
        <f t="shared" si="60"/>
        <v>0</v>
      </c>
      <c r="M42" s="250"/>
      <c r="N42" s="252"/>
      <c r="O42" s="252"/>
      <c r="P42" s="252">
        <f t="shared" si="2"/>
        <v>0</v>
      </c>
      <c r="Q42" s="252">
        <f t="shared" si="61"/>
        <v>0</v>
      </c>
      <c r="R42" s="250"/>
      <c r="S42" s="252"/>
      <c r="T42" s="252"/>
      <c r="U42" s="252">
        <f t="shared" si="4"/>
        <v>0</v>
      </c>
      <c r="V42" s="252">
        <f t="shared" si="5"/>
        <v>0</v>
      </c>
      <c r="W42" s="250"/>
      <c r="X42" s="252"/>
      <c r="Y42" s="252"/>
      <c r="Z42" s="252">
        <f t="shared" si="6"/>
        <v>0</v>
      </c>
      <c r="AA42" s="252">
        <f t="shared" si="62"/>
        <v>0</v>
      </c>
      <c r="AB42" s="250"/>
      <c r="AC42" s="252"/>
      <c r="AD42" s="252"/>
      <c r="AE42" s="252">
        <f t="shared" si="8"/>
        <v>0</v>
      </c>
      <c r="AF42" s="252">
        <f t="shared" si="63"/>
        <v>0</v>
      </c>
      <c r="AG42" s="250"/>
      <c r="AH42" s="252">
        <f t="shared" si="10"/>
        <v>0</v>
      </c>
      <c r="AI42" s="252">
        <f t="shared" si="11"/>
        <v>0</v>
      </c>
      <c r="AJ42" s="252">
        <f t="shared" si="12"/>
        <v>0</v>
      </c>
      <c r="AK42" s="250"/>
      <c r="AL42" s="333">
        <f t="shared" si="13"/>
        <v>0.30646999999999996</v>
      </c>
      <c r="AN42" s="325" t="s">
        <v>589</v>
      </c>
      <c r="AO42" s="260" t="str">
        <f>INDEX('Cloud Price List'!$B$3:$N$1491,MATCH(BOM!$A42,'Cloud Price List'!$A$3:$A$1491,0),6)</f>
        <v>ADW</v>
      </c>
    </row>
    <row r="43" spans="1:41" s="260" customFormat="1">
      <c r="A43" s="842" t="s">
        <v>592</v>
      </c>
      <c r="B43" s="249" t="str">
        <f>INDEX('Cloud Price List'!$B$3:$N$1491,MATCH(BOM!$A43,'Cloud Price List'!$A$3:$A$1491,0),1)</f>
        <v>Oracle Autonomous Data Warehouse - Exadata Storage</v>
      </c>
      <c r="C43" s="443" t="str">
        <f>INDEX('Cloud Price List'!$B$3:$N$1491,MATCH(BOM!$A43,'Cloud Price List'!$A$3:$A$1491,0),4)</f>
        <v>Terabyte Storage Capacity Per Month</v>
      </c>
      <c r="D43" s="258" t="str">
        <f>INDEX('Cloud Price List'!$B$3:$N$1491,MATCH(BOM!$A43,'Cloud Price List'!$A$3:$A$1491,0),9)</f>
        <v>PAAS</v>
      </c>
      <c r="E43" s="264">
        <f>INDEX('Cloud Price List'!$B$3:$N$1491,MATCH(BOM!$A43,'Cloud Price List'!$A$3:$A$1491,0),3)*'Cloud Price List'!$E$1</f>
        <v>118.4</v>
      </c>
      <c r="F43" s="265">
        <f t="shared" si="33"/>
        <v>118.4</v>
      </c>
      <c r="G43" s="251">
        <f>IF(INDEX('Cloud Price List'!$B$3:$N$1491,MATCH($A43,'Cloud Price List'!$A$3:$A$1491,0),8)="UC0",0,IF(ISBLANK(VLOOKUP($D43,$D$4:$E$7,2,FALSE)),$AI$74,VLOOKUP($D43,$D$4:$E$7,2,FALSE)))</f>
        <v>0.05</v>
      </c>
      <c r="I43" s="252"/>
      <c r="J43" s="252"/>
      <c r="K43" s="252">
        <f t="shared" si="0"/>
        <v>0</v>
      </c>
      <c r="L43" s="252">
        <f t="shared" si="60"/>
        <v>0</v>
      </c>
      <c r="M43" s="250"/>
      <c r="N43" s="252"/>
      <c r="O43" s="252"/>
      <c r="P43" s="252">
        <f t="shared" si="2"/>
        <v>0</v>
      </c>
      <c r="Q43" s="252">
        <f t="shared" si="61"/>
        <v>0</v>
      </c>
      <c r="R43" s="250"/>
      <c r="S43" s="252"/>
      <c r="T43" s="252"/>
      <c r="U43" s="252">
        <f t="shared" si="4"/>
        <v>0</v>
      </c>
      <c r="V43" s="252">
        <f t="shared" si="5"/>
        <v>0</v>
      </c>
      <c r="W43" s="250"/>
      <c r="X43" s="252"/>
      <c r="Y43" s="252"/>
      <c r="Z43" s="252">
        <f t="shared" si="6"/>
        <v>0</v>
      </c>
      <c r="AA43" s="252">
        <f t="shared" si="62"/>
        <v>0</v>
      </c>
      <c r="AB43" s="250"/>
      <c r="AC43" s="252"/>
      <c r="AD43" s="252"/>
      <c r="AE43" s="252">
        <f t="shared" si="8"/>
        <v>0</v>
      </c>
      <c r="AF43" s="252">
        <f t="shared" si="63"/>
        <v>0</v>
      </c>
      <c r="AG43" s="250"/>
      <c r="AH43" s="252">
        <f t="shared" si="10"/>
        <v>0</v>
      </c>
      <c r="AI43" s="252">
        <f t="shared" si="11"/>
        <v>0</v>
      </c>
      <c r="AJ43" s="252">
        <f t="shared" si="12"/>
        <v>0</v>
      </c>
      <c r="AK43" s="250"/>
      <c r="AL43" s="333">
        <f t="shared" si="13"/>
        <v>112.48</v>
      </c>
      <c r="AN43" s="325" t="s">
        <v>589</v>
      </c>
      <c r="AO43" s="260" t="str">
        <f>INDEX('Cloud Price List'!$B$3:$N$1491,MATCH(BOM!$A43,'Cloud Price List'!$A$3:$A$1491,0),6)</f>
        <v>Exa Storage</v>
      </c>
    </row>
    <row r="44" spans="1:41" s="260" customFormat="1">
      <c r="A44" s="842"/>
      <c r="B44" s="249" t="s">
        <v>2313</v>
      </c>
      <c r="C44" s="443"/>
      <c r="D44" s="258"/>
      <c r="E44" s="264"/>
      <c r="F44" s="265"/>
      <c r="G44" s="251"/>
      <c r="I44" s="252"/>
      <c r="J44" s="252"/>
      <c r="K44" s="252"/>
      <c r="L44" s="252"/>
      <c r="M44" s="250"/>
      <c r="N44" s="252"/>
      <c r="O44" s="252"/>
      <c r="P44" s="252"/>
      <c r="Q44" s="252"/>
      <c r="R44" s="250"/>
      <c r="S44" s="252"/>
      <c r="T44" s="252"/>
      <c r="U44" s="252"/>
      <c r="V44" s="252"/>
      <c r="W44" s="250"/>
      <c r="X44" s="252"/>
      <c r="Y44" s="252"/>
      <c r="Z44" s="252"/>
      <c r="AA44" s="252"/>
      <c r="AB44" s="250"/>
      <c r="AC44" s="252"/>
      <c r="AD44" s="252"/>
      <c r="AE44" s="252"/>
      <c r="AF44" s="252"/>
      <c r="AG44" s="250"/>
      <c r="AH44" s="252"/>
      <c r="AI44" s="252"/>
      <c r="AJ44" s="252"/>
      <c r="AK44" s="250"/>
      <c r="AL44" s="333"/>
      <c r="AN44" s="325"/>
    </row>
    <row r="45" spans="1:41" s="260" customFormat="1">
      <c r="A45" s="845" t="s">
        <v>2719</v>
      </c>
      <c r="B45" s="249" t="str">
        <f>INDEX('Cloud Price List'!$B$3:$N$1491,MATCH(BOM!$A45,'Cloud Price List'!$A$3:$A$1491,0),1)</f>
        <v>Oracle Cloud Infrastructure - Load Balancer Base - greater than 1 Load Balancer instance per hour</v>
      </c>
      <c r="C45" s="443" t="str">
        <f>INDEX('Cloud Price List'!$B$3:$N$1491,MATCH(BOM!$A45,'Cloud Price List'!$A$3:$A$1491,0),4)</f>
        <v>Load Balancer Hour</v>
      </c>
      <c r="D45" s="258" t="str">
        <f>INDEX('Cloud Price List'!$B$3:$N$1491,MATCH(BOM!$A45,'Cloud Price List'!$A$3:$A$1491,0),9)</f>
        <v>IAAS</v>
      </c>
      <c r="E45" s="264">
        <f>INDEX('Cloud Price List'!$B$3:$N$1491,MATCH(BOM!$A45,'Cloud Price List'!$A$3:$A$1491,0),3)*'Cloud Price List'!$E$1</f>
        <v>1.1299999999999999E-2</v>
      </c>
      <c r="F45" s="265">
        <f t="shared" ref="F45:F54" si="75">E45</f>
        <v>1.1299999999999999E-2</v>
      </c>
      <c r="G45" s="251">
        <f>IF(INDEX('Cloud Price List'!$B$3:$N$1491,MATCH($A45,'Cloud Price List'!$A$3:$A$1491,0),8)="UC0",0,IF(ISBLANK(VLOOKUP($D45,$D$4:$E$7,2,FALSE)),$AI$74,VLOOKUP($D45,$D$4:$E$7,2,FALSE)))</f>
        <v>0.05</v>
      </c>
      <c r="I45" s="252">
        <v>3</v>
      </c>
      <c r="J45" s="252"/>
      <c r="K45" s="252">
        <f t="shared" ref="K45:K54" si="76">IF(L$8="y",IF($AN45="y",IF(ISNUMBER(SEARCH("Hour",$C45)),IF(J45=0,$A$5*$A$6*$F45*I45,$A$5*J45*$F45*I45),IF($D45="SRV",$F45*I45,$A$5*$F45*I45)),0),0)</f>
        <v>296.964</v>
      </c>
      <c r="L45" s="252">
        <f t="shared" ref="L45:L54" si="77">K45*(1-$G45)</f>
        <v>282.11579999999998</v>
      </c>
      <c r="M45" s="250"/>
      <c r="N45" s="252"/>
      <c r="O45" s="252"/>
      <c r="P45" s="252">
        <f t="shared" ref="P45:P54" si="78">IF(Q$8="y",IF($AN45="y",IF(ISNUMBER(SEARCH("Hour",$C45)),IF(O45=0,$A$5*$A$6*$F45*N45,$A$5*O45*$F45*N45),IF($D45="SRV",$F45*N45,$A$5*$F45*N45)),0),0)</f>
        <v>0</v>
      </c>
      <c r="Q45" s="252">
        <f t="shared" ref="Q45:Q54" si="79">P45*(1-$G45)</f>
        <v>0</v>
      </c>
      <c r="R45" s="250"/>
      <c r="S45" s="252"/>
      <c r="T45" s="252"/>
      <c r="U45" s="252">
        <f t="shared" ref="U45:U54" si="80">IF(V$8="y",IF($AN45="y",IF(ISNUMBER(SEARCH("Hour",$C45)),IF(T45=0,$A$5*$A$6*$F45*S45,$A$5*T45*$F45*S45),IF($D45="SRV",$F45*S45,$A$5*$F45*S45)),0),0)</f>
        <v>0</v>
      </c>
      <c r="V45" s="252">
        <f t="shared" ref="V45:V54" si="81">U45*(1-$G45)</f>
        <v>0</v>
      </c>
      <c r="W45" s="250"/>
      <c r="X45" s="252"/>
      <c r="Y45" s="252"/>
      <c r="Z45" s="252">
        <f t="shared" ref="Z45:Z54" si="82">IF(AA$8="y",IF($AN45="y",IF(ISNUMBER(SEARCH("Hour",$C45)),IF(Y45=0,$A$5*$A$6*$F45*X45,$A$5*Y45*$F45*X45),IF($D45="SRV",$F45*X45,$A$5*$F45*X45)),0),0)</f>
        <v>0</v>
      </c>
      <c r="AA45" s="252">
        <f t="shared" ref="AA45:AA54" si="83">Z45*(1-$G45)</f>
        <v>0</v>
      </c>
      <c r="AB45" s="250"/>
      <c r="AC45" s="252"/>
      <c r="AD45" s="252"/>
      <c r="AE45" s="252">
        <f t="shared" ref="AE45:AE54" si="84">IF(AF$8="y",IF($AN45="y",IF(ISNUMBER(SEARCH("Hour",$C45)),IF(AD45=0,$A$5*$A$6*$F45*AC45,$A$5*AD45*$F45*AC45),IF($D45="SRV",$F45*AC45,$A$5*$F45*AC45)),0),0)</f>
        <v>0</v>
      </c>
      <c r="AF45" s="252">
        <f t="shared" ref="AF45:AF54" si="85">AE45*(1-$G45)</f>
        <v>0</v>
      </c>
      <c r="AG45" s="250"/>
      <c r="AH45" s="252">
        <f t="shared" ref="AH45:AH54" si="86">SUMIF($L$8,"Y",I45)+SUMIF($Q$8,"Y",N45)+SUMIF($V$8,"Y",S45)+SUMIF($AA$8,"Y",X45)+SUMIF($AF$8,"Y",AC45)</f>
        <v>3</v>
      </c>
      <c r="AI45" s="252">
        <f t="shared" ref="AI45:AI54" si="87">SUMIF(H$10:AG$10,AI$10,H45:AG45)</f>
        <v>296.964</v>
      </c>
      <c r="AJ45" s="252">
        <f t="shared" ref="AJ45:AJ54" si="88">SUMIF(H$10:AG$10,AJ$10,H45:AG45)</f>
        <v>282.11579999999998</v>
      </c>
      <c r="AK45" s="250"/>
      <c r="AL45" s="333">
        <f t="shared" ref="AL45:AL54" si="89">F45*(1-G45)</f>
        <v>1.0734999999999998E-2</v>
      </c>
      <c r="AN45" s="325" t="s">
        <v>589</v>
      </c>
      <c r="AO45" s="260" t="str">
        <f>INDEX('Cloud Price List'!$B$3:$N$1491,MATCH(BOM!$A45,'Cloud Price List'!$A$3:$A$1491,0),6)</f>
        <v>Network</v>
      </c>
    </row>
    <row r="46" spans="1:41" s="260" customFormat="1">
      <c r="A46" s="845" t="s">
        <v>2721</v>
      </c>
      <c r="B46" s="249" t="str">
        <f>INDEX('Cloud Price List'!$B$3:$N$1491,MATCH(BOM!$A46,'Cloud Price List'!$A$3:$A$1491,0),1)</f>
        <v>Oracle Cloud Infrastructure - Load Balancer Bandwidth - greater than 10 Mbps Per Hour</v>
      </c>
      <c r="C46" s="443" t="str">
        <f>INDEX('Cloud Price List'!$B$3:$N$1491,MATCH(BOM!$A46,'Cloud Price List'!$A$3:$A$1491,0),4)</f>
        <v>Mbps Per Hour</v>
      </c>
      <c r="D46" s="258" t="str">
        <f>INDEX('Cloud Price List'!$B$3:$N$1491,MATCH(BOM!$A46,'Cloud Price List'!$A$3:$A$1491,0),9)</f>
        <v>IAAS</v>
      </c>
      <c r="E46" s="264">
        <f>INDEX('Cloud Price List'!$B$3:$N$1491,MATCH(BOM!$A46,'Cloud Price List'!$A$3:$A$1491,0),3)*'Cloud Price List'!$E$1</f>
        <v>1E-4</v>
      </c>
      <c r="F46" s="265">
        <f t="shared" si="75"/>
        <v>1E-4</v>
      </c>
      <c r="G46" s="251">
        <f>IF(INDEX('Cloud Price List'!$B$3:$N$1491,MATCH($A46,'Cloud Price List'!$A$3:$A$1491,0),8)="UC0",0,IF(ISBLANK(VLOOKUP($D46,$D$4:$E$7,2,FALSE)),$AI$74,VLOOKUP($D46,$D$4:$E$7,2,FALSE)))</f>
        <v>0.05</v>
      </c>
      <c r="I46" s="252">
        <v>500</v>
      </c>
      <c r="J46" s="252"/>
      <c r="K46" s="252">
        <f t="shared" si="76"/>
        <v>438</v>
      </c>
      <c r="L46" s="252">
        <f t="shared" si="77"/>
        <v>416.09999999999997</v>
      </c>
      <c r="M46" s="250"/>
      <c r="N46" s="252"/>
      <c r="O46" s="252"/>
      <c r="P46" s="252">
        <f t="shared" si="78"/>
        <v>0</v>
      </c>
      <c r="Q46" s="252">
        <f t="shared" si="79"/>
        <v>0</v>
      </c>
      <c r="R46" s="250"/>
      <c r="S46" s="252"/>
      <c r="T46" s="252"/>
      <c r="U46" s="252">
        <f t="shared" si="80"/>
        <v>0</v>
      </c>
      <c r="V46" s="252">
        <f t="shared" si="81"/>
        <v>0</v>
      </c>
      <c r="W46" s="250"/>
      <c r="X46" s="252"/>
      <c r="Y46" s="252"/>
      <c r="Z46" s="252">
        <f t="shared" si="82"/>
        <v>0</v>
      </c>
      <c r="AA46" s="252">
        <f t="shared" si="83"/>
        <v>0</v>
      </c>
      <c r="AB46" s="250"/>
      <c r="AC46" s="252"/>
      <c r="AD46" s="252"/>
      <c r="AE46" s="252">
        <f t="shared" si="84"/>
        <v>0</v>
      </c>
      <c r="AF46" s="252">
        <f t="shared" si="85"/>
        <v>0</v>
      </c>
      <c r="AG46" s="250"/>
      <c r="AH46" s="252">
        <f t="shared" si="86"/>
        <v>500</v>
      </c>
      <c r="AI46" s="252">
        <f t="shared" si="87"/>
        <v>438</v>
      </c>
      <c r="AJ46" s="252">
        <f t="shared" si="88"/>
        <v>416.09999999999997</v>
      </c>
      <c r="AK46" s="250"/>
      <c r="AL46" s="333">
        <f t="shared" si="89"/>
        <v>9.5000000000000005E-5</v>
      </c>
      <c r="AN46" s="325" t="s">
        <v>589</v>
      </c>
      <c r="AO46" s="260" t="str">
        <f>INDEX('Cloud Price List'!$B$3:$N$1491,MATCH(BOM!$A46,'Cloud Price List'!$A$3:$A$1491,0),6)</f>
        <v>Network</v>
      </c>
    </row>
    <row r="47" spans="1:41" s="260" customFormat="1">
      <c r="A47" s="845" t="s">
        <v>41</v>
      </c>
      <c r="B47" s="249" t="str">
        <f>INDEX('Cloud Price List'!$B$3:$N$1491,MATCH(BOM!$A47,'Cloud Price List'!$A$3:$A$1491,0),1)</f>
        <v>Oracle Cloud Infrastructure - FastConnect 1 Gbps</v>
      </c>
      <c r="C47" s="443" t="str">
        <f>INDEX('Cloud Price List'!$B$3:$N$1491,MATCH(BOM!$A47,'Cloud Price List'!$A$3:$A$1491,0),4)</f>
        <v>Port Hour</v>
      </c>
      <c r="D47" s="258" t="str">
        <f>INDEX('Cloud Price List'!$B$3:$N$1491,MATCH(BOM!$A47,'Cloud Price List'!$A$3:$A$1491,0),9)</f>
        <v>IAAS</v>
      </c>
      <c r="E47" s="264">
        <f>INDEX('Cloud Price List'!$B$3:$N$1491,MATCH(BOM!$A47,'Cloud Price List'!$A$3:$A$1491,0),3)*'Cloud Price List'!$E$1</f>
        <v>0.21249999999999999</v>
      </c>
      <c r="F47" s="265">
        <f t="shared" si="75"/>
        <v>0.21249999999999999</v>
      </c>
      <c r="G47" s="251">
        <f>IF(INDEX('Cloud Price List'!$B$3:$N$1491,MATCH($A47,'Cloud Price List'!$A$3:$A$1491,0),8)="UC0",0,IF(ISBLANK(VLOOKUP($D47,$D$4:$E$7,2,FALSE)),$AI$74,VLOOKUP($D47,$D$4:$E$7,2,FALSE)))</f>
        <v>0.05</v>
      </c>
      <c r="I47" s="252"/>
      <c r="J47" s="252"/>
      <c r="K47" s="252">
        <f t="shared" si="76"/>
        <v>0</v>
      </c>
      <c r="L47" s="252">
        <f t="shared" si="77"/>
        <v>0</v>
      </c>
      <c r="M47" s="250"/>
      <c r="N47" s="252"/>
      <c r="O47" s="252"/>
      <c r="P47" s="252">
        <f t="shared" si="78"/>
        <v>0</v>
      </c>
      <c r="Q47" s="252">
        <f t="shared" si="79"/>
        <v>0</v>
      </c>
      <c r="R47" s="250"/>
      <c r="S47" s="252"/>
      <c r="T47" s="252"/>
      <c r="U47" s="252">
        <f t="shared" si="80"/>
        <v>0</v>
      </c>
      <c r="V47" s="252">
        <f t="shared" si="81"/>
        <v>0</v>
      </c>
      <c r="W47" s="250"/>
      <c r="X47" s="252"/>
      <c r="Y47" s="252"/>
      <c r="Z47" s="252">
        <f t="shared" si="82"/>
        <v>0</v>
      </c>
      <c r="AA47" s="252">
        <f t="shared" si="83"/>
        <v>0</v>
      </c>
      <c r="AB47" s="250"/>
      <c r="AC47" s="252"/>
      <c r="AD47" s="252"/>
      <c r="AE47" s="252">
        <f t="shared" si="84"/>
        <v>0</v>
      </c>
      <c r="AF47" s="252">
        <f t="shared" si="85"/>
        <v>0</v>
      </c>
      <c r="AG47" s="250"/>
      <c r="AH47" s="252">
        <f t="shared" si="86"/>
        <v>0</v>
      </c>
      <c r="AI47" s="252">
        <f t="shared" si="87"/>
        <v>0</v>
      </c>
      <c r="AJ47" s="252">
        <f t="shared" si="88"/>
        <v>0</v>
      </c>
      <c r="AK47" s="250"/>
      <c r="AL47" s="333">
        <f t="shared" si="89"/>
        <v>0.201875</v>
      </c>
      <c r="AN47" s="325" t="s">
        <v>589</v>
      </c>
      <c r="AO47" s="260" t="str">
        <f>INDEX('Cloud Price List'!$B$3:$N$1491,MATCH(BOM!$A47,'Cloud Price List'!$A$3:$A$1491,0),6)</f>
        <v>Network</v>
      </c>
    </row>
    <row r="48" spans="1:41" s="260" customFormat="1">
      <c r="A48" s="842" t="s">
        <v>97</v>
      </c>
      <c r="B48" s="249" t="str">
        <f>INDEX('Cloud Price List'!$B$3:$N$1491,MATCH(BOM!$A48,'Cloud Price List'!$A$3:$A$1491,0),1)</f>
        <v>Oracle Cloud Infrastructure - FastConnect 10 Gbps</v>
      </c>
      <c r="C48" s="443" t="str">
        <f>INDEX('Cloud Price List'!$B$3:$N$1491,MATCH(BOM!$A48,'Cloud Price List'!$A$3:$A$1491,0),4)</f>
        <v>Port Hour</v>
      </c>
      <c r="D48" s="258" t="str">
        <f>INDEX('Cloud Price List'!$B$3:$N$1491,MATCH(BOM!$A48,'Cloud Price List'!$A$3:$A$1491,0),9)</f>
        <v>IAAS</v>
      </c>
      <c r="E48" s="264">
        <f>INDEX('Cloud Price List'!$B$3:$N$1491,MATCH(BOM!$A48,'Cloud Price List'!$A$3:$A$1491,0),3)*'Cloud Price List'!$E$1</f>
        <v>1.2749999999999999</v>
      </c>
      <c r="F48" s="265">
        <f t="shared" si="75"/>
        <v>1.2749999999999999</v>
      </c>
      <c r="G48" s="251">
        <f>IF(INDEX('Cloud Price List'!$B$3:$N$1491,MATCH($A48,'Cloud Price List'!$A$3:$A$1491,0),8)="UC0",0,IF(ISBLANK(VLOOKUP($D48,$D$4:$E$7,2,FALSE)),$AI$74,VLOOKUP($D48,$D$4:$E$7,2,FALSE)))</f>
        <v>0.05</v>
      </c>
      <c r="I48" s="252"/>
      <c r="J48" s="252"/>
      <c r="K48" s="252">
        <f t="shared" si="76"/>
        <v>0</v>
      </c>
      <c r="L48" s="252">
        <f t="shared" si="77"/>
        <v>0</v>
      </c>
      <c r="M48" s="250"/>
      <c r="N48" s="252"/>
      <c r="O48" s="252"/>
      <c r="P48" s="252">
        <f t="shared" si="78"/>
        <v>0</v>
      </c>
      <c r="Q48" s="252">
        <f t="shared" si="79"/>
        <v>0</v>
      </c>
      <c r="R48" s="250"/>
      <c r="S48" s="252"/>
      <c r="T48" s="252"/>
      <c r="U48" s="252">
        <f t="shared" si="80"/>
        <v>0</v>
      </c>
      <c r="V48" s="252">
        <f t="shared" si="81"/>
        <v>0</v>
      </c>
      <c r="W48" s="250"/>
      <c r="X48" s="252"/>
      <c r="Y48" s="252"/>
      <c r="Z48" s="252">
        <f t="shared" si="82"/>
        <v>0</v>
      </c>
      <c r="AA48" s="252">
        <f t="shared" si="83"/>
        <v>0</v>
      </c>
      <c r="AB48" s="250"/>
      <c r="AC48" s="252"/>
      <c r="AD48" s="252"/>
      <c r="AE48" s="252">
        <f t="shared" si="84"/>
        <v>0</v>
      </c>
      <c r="AF48" s="252">
        <f t="shared" si="85"/>
        <v>0</v>
      </c>
      <c r="AG48" s="250"/>
      <c r="AH48" s="252">
        <f t="shared" si="86"/>
        <v>0</v>
      </c>
      <c r="AI48" s="252">
        <f t="shared" si="87"/>
        <v>0</v>
      </c>
      <c r="AJ48" s="252">
        <f t="shared" si="88"/>
        <v>0</v>
      </c>
      <c r="AK48" s="250"/>
      <c r="AL48" s="333">
        <f t="shared" si="89"/>
        <v>1.2112499999999999</v>
      </c>
      <c r="AN48" s="325" t="s">
        <v>589</v>
      </c>
      <c r="AO48" s="260" t="str">
        <f>INDEX('Cloud Price List'!$B$3:$N$1491,MATCH(BOM!$A48,'Cloud Price List'!$A$3:$A$1491,0),6)</f>
        <v>Network</v>
      </c>
    </row>
    <row r="49" spans="1:42" s="260" customFormat="1">
      <c r="A49" s="845" t="s">
        <v>433</v>
      </c>
      <c r="B49" s="249" t="str">
        <f>INDEX('Cloud Price List'!$B$3:$N$1491,MATCH(BOM!$A49,'Cloud Price List'!$A$3:$A$1491,0),1)</f>
        <v>Oracle Cloud Infrastructure - Outbound Data Transfer</v>
      </c>
      <c r="C49" s="443" t="str">
        <f>INDEX('Cloud Price List'!$B$3:$N$1491,MATCH(BOM!$A49,'Cloud Price List'!$A$3:$A$1491,0),4)</f>
        <v>Gigabyte Outbound Data Transfer Per Month</v>
      </c>
      <c r="D49" s="258" t="str">
        <f>INDEX('Cloud Price List'!$B$3:$N$1491,MATCH(BOM!$A49,'Cloud Price List'!$A$3:$A$1491,0),9)</f>
        <v>PAAS</v>
      </c>
      <c r="E49" s="264">
        <f>INDEX('Cloud Price List'!$B$3:$N$1491,MATCH(BOM!$A49,'Cloud Price List'!$A$3:$A$1491,0),3)*'Cloud Price List'!$E$1</f>
        <v>8.5000000000000006E-3</v>
      </c>
      <c r="F49" s="265">
        <f t="shared" si="75"/>
        <v>8.5000000000000006E-3</v>
      </c>
      <c r="G49" s="251">
        <f>IF(INDEX('Cloud Price List'!$B$3:$N$1491,MATCH($A49,'Cloud Price List'!$A$3:$A$1491,0),8)="UC0",0,IF(ISBLANK(VLOOKUP($D49,$D$4:$E$7,2,FALSE)),$AI$74,VLOOKUP($D49,$D$4:$E$7,2,FALSE)))</f>
        <v>0.05</v>
      </c>
      <c r="I49" s="252">
        <f>10000-10000</f>
        <v>0</v>
      </c>
      <c r="J49" s="252"/>
      <c r="K49" s="252">
        <f t="shared" si="76"/>
        <v>0</v>
      </c>
      <c r="L49" s="252">
        <f t="shared" si="77"/>
        <v>0</v>
      </c>
      <c r="M49" s="250"/>
      <c r="N49" s="252"/>
      <c r="O49" s="252"/>
      <c r="P49" s="252">
        <f t="shared" si="78"/>
        <v>0</v>
      </c>
      <c r="Q49" s="252">
        <f t="shared" si="79"/>
        <v>0</v>
      </c>
      <c r="R49" s="250"/>
      <c r="S49" s="252"/>
      <c r="T49" s="252"/>
      <c r="U49" s="252">
        <f t="shared" si="80"/>
        <v>0</v>
      </c>
      <c r="V49" s="252">
        <f t="shared" si="81"/>
        <v>0</v>
      </c>
      <c r="W49" s="250"/>
      <c r="X49" s="252"/>
      <c r="Y49" s="252"/>
      <c r="Z49" s="252">
        <f t="shared" si="82"/>
        <v>0</v>
      </c>
      <c r="AA49" s="252">
        <f t="shared" si="83"/>
        <v>0</v>
      </c>
      <c r="AB49" s="250"/>
      <c r="AC49" s="252"/>
      <c r="AD49" s="252"/>
      <c r="AE49" s="252">
        <f t="shared" si="84"/>
        <v>0</v>
      </c>
      <c r="AF49" s="252">
        <f t="shared" si="85"/>
        <v>0</v>
      </c>
      <c r="AG49" s="250"/>
      <c r="AH49" s="252">
        <f t="shared" si="86"/>
        <v>0</v>
      </c>
      <c r="AI49" s="252">
        <f t="shared" si="87"/>
        <v>0</v>
      </c>
      <c r="AJ49" s="252">
        <f t="shared" si="88"/>
        <v>0</v>
      </c>
      <c r="AK49" s="250"/>
      <c r="AL49" s="333">
        <f t="shared" si="89"/>
        <v>8.0750000000000006E-3</v>
      </c>
      <c r="AN49" s="325" t="s">
        <v>589</v>
      </c>
      <c r="AO49" s="260" t="str">
        <f>INDEX('Cloud Price List'!$B$3:$N$1491,MATCH(BOM!$A49,'Cloud Price List'!$A$3:$A$1491,0),6)</f>
        <v>Platform</v>
      </c>
    </row>
    <row r="50" spans="1:42" s="260" customFormat="1">
      <c r="A50" s="845"/>
      <c r="B50" s="249" t="s">
        <v>3224</v>
      </c>
      <c r="C50" s="443"/>
      <c r="D50" s="258"/>
      <c r="E50" s="264"/>
      <c r="F50" s="265"/>
      <c r="G50" s="251"/>
      <c r="I50" s="252"/>
      <c r="J50" s="252"/>
      <c r="K50" s="252"/>
      <c r="L50" s="252"/>
      <c r="M50" s="250"/>
      <c r="N50" s="252"/>
      <c r="O50" s="252"/>
      <c r="P50" s="252"/>
      <c r="Q50" s="252"/>
      <c r="R50" s="250"/>
      <c r="S50" s="252"/>
      <c r="T50" s="252"/>
      <c r="U50" s="252"/>
      <c r="V50" s="252"/>
      <c r="W50" s="250"/>
      <c r="X50" s="252"/>
      <c r="Y50" s="252"/>
      <c r="Z50" s="252"/>
      <c r="AA50" s="252"/>
      <c r="AB50" s="250"/>
      <c r="AC50" s="252"/>
      <c r="AD50" s="252"/>
      <c r="AE50" s="252"/>
      <c r="AF50" s="252"/>
      <c r="AG50" s="250"/>
      <c r="AH50" s="252"/>
      <c r="AI50" s="252"/>
      <c r="AJ50" s="252"/>
      <c r="AK50" s="250"/>
      <c r="AL50" s="333"/>
      <c r="AN50" s="325"/>
    </row>
    <row r="51" spans="1:42" s="260" customFormat="1">
      <c r="A51" s="845" t="s">
        <v>1700</v>
      </c>
      <c r="B51" s="249" t="str">
        <f>INDEX('Cloud Price List'!$B$3:$N$1491,MATCH(BOM!$A51,'Cloud Price List'!$A$3:$A$1491,0),1)</f>
        <v>Oracle Cloud Infrastructure - Object Storage - Storage - Over 10 Gigabytes Storage Capacity Per Month</v>
      </c>
      <c r="C51" s="443" t="str">
        <f>INDEX('Cloud Price List'!$B$3:$N$1491,MATCH(BOM!$A51,'Cloud Price List'!$A$3:$A$1491,0),4)</f>
        <v>Gigabyte Storage Capacity Per Month</v>
      </c>
      <c r="D51" s="258" t="str">
        <f>INDEX('Cloud Price List'!$B$3:$N$1491,MATCH(BOM!$A51,'Cloud Price List'!$A$3:$A$1491,0),9)</f>
        <v>IAAS</v>
      </c>
      <c r="E51" s="264">
        <f>INDEX('Cloud Price List'!$B$3:$N$1491,MATCH(BOM!$A51,'Cloud Price List'!$A$3:$A$1491,0),3)*'Cloud Price List'!$E$1</f>
        <v>2.5499999999999998E-2</v>
      </c>
      <c r="F51" s="265">
        <f t="shared" ref="F51:F53" si="90">E51</f>
        <v>2.5499999999999998E-2</v>
      </c>
      <c r="G51" s="251">
        <f>IF(INDEX('Cloud Price List'!$B$3:$N$1491,MATCH($A51,'Cloud Price List'!$A$3:$A$1491,0),8)="UC0",0,IF(ISBLANK(VLOOKUP($D51,$D$4:$E$7,2,FALSE)),$AI$74,VLOOKUP($D51,$D$4:$E$7,2,FALSE)))</f>
        <v>0.05</v>
      </c>
      <c r="I51" s="252">
        <v>4000</v>
      </c>
      <c r="J51" s="252"/>
      <c r="K51" s="252">
        <f t="shared" ref="K51:K53" si="91">IF(L$8="y",IF($AN51="y",IF(ISNUMBER(SEARCH("Hour",$C51)),IF(J51=0,$A$5*$A$6*$F51*I51,$A$5*J51*$F51*I51),IF($D51="SRV",$F51*I51,$A$5*$F51*I51)),0),0)</f>
        <v>1224</v>
      </c>
      <c r="L51" s="252">
        <f t="shared" ref="L51:L53" si="92">K51*(1-$G51)</f>
        <v>1162.8</v>
      </c>
      <c r="M51" s="250"/>
      <c r="N51" s="252"/>
      <c r="O51" s="252"/>
      <c r="P51" s="252">
        <f t="shared" ref="P51:P53" si="93">IF(Q$8="y",IF($AN51="y",IF(ISNUMBER(SEARCH("Hour",$C51)),IF(O51=0,$A$5*$A$6*$F51*N51,$A$5*O51*$F51*N51),IF($D51="SRV",$F51*N51,$A$5*$F51*N51)),0),0)</f>
        <v>0</v>
      </c>
      <c r="Q51" s="252">
        <f t="shared" ref="Q51:Q53" si="94">P51*(1-$G51)</f>
        <v>0</v>
      </c>
      <c r="R51" s="250"/>
      <c r="S51" s="252"/>
      <c r="T51" s="252"/>
      <c r="U51" s="252">
        <f t="shared" ref="U51:U53" si="95">IF(V$8="y",IF($AN51="y",IF(ISNUMBER(SEARCH("Hour",$C51)),IF(T51=0,$A$5*$A$6*$F51*S51,$A$5*T51*$F51*S51),IF($D51="SRV",$F51*S51,$A$5*$F51*S51)),0),0)</f>
        <v>0</v>
      </c>
      <c r="V51" s="252">
        <f t="shared" ref="V51:V53" si="96">U51*(1-$G51)</f>
        <v>0</v>
      </c>
      <c r="W51" s="250"/>
      <c r="X51" s="252"/>
      <c r="Y51" s="252"/>
      <c r="Z51" s="252">
        <f t="shared" ref="Z51:Z53" si="97">IF(AA$8="y",IF($AN51="y",IF(ISNUMBER(SEARCH("Hour",$C51)),IF(Y51=0,$A$5*$A$6*$F51*X51,$A$5*Y51*$F51*X51),IF($D51="SRV",$F51*X51,$A$5*$F51*X51)),0),0)</f>
        <v>0</v>
      </c>
      <c r="AA51" s="252">
        <f t="shared" ref="AA51:AA53" si="98">Z51*(1-$G51)</f>
        <v>0</v>
      </c>
      <c r="AB51" s="250"/>
      <c r="AC51" s="252"/>
      <c r="AD51" s="252"/>
      <c r="AE51" s="252">
        <f t="shared" ref="AE51:AE53" si="99">IF(AF$8="y",IF($AN51="y",IF(ISNUMBER(SEARCH("Hour",$C51)),IF(AD51=0,$A$5*$A$6*$F51*AC51,$A$5*AD51*$F51*AC51),IF($D51="SRV",$F51*AC51,$A$5*$F51*AC51)),0),0)</f>
        <v>0</v>
      </c>
      <c r="AF51" s="252">
        <f t="shared" ref="AF51:AF53" si="100">AE51*(1-$G51)</f>
        <v>0</v>
      </c>
      <c r="AG51" s="250"/>
      <c r="AH51" s="252">
        <f t="shared" ref="AH51:AH53" si="101">SUMIF($L$8,"Y",I51)+SUMIF($Q$8,"Y",N51)+SUMIF($V$8,"Y",S51)+SUMIF($AA$8,"Y",X51)+SUMIF($AF$8,"Y",AC51)</f>
        <v>4000</v>
      </c>
      <c r="AI51" s="252">
        <f t="shared" ref="AI51:AI53" si="102">SUMIF(H$10:AG$10,AI$10,H51:AG51)</f>
        <v>1224</v>
      </c>
      <c r="AJ51" s="252">
        <f t="shared" ref="AJ51:AJ53" si="103">SUMIF(H$10:AG$10,AJ$10,H51:AG51)</f>
        <v>1162.8</v>
      </c>
      <c r="AK51" s="250"/>
      <c r="AL51" s="333">
        <f t="shared" ref="AL51:AL53" si="104">F51*(1-G51)</f>
        <v>2.4224999999999997E-2</v>
      </c>
      <c r="AN51" s="325" t="s">
        <v>589</v>
      </c>
      <c r="AO51" s="260" t="str">
        <f>INDEX('Cloud Price List'!$B$3:$N$1491,MATCH(BOM!$A51,'Cloud Price List'!$A$3:$A$1491,0),6)</f>
        <v>Storage</v>
      </c>
    </row>
    <row r="52" spans="1:42" s="260" customFormat="1">
      <c r="A52" s="845" t="s">
        <v>1699</v>
      </c>
      <c r="B52" s="249" t="str">
        <f>INDEX('Cloud Price List'!$B$3:$N$1491,MATCH(BOM!$A52,'Cloud Price List'!$A$3:$A$1491,0),1)</f>
        <v>Oracle Cloud Infrastructure - Object Storage - Requests - Over 50,000 Requests Per Month</v>
      </c>
      <c r="C52" s="443" t="str">
        <f>INDEX('Cloud Price List'!$B$3:$N$1491,MATCH(BOM!$A52,'Cloud Price List'!$A$3:$A$1491,0),4)</f>
        <v>10,000 Requests Per Month</v>
      </c>
      <c r="D52" s="258" t="str">
        <f>INDEX('Cloud Price List'!$B$3:$N$1491,MATCH(BOM!$A52,'Cloud Price List'!$A$3:$A$1491,0),9)</f>
        <v>IAAS</v>
      </c>
      <c r="E52" s="264">
        <f>INDEX('Cloud Price List'!$B$3:$N$1491,MATCH(BOM!$A52,'Cloud Price List'!$A$3:$A$1491,0),3)*'Cloud Price List'!$E$1</f>
        <v>3.3999999999999998E-3</v>
      </c>
      <c r="F52" s="265">
        <f t="shared" si="90"/>
        <v>3.3999999999999998E-3</v>
      </c>
      <c r="G52" s="251">
        <f>IF(INDEX('Cloud Price List'!$B$3:$N$1491,MATCH($A52,'Cloud Price List'!$A$3:$A$1491,0),8)="UC0",0,IF(ISBLANK(VLOOKUP($D52,$D$4:$E$7,2,FALSE)),$AI$74,VLOOKUP($D52,$D$4:$E$7,2,FALSE)))</f>
        <v>0.05</v>
      </c>
      <c r="I52" s="252">
        <v>100</v>
      </c>
      <c r="J52" s="252"/>
      <c r="K52" s="252">
        <f t="shared" si="91"/>
        <v>4.0799999999999992</v>
      </c>
      <c r="L52" s="252">
        <f t="shared" si="92"/>
        <v>3.875999999999999</v>
      </c>
      <c r="M52" s="250"/>
      <c r="N52" s="252"/>
      <c r="O52" s="252"/>
      <c r="P52" s="252">
        <f t="shared" si="93"/>
        <v>0</v>
      </c>
      <c r="Q52" s="252">
        <f t="shared" si="94"/>
        <v>0</v>
      </c>
      <c r="R52" s="250"/>
      <c r="S52" s="252"/>
      <c r="T52" s="252"/>
      <c r="U52" s="252">
        <f t="shared" si="95"/>
        <v>0</v>
      </c>
      <c r="V52" s="252">
        <f t="shared" si="96"/>
        <v>0</v>
      </c>
      <c r="W52" s="250"/>
      <c r="X52" s="252"/>
      <c r="Y52" s="252"/>
      <c r="Z52" s="252">
        <f t="shared" si="97"/>
        <v>0</v>
      </c>
      <c r="AA52" s="252">
        <f t="shared" si="98"/>
        <v>0</v>
      </c>
      <c r="AB52" s="250"/>
      <c r="AC52" s="252"/>
      <c r="AD52" s="252"/>
      <c r="AE52" s="252">
        <f t="shared" si="99"/>
        <v>0</v>
      </c>
      <c r="AF52" s="252">
        <f t="shared" si="100"/>
        <v>0</v>
      </c>
      <c r="AG52" s="250"/>
      <c r="AH52" s="252">
        <f t="shared" si="101"/>
        <v>100</v>
      </c>
      <c r="AI52" s="252">
        <f t="shared" si="102"/>
        <v>4.0799999999999992</v>
      </c>
      <c r="AJ52" s="252">
        <f t="shared" si="103"/>
        <v>3.875999999999999</v>
      </c>
      <c r="AK52" s="250"/>
      <c r="AL52" s="333">
        <f t="shared" si="104"/>
        <v>3.2299999999999998E-3</v>
      </c>
      <c r="AN52" s="325" t="s">
        <v>589</v>
      </c>
      <c r="AO52" s="260" t="str">
        <f>INDEX('Cloud Price List'!$B$3:$N$1491,MATCH(BOM!$A52,'Cloud Price List'!$A$3:$A$1491,0),6)</f>
        <v>Storage</v>
      </c>
    </row>
    <row r="53" spans="1:42" s="260" customFormat="1">
      <c r="A53" s="845" t="s">
        <v>1702</v>
      </c>
      <c r="B53" s="249" t="str">
        <f>INDEX('Cloud Price List'!$B$3:$N$1491,MATCH(BOM!$A53,'Cloud Price List'!$A$3:$A$1491,0),1)</f>
        <v>Oracle Cloud Infrastructure - Archive Storage - Over 10 Gigabytes Storage Capacity Per Month</v>
      </c>
      <c r="C53" s="443" t="str">
        <f>INDEX('Cloud Price List'!$B$3:$N$1491,MATCH(BOM!$A53,'Cloud Price List'!$A$3:$A$1491,0),4)</f>
        <v>Gigabyte Storage Capacity Per Month</v>
      </c>
      <c r="D53" s="258" t="str">
        <f>INDEX('Cloud Price List'!$B$3:$N$1491,MATCH(BOM!$A53,'Cloud Price List'!$A$3:$A$1491,0),9)</f>
        <v>IAAS</v>
      </c>
      <c r="E53" s="264">
        <f>INDEX('Cloud Price List'!$B$3:$N$1491,MATCH(BOM!$A53,'Cloud Price List'!$A$3:$A$1491,0),3)*'Cloud Price List'!$E$1</f>
        <v>2.5999999999999999E-3</v>
      </c>
      <c r="F53" s="265">
        <f t="shared" si="90"/>
        <v>2.5999999999999999E-3</v>
      </c>
      <c r="G53" s="251">
        <f>IF(INDEX('Cloud Price List'!$B$3:$N$1491,MATCH($A53,'Cloud Price List'!$A$3:$A$1491,0),8)="UC0",0,IF(ISBLANK(VLOOKUP($D53,$D$4:$E$7,2,FALSE)),$AI$74,VLOOKUP($D53,$D$4:$E$7,2,FALSE)))</f>
        <v>0.05</v>
      </c>
      <c r="I53" s="252">
        <v>2000</v>
      </c>
      <c r="J53" s="252"/>
      <c r="K53" s="252">
        <f t="shared" si="91"/>
        <v>62.4</v>
      </c>
      <c r="L53" s="252">
        <f t="shared" si="92"/>
        <v>59.279999999999994</v>
      </c>
      <c r="M53" s="250"/>
      <c r="N53" s="252"/>
      <c r="O53" s="252"/>
      <c r="P53" s="252">
        <f t="shared" si="93"/>
        <v>0</v>
      </c>
      <c r="Q53" s="252">
        <f t="shared" si="94"/>
        <v>0</v>
      </c>
      <c r="R53" s="250"/>
      <c r="S53" s="252"/>
      <c r="T53" s="252"/>
      <c r="U53" s="252">
        <f t="shared" si="95"/>
        <v>0</v>
      </c>
      <c r="V53" s="252">
        <f t="shared" si="96"/>
        <v>0</v>
      </c>
      <c r="W53" s="250"/>
      <c r="X53" s="252"/>
      <c r="Y53" s="252"/>
      <c r="Z53" s="252">
        <f t="shared" si="97"/>
        <v>0</v>
      </c>
      <c r="AA53" s="252">
        <f t="shared" si="98"/>
        <v>0</v>
      </c>
      <c r="AB53" s="250"/>
      <c r="AC53" s="252"/>
      <c r="AD53" s="252"/>
      <c r="AE53" s="252">
        <f t="shared" si="99"/>
        <v>0</v>
      </c>
      <c r="AF53" s="252">
        <f t="shared" si="100"/>
        <v>0</v>
      </c>
      <c r="AG53" s="250"/>
      <c r="AH53" s="252">
        <f t="shared" si="101"/>
        <v>2000</v>
      </c>
      <c r="AI53" s="252">
        <f t="shared" si="102"/>
        <v>62.4</v>
      </c>
      <c r="AJ53" s="252">
        <f t="shared" si="103"/>
        <v>59.279999999999994</v>
      </c>
      <c r="AK53" s="250"/>
      <c r="AL53" s="333">
        <f t="shared" si="104"/>
        <v>2.47E-3</v>
      </c>
      <c r="AN53" s="325" t="s">
        <v>589</v>
      </c>
      <c r="AO53" s="260" t="str">
        <f>INDEX('Cloud Price List'!$B$3:$N$1491,MATCH(BOM!$A53,'Cloud Price List'!$A$3:$A$1491,0),6)</f>
        <v>Storage</v>
      </c>
    </row>
    <row r="54" spans="1:42" s="260" customFormat="1">
      <c r="A54" s="845" t="s">
        <v>3161</v>
      </c>
      <c r="B54" s="249" t="str">
        <f>INDEX('Cloud Price List'!$B$3:$N$1491,MATCH(BOM!$A54,'Cloud Price List'!$A$3:$A$1491,0),1)</f>
        <v>Oracle Cloud Infrastructure Identity and Access Management - Premium</v>
      </c>
      <c r="C54" s="443" t="str">
        <f>INDEX('Cloud Price List'!$B$3:$N$1491,MATCH(BOM!$A54,'Cloud Price List'!$A$3:$A$1491,0),4)</f>
        <v>User Per Month</v>
      </c>
      <c r="D54" s="258" t="str">
        <f>INDEX('Cloud Price List'!$B$3:$N$1491,MATCH(BOM!$A54,'Cloud Price List'!$A$3:$A$1491,0),9)</f>
        <v>PAAS</v>
      </c>
      <c r="E54" s="264">
        <f>INDEX('Cloud Price List'!$B$3:$N$1491,MATCH(BOM!$A54,'Cloud Price List'!$A$3:$A$1491,0),3)*'Cloud Price List'!$E$1</f>
        <v>3.2</v>
      </c>
      <c r="F54" s="265">
        <f t="shared" si="75"/>
        <v>3.2</v>
      </c>
      <c r="G54" s="251">
        <f>IF(INDEX('Cloud Price List'!$B$3:$N$1491,MATCH($A54,'Cloud Price List'!$A$3:$A$1491,0),8)="UC0",0,IF(ISBLANK(VLOOKUP($D54,$D$4:$E$7,2,FALSE)),$AI$74,VLOOKUP($D54,$D$4:$E$7,2,FALSE)))</f>
        <v>0.05</v>
      </c>
      <c r="I54" s="252">
        <v>862</v>
      </c>
      <c r="J54" s="252"/>
      <c r="K54" s="252">
        <f t="shared" si="76"/>
        <v>33100.800000000003</v>
      </c>
      <c r="L54" s="252">
        <f t="shared" si="77"/>
        <v>31445.760000000002</v>
      </c>
      <c r="M54" s="250"/>
      <c r="N54" s="252"/>
      <c r="O54" s="252"/>
      <c r="P54" s="252">
        <f t="shared" si="78"/>
        <v>0</v>
      </c>
      <c r="Q54" s="252">
        <f t="shared" si="79"/>
        <v>0</v>
      </c>
      <c r="R54" s="250"/>
      <c r="S54" s="252"/>
      <c r="T54" s="252"/>
      <c r="U54" s="252">
        <f t="shared" si="80"/>
        <v>0</v>
      </c>
      <c r="V54" s="252">
        <f t="shared" si="81"/>
        <v>0</v>
      </c>
      <c r="W54" s="250"/>
      <c r="X54" s="252"/>
      <c r="Y54" s="252"/>
      <c r="Z54" s="252">
        <f t="shared" si="82"/>
        <v>0</v>
      </c>
      <c r="AA54" s="252">
        <f t="shared" si="83"/>
        <v>0</v>
      </c>
      <c r="AB54" s="250"/>
      <c r="AC54" s="252"/>
      <c r="AD54" s="252"/>
      <c r="AE54" s="252">
        <f t="shared" si="84"/>
        <v>0</v>
      </c>
      <c r="AF54" s="252">
        <f t="shared" si="85"/>
        <v>0</v>
      </c>
      <c r="AG54" s="250"/>
      <c r="AH54" s="252">
        <f t="shared" si="86"/>
        <v>862</v>
      </c>
      <c r="AI54" s="252">
        <f t="shared" si="87"/>
        <v>33100.800000000003</v>
      </c>
      <c r="AJ54" s="252">
        <f t="shared" si="88"/>
        <v>31445.760000000002</v>
      </c>
      <c r="AK54" s="250"/>
      <c r="AL54" s="333">
        <f t="shared" si="89"/>
        <v>3.04</v>
      </c>
      <c r="AN54" s="325" t="s">
        <v>589</v>
      </c>
      <c r="AO54" s="260" t="str">
        <f>INDEX('Cloud Price List'!$B$3:$N$1491,MATCH(BOM!$A54,'Cloud Price List'!$A$3:$A$1491,0),6)</f>
        <v>Platform</v>
      </c>
      <c r="AP54" s="260" t="s">
        <v>3225</v>
      </c>
    </row>
    <row r="55" spans="1:42" s="260" customFormat="1">
      <c r="A55" s="845"/>
      <c r="B55" s="249" t="s">
        <v>3226</v>
      </c>
      <c r="C55" s="443"/>
      <c r="D55" s="258"/>
      <c r="E55" s="264"/>
      <c r="F55" s="265"/>
      <c r="G55" s="251"/>
      <c r="I55" s="252"/>
      <c r="J55" s="252"/>
      <c r="K55" s="252"/>
      <c r="L55" s="252"/>
      <c r="M55" s="250"/>
      <c r="N55" s="252"/>
      <c r="O55" s="252"/>
      <c r="P55" s="252"/>
      <c r="Q55" s="252"/>
      <c r="R55" s="250"/>
      <c r="S55" s="252"/>
      <c r="T55" s="252"/>
      <c r="U55" s="252"/>
      <c r="V55" s="252"/>
      <c r="W55" s="250"/>
      <c r="X55" s="252"/>
      <c r="Y55" s="252"/>
      <c r="Z55" s="252"/>
      <c r="AA55" s="252"/>
      <c r="AB55" s="250"/>
      <c r="AC55" s="252"/>
      <c r="AD55" s="252"/>
      <c r="AE55" s="252"/>
      <c r="AF55" s="252"/>
      <c r="AG55" s="250"/>
      <c r="AH55" s="252"/>
      <c r="AI55" s="252"/>
      <c r="AJ55" s="252"/>
      <c r="AK55" s="250"/>
      <c r="AL55" s="333"/>
      <c r="AN55" s="325"/>
    </row>
    <row r="56" spans="1:42" s="260" customFormat="1">
      <c r="A56" s="845" t="s">
        <v>2134</v>
      </c>
      <c r="B56" s="249" t="str">
        <f>INDEX('Cloud Price List'!$B$3:$N$1491,MATCH(BOM!$A56,'Cloud Price List'!$A$3:$A$1491,0),1)</f>
        <v>Oracle WebLogic Suite for Oracle Cloud Infrastructure
(*Available on the Oracle Cloud Marketplace:  See Note 15)</v>
      </c>
      <c r="C56" s="443" t="str">
        <f>INDEX('Cloud Price List'!$B$3:$N$1491,MATCH(BOM!$A56,'Cloud Price List'!$A$3:$A$1491,0),4)</f>
        <v>OCPU Per Hour</v>
      </c>
      <c r="D56" s="258" t="str">
        <f>INDEX('Cloud Price List'!$B$3:$N$1491,MATCH(BOM!$A56,'Cloud Price List'!$A$3:$A$1491,0),9)</f>
        <v>PAAS</v>
      </c>
      <c r="E56" s="264">
        <f>INDEX('Cloud Price List'!$B$3:$N$1491,MATCH(BOM!$A56,'Cloud Price List'!$A$3:$A$1491,0),3)*'Cloud Price List'!$E$1</f>
        <v>0.72270000000000001</v>
      </c>
      <c r="F56" s="265">
        <f t="shared" ref="F56" si="105">E56</f>
        <v>0.72270000000000001</v>
      </c>
      <c r="G56" s="251">
        <f>IF(INDEX('Cloud Price List'!$B$3:$N$1491,MATCH($A56,'Cloud Price List'!$A$3:$A$1491,0),8)="UC0",0,IF(ISBLANK(VLOOKUP($D56,$D$4:$E$7,2,FALSE)),$AI$74,VLOOKUP($D56,$D$4:$E$7,2,FALSE)))</f>
        <v>0.05</v>
      </c>
      <c r="I56" s="252">
        <f>I16</f>
        <v>6</v>
      </c>
      <c r="J56" s="252"/>
      <c r="K56" s="252">
        <f t="shared" ref="K56" si="106">IF(L$8="y",IF($AN56="y",IF(ISNUMBER(SEARCH("Hour",$C56)),IF(J56=0,$A$5*$A$6*$F56*I56,$A$5*J56*$F56*I56),IF($D56="SRV",$F56*I56,$A$5*$F56*I56)),0),0)</f>
        <v>37985.112000000001</v>
      </c>
      <c r="L56" s="252">
        <f t="shared" ref="L56" si="107">K56*(1-$G56)</f>
        <v>36085.856399999997</v>
      </c>
      <c r="M56" s="250"/>
      <c r="N56" s="252">
        <f>N16</f>
        <v>3</v>
      </c>
      <c r="O56" s="252"/>
      <c r="P56" s="252">
        <f t="shared" ref="P56" si="108">IF(Q$8="y",IF($AN56="y",IF(ISNUMBER(SEARCH("Hour",$C56)),IF(O56=0,$A$5*$A$6*$F56*N56,$A$5*O56*$F56*N56),IF($D56="SRV",$F56*N56,$A$5*$F56*N56)),0),0)</f>
        <v>18992.556</v>
      </c>
      <c r="Q56" s="252">
        <f t="shared" ref="Q56" si="109">P56*(1-$G56)</f>
        <v>18042.928199999998</v>
      </c>
      <c r="R56" s="250"/>
      <c r="S56" s="252"/>
      <c r="T56" s="252"/>
      <c r="U56" s="252">
        <f t="shared" ref="U56" si="110">IF(V$8="y",IF($AN56="y",IF(ISNUMBER(SEARCH("Hour",$C56)),IF(T56=0,$A$5*$A$6*$F56*S56,$A$5*T56*$F56*S56),IF($D56="SRV",$F56*S56,$A$5*$F56*S56)),0),0)</f>
        <v>0</v>
      </c>
      <c r="V56" s="252">
        <f t="shared" ref="V56" si="111">U56*(1-$G56)</f>
        <v>0</v>
      </c>
      <c r="W56" s="250"/>
      <c r="X56" s="252"/>
      <c r="Y56" s="252"/>
      <c r="Z56" s="252">
        <f t="shared" ref="Z56" si="112">IF(AA$8="y",IF($AN56="y",IF(ISNUMBER(SEARCH("Hour",$C56)),IF(Y56=0,$A$5*$A$6*$F56*X56,$A$5*Y56*$F56*X56),IF($D56="SRV",$F56*X56,$A$5*$F56*X56)),0),0)</f>
        <v>0</v>
      </c>
      <c r="AA56" s="252">
        <f t="shared" ref="AA56" si="113">Z56*(1-$G56)</f>
        <v>0</v>
      </c>
      <c r="AB56" s="250"/>
      <c r="AC56" s="252"/>
      <c r="AD56" s="252"/>
      <c r="AE56" s="252">
        <f t="shared" ref="AE56" si="114">IF(AF$8="y",IF($AN56="y",IF(ISNUMBER(SEARCH("Hour",$C56)),IF(AD56=0,$A$5*$A$6*$F56*AC56,$A$5*AD56*$F56*AC56),IF($D56="SRV",$F56*AC56,$A$5*$F56*AC56)),0),0)</f>
        <v>0</v>
      </c>
      <c r="AF56" s="252">
        <f t="shared" ref="AF56" si="115">AE56*(1-$G56)</f>
        <v>0</v>
      </c>
      <c r="AG56" s="250"/>
      <c r="AH56" s="252">
        <f t="shared" ref="AH56" si="116">SUMIF($L$8,"Y",I56)+SUMIF($Q$8,"Y",N56)+SUMIF($V$8,"Y",S56)+SUMIF($AA$8,"Y",X56)+SUMIF($AF$8,"Y",AC56)</f>
        <v>9</v>
      </c>
      <c r="AI56" s="252">
        <f t="shared" ref="AI56" si="117">SUMIF(H$10:AG$10,AI$10,H56:AG56)</f>
        <v>56977.668000000005</v>
      </c>
      <c r="AJ56" s="252">
        <f t="shared" ref="AJ56" si="118">SUMIF(H$10:AG$10,AJ$10,H56:AG56)</f>
        <v>54128.784599999999</v>
      </c>
      <c r="AK56" s="250"/>
      <c r="AL56" s="333">
        <f t="shared" ref="AL56" si="119">F56*(1-G56)</f>
        <v>0.68656499999999998</v>
      </c>
      <c r="AN56" s="325" t="s">
        <v>589</v>
      </c>
      <c r="AO56" s="260" t="str">
        <f>INDEX('Cloud Price List'!$B$3:$N$1491,MATCH(BOM!$A56,'Cloud Price List'!$A$3:$A$1491,0),6)</f>
        <v>Platform</v>
      </c>
      <c r="AP56" s="260" t="s">
        <v>3227</v>
      </c>
    </row>
    <row r="57" spans="1:42" s="260" customFormat="1">
      <c r="A57" s="338" t="s">
        <v>1399</v>
      </c>
      <c r="B57" s="249"/>
      <c r="C57" s="443"/>
      <c r="D57" s="258"/>
      <c r="E57" s="264"/>
      <c r="F57" s="265"/>
      <c r="G57" s="251"/>
      <c r="I57" s="252"/>
      <c r="J57" s="252"/>
      <c r="K57" s="252">
        <f t="shared" si="0"/>
        <v>0</v>
      </c>
      <c r="L57" s="252"/>
      <c r="M57" s="250"/>
      <c r="N57" s="252"/>
      <c r="O57" s="252"/>
      <c r="P57" s="252">
        <f t="shared" si="2"/>
        <v>0</v>
      </c>
      <c r="Q57" s="252"/>
      <c r="R57" s="250"/>
      <c r="S57" s="252"/>
      <c r="T57" s="252"/>
      <c r="U57" s="252">
        <f t="shared" si="4"/>
        <v>0</v>
      </c>
      <c r="V57" s="252"/>
      <c r="W57" s="250"/>
      <c r="X57" s="252"/>
      <c r="Y57" s="252"/>
      <c r="Z57" s="252">
        <f t="shared" si="6"/>
        <v>0</v>
      </c>
      <c r="AA57" s="252"/>
      <c r="AB57" s="250"/>
      <c r="AC57" s="252"/>
      <c r="AD57" s="252"/>
      <c r="AE57" s="252">
        <f t="shared" si="8"/>
        <v>0</v>
      </c>
      <c r="AF57" s="252"/>
      <c r="AG57" s="250"/>
      <c r="AH57" s="252"/>
      <c r="AI57" s="345" t="s">
        <v>133</v>
      </c>
      <c r="AJ57" s="345" t="s">
        <v>133</v>
      </c>
      <c r="AK57" s="250"/>
      <c r="AL57" s="339"/>
      <c r="AN57" s="340"/>
    </row>
    <row r="58" spans="1:42" s="260" customFormat="1" ht="16">
      <c r="A58" s="847" t="s">
        <v>3123</v>
      </c>
      <c r="B58" s="249" t="str">
        <f>INDEX('Cloud Price List'!$B$3:$N$1491,MATCH(BOM!$A58,'Cloud Price List'!$A$3:$A$1491,0),1)</f>
        <v>Gen 2 Exadata Cloud@Customer Infrastructure - X9M - Quarter Rack - Non-metered</v>
      </c>
      <c r="C58" s="443" t="str">
        <f>INDEX('Cloud Price List'!$B$3:$N$1491,MATCH(BOM!$A58,'Cloud Price List'!$A$3:$A$1491,0),4)</f>
        <v>Hosted Environment Per Month</v>
      </c>
      <c r="D58" s="258" t="str">
        <f>INDEX('Cloud Price List'!$B$3:$N$1491,MATCH(BOM!$A58,'Cloud Price List'!$A$3:$A$1491,0),9)</f>
        <v>CC</v>
      </c>
      <c r="E58" s="264">
        <f>INDEX('Cloud Price List'!$B$3:$N$1491,MATCH(BOM!$A58,'Cloud Price List'!$A$3:$A$1491,0),3)*'Cloud Price List'!$E$1</f>
        <v>10800</v>
      </c>
      <c r="F58" s="265">
        <f t="shared" si="33"/>
        <v>10800</v>
      </c>
      <c r="G58" s="251">
        <f>IF(INDEX('Cloud Price List'!$B$3:$N$1491,MATCH($A58,'Cloud Price List'!$A$3:$A$1491,0),8)="UC0",0,IF(ISBLANK(VLOOKUP($D58,$D$4:$E$7,2,FALSE)),$AI$74,VLOOKUP($D58,$D$4:$E$7,2,FALSE)))</f>
        <v>0.05</v>
      </c>
      <c r="I58" s="252"/>
      <c r="J58" s="252"/>
      <c r="K58" s="252">
        <f t="shared" si="0"/>
        <v>0</v>
      </c>
      <c r="L58" s="252">
        <f t="shared" ref="L58:L64" si="120">K58*(1-$G58)</f>
        <v>0</v>
      </c>
      <c r="M58" s="250"/>
      <c r="N58" s="252"/>
      <c r="O58" s="252"/>
      <c r="P58" s="252">
        <f t="shared" si="2"/>
        <v>0</v>
      </c>
      <c r="Q58" s="252">
        <f t="shared" ref="Q58:Q64" si="121">P58*(1-$G58)</f>
        <v>0</v>
      </c>
      <c r="R58" s="250"/>
      <c r="S58" s="252"/>
      <c r="T58" s="252"/>
      <c r="U58" s="252">
        <f t="shared" si="4"/>
        <v>0</v>
      </c>
      <c r="V58" s="252">
        <f>U58*(1-$G58)</f>
        <v>0</v>
      </c>
      <c r="W58" s="250"/>
      <c r="X58" s="252"/>
      <c r="Y58" s="252"/>
      <c r="Z58" s="252">
        <f t="shared" si="6"/>
        <v>0</v>
      </c>
      <c r="AA58" s="252">
        <f t="shared" ref="AA58:AA64" si="122">Z58*(1-$G58)</f>
        <v>0</v>
      </c>
      <c r="AB58" s="250"/>
      <c r="AC58" s="252"/>
      <c r="AD58" s="252"/>
      <c r="AE58" s="252">
        <f t="shared" si="8"/>
        <v>0</v>
      </c>
      <c r="AF58" s="252">
        <f t="shared" ref="AF58:AF64" si="123">AE58*(1-$G58)</f>
        <v>0</v>
      </c>
      <c r="AG58" s="250"/>
      <c r="AH58" s="252">
        <f>SUMIF($L$8,"Y",I58)+SUMIF($Q$8,"Y",N58)+SUMIF($V$8,"Y",S58)+SUMIF($AA$8,"Y",X58)+SUMIF($AF$8,"Y",AC58)</f>
        <v>0</v>
      </c>
      <c r="AI58" s="252">
        <f>SUMIF(H$10:AG$10,AI$10,H58:AG58)</f>
        <v>0</v>
      </c>
      <c r="AJ58" s="252">
        <f>SUMIF(H$10:AG$10,AJ$10,H58:AG58)</f>
        <v>0</v>
      </c>
      <c r="AK58" s="250"/>
      <c r="AL58" s="333">
        <f>F58*(1-G58)</f>
        <v>10260</v>
      </c>
      <c r="AN58" s="325" t="s">
        <v>589</v>
      </c>
      <c r="AO58" s="260" t="str">
        <f>INDEX('Cloud Price List'!$B$3:$N$1491,MATCH(BOM!$A58,'Cloud Price List'!$A$3:$A$1491,0),6)</f>
        <v>CC</v>
      </c>
    </row>
    <row r="59" spans="1:42" s="260" customFormat="1" ht="16">
      <c r="A59" s="847" t="s">
        <v>3127</v>
      </c>
      <c r="B59" s="249" t="str">
        <f>INDEX('Cloud Price List'!$B$3:$N$1491,MATCH(BOM!$A59,'Cloud Price List'!$A$3:$A$1491,0),1)</f>
        <v>Gen 2 Exadata Cloud@Customer Infrastructure - X9M - Half Rack - Non-metered</v>
      </c>
      <c r="C59" s="443" t="str">
        <f>INDEX('Cloud Price List'!$B$3:$N$1491,MATCH(BOM!$A59,'Cloud Price List'!$A$3:$A$1491,0),4)</f>
        <v>Hosted Environment Per Month</v>
      </c>
      <c r="D59" s="258" t="str">
        <f>INDEX('Cloud Price List'!$B$3:$N$1491,MATCH(BOM!$A59,'Cloud Price List'!$A$3:$A$1491,0),9)</f>
        <v>CC</v>
      </c>
      <c r="E59" s="264">
        <f>INDEX('Cloud Price List'!$B$3:$N$1491,MATCH(BOM!$A59,'Cloud Price List'!$A$3:$A$1491,0),3)*'Cloud Price List'!$E$1</f>
        <v>21600</v>
      </c>
      <c r="F59" s="265">
        <f t="shared" si="33"/>
        <v>21600</v>
      </c>
      <c r="G59" s="251">
        <f>IF(INDEX('Cloud Price List'!$B$3:$N$1491,MATCH($A59,'Cloud Price List'!$A$3:$A$1491,0),8)="UC0",0,IF(ISBLANK(VLOOKUP($D59,$D$4:$E$7,2,FALSE)),$AI$74,VLOOKUP($D59,$D$4:$E$7,2,FALSE)))</f>
        <v>0.05</v>
      </c>
      <c r="I59" s="252"/>
      <c r="J59" s="252"/>
      <c r="K59" s="252">
        <f t="shared" si="0"/>
        <v>0</v>
      </c>
      <c r="L59" s="252">
        <f t="shared" si="120"/>
        <v>0</v>
      </c>
      <c r="M59" s="250"/>
      <c r="N59" s="252"/>
      <c r="O59" s="252"/>
      <c r="P59" s="252">
        <f t="shared" si="2"/>
        <v>0</v>
      </c>
      <c r="Q59" s="252">
        <f t="shared" si="121"/>
        <v>0</v>
      </c>
      <c r="R59" s="250"/>
      <c r="S59" s="252"/>
      <c r="T59" s="252"/>
      <c r="U59" s="252">
        <f t="shared" si="4"/>
        <v>0</v>
      </c>
      <c r="V59" s="252">
        <f>U59*(1-$G59)</f>
        <v>0</v>
      </c>
      <c r="W59" s="250"/>
      <c r="X59" s="252"/>
      <c r="Y59" s="252"/>
      <c r="Z59" s="252">
        <f t="shared" si="6"/>
        <v>0</v>
      </c>
      <c r="AA59" s="252">
        <f t="shared" si="122"/>
        <v>0</v>
      </c>
      <c r="AB59" s="250"/>
      <c r="AC59" s="252"/>
      <c r="AD59" s="252"/>
      <c r="AE59" s="252">
        <f t="shared" si="8"/>
        <v>0</v>
      </c>
      <c r="AF59" s="252">
        <f t="shared" si="123"/>
        <v>0</v>
      </c>
      <c r="AG59" s="250"/>
      <c r="AH59" s="252">
        <f>SUMIF($L$8,"Y",I59)+SUMIF($Q$8,"Y",N59)+SUMIF($V$8,"Y",S59)+SUMIF($AA$8,"Y",X59)+SUMIF($AF$8,"Y",AC59)</f>
        <v>0</v>
      </c>
      <c r="AI59" s="252">
        <f>SUMIF(H$10:AG$10,AI$10,H59:AG59)</f>
        <v>0</v>
      </c>
      <c r="AJ59" s="252">
        <f>SUMIF(H$10:AG$10,AJ$10,H59:AG59)</f>
        <v>0</v>
      </c>
      <c r="AK59" s="250"/>
      <c r="AL59" s="333">
        <f>F59*(1-G59)</f>
        <v>20520</v>
      </c>
      <c r="AN59" s="325" t="s">
        <v>589</v>
      </c>
      <c r="AO59" s="260" t="str">
        <f>INDEX('Cloud Price List'!$B$3:$N$1491,MATCH(BOM!$A59,'Cloud Price List'!$A$3:$A$1491,0),6)</f>
        <v>CC</v>
      </c>
    </row>
    <row r="60" spans="1:42" s="260" customFormat="1" ht="16">
      <c r="A60" s="847" t="s">
        <v>3131</v>
      </c>
      <c r="B60" s="249" t="str">
        <f>INDEX('Cloud Price List'!$B$3:$N$1491,MATCH(BOM!$A60,'Cloud Price List'!$A$3:$A$1491,0),1)</f>
        <v>Gen 2 Exadata Cloud@Customer Infrastructure - X9M - Full Rack - Non-metered</v>
      </c>
      <c r="C60" s="443" t="str">
        <f>INDEX('Cloud Price List'!$B$3:$N$1491,MATCH(BOM!$A60,'Cloud Price List'!$A$3:$A$1491,0),4)</f>
        <v>Hosted Environment Per Month</v>
      </c>
      <c r="D60" s="258" t="str">
        <f>INDEX('Cloud Price List'!$B$3:$N$1491,MATCH(BOM!$A60,'Cloud Price List'!$A$3:$A$1491,0),9)</f>
        <v>CC</v>
      </c>
      <c r="E60" s="264">
        <f>INDEX('Cloud Price List'!$B$3:$N$1491,MATCH(BOM!$A60,'Cloud Price List'!$A$3:$A$1491,0),3)*'Cloud Price List'!$E$1</f>
        <v>43200</v>
      </c>
      <c r="F60" s="265">
        <f t="shared" si="33"/>
        <v>43200</v>
      </c>
      <c r="G60" s="251">
        <f>IF(INDEX('Cloud Price List'!$B$3:$N$1491,MATCH($A60,'Cloud Price List'!$A$3:$A$1491,0),8)="UC0",0,IF(ISBLANK(VLOOKUP($D60,$D$4:$E$7,2,FALSE)),$AI$74,VLOOKUP($D60,$D$4:$E$7,2,FALSE)))</f>
        <v>0.05</v>
      </c>
      <c r="I60" s="252"/>
      <c r="J60" s="252"/>
      <c r="K60" s="252">
        <f t="shared" si="0"/>
        <v>0</v>
      </c>
      <c r="L60" s="252">
        <f t="shared" si="120"/>
        <v>0</v>
      </c>
      <c r="M60" s="250"/>
      <c r="N60" s="252"/>
      <c r="O60" s="252"/>
      <c r="P60" s="252">
        <f t="shared" si="2"/>
        <v>0</v>
      </c>
      <c r="Q60" s="252">
        <f t="shared" si="121"/>
        <v>0</v>
      </c>
      <c r="R60" s="250"/>
      <c r="S60" s="252"/>
      <c r="T60" s="252"/>
      <c r="U60" s="252">
        <f t="shared" si="4"/>
        <v>0</v>
      </c>
      <c r="V60" s="252">
        <f>U60*(1-$G60)</f>
        <v>0</v>
      </c>
      <c r="W60" s="250"/>
      <c r="X60" s="252"/>
      <c r="Y60" s="252"/>
      <c r="Z60" s="252">
        <f t="shared" si="6"/>
        <v>0</v>
      </c>
      <c r="AA60" s="252">
        <f t="shared" si="122"/>
        <v>0</v>
      </c>
      <c r="AB60" s="250"/>
      <c r="AC60" s="252"/>
      <c r="AD60" s="252"/>
      <c r="AE60" s="252">
        <f t="shared" si="8"/>
        <v>0</v>
      </c>
      <c r="AF60" s="252">
        <f t="shared" si="123"/>
        <v>0</v>
      </c>
      <c r="AG60" s="250"/>
      <c r="AH60" s="252">
        <f>SUMIF($L$8,"Y",I60)+SUMIF($Q$8,"Y",N60)+SUMIF($V$8,"Y",S60)+SUMIF($AA$8,"Y",X60)+SUMIF($AF$8,"Y",AC60)</f>
        <v>0</v>
      </c>
      <c r="AI60" s="252">
        <f>SUMIF(H$10:AG$10,AI$10,H60:AG60)</f>
        <v>0</v>
      </c>
      <c r="AJ60" s="252">
        <f>SUMIF(H$10:AG$10,AJ$10,H60:AG60)</f>
        <v>0</v>
      </c>
      <c r="AK60" s="250"/>
      <c r="AL60" s="333">
        <f>F60*(1-G60)</f>
        <v>41040</v>
      </c>
      <c r="AN60" s="325" t="s">
        <v>589</v>
      </c>
      <c r="AO60" s="260" t="str">
        <f>INDEX('Cloud Price List'!$B$3:$N$1491,MATCH(BOM!$A60,'Cloud Price List'!$A$3:$A$1491,0),6)</f>
        <v>CC</v>
      </c>
    </row>
    <row r="61" spans="1:42" s="260" customFormat="1" ht="16">
      <c r="A61" s="847" t="s">
        <v>2412</v>
      </c>
      <c r="B61" s="249" t="str">
        <f>INDEX('Cloud Price List'!$B$3:$N$1491,MATCH(BOM!$A61,'Cloud Price List'!$A$3:$A$1491,0),1)</f>
        <v>Gen 2 Exadata Cloud at Customer Infrastructure - XM - Base System - Non-metered</v>
      </c>
      <c r="C61" s="443" t="str">
        <f>INDEX('Cloud Price List'!$B$3:$N$1491,MATCH(BOM!$A61,'Cloud Price List'!$A$3:$A$1491,0),4)</f>
        <v>Hosted Environment Per Month</v>
      </c>
      <c r="D61" s="258" t="str">
        <f>INDEX('Cloud Price List'!$B$3:$N$1491,MATCH(BOM!$A61,'Cloud Price List'!$A$3:$A$1491,0),9)</f>
        <v>CC</v>
      </c>
      <c r="E61" s="264">
        <f>INDEX('Cloud Price List'!$B$3:$N$1491,MATCH(BOM!$A61,'Cloud Price List'!$A$3:$A$1491,0),3)*'Cloud Price List'!$E$1</f>
        <v>8000</v>
      </c>
      <c r="F61" s="265">
        <f t="shared" si="33"/>
        <v>8000</v>
      </c>
      <c r="G61" s="251">
        <f>IF(INDEX('Cloud Price List'!$B$3:$N$1491,MATCH($A61,'Cloud Price List'!$A$3:$A$1491,0),8)="UC0",0,IF(ISBLANK(VLOOKUP($D61,$D$4:$E$7,2,FALSE)),$AI$74,VLOOKUP($D61,$D$4:$E$7,2,FALSE)))</f>
        <v>0.05</v>
      </c>
      <c r="I61" s="252"/>
      <c r="J61" s="252"/>
      <c r="K61" s="252">
        <f t="shared" si="0"/>
        <v>0</v>
      </c>
      <c r="L61" s="252">
        <f t="shared" si="120"/>
        <v>0</v>
      </c>
      <c r="M61" s="250"/>
      <c r="N61" s="252"/>
      <c r="O61" s="252"/>
      <c r="P61" s="252">
        <f t="shared" si="2"/>
        <v>0</v>
      </c>
      <c r="Q61" s="252">
        <f t="shared" si="121"/>
        <v>0</v>
      </c>
      <c r="R61" s="250"/>
      <c r="S61" s="252"/>
      <c r="T61" s="252"/>
      <c r="U61" s="252">
        <f t="shared" si="4"/>
        <v>0</v>
      </c>
      <c r="V61" s="252">
        <f>U61*(1-$G61)</f>
        <v>0</v>
      </c>
      <c r="W61" s="250"/>
      <c r="X61" s="252"/>
      <c r="Y61" s="252"/>
      <c r="Z61" s="252">
        <f t="shared" si="6"/>
        <v>0</v>
      </c>
      <c r="AA61" s="252">
        <f t="shared" si="122"/>
        <v>0</v>
      </c>
      <c r="AB61" s="250"/>
      <c r="AC61" s="252"/>
      <c r="AD61" s="252"/>
      <c r="AE61" s="252">
        <f t="shared" si="8"/>
        <v>0</v>
      </c>
      <c r="AF61" s="252">
        <f t="shared" si="123"/>
        <v>0</v>
      </c>
      <c r="AG61" s="250"/>
      <c r="AH61" s="252">
        <f>SUMIF($L$8,"Y",I61)+SUMIF($Q$8,"Y",N61)+SUMIF($V$8,"Y",S61)+SUMIF($AA$8,"Y",X61)+SUMIF($AF$8,"Y",AC61)</f>
        <v>0</v>
      </c>
      <c r="AI61" s="252">
        <f>SUMIF(H$10:AG$10,AI$10,H61:AG61)</f>
        <v>0</v>
      </c>
      <c r="AJ61" s="252">
        <f>SUMIF(H$10:AG$10,AJ$10,H61:AG61)</f>
        <v>0</v>
      </c>
      <c r="AK61" s="250"/>
      <c r="AL61" s="333">
        <f>F61*(1-G61)</f>
        <v>7600</v>
      </c>
      <c r="AN61" s="325" t="s">
        <v>589</v>
      </c>
      <c r="AO61" s="260" t="str">
        <f>INDEX('Cloud Price List'!$B$3:$N$1491,MATCH(BOM!$A61,'Cloud Price List'!$A$3:$A$1491,0),6)</f>
        <v>CC</v>
      </c>
    </row>
    <row r="62" spans="1:42" s="260" customFormat="1" ht="16">
      <c r="A62" s="847" t="s">
        <v>2427</v>
      </c>
      <c r="B62" s="249" t="str">
        <f>INDEX('Cloud Price List'!$B$3:$N$1491,MATCH(BOM!$A62,'Cloud Price List'!$A$3:$A$1491,0),1)</f>
        <v>Gen 2 Exadata Cloud at Customer Storage Server - X8M - Non-metered</v>
      </c>
      <c r="C62" s="443" t="str">
        <f>INDEX('Cloud Price List'!$B$3:$N$1491,MATCH(BOM!$A62,'Cloud Price List'!$A$3:$A$1491,0),4)</f>
        <v>Hosted Environment Per Month</v>
      </c>
      <c r="D62" s="258" t="str">
        <f>INDEX('Cloud Price List'!$B$3:$N$1491,MATCH(BOM!$A62,'Cloud Price List'!$A$3:$A$1491,0),9)</f>
        <v>CC</v>
      </c>
      <c r="E62" s="264">
        <f>INDEX('Cloud Price List'!$B$3:$N$1491,MATCH(BOM!$A62,'Cloud Price List'!$A$3:$A$1491,0),3)*'Cloud Price List'!$E$1</f>
        <v>2160</v>
      </c>
      <c r="F62" s="265">
        <f t="shared" si="33"/>
        <v>2160</v>
      </c>
      <c r="G62" s="251">
        <f>IF(INDEX('Cloud Price List'!$B$3:$N$1491,MATCH($A62,'Cloud Price List'!$A$3:$A$1491,0),8)="UC0",0,IF(ISBLANK(VLOOKUP($D62,$D$4:$E$7,2,FALSE)),$AI$74,VLOOKUP($D62,$D$4:$E$7,2,FALSE)))</f>
        <v>0.05</v>
      </c>
      <c r="I62" s="252"/>
      <c r="J62" s="252"/>
      <c r="K62" s="252">
        <f t="shared" si="0"/>
        <v>0</v>
      </c>
      <c r="L62" s="252">
        <f t="shared" si="120"/>
        <v>0</v>
      </c>
      <c r="M62" s="250"/>
      <c r="N62" s="252"/>
      <c r="O62" s="252"/>
      <c r="P62" s="252">
        <f t="shared" si="2"/>
        <v>0</v>
      </c>
      <c r="Q62" s="252">
        <f t="shared" si="121"/>
        <v>0</v>
      </c>
      <c r="R62" s="250"/>
      <c r="S62" s="252"/>
      <c r="T62" s="252"/>
      <c r="U62" s="252">
        <f t="shared" si="4"/>
        <v>0</v>
      </c>
      <c r="V62" s="252">
        <f>U62*(1-$G62)</f>
        <v>0</v>
      </c>
      <c r="W62" s="250"/>
      <c r="X62" s="252"/>
      <c r="Y62" s="252"/>
      <c r="Z62" s="252">
        <f t="shared" si="6"/>
        <v>0</v>
      </c>
      <c r="AA62" s="252">
        <f t="shared" si="122"/>
        <v>0</v>
      </c>
      <c r="AB62" s="250"/>
      <c r="AC62" s="252"/>
      <c r="AD62" s="252"/>
      <c r="AE62" s="252">
        <f t="shared" si="8"/>
        <v>0</v>
      </c>
      <c r="AF62" s="252">
        <f t="shared" si="123"/>
        <v>0</v>
      </c>
      <c r="AG62" s="250"/>
      <c r="AH62" s="252">
        <f>SUMIF($L$8,"Y",I62)+SUMIF($Q$8,"Y",N62)+SUMIF($V$8,"Y",S62)+SUMIF($AA$8,"Y",X62)+SUMIF($AF$8,"Y",AC62)</f>
        <v>0</v>
      </c>
      <c r="AI62" s="252">
        <f>SUMIF(H$10:AG$10,AI$10,H62:AG62)</f>
        <v>0</v>
      </c>
      <c r="AJ62" s="252">
        <f>SUMIF(H$10:AG$10,AJ$10,H62:AG62)</f>
        <v>0</v>
      </c>
      <c r="AK62" s="250"/>
      <c r="AL62" s="333">
        <f>F62*(1-G62)</f>
        <v>2052</v>
      </c>
      <c r="AN62" s="325" t="s">
        <v>589</v>
      </c>
      <c r="AO62" s="260" t="str">
        <f>INDEX('Cloud Price List'!$B$3:$N$1491,MATCH(BOM!$A62,'Cloud Price List'!$A$3:$A$1491,0),6)</f>
        <v>CC</v>
      </c>
    </row>
    <row r="63" spans="1:42" s="260" customFormat="1">
      <c r="A63" s="342" t="s">
        <v>1635</v>
      </c>
      <c r="B63" s="249"/>
      <c r="C63" s="443"/>
      <c r="D63" s="258"/>
      <c r="E63" s="264"/>
      <c r="F63" s="265"/>
      <c r="G63" s="251"/>
      <c r="I63" s="252"/>
      <c r="J63" s="252"/>
      <c r="K63" s="252">
        <f t="shared" si="0"/>
        <v>0</v>
      </c>
      <c r="L63" s="252"/>
      <c r="M63" s="250"/>
      <c r="N63" s="252"/>
      <c r="O63" s="252"/>
      <c r="P63" s="252">
        <f t="shared" si="2"/>
        <v>0</v>
      </c>
      <c r="Q63" s="252"/>
      <c r="R63" s="250"/>
      <c r="S63" s="252"/>
      <c r="T63" s="252"/>
      <c r="U63" s="252">
        <f t="shared" si="4"/>
        <v>0</v>
      </c>
      <c r="V63" s="252"/>
      <c r="W63" s="250"/>
      <c r="X63" s="252"/>
      <c r="Y63" s="252"/>
      <c r="Z63" s="252">
        <f t="shared" si="6"/>
        <v>0</v>
      </c>
      <c r="AA63" s="252"/>
      <c r="AB63" s="250"/>
      <c r="AC63" s="252"/>
      <c r="AD63" s="252"/>
      <c r="AE63" s="252">
        <f t="shared" si="8"/>
        <v>0</v>
      </c>
      <c r="AF63" s="252"/>
      <c r="AG63" s="250"/>
      <c r="AH63" s="252"/>
      <c r="AI63" s="345" t="s">
        <v>133</v>
      </c>
      <c r="AJ63" s="345" t="s">
        <v>133</v>
      </c>
      <c r="AK63" s="250"/>
      <c r="AL63" s="333"/>
      <c r="AN63" s="325"/>
    </row>
    <row r="64" spans="1:42" s="260" customFormat="1" ht="16">
      <c r="A64" s="847" t="s">
        <v>1684</v>
      </c>
      <c r="B64" s="249" t="str">
        <f>INDEX('Cloud Price List'!$B$3:$N$1491,MATCH(BOM!$A64,'Cloud Price List'!$A$3:$A$1491,0),1)</f>
        <v xml:space="preserve">Gen 2 Exadata Cloud at Customer Installation and Activation Service
</v>
      </c>
      <c r="C64" s="443" t="str">
        <f>INDEX('Cloud Price List'!$B$3:$N$1491,MATCH(BOM!$A64,'Cloud Price List'!$A$3:$A$1491,0),4)</f>
        <v>Each</v>
      </c>
      <c r="D64" s="258" t="str">
        <f>INDEX('Cloud Price List'!$B$3:$N$1491,MATCH(BOM!$A64,'Cloud Price List'!$A$3:$A$1491,0),9)</f>
        <v>SRV</v>
      </c>
      <c r="E64" s="264">
        <f>INDEX('Cloud Price List'!$B$3:$N$1491,MATCH(BOM!$A64,'Cloud Price List'!$A$3:$A$1491,0),3)*'Cloud Price List'!$E$1</f>
        <v>30000</v>
      </c>
      <c r="F64" s="265">
        <f t="shared" ref="F64" si="124">E64</f>
        <v>30000</v>
      </c>
      <c r="G64" s="251"/>
      <c r="I64" s="252"/>
      <c r="J64" s="252"/>
      <c r="K64" s="252">
        <f t="shared" si="0"/>
        <v>0</v>
      </c>
      <c r="L64" s="252">
        <f t="shared" si="120"/>
        <v>0</v>
      </c>
      <c r="M64" s="250"/>
      <c r="N64" s="252"/>
      <c r="O64" s="252"/>
      <c r="P64" s="252">
        <f t="shared" si="2"/>
        <v>0</v>
      </c>
      <c r="Q64" s="252">
        <f t="shared" si="121"/>
        <v>0</v>
      </c>
      <c r="R64" s="250"/>
      <c r="S64" s="252"/>
      <c r="T64" s="252"/>
      <c r="U64" s="252">
        <f t="shared" si="4"/>
        <v>0</v>
      </c>
      <c r="V64" s="252">
        <f t="shared" ref="V64" si="125">U64*(1-$G64)</f>
        <v>0</v>
      </c>
      <c r="W64" s="250"/>
      <c r="X64" s="252">
        <f>SUM(X58:X61)</f>
        <v>0</v>
      </c>
      <c r="Y64" s="252"/>
      <c r="Z64" s="252">
        <f t="shared" si="6"/>
        <v>0</v>
      </c>
      <c r="AA64" s="252">
        <f t="shared" si="122"/>
        <v>0</v>
      </c>
      <c r="AB64" s="250"/>
      <c r="AC64" s="252">
        <f>SUM(AC58:AC61)</f>
        <v>0</v>
      </c>
      <c r="AD64" s="252"/>
      <c r="AE64" s="252">
        <f t="shared" si="8"/>
        <v>0</v>
      </c>
      <c r="AF64" s="252">
        <f t="shared" si="123"/>
        <v>0</v>
      </c>
      <c r="AG64" s="250"/>
      <c r="AH64" s="252">
        <f t="shared" ref="AH64" si="126">SUMIF($L$8,"Y",I64)+SUMIF($Q$8,"Y",N64)+SUMIF($V$8,"Y",S64)+SUMIF($AA$8,"Y",X64)+SUMIF($AF$8,"Y",AC64)</f>
        <v>0</v>
      </c>
      <c r="AI64" s="252">
        <f t="shared" ref="AI64" si="127">SUMIF(H$10:AG$10,AI$10,H64:AG64)</f>
        <v>0</v>
      </c>
      <c r="AJ64" s="252">
        <f t="shared" ref="AJ64" si="128">SUMIF(H$10:AG$10,AJ$10,H64:AG64)</f>
        <v>0</v>
      </c>
      <c r="AK64" s="250"/>
      <c r="AL64" s="333">
        <f t="shared" ref="AL64" si="129">F64*(1-G64)</f>
        <v>30000</v>
      </c>
      <c r="AN64" s="325" t="s">
        <v>589</v>
      </c>
      <c r="AO64" s="260" t="str">
        <f>INDEX('Cloud Price List'!$B$3:$N$1491,MATCH(BOM!$A64,'Cloud Price List'!$A$3:$A$1491,0),6)</f>
        <v>Consulting</v>
      </c>
    </row>
    <row r="65" spans="1:55" s="260" customFormat="1">
      <c r="A65" s="248"/>
      <c r="B65" s="248"/>
      <c r="C65" s="444"/>
      <c r="D65" s="266"/>
      <c r="E65" s="258"/>
      <c r="F65" s="265"/>
      <c r="G65" s="251"/>
      <c r="I65" s="252"/>
      <c r="J65" s="252"/>
      <c r="K65" s="252"/>
      <c r="L65" s="252"/>
      <c r="N65" s="252"/>
      <c r="O65" s="252"/>
      <c r="P65" s="252"/>
      <c r="Q65" s="252"/>
      <c r="S65" s="252"/>
      <c r="T65" s="252"/>
      <c r="U65" s="252"/>
      <c r="V65" s="252"/>
      <c r="X65" s="252"/>
      <c r="Y65" s="252"/>
      <c r="Z65" s="252"/>
      <c r="AA65" s="252"/>
      <c r="AC65" s="252"/>
      <c r="AD65" s="252"/>
      <c r="AE65" s="252"/>
      <c r="AF65" s="252"/>
      <c r="AH65" s="252"/>
      <c r="AI65" s="252"/>
      <c r="AJ65" s="252"/>
      <c r="AL65" s="329"/>
      <c r="AN65" s="325"/>
    </row>
    <row r="66" spans="1:55" s="7" customFormat="1">
      <c r="A66" s="312" t="s">
        <v>2304</v>
      </c>
      <c r="B66" s="5"/>
      <c r="C66" s="296"/>
      <c r="D66" s="258" t="s">
        <v>1636</v>
      </c>
      <c r="E66" s="26"/>
      <c r="K66" s="21">
        <f>SUMIFS(K$10:K$65,$D$10:$D$65,"&lt;&gt;"&amp;$D$67,$D$10:$D$65,"&lt;&gt;"&amp;$D$69)</f>
        <v>109846.10399999999</v>
      </c>
      <c r="L66" s="21">
        <f>SUMIFS(L$10:L$65,$D$10:$D$65,"&lt;&gt;"&amp;$D$67,$D$10:$D$65,"&lt;&gt;"&amp;$D$69)</f>
        <v>104353.79879999999</v>
      </c>
      <c r="M66" s="28"/>
      <c r="N66" s="28"/>
      <c r="O66" s="28"/>
      <c r="P66" s="21">
        <f>SUMIFS(P$10:P$65,$D$10:$D$65,"&lt;&gt;"&amp;$D$67,$D$10:$D$65,"&lt;&gt;"&amp;$D$69)</f>
        <v>40694.880000000005</v>
      </c>
      <c r="Q66" s="21">
        <f>SUMIFS(Q$10:Q$65,$D$10:$D$65,"&lt;&gt;"&amp;$D$67,$D$10:$D$65,"&lt;&gt;"&amp;$D$69)</f>
        <v>38660.135999999999</v>
      </c>
      <c r="R66" s="28"/>
      <c r="S66" s="28"/>
      <c r="T66" s="28"/>
      <c r="U66" s="21">
        <f>SUMIFS(U$10:U$65,$D$10:$D$65,"&lt;&gt;"&amp;$D$67,$D$10:$D$65,"&lt;&gt;"&amp;$D$69)</f>
        <v>0</v>
      </c>
      <c r="V66" s="21">
        <f>SUMIFS(V$10:V$65,$D$10:$D$65,"&lt;&gt;"&amp;$D$67,$D$10:$D$65,"&lt;&gt;"&amp;$D$69)</f>
        <v>0</v>
      </c>
      <c r="W66" s="28"/>
      <c r="X66" s="28"/>
      <c r="Y66" s="28"/>
      <c r="Z66" s="21">
        <f>SUMIFS(Z$10:Z$65,$D$10:$D$65,"&lt;&gt;"&amp;$D$67,$D$10:$D$65,"&lt;&gt;"&amp;$D$69)</f>
        <v>0</v>
      </c>
      <c r="AA66" s="21">
        <f>SUMIFS(AA$10:AA$65,$D$10:$D$65,"&lt;&gt;"&amp;$D$67,$D$10:$D$65,"&lt;&gt;"&amp;$D$69)</f>
        <v>0</v>
      </c>
      <c r="AB66" s="28"/>
      <c r="AC66" s="28"/>
      <c r="AD66" s="28"/>
      <c r="AE66" s="21">
        <f>SUMIFS(AE$10:AE$65,$D$10:$D$65,"&lt;&gt;"&amp;$D$67,$D$10:$D$65,"&lt;&gt;"&amp;$D$69)</f>
        <v>1971.96</v>
      </c>
      <c r="AF66" s="21">
        <f>SUMIFS(AF$10:AF$65,$D$10:$D$65,"&lt;&gt;"&amp;$D$67,$D$10:$D$65,"&lt;&gt;"&amp;$D$69)</f>
        <v>1873.3620000000001</v>
      </c>
      <c r="AG66" s="28"/>
      <c r="AH66" s="28"/>
      <c r="AI66" s="21">
        <f>SUMIFS(AI$10:AI$65,$D$10:$D$65,"&lt;&gt;"&amp;$D$67,$D$10:$D$65,"&lt;&gt;"&amp;$D$69)</f>
        <v>152512.94400000002</v>
      </c>
      <c r="AJ66" s="21">
        <f>SUMIFS(AJ$10:AJ$65,$D$10:$D$65,"&lt;&gt;"&amp;$D$67,$D$10:$D$65,"&lt;&gt;"&amp;$D$69)</f>
        <v>144887.29680000001</v>
      </c>
      <c r="AK66" s="28"/>
      <c r="AL66" s="330"/>
      <c r="AM66" s="261"/>
      <c r="AN66" s="326"/>
      <c r="AO66" s="261"/>
      <c r="AP66" s="261"/>
      <c r="AQ66" s="261"/>
      <c r="AR66" s="261"/>
      <c r="AS66" s="261"/>
      <c r="AT66" s="261"/>
      <c r="AU66" s="261"/>
      <c r="AV66" s="261"/>
      <c r="AW66" s="261"/>
      <c r="AX66" s="261"/>
      <c r="AY66" s="261"/>
      <c r="AZ66" s="261"/>
      <c r="BA66" s="261"/>
      <c r="BB66" s="261"/>
      <c r="BC66" s="261"/>
    </row>
    <row r="67" spans="1:55" s="1" customFormat="1">
      <c r="A67" s="312" t="s">
        <v>2305</v>
      </c>
      <c r="B67" s="5"/>
      <c r="C67" s="441"/>
      <c r="D67" s="346" t="s">
        <v>2160</v>
      </c>
      <c r="E67" s="16"/>
      <c r="F67" s="20"/>
      <c r="I67" s="13"/>
      <c r="J67" s="13"/>
      <c r="K67" s="21">
        <f>SUMIF($D$10:$D$65,$D67,K$10:K$65)</f>
        <v>0</v>
      </c>
      <c r="L67" s="21">
        <f>SUMIF($D$10:$D$65,$D67,L$10:L$65)</f>
        <v>0</v>
      </c>
      <c r="M67" s="21"/>
      <c r="N67" s="21"/>
      <c r="O67" s="21"/>
      <c r="P67" s="21">
        <f>SUMIF($D$10:$D$65,$D67,P$10:P$65)</f>
        <v>0</v>
      </c>
      <c r="Q67" s="21">
        <f>SUMIF($D$10:$D$65,$D67,Q$10:Q$65)</f>
        <v>0</v>
      </c>
      <c r="R67" s="21"/>
      <c r="S67" s="21"/>
      <c r="T67" s="21"/>
      <c r="U67" s="21">
        <f>SUMIF($D$10:$D$65,$D67,U$10:U$65)</f>
        <v>0</v>
      </c>
      <c r="V67" s="21">
        <f>SUMIF($D$10:$D$65,$D67,V$10:V$65)</f>
        <v>0</v>
      </c>
      <c r="W67" s="21"/>
      <c r="X67" s="21"/>
      <c r="Y67" s="21"/>
      <c r="Z67" s="21">
        <f>SUMIF($D$10:$D$65,$D67,Z$10:Z$65)</f>
        <v>0</v>
      </c>
      <c r="AA67" s="21">
        <f>SUMIF($D$10:$D$65,$D67,AA$10:AA$65)</f>
        <v>0</v>
      </c>
      <c r="AB67" s="21"/>
      <c r="AC67" s="21"/>
      <c r="AD67" s="21"/>
      <c r="AE67" s="21">
        <f>SUMIF($D$10:$D$65,$D67,AE$10:AE$65)</f>
        <v>0</v>
      </c>
      <c r="AF67" s="21">
        <f>SUMIF($D$10:$D$65,$D67,AF$10:AF$65)</f>
        <v>0</v>
      </c>
      <c r="AG67" s="21"/>
      <c r="AH67" s="21"/>
      <c r="AI67" s="21">
        <f>SUMIF($D$10:$D$65,$D67,AI$10:AI$65)</f>
        <v>0</v>
      </c>
      <c r="AJ67" s="21">
        <f>SUMIF($D$10:$D$65,$D67,AJ$10:AJ$65)</f>
        <v>0</v>
      </c>
      <c r="AK67" s="21"/>
      <c r="AL67" s="328"/>
      <c r="AN67" s="323"/>
    </row>
    <row r="68" spans="1:55" s="1" customFormat="1">
      <c r="A68" s="312" t="s">
        <v>2306</v>
      </c>
      <c r="B68" s="5"/>
      <c r="C68" s="441"/>
      <c r="D68" s="258"/>
      <c r="E68" s="16"/>
      <c r="F68" s="20"/>
      <c r="I68" s="13"/>
      <c r="J68" s="13"/>
      <c r="K68" s="347">
        <f>SUM(K66:K67)</f>
        <v>109846.10399999999</v>
      </c>
      <c r="L68" s="347">
        <f>SUM(L66:L67)</f>
        <v>104353.79879999999</v>
      </c>
      <c r="M68" s="21"/>
      <c r="N68" s="21"/>
      <c r="O68" s="21"/>
      <c r="P68" s="347">
        <f t="shared" ref="P68:Q68" si="130">SUM(P66:P67)</f>
        <v>40694.880000000005</v>
      </c>
      <c r="Q68" s="347">
        <f t="shared" si="130"/>
        <v>38660.135999999999</v>
      </c>
      <c r="R68" s="21"/>
      <c r="S68" s="21"/>
      <c r="T68" s="21"/>
      <c r="U68" s="347">
        <f t="shared" ref="U68:V68" si="131">SUM(U66:U67)</f>
        <v>0</v>
      </c>
      <c r="V68" s="347">
        <f t="shared" si="131"/>
        <v>0</v>
      </c>
      <c r="W68" s="21"/>
      <c r="X68" s="21"/>
      <c r="Y68" s="21"/>
      <c r="Z68" s="347">
        <f t="shared" ref="Z68:AA68" si="132">SUM(Z66:Z67)</f>
        <v>0</v>
      </c>
      <c r="AA68" s="347">
        <f t="shared" si="132"/>
        <v>0</v>
      </c>
      <c r="AB68" s="21"/>
      <c r="AC68" s="21"/>
      <c r="AD68" s="21"/>
      <c r="AE68" s="347">
        <f>SUM(AE66:AE67)</f>
        <v>1971.96</v>
      </c>
      <c r="AF68" s="347">
        <f>SUM(AF66:AF67)</f>
        <v>1873.3620000000001</v>
      </c>
      <c r="AG68" s="21"/>
      <c r="AH68" s="21"/>
      <c r="AI68" s="347">
        <f t="shared" ref="AI68:AJ68" si="133">SUM(AI66:AI67)</f>
        <v>152512.94400000002</v>
      </c>
      <c r="AJ68" s="347">
        <f t="shared" si="133"/>
        <v>144887.29680000001</v>
      </c>
      <c r="AK68" s="21"/>
      <c r="AL68" s="328"/>
      <c r="AN68" s="323"/>
    </row>
    <row r="69" spans="1:55" s="11" customFormat="1">
      <c r="A69" s="312" t="s">
        <v>2307</v>
      </c>
      <c r="B69" s="5"/>
      <c r="C69" s="442"/>
      <c r="D69" s="258" t="s">
        <v>1637</v>
      </c>
      <c r="E69" s="307"/>
      <c r="F69" s="33"/>
      <c r="I69" s="22"/>
      <c r="J69" s="22"/>
      <c r="K69" s="21">
        <f>SUMIF($D$12:$D$65,$D69,K$12:K$65)</f>
        <v>0</v>
      </c>
      <c r="L69" s="21">
        <f>SUMIF($D$12:$D$65,$D69,L$12:L$65)</f>
        <v>0</v>
      </c>
      <c r="M69" s="21"/>
      <c r="N69" s="21"/>
      <c r="O69" s="21"/>
      <c r="P69" s="21">
        <f>SUMIF($D$12:$D$65,$D69,P$12:P$65)</f>
        <v>0</v>
      </c>
      <c r="Q69" s="21">
        <f>SUMIF($D$12:$D$65,$D69,Q$12:Q$65)</f>
        <v>0</v>
      </c>
      <c r="R69" s="21"/>
      <c r="S69" s="21"/>
      <c r="T69" s="21"/>
      <c r="U69" s="21">
        <f>SUMIF($D$12:$D$65,$D69,U$12:U$65)</f>
        <v>0</v>
      </c>
      <c r="V69" s="21">
        <f>SUMIF($D$12:$D$65,$D69,V$12:V$65)</f>
        <v>0</v>
      </c>
      <c r="W69" s="21"/>
      <c r="X69" s="21"/>
      <c r="Y69" s="21"/>
      <c r="Z69" s="21">
        <f>SUMIF($D$12:$D$65,$D69,Z$12:Z$65)</f>
        <v>0</v>
      </c>
      <c r="AA69" s="21">
        <f>SUMIF($D$12:$D$65,$D69,AA$12:AA$65)</f>
        <v>0</v>
      </c>
      <c r="AB69" s="21"/>
      <c r="AC69" s="21"/>
      <c r="AD69" s="21"/>
      <c r="AE69" s="21">
        <f>SUMIF($D$12:$D$65,$D69,AE$12:AE$65)</f>
        <v>0</v>
      </c>
      <c r="AF69" s="21">
        <f>SUMIF($D$12:$D$65,$D69,AF$12:AF$65)</f>
        <v>0</v>
      </c>
      <c r="AG69" s="21"/>
      <c r="AH69" s="21"/>
      <c r="AI69" s="21">
        <f>SUMIF($D$12:$D$65,$D69,AI$12:AI$65)</f>
        <v>0</v>
      </c>
      <c r="AJ69" s="21">
        <f>SUMIF($D$12:$D$65,$D69,AJ$12:AJ$65)</f>
        <v>0</v>
      </c>
      <c r="AK69" s="21"/>
      <c r="AL69" s="343"/>
      <c r="AN69" s="344"/>
    </row>
    <row r="70" spans="1:55" s="11" customFormat="1">
      <c r="A70" s="312"/>
      <c r="B70" s="5"/>
      <c r="C70" s="442"/>
      <c r="D70" s="307"/>
      <c r="E70" s="307"/>
      <c r="F70" s="33"/>
      <c r="I70" s="22"/>
      <c r="J70" s="22"/>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343"/>
      <c r="AN70" s="344"/>
    </row>
    <row r="71" spans="1:55" s="1" customFormat="1">
      <c r="A71" s="312" t="s">
        <v>2303</v>
      </c>
      <c r="B71" s="5"/>
      <c r="C71" s="441"/>
      <c r="D71" s="16"/>
      <c r="E71" s="16"/>
      <c r="F71" s="20"/>
      <c r="I71" s="13"/>
      <c r="J71" s="13"/>
      <c r="K71" s="18">
        <f>K66/$A$5</f>
        <v>9153.8419999999987</v>
      </c>
      <c r="L71" s="18">
        <f>L66/$A$5</f>
        <v>8696.1498999999985</v>
      </c>
      <c r="M71" s="21"/>
      <c r="N71" s="21"/>
      <c r="O71" s="21"/>
      <c r="P71" s="18">
        <f>P66/$A$5</f>
        <v>3391.2400000000002</v>
      </c>
      <c r="Q71" s="18">
        <f>Q66/$A$5</f>
        <v>3221.6779999999999</v>
      </c>
      <c r="R71" s="21"/>
      <c r="S71" s="21"/>
      <c r="T71" s="21"/>
      <c r="U71" s="18">
        <f>U66/$A$5</f>
        <v>0</v>
      </c>
      <c r="V71" s="18">
        <f>V66/$A$5</f>
        <v>0</v>
      </c>
      <c r="W71" s="21"/>
      <c r="X71" s="21"/>
      <c r="Y71" s="21"/>
      <c r="Z71" s="18">
        <f>Z66/$A$5</f>
        <v>0</v>
      </c>
      <c r="AA71" s="18">
        <f>AA66/$A$5</f>
        <v>0</v>
      </c>
      <c r="AB71" s="21"/>
      <c r="AC71" s="21"/>
      <c r="AD71" s="21"/>
      <c r="AE71" s="18">
        <f>AE66/$A$5</f>
        <v>164.33</v>
      </c>
      <c r="AF71" s="18">
        <f>AF66/$A$5</f>
        <v>156.11350000000002</v>
      </c>
      <c r="AG71" s="21"/>
      <c r="AH71" s="21"/>
      <c r="AI71" s="18">
        <f>AI66/$A$5</f>
        <v>12709.412000000002</v>
      </c>
      <c r="AJ71" s="18">
        <f>AJ66/$A$5</f>
        <v>12073.941400000002</v>
      </c>
      <c r="AK71" s="21"/>
      <c r="AL71" s="328"/>
      <c r="AN71" s="323"/>
    </row>
    <row r="72" spans="1:55" s="1" customFormat="1">
      <c r="A72" s="312" t="s">
        <v>2308</v>
      </c>
      <c r="B72" s="5"/>
      <c r="C72" s="441"/>
      <c r="D72" s="16"/>
      <c r="E72" s="16"/>
      <c r="F72" s="20"/>
      <c r="I72" s="13"/>
      <c r="J72" s="13"/>
      <c r="K72" s="18">
        <f>K68/$A$5</f>
        <v>9153.8419999999987</v>
      </c>
      <c r="L72" s="18">
        <f>L68/$A$5</f>
        <v>8696.1498999999985</v>
      </c>
      <c r="M72" s="21"/>
      <c r="N72" s="21"/>
      <c r="O72" s="21"/>
      <c r="P72" s="18">
        <f>P68/$A$5</f>
        <v>3391.2400000000002</v>
      </c>
      <c r="Q72" s="18">
        <f>Q68/$A$5</f>
        <v>3221.6779999999999</v>
      </c>
      <c r="R72" s="21"/>
      <c r="S72" s="21"/>
      <c r="T72" s="21"/>
      <c r="U72" s="18">
        <f>U68/$A$5</f>
        <v>0</v>
      </c>
      <c r="V72" s="18">
        <f>V68/$A$5</f>
        <v>0</v>
      </c>
      <c r="W72" s="21"/>
      <c r="X72" s="21"/>
      <c r="Y72" s="21"/>
      <c r="Z72" s="18">
        <f>Z68/$A$5</f>
        <v>0</v>
      </c>
      <c r="AA72" s="18">
        <f>AA68/$A$5</f>
        <v>0</v>
      </c>
      <c r="AB72" s="21"/>
      <c r="AC72" s="21"/>
      <c r="AD72" s="21"/>
      <c r="AE72" s="18">
        <f>AE68/$A$5</f>
        <v>164.33</v>
      </c>
      <c r="AF72" s="18">
        <f>AF68/$A$5</f>
        <v>156.11350000000002</v>
      </c>
      <c r="AG72" s="21"/>
      <c r="AH72" s="21"/>
      <c r="AI72" s="18">
        <f>AI68/$A$5</f>
        <v>12709.412000000002</v>
      </c>
      <c r="AJ72" s="18">
        <f>AJ68/$A$5</f>
        <v>12073.941400000002</v>
      </c>
      <c r="AK72" s="21"/>
      <c r="AL72" s="328"/>
      <c r="AN72" s="323"/>
    </row>
    <row r="73" spans="1:55" s="7" customFormat="1">
      <c r="A73" s="313" t="s">
        <v>1832</v>
      </c>
      <c r="B73" s="78"/>
      <c r="C73" s="296"/>
      <c r="D73" s="26"/>
      <c r="E73" s="26"/>
      <c r="AJ73" s="21">
        <f>AJ68*A4+AJ69</f>
        <v>144887.29680000001</v>
      </c>
      <c r="AL73" s="331"/>
      <c r="AN73" s="327"/>
    </row>
    <row r="74" spans="1:55" s="1" customFormat="1">
      <c r="A74" s="314" t="s">
        <v>1</v>
      </c>
      <c r="B74" s="25"/>
      <c r="C74" s="441"/>
      <c r="D74" s="16"/>
      <c r="E74" s="16"/>
      <c r="F74" s="20"/>
      <c r="I74" s="13"/>
      <c r="J74" s="13"/>
      <c r="K74" s="13"/>
      <c r="L74" s="22"/>
      <c r="M74" s="11"/>
      <c r="N74" s="22"/>
      <c r="O74" s="22"/>
      <c r="P74" s="22"/>
      <c r="Q74" s="22"/>
      <c r="R74" s="11"/>
      <c r="S74" s="22"/>
      <c r="T74" s="22"/>
      <c r="U74" s="22"/>
      <c r="V74" s="22"/>
      <c r="W74" s="11"/>
      <c r="X74" s="22"/>
      <c r="Y74" s="22"/>
      <c r="Z74" s="22"/>
      <c r="AA74" s="22"/>
      <c r="AB74" s="11"/>
      <c r="AC74" s="22"/>
      <c r="AD74" s="22"/>
      <c r="AE74" s="22"/>
      <c r="AF74" s="22"/>
      <c r="AG74" s="11"/>
      <c r="AH74" s="22"/>
      <c r="AI74" s="62">
        <f>IF(A3&lt;&gt;"PAYG",VLOOKUP(AI66,Discounts!N5:O25,2),0)</f>
        <v>0.05</v>
      </c>
      <c r="AK74" s="11"/>
      <c r="AL74" s="328"/>
      <c r="AN74" s="323"/>
    </row>
    <row r="75" spans="1:55" s="7" customFormat="1">
      <c r="A75" s="296"/>
      <c r="C75" s="296"/>
      <c r="D75" s="26"/>
      <c r="E75" s="26"/>
      <c r="F75" s="27"/>
      <c r="L75" s="28"/>
      <c r="M75" s="28"/>
      <c r="N75" s="28"/>
      <c r="O75" s="28"/>
      <c r="P75" s="28"/>
      <c r="Q75" s="28"/>
      <c r="R75" s="28"/>
      <c r="S75" s="28"/>
      <c r="T75" s="28"/>
      <c r="U75" s="28"/>
      <c r="V75" s="21"/>
      <c r="W75" s="28"/>
      <c r="X75" s="28"/>
      <c r="Y75" s="28"/>
      <c r="Z75" s="28"/>
      <c r="AA75" s="21"/>
      <c r="AB75" s="28"/>
      <c r="AC75" s="28"/>
      <c r="AD75" s="28"/>
      <c r="AE75" s="28"/>
      <c r="AF75" s="21"/>
      <c r="AG75" s="28"/>
      <c r="AH75" s="28"/>
      <c r="AI75" s="28"/>
      <c r="AJ75" s="21"/>
      <c r="AK75" s="28"/>
      <c r="AL75" s="331"/>
      <c r="AN75" s="327"/>
    </row>
    <row r="76" spans="1:55">
      <c r="A76" s="313" t="s">
        <v>2405</v>
      </c>
      <c r="B76" s="78"/>
      <c r="AI76" s="21">
        <f>IFERROR(AI77-AI66+1,"Max")</f>
        <v>403043.61155555549</v>
      </c>
    </row>
    <row r="77" spans="1:55" s="7" customFormat="1">
      <c r="A77" s="314" t="s">
        <v>2406</v>
      </c>
      <c r="B77" s="25"/>
      <c r="C77" s="296"/>
      <c r="D77" s="26"/>
      <c r="E77" s="26"/>
      <c r="L77" s="28"/>
      <c r="M77" s="28"/>
      <c r="N77" s="28"/>
      <c r="O77" s="28"/>
      <c r="P77" s="28"/>
      <c r="Q77" s="28"/>
      <c r="R77" s="28"/>
      <c r="S77" s="28"/>
      <c r="T77" s="28"/>
      <c r="U77" s="28"/>
      <c r="V77" s="23"/>
      <c r="W77" s="28"/>
      <c r="X77" s="28"/>
      <c r="Y77" s="28"/>
      <c r="Z77" s="28"/>
      <c r="AA77" s="23"/>
      <c r="AB77" s="28"/>
      <c r="AC77" s="28"/>
      <c r="AD77" s="28"/>
      <c r="AE77" s="28"/>
      <c r="AF77" s="23"/>
      <c r="AG77" s="28"/>
      <c r="AH77" s="28"/>
      <c r="AI77" s="18">
        <f>IFERROR(VLOOKUP(AI74,Discounts!U4:V10,2),"Max")</f>
        <v>555555.5555555555</v>
      </c>
      <c r="AJ77" s="21"/>
      <c r="AK77" s="28"/>
      <c r="AL77" s="331"/>
      <c r="AN77" s="327"/>
    </row>
    <row r="78" spans="1:55" s="7" customFormat="1">
      <c r="A78" s="314"/>
      <c r="B78" s="25"/>
      <c r="C78" s="296"/>
      <c r="D78" s="26"/>
      <c r="E78" s="26"/>
      <c r="L78" s="18"/>
      <c r="V78" s="23"/>
      <c r="AA78" s="23"/>
      <c r="AF78" s="23"/>
      <c r="AJ78" s="21"/>
      <c r="AL78" s="331"/>
      <c r="AN78" s="327"/>
    </row>
    <row r="79" spans="1:55" s="7" customFormat="1">
      <c r="A79" s="314" t="s">
        <v>1060</v>
      </c>
      <c r="B79" s="25"/>
      <c r="C79" s="296"/>
      <c r="D79" s="26"/>
      <c r="E79" s="26"/>
      <c r="L79" s="24"/>
      <c r="Q79" s="24"/>
      <c r="V79" s="24"/>
      <c r="AA79" s="24"/>
      <c r="AF79" s="24"/>
      <c r="AI79" s="245" t="s">
        <v>1061</v>
      </c>
      <c r="AJ79" s="18">
        <v>95000</v>
      </c>
      <c r="AL79" s="331"/>
      <c r="AN79" s="327"/>
    </row>
    <row r="80" spans="1:55" s="7" customFormat="1">
      <c r="A80" s="314" t="s">
        <v>1059</v>
      </c>
      <c r="B80" s="25"/>
      <c r="C80" s="296"/>
      <c r="D80" s="26"/>
      <c r="E80" s="26"/>
      <c r="L80" s="24"/>
      <c r="Q80" s="24"/>
      <c r="V80" s="24"/>
      <c r="AA80" s="24"/>
      <c r="AF80" s="24"/>
      <c r="AJ80" s="244">
        <f>1-(AJ79-AJ82)/(AI68-AJ82)</f>
        <v>0.37710205108885719</v>
      </c>
      <c r="AL80" s="244"/>
      <c r="AN80" s="327"/>
    </row>
    <row r="81" spans="1:55" s="7" customFormat="1">
      <c r="A81" s="25"/>
      <c r="B81" s="25"/>
      <c r="C81" s="296"/>
      <c r="D81" s="26"/>
      <c r="E81" s="26"/>
      <c r="I81" s="261"/>
      <c r="J81" s="261"/>
      <c r="K81" s="261"/>
      <c r="L81" s="262"/>
      <c r="M81" s="261"/>
      <c r="N81" s="261"/>
      <c r="O81" s="261"/>
      <c r="P81" s="261"/>
      <c r="Q81" s="262"/>
      <c r="R81" s="261"/>
      <c r="S81" s="261"/>
      <c r="T81" s="261"/>
      <c r="U81" s="261"/>
      <c r="V81" s="262"/>
      <c r="W81" s="261"/>
      <c r="X81" s="261"/>
      <c r="Y81" s="261"/>
      <c r="Z81" s="261"/>
      <c r="AA81" s="262"/>
      <c r="AB81" s="261"/>
      <c r="AC81" s="261"/>
      <c r="AD81" s="261"/>
      <c r="AE81" s="261"/>
      <c r="AF81" s="262"/>
      <c r="AG81" s="261"/>
      <c r="AH81" s="261"/>
      <c r="AI81" s="261"/>
      <c r="AJ81" s="262"/>
      <c r="AK81" s="261"/>
      <c r="AL81" s="331"/>
      <c r="AN81" s="327"/>
    </row>
    <row r="82" spans="1:55">
      <c r="I82" s="259"/>
      <c r="J82" s="259"/>
      <c r="K82" s="259"/>
      <c r="L82" s="259"/>
      <c r="M82" s="259"/>
      <c r="N82" s="259"/>
      <c r="O82" s="259"/>
      <c r="P82" s="259"/>
      <c r="Q82" s="259"/>
      <c r="R82" s="259"/>
      <c r="S82" s="259"/>
      <c r="T82" s="259"/>
      <c r="U82" s="259"/>
      <c r="V82" s="259"/>
      <c r="W82" s="259"/>
      <c r="X82" s="259"/>
      <c r="Y82" s="259"/>
      <c r="Z82" s="259"/>
      <c r="AA82" s="259"/>
      <c r="AB82" s="259"/>
      <c r="AC82" s="259"/>
      <c r="AD82" s="259"/>
      <c r="AE82" s="259"/>
      <c r="AF82" s="259"/>
      <c r="AG82" s="259"/>
      <c r="AH82" s="259"/>
      <c r="AI82" s="259" t="s">
        <v>2833</v>
      </c>
      <c r="AJ82" s="18">
        <f>SUMIF(A10:A65,"B88318",AI10:AI65)+SUMIF(A10:A65,"B92386",AI10:AI65)</f>
        <v>0</v>
      </c>
      <c r="AK82" s="259"/>
    </row>
    <row r="83" spans="1:55">
      <c r="I83" s="259"/>
      <c r="J83" s="259"/>
      <c r="K83" s="259"/>
      <c r="L83" s="259"/>
      <c r="M83" s="259"/>
      <c r="N83" s="259"/>
      <c r="O83" s="259"/>
      <c r="P83" s="259"/>
      <c r="Q83" s="259"/>
      <c r="R83" s="259"/>
      <c r="S83" s="259"/>
      <c r="T83" s="259"/>
      <c r="U83" s="259"/>
      <c r="V83" s="259"/>
      <c r="W83" s="259"/>
      <c r="X83" s="259"/>
      <c r="Y83" s="259"/>
      <c r="Z83" s="259"/>
      <c r="AA83" s="259"/>
      <c r="AB83" s="259"/>
      <c r="AC83" s="259"/>
      <c r="AD83" s="259"/>
      <c r="AE83" s="259"/>
      <c r="AF83" s="259"/>
      <c r="AG83" s="259"/>
      <c r="AH83" s="259"/>
      <c r="AI83" s="259" t="s">
        <v>2024</v>
      </c>
      <c r="AJ83" s="18">
        <f>AI68-AJ82</f>
        <v>152512.94400000002</v>
      </c>
      <c r="AK83" s="259"/>
    </row>
    <row r="84" spans="1:55">
      <c r="I84" s="259"/>
      <c r="J84" s="259"/>
      <c r="K84" s="259"/>
      <c r="L84" s="259"/>
      <c r="M84" s="259"/>
      <c r="N84" s="259"/>
      <c r="O84" s="259"/>
      <c r="P84" s="259"/>
      <c r="Q84" s="259"/>
      <c r="R84" s="259"/>
      <c r="S84" s="259"/>
      <c r="T84" s="259"/>
      <c r="U84" s="259"/>
      <c r="V84" s="259"/>
      <c r="W84" s="259"/>
      <c r="X84" s="259"/>
      <c r="Y84" s="259"/>
      <c r="Z84" s="259"/>
      <c r="AA84" s="259"/>
      <c r="AB84" s="259"/>
      <c r="AC84" s="259"/>
      <c r="AD84" s="259"/>
      <c r="AE84" s="259"/>
      <c r="AF84" s="259"/>
      <c r="AG84" s="259"/>
      <c r="AH84" s="259"/>
      <c r="AI84" s="259"/>
      <c r="AJ84" s="263"/>
      <c r="AK84" s="259"/>
    </row>
    <row r="85" spans="1:55">
      <c r="I85" s="259"/>
      <c r="J85" s="259"/>
      <c r="K85" s="259"/>
      <c r="L85" s="259"/>
      <c r="M85" s="259"/>
      <c r="N85" s="259"/>
      <c r="O85" s="259"/>
      <c r="P85" s="259"/>
      <c r="Q85" s="259"/>
      <c r="R85" s="259"/>
      <c r="S85" s="259"/>
      <c r="T85" s="259"/>
      <c r="U85" s="259"/>
      <c r="V85" s="259"/>
      <c r="W85" s="259"/>
      <c r="X85" s="259"/>
      <c r="Y85" s="259"/>
      <c r="Z85" s="259"/>
      <c r="AA85" s="259"/>
      <c r="AB85" s="259"/>
      <c r="AC85" s="259"/>
      <c r="AD85" s="259"/>
      <c r="AE85" s="259"/>
      <c r="AF85" s="259"/>
      <c r="AG85" s="259"/>
      <c r="AH85" s="259"/>
      <c r="AI85" s="259"/>
      <c r="AJ85" s="263"/>
      <c r="AK85" s="259"/>
    </row>
    <row r="86" spans="1:55">
      <c r="I86" s="259"/>
      <c r="J86" s="259"/>
      <c r="K86" s="259"/>
      <c r="L86" s="259"/>
      <c r="M86" s="259"/>
      <c r="N86" s="259"/>
      <c r="O86" s="259"/>
      <c r="P86" s="259"/>
      <c r="Q86" s="259"/>
      <c r="R86" s="259"/>
      <c r="S86" s="259"/>
      <c r="T86" s="259"/>
      <c r="U86" s="259"/>
      <c r="V86" s="259"/>
      <c r="W86" s="259"/>
      <c r="X86" s="259"/>
      <c r="Y86" s="259"/>
      <c r="Z86" s="259"/>
      <c r="AA86" s="259"/>
      <c r="AB86" s="259"/>
      <c r="AC86" s="259"/>
      <c r="AD86" s="259"/>
      <c r="AE86" s="259"/>
      <c r="AF86" s="259"/>
      <c r="AG86" s="259"/>
      <c r="AH86" s="259"/>
      <c r="AI86" s="259"/>
      <c r="AJ86" s="263"/>
      <c r="AK86" s="259"/>
    </row>
    <row r="87" spans="1:55">
      <c r="I87" s="259"/>
      <c r="J87" s="259"/>
      <c r="K87" s="259"/>
      <c r="L87" s="259"/>
      <c r="M87" s="259"/>
      <c r="N87" s="259"/>
      <c r="O87" s="259"/>
      <c r="P87" s="259"/>
      <c r="Q87" s="259"/>
      <c r="R87" s="259"/>
      <c r="S87" s="259"/>
      <c r="T87" s="259"/>
      <c r="U87" s="259"/>
      <c r="V87" s="259"/>
      <c r="W87" s="259"/>
      <c r="X87" s="259"/>
      <c r="Y87" s="259"/>
      <c r="Z87" s="259"/>
      <c r="AA87" s="259"/>
      <c r="AB87" s="259"/>
      <c r="AC87" s="259"/>
      <c r="AD87" s="259"/>
      <c r="AE87" s="259"/>
      <c r="AF87" s="259"/>
      <c r="AG87" s="259"/>
      <c r="AH87" s="259"/>
      <c r="AI87" s="259"/>
      <c r="AJ87" s="263"/>
      <c r="AK87" s="259"/>
    </row>
    <row r="88" spans="1:55">
      <c r="I88" s="259"/>
      <c r="J88" s="259"/>
      <c r="K88" s="259"/>
      <c r="L88" s="259"/>
      <c r="M88" s="259"/>
      <c r="N88" s="259"/>
      <c r="O88" s="259"/>
      <c r="P88" s="259"/>
      <c r="Q88" s="259"/>
      <c r="R88" s="259"/>
      <c r="S88" s="259"/>
      <c r="T88" s="259"/>
      <c r="U88" s="259"/>
      <c r="V88" s="259"/>
      <c r="W88" s="259"/>
      <c r="X88" s="259"/>
      <c r="Y88" s="259"/>
      <c r="Z88" s="259"/>
      <c r="AA88" s="259"/>
      <c r="AB88" s="259"/>
      <c r="AC88" s="259"/>
      <c r="AD88" s="259"/>
      <c r="AE88" s="259"/>
      <c r="AF88" s="259"/>
      <c r="AG88" s="259"/>
      <c r="AH88" s="259"/>
      <c r="AI88" s="259"/>
      <c r="AJ88" s="263"/>
      <c r="AK88" s="259"/>
    </row>
    <row r="89" spans="1:55">
      <c r="I89" s="259"/>
      <c r="J89" s="259"/>
      <c r="K89" s="259"/>
      <c r="L89" s="259"/>
      <c r="M89" s="259"/>
      <c r="N89" s="259"/>
      <c r="O89" s="259"/>
      <c r="P89" s="259"/>
      <c r="Q89" s="259"/>
      <c r="R89" s="259"/>
      <c r="S89" s="259"/>
      <c r="T89" s="259"/>
      <c r="U89" s="259"/>
      <c r="V89" s="259"/>
      <c r="W89" s="259"/>
      <c r="X89" s="259"/>
      <c r="Y89" s="259"/>
      <c r="Z89" s="259"/>
      <c r="AA89" s="259"/>
      <c r="AB89" s="259"/>
      <c r="AC89" s="259"/>
      <c r="AD89" s="259"/>
      <c r="AE89" s="259"/>
      <c r="AF89" s="259"/>
      <c r="AG89" s="259"/>
      <c r="AH89" s="259"/>
      <c r="AI89" s="259"/>
      <c r="AJ89" s="263"/>
      <c r="AK89" s="259"/>
    </row>
    <row r="90" spans="1:55">
      <c r="I90" s="259"/>
      <c r="J90" s="259"/>
      <c r="K90" s="259"/>
      <c r="L90" s="259"/>
      <c r="M90" s="259"/>
      <c r="N90" s="259"/>
      <c r="O90" s="259"/>
      <c r="P90" s="259"/>
      <c r="Q90" s="259"/>
      <c r="R90" s="259"/>
      <c r="S90" s="259"/>
      <c r="T90" s="259"/>
      <c r="U90" s="259"/>
      <c r="V90" s="259"/>
      <c r="W90" s="259"/>
      <c r="X90" s="259"/>
      <c r="Y90" s="259"/>
      <c r="Z90" s="259"/>
      <c r="AA90" s="259"/>
      <c r="AB90" s="259"/>
      <c r="AC90" s="259"/>
      <c r="AD90" s="259"/>
      <c r="AE90" s="259"/>
      <c r="AF90" s="259"/>
      <c r="AG90" s="259"/>
      <c r="AH90" s="259"/>
      <c r="AI90" s="259"/>
      <c r="AJ90" s="263"/>
      <c r="AK90" s="259"/>
    </row>
    <row r="91" spans="1:55" s="328" customFormat="1">
      <c r="A91"/>
      <c r="B91"/>
      <c r="C91" s="334"/>
      <c r="D91" s="14"/>
      <c r="E91" s="14"/>
      <c r="F91"/>
      <c r="G91"/>
      <c r="H91"/>
      <c r="I91" s="259"/>
      <c r="J91" s="259"/>
      <c r="K91" s="259"/>
      <c r="L91" s="259"/>
      <c r="M91" s="259"/>
      <c r="N91" s="259"/>
      <c r="O91" s="259"/>
      <c r="P91" s="259"/>
      <c r="Q91" s="259"/>
      <c r="R91" s="259"/>
      <c r="S91" s="259"/>
      <c r="T91" s="259"/>
      <c r="U91" s="259"/>
      <c r="V91" s="259"/>
      <c r="W91" s="259"/>
      <c r="X91" s="259"/>
      <c r="Y91" s="259"/>
      <c r="Z91" s="259"/>
      <c r="AA91" s="259"/>
      <c r="AB91" s="259"/>
      <c r="AC91" s="259"/>
      <c r="AD91" s="259"/>
      <c r="AE91" s="259"/>
      <c r="AF91" s="259"/>
      <c r="AG91" s="259"/>
      <c r="AH91" s="259"/>
      <c r="AI91" s="259"/>
      <c r="AJ91" s="263"/>
      <c r="AK91" s="259"/>
      <c r="AM91"/>
      <c r="AN91" s="323"/>
      <c r="AO91"/>
      <c r="AP91"/>
      <c r="AQ91"/>
      <c r="AR91"/>
      <c r="AS91"/>
      <c r="AT91"/>
      <c r="AU91"/>
      <c r="AV91"/>
      <c r="AW91"/>
      <c r="AX91"/>
      <c r="AY91"/>
      <c r="AZ91"/>
      <c r="BA91"/>
      <c r="BB91"/>
      <c r="BC91"/>
    </row>
    <row r="92" spans="1:55" s="328" customFormat="1">
      <c r="A92"/>
      <c r="B92"/>
      <c r="C92" s="334"/>
      <c r="D92" s="14"/>
      <c r="E92" s="14"/>
      <c r="F92"/>
      <c r="G92"/>
      <c r="H92"/>
      <c r="I92" s="259"/>
      <c r="J92" s="259"/>
      <c r="K92" s="259"/>
      <c r="L92" s="259"/>
      <c r="M92" s="259"/>
      <c r="N92" s="259"/>
      <c r="O92" s="259"/>
      <c r="P92" s="259"/>
      <c r="Q92" s="259"/>
      <c r="R92" s="259"/>
      <c r="S92" s="259"/>
      <c r="T92" s="259"/>
      <c r="U92" s="259"/>
      <c r="V92" s="259"/>
      <c r="W92" s="259"/>
      <c r="X92" s="259"/>
      <c r="Y92" s="259"/>
      <c r="Z92" s="259"/>
      <c r="AA92" s="259"/>
      <c r="AB92" s="259"/>
      <c r="AC92" s="259"/>
      <c r="AD92" s="259"/>
      <c r="AE92" s="259"/>
      <c r="AF92" s="259"/>
      <c r="AG92" s="259"/>
      <c r="AH92" s="259"/>
      <c r="AI92" s="259"/>
      <c r="AJ92" s="263"/>
      <c r="AK92" s="259"/>
      <c r="AM92"/>
      <c r="AN92" s="323"/>
      <c r="AO92"/>
      <c r="AP92"/>
      <c r="AQ92"/>
      <c r="AR92"/>
      <c r="AS92"/>
      <c r="AT92"/>
      <c r="AU92"/>
      <c r="AV92"/>
      <c r="AW92"/>
      <c r="AX92"/>
      <c r="AY92"/>
      <c r="AZ92"/>
      <c r="BA92"/>
      <c r="BB92"/>
      <c r="BC92"/>
    </row>
    <row r="93" spans="1:55" s="328" customFormat="1">
      <c r="A93"/>
      <c r="B93"/>
      <c r="C93" s="334"/>
      <c r="D93" s="14"/>
      <c r="E93" s="14"/>
      <c r="F93"/>
      <c r="G93"/>
      <c r="H93"/>
      <c r="I93" s="259"/>
      <c r="J93" s="259"/>
      <c r="K93" s="259"/>
      <c r="L93" s="259"/>
      <c r="M93" s="259"/>
      <c r="N93" s="259"/>
      <c r="O93" s="259"/>
      <c r="P93" s="259"/>
      <c r="Q93" s="259"/>
      <c r="R93" s="259"/>
      <c r="S93" s="259"/>
      <c r="T93" s="259"/>
      <c r="U93" s="259"/>
      <c r="V93" s="259"/>
      <c r="W93" s="259"/>
      <c r="X93" s="259"/>
      <c r="Y93" s="259"/>
      <c r="Z93" s="259"/>
      <c r="AA93" s="259"/>
      <c r="AB93" s="259"/>
      <c r="AC93" s="259"/>
      <c r="AD93" s="259"/>
      <c r="AE93" s="259"/>
      <c r="AF93" s="259"/>
      <c r="AG93" s="259"/>
      <c r="AH93" s="259"/>
      <c r="AI93" s="259"/>
      <c r="AJ93" s="263"/>
      <c r="AK93" s="259"/>
      <c r="AM93"/>
      <c r="AN93" s="323"/>
      <c r="AO93"/>
      <c r="AP93"/>
      <c r="AQ93"/>
      <c r="AR93"/>
      <c r="AS93"/>
      <c r="AT93"/>
      <c r="AU93"/>
      <c r="AV93"/>
      <c r="AW93"/>
      <c r="AX93"/>
      <c r="AY93"/>
      <c r="AZ93"/>
      <c r="BA93"/>
      <c r="BB93"/>
      <c r="BC93"/>
    </row>
    <row r="94" spans="1:55" s="328" customFormat="1">
      <c r="A94"/>
      <c r="B94"/>
      <c r="C94" s="334"/>
      <c r="D94" s="14"/>
      <c r="E94" s="14"/>
      <c r="F94"/>
      <c r="G94"/>
      <c r="H94"/>
      <c r="I94" s="259"/>
      <c r="J94" s="259"/>
      <c r="K94" s="259"/>
      <c r="L94" s="259"/>
      <c r="M94" s="259"/>
      <c r="N94" s="259"/>
      <c r="O94" s="259"/>
      <c r="P94" s="259"/>
      <c r="Q94" s="259"/>
      <c r="R94" s="259"/>
      <c r="S94" s="259"/>
      <c r="T94" s="259"/>
      <c r="U94" s="259"/>
      <c r="V94" s="259"/>
      <c r="W94" s="259"/>
      <c r="X94" s="259"/>
      <c r="Y94" s="259"/>
      <c r="Z94" s="259"/>
      <c r="AA94" s="259"/>
      <c r="AB94" s="259"/>
      <c r="AC94" s="259"/>
      <c r="AD94" s="259"/>
      <c r="AE94" s="259"/>
      <c r="AF94" s="259"/>
      <c r="AG94" s="259"/>
      <c r="AH94" s="259"/>
      <c r="AI94" s="259"/>
      <c r="AJ94" s="263"/>
      <c r="AK94" s="259"/>
      <c r="AM94"/>
      <c r="AN94" s="323"/>
      <c r="AO94"/>
      <c r="AP94"/>
      <c r="AQ94"/>
      <c r="AR94"/>
      <c r="AS94"/>
      <c r="AT94"/>
      <c r="AU94"/>
      <c r="AV94"/>
      <c r="AW94"/>
      <c r="AX94"/>
      <c r="AY94"/>
      <c r="AZ94"/>
      <c r="BA94"/>
      <c r="BB94"/>
      <c r="BC94"/>
    </row>
    <row r="95" spans="1:55" s="328" customFormat="1">
      <c r="A95"/>
      <c r="B95"/>
      <c r="C95" s="334"/>
      <c r="D95" s="14"/>
      <c r="E95" s="14"/>
      <c r="F95"/>
      <c r="G95"/>
      <c r="H95"/>
      <c r="I95" s="259"/>
      <c r="J95" s="259"/>
      <c r="K95" s="259"/>
      <c r="L95" s="259"/>
      <c r="M95" s="259"/>
      <c r="N95" s="259"/>
      <c r="O95" s="259"/>
      <c r="P95" s="259"/>
      <c r="Q95" s="259"/>
      <c r="R95" s="259"/>
      <c r="S95" s="259"/>
      <c r="T95" s="259"/>
      <c r="U95" s="259"/>
      <c r="V95" s="259"/>
      <c r="W95" s="259"/>
      <c r="X95" s="259"/>
      <c r="Y95" s="259"/>
      <c r="Z95" s="259"/>
      <c r="AA95" s="259"/>
      <c r="AB95" s="259"/>
      <c r="AC95" s="259"/>
      <c r="AD95" s="259"/>
      <c r="AE95" s="259"/>
      <c r="AF95" s="259"/>
      <c r="AG95" s="259"/>
      <c r="AH95" s="259"/>
      <c r="AI95" s="259"/>
      <c r="AJ95" s="263"/>
      <c r="AK95" s="259"/>
      <c r="AM95"/>
      <c r="AN95" s="323"/>
      <c r="AO95"/>
      <c r="AP95"/>
      <c r="AQ95"/>
      <c r="AR95"/>
      <c r="AS95"/>
      <c r="AT95"/>
      <c r="AU95"/>
      <c r="AV95"/>
      <c r="AW95"/>
      <c r="AX95"/>
      <c r="AY95"/>
      <c r="AZ95"/>
      <c r="BA95"/>
      <c r="BB95"/>
      <c r="BC95"/>
    </row>
    <row r="96" spans="1:55" s="328" customFormat="1">
      <c r="A96"/>
      <c r="B96"/>
      <c r="C96" s="334"/>
      <c r="D96" s="14"/>
      <c r="E96" s="14"/>
      <c r="F96"/>
      <c r="G96"/>
      <c r="H96"/>
      <c r="I96" s="259"/>
      <c r="J96" s="259"/>
      <c r="K96" s="259"/>
      <c r="L96" s="259"/>
      <c r="M96" s="259"/>
      <c r="N96" s="259"/>
      <c r="O96" s="259"/>
      <c r="P96" s="259"/>
      <c r="Q96" s="259"/>
      <c r="R96" s="259"/>
      <c r="S96" s="259"/>
      <c r="T96" s="259"/>
      <c r="U96" s="259"/>
      <c r="V96" s="259"/>
      <c r="W96" s="259"/>
      <c r="X96" s="259"/>
      <c r="Y96" s="259"/>
      <c r="Z96" s="259"/>
      <c r="AA96" s="259"/>
      <c r="AB96" s="259"/>
      <c r="AC96" s="259"/>
      <c r="AD96" s="259"/>
      <c r="AE96" s="259"/>
      <c r="AF96" s="259"/>
      <c r="AG96" s="259"/>
      <c r="AH96" s="259"/>
      <c r="AI96" s="259"/>
      <c r="AJ96" s="263"/>
      <c r="AK96" s="259"/>
      <c r="AM96"/>
      <c r="AN96" s="323"/>
      <c r="AO96"/>
      <c r="AP96"/>
      <c r="AQ96"/>
      <c r="AR96"/>
      <c r="AS96"/>
      <c r="AT96"/>
      <c r="AU96"/>
      <c r="AV96"/>
      <c r="AW96"/>
      <c r="AX96"/>
      <c r="AY96"/>
      <c r="AZ96"/>
      <c r="BA96"/>
      <c r="BB96"/>
      <c r="BC96"/>
    </row>
    <row r="97" spans="1:55" s="328" customFormat="1">
      <c r="A97"/>
      <c r="B97"/>
      <c r="C97" s="334"/>
      <c r="D97" s="14"/>
      <c r="E97" s="14"/>
      <c r="F97"/>
      <c r="G97"/>
      <c r="H97"/>
      <c r="I97" s="259"/>
      <c r="J97" s="259"/>
      <c r="K97" s="259"/>
      <c r="L97" s="259"/>
      <c r="M97" s="259"/>
      <c r="N97" s="259"/>
      <c r="O97" s="259"/>
      <c r="P97" s="259"/>
      <c r="Q97" s="259"/>
      <c r="R97" s="259"/>
      <c r="S97" s="259"/>
      <c r="T97" s="259"/>
      <c r="U97" s="259"/>
      <c r="V97" s="259"/>
      <c r="W97" s="259"/>
      <c r="X97" s="259"/>
      <c r="Y97" s="259"/>
      <c r="Z97" s="259"/>
      <c r="AA97" s="259"/>
      <c r="AB97" s="259"/>
      <c r="AC97" s="259"/>
      <c r="AD97" s="259"/>
      <c r="AE97" s="259"/>
      <c r="AF97" s="259"/>
      <c r="AG97" s="259"/>
      <c r="AH97" s="259"/>
      <c r="AI97" s="259"/>
      <c r="AJ97" s="263"/>
      <c r="AK97" s="259"/>
      <c r="AM97"/>
      <c r="AN97" s="323"/>
      <c r="AO97"/>
      <c r="AP97"/>
      <c r="AQ97"/>
      <c r="AR97"/>
      <c r="AS97"/>
      <c r="AT97"/>
      <c r="AU97"/>
      <c r="AV97"/>
      <c r="AW97"/>
      <c r="AX97"/>
      <c r="AY97"/>
      <c r="AZ97"/>
      <c r="BA97"/>
      <c r="BB97"/>
      <c r="BC97"/>
    </row>
  </sheetData>
  <sheetProtection insertRows="0" deleteRows="0" autoFilter="0"/>
  <autoFilter ref="AH10:AJ64" xr:uid="{5AB3FD9B-690A-4E1C-9079-0DEBF16B5308}"/>
  <phoneticPr fontId="116" type="noConversion"/>
  <conditionalFormatting sqref="A51:A56">
    <cfRule type="cellIs" dxfId="102" priority="18" operator="equal">
      <formula>#REF!</formula>
    </cfRule>
  </conditionalFormatting>
  <dataValidations count="1">
    <dataValidation type="whole" allowBlank="1" showInputMessage="1" showErrorMessage="1" error="Standard discounts max at 4 years.  Enter a value between 1-4." prompt="Standard discounts max at 4 years.  Enter a value between 1-4." sqref="A4" xr:uid="{75EEAE76-B89F-4FF6-8EA1-35C6214F2F1A}">
      <formula1>1</formula1>
      <formula2>4</formula2>
    </dataValidation>
  </dataValidations>
  <pageMargins left="0.25" right="0.25" top="0.75" bottom="0.75" header="0.3" footer="0.3"/>
  <pageSetup scale="32" fitToHeight="0" orientation="landscape"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E0F4D85-AC1A-49BF-8730-A0B4DB8660D3}">
          <x14:formula1>
            <xm:f>Discounts!$AE$4:$AE$5</xm:f>
          </x14:formula1>
          <xm:sqref>AA8 L8 AF8 V8 Q8 AN11:AN64</xm:sqref>
        </x14:dataValidation>
        <x14:dataValidation type="list" allowBlank="1" showInputMessage="1" showErrorMessage="1" error="Annual, Monthly, or PAYG" xr:uid="{E963661B-348E-4CC6-94E8-25DA6E2097EB}">
          <x14:formula1>
            <xm:f>Discounts!$AD$4:$AD$6</xm:f>
          </x14:formula1>
          <xm:sqref>A3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B4DE9-BFD9-4AB3-8702-78CB92595E3D}">
  <sheetPr codeName="Sheet10">
    <tabColor theme="5" tint="0.79998168889431442"/>
  </sheetPr>
  <dimension ref="A19:A20"/>
  <sheetViews>
    <sheetView workbookViewId="0">
      <selection activeCell="J38" sqref="J38"/>
    </sheetView>
  </sheetViews>
  <sheetFormatPr baseColWidth="10" defaultColWidth="8.83203125" defaultRowHeight="15"/>
  <sheetData>
    <row r="19" spans="1:1">
      <c r="A19" s="668"/>
    </row>
    <row r="20" spans="1:1">
      <c r="A20" s="668"/>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EB50F-6B7A-4500-AF3B-72F2E6EEABB6}">
  <sheetPr>
    <tabColor theme="7"/>
  </sheetPr>
  <dimension ref="A1:G19"/>
  <sheetViews>
    <sheetView workbookViewId="0">
      <selection activeCell="M22" sqref="M22"/>
    </sheetView>
  </sheetViews>
  <sheetFormatPr baseColWidth="10" defaultColWidth="9.1640625" defaultRowHeight="13"/>
  <cols>
    <col min="1" max="1" width="36.6640625" style="619" customWidth="1"/>
    <col min="2" max="2" width="5.5" style="619" customWidth="1"/>
    <col min="3" max="5" width="11.1640625" style="619" customWidth="1"/>
    <col min="6" max="7" width="11.83203125" style="619" customWidth="1"/>
    <col min="8" max="8" width="9" style="619" customWidth="1"/>
    <col min="9" max="16384" width="9.1640625" style="619"/>
  </cols>
  <sheetData>
    <row r="1" spans="1:7" ht="14" thickBot="1">
      <c r="A1" s="616"/>
      <c r="B1" s="617"/>
      <c r="C1" s="617"/>
      <c r="D1" s="617"/>
      <c r="E1" s="617"/>
      <c r="F1" s="616"/>
      <c r="G1" s="618"/>
    </row>
    <row r="2" spans="1:7" ht="14" thickBot="1">
      <c r="A2" s="848" t="s">
        <v>2500</v>
      </c>
      <c r="B2" s="849"/>
      <c r="C2" s="850"/>
      <c r="D2" s="620"/>
      <c r="E2" s="621"/>
      <c r="F2" s="616"/>
      <c r="G2" s="618"/>
    </row>
    <row r="3" spans="1:7">
      <c r="A3" s="622" t="s">
        <v>2501</v>
      </c>
      <c r="B3" s="622"/>
      <c r="C3" s="623">
        <v>130000</v>
      </c>
      <c r="D3" s="620"/>
      <c r="E3" s="621"/>
      <c r="F3" s="616"/>
      <c r="G3" s="618"/>
    </row>
    <row r="4" spans="1:7" ht="14" thickBot="1">
      <c r="A4" s="622"/>
      <c r="B4" s="622"/>
      <c r="C4" s="624"/>
      <c r="D4" s="620"/>
      <c r="E4" s="621"/>
      <c r="F4" s="616"/>
      <c r="G4" s="618"/>
    </row>
    <row r="5" spans="1:7" ht="29" thickBot="1">
      <c r="A5" s="625"/>
      <c r="B5" s="625"/>
      <c r="C5" s="626" t="s">
        <v>2514</v>
      </c>
      <c r="D5" s="627" t="s">
        <v>2502</v>
      </c>
      <c r="E5" s="628"/>
      <c r="F5" s="616"/>
      <c r="G5" s="618"/>
    </row>
    <row r="6" spans="1:7" ht="14" thickBot="1">
      <c r="A6" s="629" t="s">
        <v>2503</v>
      </c>
      <c r="B6" s="630" t="s">
        <v>2504</v>
      </c>
      <c r="C6" s="631" t="s">
        <v>2505</v>
      </c>
      <c r="D6" s="632" t="s">
        <v>1226</v>
      </c>
      <c r="E6" s="633" t="s">
        <v>2505</v>
      </c>
      <c r="F6" s="632" t="s">
        <v>2506</v>
      </c>
      <c r="G6" s="618"/>
    </row>
    <row r="7" spans="1:7">
      <c r="A7" s="634" t="s">
        <v>2730</v>
      </c>
      <c r="B7" s="635">
        <v>1</v>
      </c>
      <c r="C7" s="636">
        <v>0.1</v>
      </c>
      <c r="D7" s="637">
        <f>B7</f>
        <v>1</v>
      </c>
      <c r="E7" s="638">
        <f>B7*(1-C7)</f>
        <v>0.9</v>
      </c>
      <c r="F7" s="637">
        <f>D7-E7</f>
        <v>9.9999999999999978E-2</v>
      </c>
      <c r="G7" s="618"/>
    </row>
    <row r="8" spans="1:7">
      <c r="A8" s="634" t="s">
        <v>2731</v>
      </c>
      <c r="B8" s="635">
        <v>1</v>
      </c>
      <c r="C8" s="639">
        <v>0.1</v>
      </c>
      <c r="D8" s="640">
        <f>B8</f>
        <v>1</v>
      </c>
      <c r="E8" s="638">
        <f t="shared" ref="E8:E11" si="0">B8*(1-C8)</f>
        <v>0.9</v>
      </c>
      <c r="F8" s="640">
        <f t="shared" ref="F8:F11" si="1">D8-E8</f>
        <v>9.9999999999999978E-2</v>
      </c>
      <c r="G8" s="618"/>
    </row>
    <row r="9" spans="1:7">
      <c r="A9" s="634" t="s">
        <v>2732</v>
      </c>
      <c r="B9" s="635">
        <v>3</v>
      </c>
      <c r="C9" s="639">
        <v>0.5</v>
      </c>
      <c r="D9" s="640">
        <f>B9</f>
        <v>3</v>
      </c>
      <c r="E9" s="638">
        <f t="shared" si="0"/>
        <v>1.5</v>
      </c>
      <c r="F9" s="640">
        <f t="shared" si="1"/>
        <v>1.5</v>
      </c>
      <c r="G9" s="618"/>
    </row>
    <row r="10" spans="1:7">
      <c r="A10" s="634" t="s">
        <v>2733</v>
      </c>
      <c r="B10" s="635">
        <v>2</v>
      </c>
      <c r="C10" s="639">
        <v>0.3</v>
      </c>
      <c r="D10" s="640">
        <f>B10</f>
        <v>2</v>
      </c>
      <c r="E10" s="638">
        <f t="shared" si="0"/>
        <v>1.4</v>
      </c>
      <c r="F10" s="640">
        <f t="shared" si="1"/>
        <v>0.60000000000000009</v>
      </c>
      <c r="G10" s="618"/>
    </row>
    <row r="11" spans="1:7" ht="14" thickBot="1">
      <c r="A11" s="634" t="s">
        <v>2507</v>
      </c>
      <c r="B11" s="635">
        <v>0</v>
      </c>
      <c r="C11" s="641">
        <v>0.2</v>
      </c>
      <c r="D11" s="642">
        <f>B11</f>
        <v>0</v>
      </c>
      <c r="E11" s="638">
        <f t="shared" si="0"/>
        <v>0</v>
      </c>
      <c r="F11" s="640">
        <f t="shared" si="1"/>
        <v>0</v>
      </c>
      <c r="G11" s="618"/>
    </row>
    <row r="12" spans="1:7" ht="14" thickBot="1">
      <c r="A12" s="618"/>
      <c r="B12" s="618"/>
      <c r="C12" s="643"/>
      <c r="D12" s="644">
        <f>SUM(D7:D11)</f>
        <v>7</v>
      </c>
      <c r="E12" s="645">
        <f>SUM(E7:E11)</f>
        <v>4.6999999999999993</v>
      </c>
      <c r="F12" s="646">
        <f>SUM(F7:F11)</f>
        <v>2.2999999999999998</v>
      </c>
      <c r="G12" s="618"/>
    </row>
    <row r="13" spans="1:7">
      <c r="A13" s="616"/>
      <c r="B13" s="616"/>
      <c r="C13" s="616"/>
      <c r="D13" s="617"/>
      <c r="E13" s="617"/>
      <c r="F13" s="616"/>
      <c r="G13" s="618"/>
    </row>
    <row r="14" spans="1:7">
      <c r="A14" s="616"/>
      <c r="B14" s="616"/>
      <c r="C14" s="503" t="s">
        <v>2508</v>
      </c>
      <c r="D14" s="503" t="s">
        <v>2509</v>
      </c>
      <c r="E14" s="503" t="s">
        <v>2510</v>
      </c>
      <c r="F14" s="503" t="s">
        <v>2511</v>
      </c>
      <c r="G14" s="503" t="s">
        <v>2512</v>
      </c>
    </row>
    <row r="15" spans="1:7">
      <c r="A15" s="647" t="s">
        <v>2513</v>
      </c>
      <c r="B15" s="616"/>
      <c r="C15" s="648">
        <v>0.5</v>
      </c>
      <c r="D15" s="648">
        <v>1</v>
      </c>
      <c r="E15" s="648">
        <v>1</v>
      </c>
      <c r="F15" s="648">
        <v>1</v>
      </c>
      <c r="G15" s="648">
        <v>1</v>
      </c>
    </row>
    <row r="16" spans="1:7">
      <c r="A16" s="647" t="s">
        <v>2734</v>
      </c>
      <c r="B16" s="647"/>
      <c r="C16" s="649">
        <f>-$C$3*$F$12*C15</f>
        <v>-149500</v>
      </c>
      <c r="D16" s="649">
        <f t="shared" ref="D16:G16" si="2">-$C$3*$F$12*D15</f>
        <v>-299000</v>
      </c>
      <c r="E16" s="649">
        <f t="shared" si="2"/>
        <v>-299000</v>
      </c>
      <c r="F16" s="649">
        <f t="shared" si="2"/>
        <v>-299000</v>
      </c>
      <c r="G16" s="649">
        <f t="shared" si="2"/>
        <v>-299000</v>
      </c>
    </row>
    <row r="17" spans="1:7">
      <c r="A17" s="650"/>
      <c r="B17" s="650"/>
      <c r="C17" s="649"/>
      <c r="D17" s="649"/>
      <c r="E17" s="649"/>
      <c r="F17" s="649"/>
      <c r="G17" s="649"/>
    </row>
    <row r="18" spans="1:7">
      <c r="A18" s="650" t="s">
        <v>1226</v>
      </c>
      <c r="B18" s="650"/>
      <c r="C18" s="649">
        <f>C3*D12</f>
        <v>910000</v>
      </c>
      <c r="D18" s="649">
        <f>C18</f>
        <v>910000</v>
      </c>
      <c r="E18" s="649">
        <f t="shared" ref="E18:G18" si="3">D18</f>
        <v>910000</v>
      </c>
      <c r="F18" s="649">
        <f t="shared" si="3"/>
        <v>910000</v>
      </c>
      <c r="G18" s="649">
        <f t="shared" si="3"/>
        <v>910000</v>
      </c>
    </row>
    <row r="19" spans="1:7">
      <c r="A19" s="650" t="s">
        <v>2505</v>
      </c>
      <c r="B19" s="650"/>
      <c r="C19" s="649">
        <f>C3*E12</f>
        <v>610999.99999999988</v>
      </c>
      <c r="D19" s="649">
        <f t="shared" ref="D19:G19" si="4">C19</f>
        <v>610999.99999999988</v>
      </c>
      <c r="E19" s="649">
        <f t="shared" si="4"/>
        <v>610999.99999999988</v>
      </c>
      <c r="F19" s="649">
        <f t="shared" si="4"/>
        <v>610999.99999999988</v>
      </c>
      <c r="G19" s="649">
        <f t="shared" si="4"/>
        <v>610999.99999999988</v>
      </c>
    </row>
  </sheetData>
  <mergeCells count="1">
    <mergeCell ref="A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C03F9-4861-4534-8305-61EB84DCC36D}">
  <sheetPr>
    <tabColor theme="7"/>
  </sheetPr>
  <dimension ref="A1:AC33"/>
  <sheetViews>
    <sheetView workbookViewId="0">
      <selection activeCell="I19" sqref="I19"/>
    </sheetView>
  </sheetViews>
  <sheetFormatPr baseColWidth="10" defaultColWidth="8.83203125" defaultRowHeight="15"/>
  <cols>
    <col min="1" max="1" width="42.1640625" customWidth="1"/>
    <col min="2" max="5" width="14.6640625" customWidth="1"/>
    <col min="6" max="7" width="10.6640625" customWidth="1"/>
    <col min="8" max="8" width="8.6640625" style="509" customWidth="1"/>
    <col min="9" max="9" width="8.5" customWidth="1"/>
    <col min="10" max="10" width="10.5" customWidth="1"/>
    <col min="11" max="11" width="8.1640625" customWidth="1"/>
    <col min="12" max="12" width="10.33203125" customWidth="1"/>
    <col min="13" max="13" width="12" customWidth="1"/>
    <col min="16" max="16" width="61.5" customWidth="1"/>
  </cols>
  <sheetData>
    <row r="1" spans="1:29" ht="16" thickBot="1">
      <c r="A1" s="508" t="s">
        <v>587</v>
      </c>
      <c r="B1" s="511" t="s">
        <v>944</v>
      </c>
      <c r="C1" s="511" t="s">
        <v>944</v>
      </c>
      <c r="D1" s="511" t="s">
        <v>944</v>
      </c>
      <c r="E1" s="511" t="s">
        <v>589</v>
      </c>
      <c r="F1" s="511" t="s">
        <v>589</v>
      </c>
      <c r="G1" s="511" t="s">
        <v>944</v>
      </c>
      <c r="H1" s="530">
        <v>1</v>
      </c>
      <c r="I1" s="508"/>
      <c r="J1" s="507">
        <v>0.5</v>
      </c>
      <c r="L1" s="63">
        <v>0.65</v>
      </c>
    </row>
    <row r="2" spans="1:29" s="334" customFormat="1" ht="65" thickBot="1">
      <c r="A2" s="518" t="s">
        <v>2595</v>
      </c>
      <c r="B2" s="519" t="s">
        <v>2583</v>
      </c>
      <c r="C2" s="519" t="s">
        <v>2582</v>
      </c>
      <c r="D2" s="520" t="s">
        <v>2584</v>
      </c>
      <c r="E2" s="520" t="s">
        <v>2581</v>
      </c>
      <c r="F2" s="520" t="s">
        <v>2580</v>
      </c>
      <c r="G2" s="520" t="s">
        <v>2599</v>
      </c>
      <c r="H2" s="520" t="s">
        <v>2596</v>
      </c>
      <c r="I2" s="520" t="s">
        <v>2597</v>
      </c>
      <c r="J2" s="520" t="s">
        <v>2495</v>
      </c>
      <c r="K2" s="520" t="s">
        <v>2496</v>
      </c>
      <c r="L2" s="520" t="s">
        <v>1</v>
      </c>
      <c r="M2" s="531" t="s">
        <v>2497</v>
      </c>
      <c r="N2"/>
      <c r="O2"/>
      <c r="P2" s="518" t="s">
        <v>2601</v>
      </c>
      <c r="Q2" s="503" t="s">
        <v>2508</v>
      </c>
      <c r="R2" s="503" t="s">
        <v>2509</v>
      </c>
      <c r="S2" s="503" t="s">
        <v>2510</v>
      </c>
      <c r="T2" s="503" t="s">
        <v>2511</v>
      </c>
      <c r="U2" s="503" t="s">
        <v>2512</v>
      </c>
      <c r="V2" s="540" t="s">
        <v>943</v>
      </c>
    </row>
    <row r="3" spans="1:29" ht="16">
      <c r="A3" s="521" t="s">
        <v>695</v>
      </c>
      <c r="B3" s="512"/>
      <c r="C3" s="512"/>
      <c r="D3" s="512" t="s">
        <v>588</v>
      </c>
      <c r="E3" s="512" t="s">
        <v>588</v>
      </c>
      <c r="F3" s="512"/>
      <c r="G3" s="513"/>
      <c r="H3" s="532">
        <f t="shared" ref="H3:H22" si="0">$H$1</f>
        <v>1</v>
      </c>
      <c r="I3" s="532"/>
      <c r="J3" s="533">
        <f>IF(G3="Y",0,$J$1)</f>
        <v>0.5</v>
      </c>
      <c r="K3" s="514">
        <f>VLOOKUP($A3,'License Price List'!$B$2:$M$600,12,FALSE)</f>
        <v>11500</v>
      </c>
      <c r="L3" s="515">
        <f>$L$1</f>
        <v>0.65</v>
      </c>
      <c r="M3" s="523">
        <f t="shared" ref="M3:M22" si="1">IF(HLOOKUP("y",$B$1:$F$22,ROW(),FALSE)="Y",IF(I3&gt;H3/2,0,(H3/2-I3)*J3*K3*(1-L3)),0)</f>
        <v>1006.2499999999999</v>
      </c>
      <c r="N3" s="1"/>
      <c r="O3" s="1"/>
      <c r="P3" s="240" t="s">
        <v>2600</v>
      </c>
      <c r="Q3" s="538">
        <f>M23</f>
        <v>19600</v>
      </c>
      <c r="R3" s="240"/>
      <c r="S3" s="240"/>
      <c r="T3" s="240"/>
      <c r="U3" s="240"/>
      <c r="V3" s="1"/>
      <c r="W3" s="1"/>
      <c r="X3" s="1"/>
      <c r="Y3" s="1"/>
      <c r="Z3" s="1"/>
      <c r="AA3" s="1"/>
      <c r="AB3" s="1"/>
      <c r="AC3" s="1"/>
    </row>
    <row r="4" spans="1:29" ht="16">
      <c r="A4" s="522" t="s">
        <v>2588</v>
      </c>
      <c r="B4" s="513" t="s">
        <v>588</v>
      </c>
      <c r="C4" s="513" t="s">
        <v>588</v>
      </c>
      <c r="D4" s="513" t="s">
        <v>588</v>
      </c>
      <c r="E4" s="513" t="s">
        <v>588</v>
      </c>
      <c r="F4" s="513" t="s">
        <v>588</v>
      </c>
      <c r="G4" s="513"/>
      <c r="H4" s="532">
        <f t="shared" si="0"/>
        <v>1</v>
      </c>
      <c r="I4" s="532"/>
      <c r="J4" s="533">
        <f t="shared" ref="J4:J22" si="2">IF(G4="Y",0,$J$1)</f>
        <v>0.5</v>
      </c>
      <c r="K4" s="514"/>
      <c r="L4" s="515"/>
      <c r="M4" s="523">
        <f t="shared" si="1"/>
        <v>0</v>
      </c>
      <c r="N4" s="1"/>
      <c r="O4" s="1"/>
      <c r="P4" s="240" t="s">
        <v>581</v>
      </c>
      <c r="Q4" s="538">
        <f>M24</f>
        <v>4312</v>
      </c>
      <c r="R4" s="538">
        <f>Q4*1.04</f>
        <v>4484.4800000000005</v>
      </c>
      <c r="S4" s="538">
        <f>R4*1.04</f>
        <v>4663.8592000000008</v>
      </c>
      <c r="T4" s="538">
        <f t="shared" ref="T4:U4" si="3">S4*1.04</f>
        <v>4850.4135680000009</v>
      </c>
      <c r="U4" s="538">
        <f t="shared" si="3"/>
        <v>5044.4301107200008</v>
      </c>
      <c r="V4" s="1"/>
      <c r="W4" s="1"/>
      <c r="X4" s="1"/>
      <c r="Y4" s="1"/>
      <c r="Z4" s="1"/>
      <c r="AA4" s="1"/>
      <c r="AB4" s="1"/>
      <c r="AC4" s="1"/>
    </row>
    <row r="5" spans="1:29">
      <c r="A5" s="522" t="s">
        <v>698</v>
      </c>
      <c r="B5" s="513"/>
      <c r="C5" s="513" t="s">
        <v>588</v>
      </c>
      <c r="D5" s="513" t="s">
        <v>588</v>
      </c>
      <c r="E5" s="513" t="s">
        <v>588</v>
      </c>
      <c r="F5" s="513"/>
      <c r="G5" s="513"/>
      <c r="H5" s="532">
        <f t="shared" si="0"/>
        <v>1</v>
      </c>
      <c r="I5" s="532"/>
      <c r="J5" s="533">
        <f t="shared" si="2"/>
        <v>0.5</v>
      </c>
      <c r="K5" s="514">
        <f>VLOOKUP($A5,'License Price List'!$B$2:$M$600,12,FALSE)</f>
        <v>11500</v>
      </c>
      <c r="L5" s="515">
        <f t="shared" ref="L5:L18" si="4">$L$1</f>
        <v>0.65</v>
      </c>
      <c r="M5" s="523">
        <f t="shared" si="1"/>
        <v>1006.2499999999999</v>
      </c>
      <c r="N5" s="1"/>
      <c r="O5" s="1"/>
      <c r="P5" s="1" t="s">
        <v>943</v>
      </c>
      <c r="Q5" s="538">
        <f>SUM(Q3:Q4)</f>
        <v>23912</v>
      </c>
      <c r="R5" s="538">
        <f>SUM(R3:R4)</f>
        <v>4484.4800000000005</v>
      </c>
      <c r="S5" s="538">
        <f t="shared" ref="S5:U5" si="5">SUM(S3:S4)</f>
        <v>4663.8592000000008</v>
      </c>
      <c r="T5" s="538">
        <f t="shared" si="5"/>
        <v>4850.4135680000009</v>
      </c>
      <c r="U5" s="538">
        <f t="shared" si="5"/>
        <v>5044.4301107200008</v>
      </c>
      <c r="V5" s="539">
        <f>SUM(Q5:U5)</f>
        <v>42955.182878720007</v>
      </c>
      <c r="W5" s="1"/>
      <c r="X5" s="1"/>
      <c r="Y5" s="1"/>
      <c r="Z5" s="1"/>
      <c r="AA5" s="1"/>
      <c r="AB5" s="1"/>
      <c r="AC5" s="1"/>
    </row>
    <row r="6" spans="1:29">
      <c r="A6" s="522" t="s">
        <v>699</v>
      </c>
      <c r="B6" s="513"/>
      <c r="C6" s="513" t="s">
        <v>588</v>
      </c>
      <c r="D6" s="513" t="s">
        <v>588</v>
      </c>
      <c r="E6" s="513" t="s">
        <v>588</v>
      </c>
      <c r="F6" s="513"/>
      <c r="G6" s="513"/>
      <c r="H6" s="532">
        <f t="shared" si="0"/>
        <v>1</v>
      </c>
      <c r="I6" s="532"/>
      <c r="J6" s="533">
        <f t="shared" si="2"/>
        <v>0.5</v>
      </c>
      <c r="K6" s="514">
        <f>VLOOKUP($A6,'License Price List'!$B$2:$M$600,12,FALSE)</f>
        <v>15000</v>
      </c>
      <c r="L6" s="515">
        <f t="shared" si="4"/>
        <v>0.65</v>
      </c>
      <c r="M6" s="523">
        <f t="shared" si="1"/>
        <v>1312.5</v>
      </c>
      <c r="N6" s="1"/>
      <c r="O6" s="1"/>
      <c r="P6" s="1"/>
      <c r="Q6" s="1"/>
      <c r="R6" s="1"/>
      <c r="S6" s="1"/>
      <c r="T6" s="1"/>
      <c r="U6" s="1"/>
      <c r="V6" s="1"/>
      <c r="W6" s="1"/>
      <c r="X6" s="1"/>
      <c r="Y6" s="1"/>
      <c r="Z6" s="1"/>
      <c r="AA6" s="1"/>
      <c r="AB6" s="1"/>
      <c r="AC6" s="1"/>
    </row>
    <row r="7" spans="1:29">
      <c r="A7" s="522" t="s">
        <v>709</v>
      </c>
      <c r="B7" s="513"/>
      <c r="C7" s="513" t="s">
        <v>588</v>
      </c>
      <c r="D7" s="513" t="s">
        <v>588</v>
      </c>
      <c r="E7" s="513" t="s">
        <v>588</v>
      </c>
      <c r="F7" s="513"/>
      <c r="G7" s="513"/>
      <c r="H7" s="532">
        <f t="shared" si="0"/>
        <v>1</v>
      </c>
      <c r="I7" s="532"/>
      <c r="J7" s="533">
        <f t="shared" si="2"/>
        <v>0.5</v>
      </c>
      <c r="K7" s="514">
        <f>VLOOKUP($A7,'License Price List'!$B$2:$M$600,12,FALSE)</f>
        <v>7500</v>
      </c>
      <c r="L7" s="515">
        <f t="shared" si="4"/>
        <v>0.65</v>
      </c>
      <c r="M7" s="523">
        <f t="shared" si="1"/>
        <v>656.25</v>
      </c>
      <c r="N7" s="1"/>
      <c r="O7" s="1"/>
      <c r="P7" s="1"/>
      <c r="Q7" s="1"/>
      <c r="R7" s="1"/>
      <c r="S7" s="1"/>
      <c r="T7" s="1"/>
      <c r="U7" s="1"/>
      <c r="V7" s="1"/>
      <c r="W7" s="1"/>
      <c r="X7" s="1"/>
      <c r="Y7" s="1"/>
      <c r="Z7" s="1"/>
      <c r="AA7" s="1"/>
      <c r="AB7" s="1"/>
      <c r="AC7" s="1"/>
    </row>
    <row r="8" spans="1:29">
      <c r="A8" s="522" t="s">
        <v>708</v>
      </c>
      <c r="B8" s="513" t="s">
        <v>588</v>
      </c>
      <c r="C8" s="513" t="s">
        <v>588</v>
      </c>
      <c r="D8" s="513" t="s">
        <v>588</v>
      </c>
      <c r="E8" s="513" t="s">
        <v>588</v>
      </c>
      <c r="F8" s="513" t="s">
        <v>588</v>
      </c>
      <c r="G8" s="513"/>
      <c r="H8" s="532">
        <f t="shared" si="0"/>
        <v>1</v>
      </c>
      <c r="I8" s="532"/>
      <c r="J8" s="533">
        <f t="shared" si="2"/>
        <v>0.5</v>
      </c>
      <c r="K8" s="514">
        <f>VLOOKUP($A8,'License Price List'!$B$2:$M$600,12,FALSE)</f>
        <v>11500</v>
      </c>
      <c r="L8" s="515">
        <f t="shared" si="4"/>
        <v>0.65</v>
      </c>
      <c r="M8" s="523">
        <f t="shared" si="1"/>
        <v>1006.2499999999999</v>
      </c>
      <c r="N8" s="1"/>
      <c r="O8" s="1"/>
      <c r="P8" s="1"/>
      <c r="Q8" s="1"/>
      <c r="R8" s="1"/>
      <c r="S8" s="1"/>
      <c r="T8" s="1"/>
      <c r="U8" s="1"/>
      <c r="V8" s="1"/>
      <c r="W8" s="1"/>
      <c r="X8" s="1"/>
      <c r="Y8" s="1"/>
      <c r="Z8" s="1"/>
      <c r="AA8" s="1"/>
      <c r="AB8" s="1"/>
      <c r="AC8" s="1"/>
    </row>
    <row r="9" spans="1:29">
      <c r="A9" s="522" t="s">
        <v>704</v>
      </c>
      <c r="B9" s="513"/>
      <c r="C9" s="513"/>
      <c r="D9" s="513" t="s">
        <v>588</v>
      </c>
      <c r="E9" s="513" t="s">
        <v>588</v>
      </c>
      <c r="F9" s="513"/>
      <c r="G9" s="513"/>
      <c r="H9" s="532">
        <f t="shared" si="0"/>
        <v>1</v>
      </c>
      <c r="I9" s="532"/>
      <c r="J9" s="533">
        <f t="shared" si="2"/>
        <v>0.5</v>
      </c>
      <c r="K9" s="514">
        <f>VLOOKUP($A9,'License Price List'!$B$2:$M$600,12,FALSE)</f>
        <v>23000</v>
      </c>
      <c r="L9" s="515">
        <f t="shared" si="4"/>
        <v>0.65</v>
      </c>
      <c r="M9" s="523">
        <f t="shared" si="1"/>
        <v>2012.4999999999998</v>
      </c>
      <c r="N9" s="1"/>
      <c r="O9" s="1"/>
      <c r="P9" s="1"/>
      <c r="Q9" s="1"/>
      <c r="R9" s="1"/>
      <c r="S9" s="1"/>
      <c r="T9" s="1"/>
      <c r="U9" s="1"/>
      <c r="V9" s="1"/>
      <c r="W9" s="1"/>
      <c r="X9" s="1"/>
      <c r="Y9" s="1"/>
      <c r="Z9" s="1"/>
      <c r="AA9" s="1"/>
      <c r="AB9" s="1"/>
      <c r="AC9" s="1"/>
    </row>
    <row r="10" spans="1:29">
      <c r="A10" s="522" t="s">
        <v>707</v>
      </c>
      <c r="B10" s="513"/>
      <c r="C10" s="513" t="s">
        <v>588</v>
      </c>
      <c r="D10" s="513" t="s">
        <v>588</v>
      </c>
      <c r="E10" s="513" t="s">
        <v>588</v>
      </c>
      <c r="F10" s="513"/>
      <c r="G10" s="513"/>
      <c r="H10" s="532">
        <f t="shared" si="0"/>
        <v>1</v>
      </c>
      <c r="I10" s="532"/>
      <c r="J10" s="533">
        <f t="shared" si="2"/>
        <v>0.5</v>
      </c>
      <c r="K10" s="514">
        <f>VLOOKUP($A10,'License Price List'!$B$2:$M$600,12,FALSE)</f>
        <v>12000</v>
      </c>
      <c r="L10" s="515">
        <f t="shared" si="4"/>
        <v>0.65</v>
      </c>
      <c r="M10" s="523">
        <f t="shared" si="1"/>
        <v>1050</v>
      </c>
      <c r="N10" s="1"/>
      <c r="O10" s="1"/>
      <c r="P10" s="1"/>
      <c r="Q10" s="1"/>
      <c r="R10" s="1"/>
      <c r="S10" s="1"/>
      <c r="T10" s="1"/>
      <c r="U10" s="1"/>
      <c r="V10" s="1"/>
      <c r="W10" s="1"/>
      <c r="X10" s="1"/>
      <c r="Y10" s="1"/>
      <c r="Z10" s="1"/>
      <c r="AA10" s="1"/>
      <c r="AB10" s="1"/>
      <c r="AC10" s="1"/>
    </row>
    <row r="11" spans="1:29">
      <c r="A11" s="522" t="s">
        <v>701</v>
      </c>
      <c r="B11" s="513"/>
      <c r="C11" s="513" t="s">
        <v>588</v>
      </c>
      <c r="D11" s="513" t="s">
        <v>588</v>
      </c>
      <c r="E11" s="513" t="s">
        <v>588</v>
      </c>
      <c r="F11" s="513"/>
      <c r="G11" s="513"/>
      <c r="H11" s="532">
        <f t="shared" si="0"/>
        <v>1</v>
      </c>
      <c r="I11" s="532"/>
      <c r="J11" s="533">
        <f t="shared" si="2"/>
        <v>0.5</v>
      </c>
      <c r="K11" s="514">
        <f>VLOOKUP($A11,'License Price List'!$B$2:$M$600,12,FALSE)</f>
        <v>11500</v>
      </c>
      <c r="L11" s="515">
        <f t="shared" si="4"/>
        <v>0.65</v>
      </c>
      <c r="M11" s="523">
        <f t="shared" si="1"/>
        <v>1006.2499999999999</v>
      </c>
      <c r="N11" s="1"/>
      <c r="O11" s="1"/>
      <c r="P11" s="1"/>
      <c r="Q11" s="1"/>
      <c r="R11" s="1"/>
      <c r="S11" s="1"/>
      <c r="T11" s="1"/>
      <c r="U11" s="1"/>
      <c r="V11" s="1"/>
      <c r="W11" s="1"/>
      <c r="X11" s="1"/>
      <c r="Y11" s="1"/>
      <c r="Z11" s="1"/>
      <c r="AA11" s="1"/>
      <c r="AB11" s="1"/>
      <c r="AC11" s="1"/>
    </row>
    <row r="12" spans="1:29">
      <c r="A12" s="522" t="s">
        <v>705</v>
      </c>
      <c r="B12" s="513" t="s">
        <v>588</v>
      </c>
      <c r="C12" s="513" t="s">
        <v>588</v>
      </c>
      <c r="D12" s="513" t="s">
        <v>588</v>
      </c>
      <c r="E12" s="513" t="s">
        <v>588</v>
      </c>
      <c r="F12" s="513" t="s">
        <v>588</v>
      </c>
      <c r="G12" s="513"/>
      <c r="H12" s="532">
        <f t="shared" si="0"/>
        <v>1</v>
      </c>
      <c r="I12" s="532"/>
      <c r="J12" s="533">
        <f t="shared" si="2"/>
        <v>0.5</v>
      </c>
      <c r="K12" s="514">
        <f>VLOOKUP($A12,'License Price List'!$B$2:$M$600,12,FALSE)</f>
        <v>7500</v>
      </c>
      <c r="L12" s="515">
        <f t="shared" si="4"/>
        <v>0.65</v>
      </c>
      <c r="M12" s="523">
        <f t="shared" si="1"/>
        <v>656.25</v>
      </c>
      <c r="N12" s="1"/>
      <c r="O12" s="1"/>
      <c r="P12" s="1"/>
      <c r="Q12" s="1"/>
      <c r="R12" s="1"/>
      <c r="S12" s="1"/>
      <c r="T12" s="1"/>
      <c r="U12" s="1"/>
      <c r="V12" s="1"/>
      <c r="W12" s="1"/>
      <c r="X12" s="1"/>
      <c r="Y12" s="1"/>
      <c r="Z12" s="1"/>
      <c r="AA12" s="1"/>
      <c r="AB12" s="1"/>
      <c r="AC12" s="1"/>
    </row>
    <row r="13" spans="1:29">
      <c r="A13" s="522" t="s">
        <v>700</v>
      </c>
      <c r="B13" s="513"/>
      <c r="C13" s="513" t="s">
        <v>588</v>
      </c>
      <c r="D13" s="513" t="s">
        <v>588</v>
      </c>
      <c r="E13" s="513" t="s">
        <v>588</v>
      </c>
      <c r="F13" s="513"/>
      <c r="G13" s="513"/>
      <c r="H13" s="532">
        <f t="shared" si="0"/>
        <v>1</v>
      </c>
      <c r="I13" s="532"/>
      <c r="J13" s="533">
        <f t="shared" si="2"/>
        <v>0.5</v>
      </c>
      <c r="K13" s="514">
        <f>VLOOKUP($A13,'License Price List'!$B$2:$M$600,12,FALSE)</f>
        <v>11500</v>
      </c>
      <c r="L13" s="515">
        <f t="shared" si="4"/>
        <v>0.65</v>
      </c>
      <c r="M13" s="523">
        <f t="shared" si="1"/>
        <v>1006.2499999999999</v>
      </c>
      <c r="N13" s="1"/>
      <c r="O13" s="1"/>
      <c r="P13" s="1"/>
      <c r="Q13" s="1"/>
      <c r="R13" s="1"/>
      <c r="S13" s="1"/>
      <c r="T13" s="1"/>
      <c r="U13" s="1"/>
      <c r="V13" s="1"/>
      <c r="W13" s="1"/>
      <c r="X13" s="1"/>
      <c r="Y13" s="1"/>
      <c r="Z13" s="1"/>
      <c r="AA13" s="1"/>
      <c r="AB13" s="1"/>
      <c r="AC13" s="1"/>
    </row>
    <row r="14" spans="1:29">
      <c r="A14" s="522" t="s">
        <v>692</v>
      </c>
      <c r="B14" s="513"/>
      <c r="C14" s="513" t="s">
        <v>588</v>
      </c>
      <c r="D14" s="513" t="s">
        <v>588</v>
      </c>
      <c r="E14" s="513" t="s">
        <v>588</v>
      </c>
      <c r="F14" s="513"/>
      <c r="G14" s="513"/>
      <c r="H14" s="532">
        <f t="shared" si="0"/>
        <v>1</v>
      </c>
      <c r="I14" s="532"/>
      <c r="J14" s="533">
        <f t="shared" si="2"/>
        <v>0.5</v>
      </c>
      <c r="K14" s="514">
        <f>VLOOKUP($A14,'License Price List'!$B$2:$M$600,12,FALSE)</f>
        <v>17500</v>
      </c>
      <c r="L14" s="515">
        <f t="shared" si="4"/>
        <v>0.65</v>
      </c>
      <c r="M14" s="523">
        <f t="shared" si="1"/>
        <v>1531.25</v>
      </c>
      <c r="N14" s="1"/>
      <c r="O14" s="1"/>
      <c r="P14" s="1"/>
      <c r="Q14" s="1"/>
      <c r="R14" s="1"/>
      <c r="S14" s="1"/>
      <c r="T14" s="1"/>
      <c r="U14" s="1"/>
      <c r="V14" s="1"/>
      <c r="W14" s="1"/>
      <c r="X14" s="1"/>
      <c r="Y14" s="1"/>
      <c r="Z14" s="1"/>
      <c r="AA14" s="1"/>
      <c r="AB14" s="1"/>
      <c r="AC14" s="1"/>
    </row>
    <row r="15" spans="1:29">
      <c r="A15" s="522" t="s">
        <v>702</v>
      </c>
      <c r="B15" s="513"/>
      <c r="C15" s="513" t="s">
        <v>588</v>
      </c>
      <c r="D15" s="513" t="s">
        <v>588</v>
      </c>
      <c r="E15" s="513" t="s">
        <v>588</v>
      </c>
      <c r="F15" s="513"/>
      <c r="G15" s="513"/>
      <c r="H15" s="532">
        <f t="shared" si="0"/>
        <v>1</v>
      </c>
      <c r="I15" s="532"/>
      <c r="J15" s="533">
        <f t="shared" si="2"/>
        <v>0.5</v>
      </c>
      <c r="K15" s="514">
        <f>VLOOKUP($A15,'License Price List'!$B$2:$M$600,12,FALSE)</f>
        <v>23000</v>
      </c>
      <c r="L15" s="515">
        <f t="shared" si="4"/>
        <v>0.65</v>
      </c>
      <c r="M15" s="523">
        <f t="shared" si="1"/>
        <v>2012.4999999999998</v>
      </c>
      <c r="N15" s="1"/>
      <c r="O15" s="1"/>
      <c r="P15" s="1"/>
      <c r="Q15" s="1"/>
      <c r="R15" s="1"/>
      <c r="S15" s="1"/>
      <c r="T15" s="1"/>
      <c r="U15" s="1"/>
      <c r="V15" s="1"/>
      <c r="W15" s="1"/>
      <c r="X15" s="1"/>
      <c r="Y15" s="1"/>
      <c r="Z15" s="1"/>
      <c r="AA15" s="1"/>
      <c r="AB15" s="1"/>
      <c r="AC15" s="1"/>
    </row>
    <row r="16" spans="1:29">
      <c r="A16" s="522" t="s">
        <v>696</v>
      </c>
      <c r="B16" s="513"/>
      <c r="C16" s="513" t="s">
        <v>588</v>
      </c>
      <c r="D16" s="513" t="s">
        <v>588</v>
      </c>
      <c r="E16" s="513" t="s">
        <v>588</v>
      </c>
      <c r="F16" s="513"/>
      <c r="G16" s="513"/>
      <c r="H16" s="532">
        <f t="shared" si="0"/>
        <v>1</v>
      </c>
      <c r="I16" s="532"/>
      <c r="J16" s="533">
        <f t="shared" si="2"/>
        <v>0.5</v>
      </c>
      <c r="K16" s="514">
        <f>VLOOKUP($A16,'License Price List'!$B$2:$M$600,12,FALSE)</f>
        <v>11500</v>
      </c>
      <c r="L16" s="515">
        <f t="shared" si="4"/>
        <v>0.65</v>
      </c>
      <c r="M16" s="523">
        <f t="shared" si="1"/>
        <v>1006.2499999999999</v>
      </c>
      <c r="N16" s="1"/>
      <c r="O16" s="1"/>
      <c r="P16" s="1"/>
      <c r="Q16" s="1"/>
      <c r="R16" s="1"/>
      <c r="S16" s="1"/>
      <c r="T16" s="1"/>
      <c r="U16" s="1"/>
      <c r="V16" s="1"/>
      <c r="W16" s="1"/>
      <c r="X16" s="1"/>
      <c r="Y16" s="1"/>
      <c r="Z16" s="1"/>
      <c r="AA16" s="1"/>
      <c r="AB16" s="1"/>
      <c r="AC16" s="1"/>
    </row>
    <row r="17" spans="1:29">
      <c r="A17" s="522" t="s">
        <v>693</v>
      </c>
      <c r="B17" s="513"/>
      <c r="C17" s="513"/>
      <c r="D17" s="513" t="s">
        <v>588</v>
      </c>
      <c r="E17" s="513" t="s">
        <v>588</v>
      </c>
      <c r="F17" s="513"/>
      <c r="G17" s="513"/>
      <c r="H17" s="532">
        <f t="shared" si="0"/>
        <v>1</v>
      </c>
      <c r="I17" s="532"/>
      <c r="J17" s="533">
        <f t="shared" si="2"/>
        <v>0.5</v>
      </c>
      <c r="K17" s="514">
        <f>VLOOKUP($A17,'License Price List'!$B$2:$M$600,12,FALSE)</f>
        <v>23000</v>
      </c>
      <c r="L17" s="515">
        <f t="shared" si="4"/>
        <v>0.65</v>
      </c>
      <c r="M17" s="523">
        <f t="shared" si="1"/>
        <v>2012.4999999999998</v>
      </c>
      <c r="N17" s="1"/>
      <c r="O17" s="1"/>
      <c r="P17" s="1"/>
      <c r="Q17" s="1"/>
      <c r="R17" s="1"/>
      <c r="S17" s="1"/>
      <c r="T17" s="1"/>
      <c r="U17" s="1"/>
      <c r="V17" s="1"/>
      <c r="W17" s="1"/>
      <c r="X17" s="1"/>
      <c r="Y17" s="1"/>
      <c r="Z17" s="1"/>
      <c r="AA17" s="1"/>
      <c r="AB17" s="1"/>
      <c r="AC17" s="1"/>
    </row>
    <row r="18" spans="1:29">
      <c r="A18" s="522" t="s">
        <v>697</v>
      </c>
      <c r="B18" s="513" t="s">
        <v>588</v>
      </c>
      <c r="C18" s="513" t="s">
        <v>588</v>
      </c>
      <c r="D18" s="513" t="s">
        <v>588</v>
      </c>
      <c r="E18" s="513" t="s">
        <v>588</v>
      </c>
      <c r="F18" s="513" t="s">
        <v>588</v>
      </c>
      <c r="G18" s="513"/>
      <c r="H18" s="532">
        <f t="shared" si="0"/>
        <v>1</v>
      </c>
      <c r="I18" s="532"/>
      <c r="J18" s="533">
        <f t="shared" si="2"/>
        <v>0.5</v>
      </c>
      <c r="K18" s="514">
        <f>VLOOKUP($A18,'License Price List'!$B$2:$M$600,12,FALSE)</f>
        <v>11500</v>
      </c>
      <c r="L18" s="515">
        <f t="shared" si="4"/>
        <v>0.65</v>
      </c>
      <c r="M18" s="523">
        <f t="shared" si="1"/>
        <v>1006.2499999999999</v>
      </c>
      <c r="N18" s="1"/>
      <c r="O18" s="1"/>
      <c r="P18" s="1"/>
      <c r="Q18" s="1"/>
      <c r="R18" s="1"/>
      <c r="S18" s="1"/>
      <c r="T18" s="1"/>
      <c r="U18" s="1"/>
      <c r="V18" s="1"/>
      <c r="W18" s="1"/>
      <c r="X18" s="1"/>
      <c r="Y18" s="1"/>
      <c r="Z18" s="1"/>
      <c r="AA18" s="1"/>
      <c r="AB18" s="1"/>
      <c r="AC18" s="1"/>
    </row>
    <row r="19" spans="1:29">
      <c r="A19" s="522" t="s">
        <v>2589</v>
      </c>
      <c r="B19" s="513" t="s">
        <v>588</v>
      </c>
      <c r="C19" s="513" t="s">
        <v>588</v>
      </c>
      <c r="D19" s="513" t="s">
        <v>588</v>
      </c>
      <c r="E19" s="513" t="s">
        <v>588</v>
      </c>
      <c r="F19" s="513" t="s">
        <v>588</v>
      </c>
      <c r="G19" s="513"/>
      <c r="H19" s="532">
        <f t="shared" si="0"/>
        <v>1</v>
      </c>
      <c r="I19" s="532"/>
      <c r="J19" s="533">
        <f t="shared" si="2"/>
        <v>0.5</v>
      </c>
      <c r="K19" s="514"/>
      <c r="L19" s="515"/>
      <c r="M19" s="523">
        <f t="shared" si="1"/>
        <v>0</v>
      </c>
      <c r="N19" s="1"/>
      <c r="O19" s="1"/>
      <c r="P19" s="1"/>
      <c r="Q19" s="1"/>
      <c r="R19" s="1"/>
      <c r="S19" s="1"/>
      <c r="T19" s="1"/>
      <c r="U19" s="1"/>
      <c r="V19" s="1"/>
      <c r="W19" s="1"/>
      <c r="X19" s="1"/>
      <c r="Y19" s="1"/>
      <c r="Z19" s="1"/>
      <c r="AA19" s="1"/>
      <c r="AB19" s="1"/>
      <c r="AC19" s="1"/>
    </row>
    <row r="20" spans="1:29">
      <c r="A20" s="522" t="s">
        <v>2587</v>
      </c>
      <c r="B20" s="513" t="s">
        <v>588</v>
      </c>
      <c r="C20" s="513"/>
      <c r="D20" s="513"/>
      <c r="E20" s="513"/>
      <c r="F20" s="513" t="s">
        <v>588</v>
      </c>
      <c r="G20" s="513"/>
      <c r="H20" s="532">
        <f t="shared" si="0"/>
        <v>1</v>
      </c>
      <c r="I20" s="532"/>
      <c r="J20" s="533">
        <f t="shared" si="2"/>
        <v>0.5</v>
      </c>
      <c r="K20" s="514">
        <f>K6/2</f>
        <v>7500</v>
      </c>
      <c r="L20" s="515">
        <f>$L$1</f>
        <v>0.65</v>
      </c>
      <c r="M20" s="523">
        <f t="shared" si="1"/>
        <v>0</v>
      </c>
      <c r="N20" s="1"/>
      <c r="O20" s="1"/>
      <c r="P20" s="1"/>
      <c r="Q20" s="1"/>
      <c r="R20" s="1"/>
      <c r="S20" s="1"/>
      <c r="T20" s="1"/>
      <c r="U20" s="1"/>
      <c r="V20" s="1"/>
      <c r="W20" s="1"/>
      <c r="X20" s="1"/>
      <c r="Y20" s="1"/>
      <c r="Z20" s="1"/>
      <c r="AA20" s="1"/>
      <c r="AB20" s="1"/>
      <c r="AC20" s="1"/>
    </row>
    <row r="21" spans="1:29" ht="16" thickBot="1">
      <c r="A21" s="524" t="s">
        <v>706</v>
      </c>
      <c r="B21" s="516" t="s">
        <v>588</v>
      </c>
      <c r="C21" s="516" t="s">
        <v>588</v>
      </c>
      <c r="D21" s="516" t="s">
        <v>588</v>
      </c>
      <c r="E21" s="516" t="s">
        <v>588</v>
      </c>
      <c r="F21" s="513" t="s">
        <v>588</v>
      </c>
      <c r="G21" s="513"/>
      <c r="H21" s="532">
        <f t="shared" si="0"/>
        <v>1</v>
      </c>
      <c r="I21" s="532"/>
      <c r="J21" s="533">
        <f t="shared" si="2"/>
        <v>0.5</v>
      </c>
      <c r="K21" s="514">
        <f>VLOOKUP($A21,'License Price List'!$B$2:$M$600,12,FALSE)</f>
        <v>5000</v>
      </c>
      <c r="L21" s="515">
        <f>$L$1</f>
        <v>0.65</v>
      </c>
      <c r="M21" s="523">
        <f t="shared" si="1"/>
        <v>437.5</v>
      </c>
      <c r="N21" s="1"/>
      <c r="O21" s="1"/>
      <c r="P21" s="1"/>
      <c r="Q21" s="1"/>
      <c r="R21" s="1"/>
      <c r="S21" s="1"/>
      <c r="T21" s="1"/>
      <c r="U21" s="1"/>
      <c r="V21" s="1"/>
      <c r="W21" s="1"/>
      <c r="X21" s="1"/>
      <c r="Y21" s="1"/>
      <c r="Z21" s="1"/>
      <c r="AA21" s="1"/>
      <c r="AB21" s="1"/>
      <c r="AC21" s="1"/>
    </row>
    <row r="22" spans="1:29" ht="16" thickBot="1">
      <c r="A22" s="524" t="s">
        <v>2598</v>
      </c>
      <c r="B22" s="516"/>
      <c r="C22" s="516"/>
      <c r="D22" s="516"/>
      <c r="E22" s="516" t="s">
        <v>588</v>
      </c>
      <c r="F22" s="516"/>
      <c r="G22" s="513"/>
      <c r="H22" s="532">
        <f t="shared" si="0"/>
        <v>1</v>
      </c>
      <c r="I22" s="532"/>
      <c r="J22" s="533">
        <f t="shared" si="2"/>
        <v>0.5</v>
      </c>
      <c r="K22" s="514">
        <v>10000</v>
      </c>
      <c r="L22" s="515">
        <f>$L$1</f>
        <v>0.65</v>
      </c>
      <c r="M22" s="523">
        <f t="shared" si="1"/>
        <v>875</v>
      </c>
      <c r="N22" s="1"/>
      <c r="O22" s="1"/>
      <c r="P22" s="1"/>
      <c r="Q22" s="1"/>
      <c r="R22" s="1"/>
      <c r="S22" s="1"/>
      <c r="T22" s="1"/>
      <c r="U22" s="1"/>
      <c r="V22" s="1"/>
      <c r="W22" s="1"/>
      <c r="X22" s="1"/>
      <c r="Y22" s="1"/>
      <c r="Z22" s="1"/>
      <c r="AA22" s="1"/>
      <c r="AB22" s="1"/>
      <c r="AC22" s="1"/>
    </row>
    <row r="23" spans="1:29">
      <c r="A23" s="534"/>
      <c r="B23" s="502"/>
      <c r="C23" s="502"/>
      <c r="D23" s="502"/>
      <c r="E23" s="502"/>
      <c r="F23" s="502"/>
      <c r="G23" s="502"/>
      <c r="H23" s="510"/>
      <c r="I23" s="502"/>
      <c r="J23" s="502"/>
      <c r="K23" s="502"/>
      <c r="L23" s="517" t="s">
        <v>2498</v>
      </c>
      <c r="M23" s="525">
        <f>SUM(M3:M22)</f>
        <v>19600</v>
      </c>
      <c r="N23" s="1"/>
      <c r="O23" s="1"/>
      <c r="P23" s="1"/>
      <c r="Q23" s="1"/>
      <c r="R23" s="1"/>
      <c r="S23" s="1"/>
      <c r="T23" s="1"/>
      <c r="U23" s="1"/>
      <c r="V23" s="1"/>
      <c r="W23" s="1"/>
      <c r="X23" s="1"/>
      <c r="Y23" s="1"/>
      <c r="Z23" s="1"/>
      <c r="AA23" s="1"/>
      <c r="AB23" s="1"/>
      <c r="AC23" s="1"/>
    </row>
    <row r="24" spans="1:29" ht="16" thickBot="1">
      <c r="A24" s="535"/>
      <c r="B24" s="526"/>
      <c r="C24" s="526"/>
      <c r="D24" s="526"/>
      <c r="E24" s="526"/>
      <c r="F24" s="526"/>
      <c r="G24" s="526"/>
      <c r="H24" s="527"/>
      <c r="I24" s="526"/>
      <c r="J24" s="526"/>
      <c r="K24" s="526"/>
      <c r="L24" s="528" t="s">
        <v>2499</v>
      </c>
      <c r="M24" s="529">
        <f>M23*0.22</f>
        <v>4312</v>
      </c>
      <c r="N24" s="1"/>
      <c r="O24" s="1"/>
      <c r="P24" s="1"/>
      <c r="Q24" s="1"/>
      <c r="R24" s="1"/>
      <c r="S24" s="1"/>
      <c r="T24" s="1"/>
      <c r="U24" s="1"/>
      <c r="V24" s="1"/>
      <c r="W24" s="1"/>
      <c r="X24" s="1"/>
      <c r="Y24" s="1"/>
      <c r="Z24" s="1"/>
      <c r="AA24" s="1"/>
      <c r="AB24" s="1"/>
      <c r="AC24" s="1"/>
    </row>
    <row r="25" spans="1:29">
      <c r="N25" s="1"/>
      <c r="O25" s="1"/>
      <c r="P25" s="1"/>
      <c r="Q25" s="1"/>
      <c r="R25" s="1"/>
      <c r="S25" s="1"/>
      <c r="T25" s="1"/>
      <c r="U25" s="1"/>
      <c r="V25" s="1"/>
      <c r="W25" s="1"/>
      <c r="X25" s="1"/>
      <c r="Y25" s="1"/>
      <c r="Z25" s="1"/>
      <c r="AA25" s="1"/>
      <c r="AB25" s="1"/>
      <c r="AC25" s="1"/>
    </row>
    <row r="26" spans="1:29" s="506" customFormat="1" ht="62.25" customHeight="1">
      <c r="N26" s="240"/>
      <c r="O26" s="240" t="str">
        <f>'IaaS-PaaS Specs'!A15</f>
        <v>Enterprise Edition</v>
      </c>
      <c r="P26" s="240" t="str">
        <f>'IaaS-PaaS Specs'!B15</f>
        <v>All Editions include Oracle Database Transparent Data Encryption.  Enterprise Edition includes Oracle Database Enterprise Edition, Data Masking and Subsetting Pack, Diagnostics and Tuning Packs, and Real Application Testing.</v>
      </c>
      <c r="Q26" s="240"/>
      <c r="R26" s="240"/>
      <c r="S26" s="240"/>
      <c r="T26" s="240"/>
      <c r="U26" s="240"/>
      <c r="V26" s="240"/>
      <c r="W26" s="240"/>
      <c r="X26" s="240"/>
      <c r="Y26" s="240"/>
      <c r="Z26" s="240"/>
      <c r="AA26" s="240"/>
      <c r="AB26" s="240"/>
      <c r="AC26" s="240"/>
    </row>
    <row r="27" spans="1:29" s="506" customFormat="1" ht="62.25" customHeight="1">
      <c r="H27" s="536"/>
      <c r="N27" s="240"/>
      <c r="O27" s="240" t="str">
        <f>'IaaS-PaaS Specs'!A16</f>
        <v>Enterprise Edition High Performance</v>
      </c>
      <c r="P27" s="240" t="str">
        <f>'IaaS-PaaS Specs'!B16</f>
        <v>Enterprise High Performance extends the Enterprise Edition with the following options: Multitenant, Partitioning, Advanced Compression, Advanced Security, Label Security, Database Vault, OLAP, Advanced Analytics, Spatial and Graph, Database Lifecycle Management Pack and Cloud Management Pack for Oracle Database.</v>
      </c>
      <c r="Q27" s="240"/>
      <c r="R27" s="240"/>
      <c r="S27" s="240"/>
      <c r="T27" s="240"/>
      <c r="U27" s="240"/>
      <c r="V27" s="240"/>
      <c r="W27" s="240"/>
      <c r="X27" s="240"/>
      <c r="Y27" s="240"/>
      <c r="Z27" s="240"/>
      <c r="AA27" s="240"/>
      <c r="AB27" s="240"/>
      <c r="AC27" s="240"/>
    </row>
    <row r="28" spans="1:29" s="506" customFormat="1" ht="62.25" customHeight="1">
      <c r="H28" s="536"/>
      <c r="I28" s="536"/>
      <c r="J28" s="536"/>
      <c r="K28" s="536"/>
      <c r="L28" s="536"/>
      <c r="N28" s="240"/>
      <c r="O28" s="240" t="str">
        <f>'IaaS-PaaS Specs'!A17</f>
        <v>Enterprise Edition Extreme Performance</v>
      </c>
      <c r="P28" s="240" t="str">
        <f>'IaaS-PaaS Specs'!B17</f>
        <v>Enterprise Extreme Performance extends the High Performance package with the following options: In-Memory Database, Oracle Active Data Guard, and Oracle RAC (requires two VMs of at least two OCPUs each).</v>
      </c>
      <c r="Q28" s="240"/>
      <c r="R28" s="240"/>
      <c r="S28" s="240"/>
      <c r="T28" s="240"/>
      <c r="U28" s="240"/>
      <c r="V28" s="240"/>
      <c r="W28" s="240"/>
      <c r="X28" s="240"/>
      <c r="Y28" s="240"/>
      <c r="Z28" s="240"/>
      <c r="AA28" s="240"/>
      <c r="AB28" s="240"/>
      <c r="AC28" s="240"/>
    </row>
    <row r="29" spans="1:29">
      <c r="H29" s="536"/>
      <c r="I29" s="536"/>
      <c r="J29" s="536"/>
      <c r="K29" s="536"/>
      <c r="L29" s="536"/>
      <c r="M29" s="537"/>
      <c r="N29" s="1"/>
      <c r="O29" s="1" t="s">
        <v>2585</v>
      </c>
      <c r="P29" s="1" t="s">
        <v>2586</v>
      </c>
      <c r="Q29" s="1"/>
      <c r="R29" s="1"/>
      <c r="S29" s="1"/>
      <c r="T29" s="1"/>
      <c r="U29" s="1"/>
      <c r="V29" s="1"/>
      <c r="W29" s="1"/>
      <c r="X29" s="1"/>
      <c r="Y29" s="1"/>
      <c r="Z29" s="1"/>
      <c r="AA29" s="1"/>
      <c r="AB29" s="1"/>
      <c r="AC29" s="1"/>
    </row>
    <row r="30" spans="1:29">
      <c r="N30" s="1"/>
      <c r="O30" s="1" t="s">
        <v>2590</v>
      </c>
      <c r="P30" s="1" t="s">
        <v>2591</v>
      </c>
      <c r="Q30" s="446" t="s">
        <v>2592</v>
      </c>
      <c r="R30" s="1"/>
      <c r="S30" s="1"/>
      <c r="T30" s="1"/>
      <c r="U30" s="1"/>
      <c r="V30" s="1"/>
      <c r="W30" s="1"/>
      <c r="X30" s="1"/>
      <c r="Y30" s="1"/>
      <c r="Z30" s="1"/>
      <c r="AA30" s="1"/>
      <c r="AB30" s="1"/>
      <c r="AC30" s="1"/>
    </row>
    <row r="31" spans="1:29">
      <c r="N31" s="1"/>
      <c r="O31" s="1" t="s">
        <v>2588</v>
      </c>
      <c r="P31" s="1" t="s">
        <v>2591</v>
      </c>
      <c r="Q31" s="446" t="s">
        <v>2592</v>
      </c>
      <c r="R31" s="1"/>
      <c r="S31" s="1"/>
      <c r="T31" s="1"/>
      <c r="U31" s="1"/>
      <c r="V31" s="1"/>
      <c r="W31" s="1"/>
      <c r="X31" s="1"/>
      <c r="Y31" s="1"/>
      <c r="Z31" s="1"/>
      <c r="AA31" s="1"/>
      <c r="AB31" s="1"/>
      <c r="AC31" s="1"/>
    </row>
    <row r="32" spans="1:29">
      <c r="N32" s="1"/>
      <c r="O32" s="1" t="s">
        <v>2594</v>
      </c>
      <c r="P32" s="1" t="s">
        <v>2593</v>
      </c>
      <c r="Q32" s="1"/>
      <c r="R32" s="1"/>
      <c r="S32" s="1"/>
      <c r="T32" s="1"/>
      <c r="U32" s="1"/>
      <c r="V32" s="1"/>
      <c r="W32" s="1"/>
      <c r="X32" s="1"/>
      <c r="Y32" s="1"/>
      <c r="Z32" s="1"/>
      <c r="AA32" s="1"/>
      <c r="AB32" s="1"/>
      <c r="AC32" s="1"/>
    </row>
    <row r="33" spans="14:29">
      <c r="N33" s="1"/>
      <c r="O33" s="1"/>
      <c r="P33" s="1"/>
      <c r="Q33" s="1"/>
      <c r="R33" s="1"/>
      <c r="S33" s="1"/>
      <c r="T33" s="1"/>
      <c r="U33" s="1"/>
      <c r="V33" s="1"/>
      <c r="W33" s="1"/>
      <c r="X33" s="1"/>
      <c r="Y33" s="1"/>
      <c r="Z33" s="1"/>
      <c r="AA33" s="1"/>
      <c r="AB33" s="1"/>
      <c r="AC33" s="1"/>
    </row>
  </sheetData>
  <conditionalFormatting sqref="B3:G22">
    <cfRule type="cellIs" dxfId="17" priority="1" operator="equal">
      <formula>"Y"</formula>
    </cfRule>
  </conditionalFormatting>
  <hyperlinks>
    <hyperlink ref="Q30" r:id="rId1" xr:uid="{285C29AE-2FAD-4F57-A9C2-8DD604AE99E4}"/>
    <hyperlink ref="Q31" r:id="rId2" xr:uid="{9B9121C2-BB8F-43FB-A7CD-F310D5F00A34}"/>
  </hyperlinks>
  <pageMargins left="0.7" right="0.7" top="0.75" bottom="0.75" header="0.3" footer="0.3"/>
  <pageSetup orientation="portrait" r:id="rId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F8EEB-D9C3-4D4F-8F32-9F0A4957B79F}">
  <sheetPr>
    <tabColor rgb="FFFFC000"/>
  </sheetPr>
  <dimension ref="B2:P33"/>
  <sheetViews>
    <sheetView showZeros="0" zoomScaleNormal="100" workbookViewId="0">
      <selection activeCell="I19" sqref="I19"/>
    </sheetView>
  </sheetViews>
  <sheetFormatPr baseColWidth="10" defaultColWidth="9.1640625" defaultRowHeight="15"/>
  <cols>
    <col min="1" max="1" width="1.6640625" customWidth="1"/>
    <col min="2" max="2" width="52" style="830" bestFit="1" customWidth="1"/>
    <col min="3" max="3" width="8.6640625" style="830" bestFit="1" customWidth="1"/>
    <col min="4" max="6" width="8" style="830" bestFit="1" customWidth="1"/>
    <col min="7" max="7" width="7.6640625" style="830" customWidth="1"/>
    <col min="8" max="8" width="10.6640625" style="830" bestFit="1" customWidth="1"/>
    <col min="9" max="9" width="6" style="830" bestFit="1" customWidth="1"/>
    <col min="10" max="10" width="9" style="830" bestFit="1" customWidth="1"/>
    <col min="11" max="11" width="8.6640625" style="830" bestFit="1" customWidth="1"/>
    <col min="12" max="12" width="2.6640625" style="831" customWidth="1"/>
    <col min="13" max="13" width="11" style="830" customWidth="1"/>
    <col min="14" max="15" width="13.33203125" style="830" customWidth="1"/>
    <col min="16" max="16" width="11" style="830" customWidth="1"/>
  </cols>
  <sheetData>
    <row r="2" spans="2:16" ht="33">
      <c r="B2" s="797" t="s">
        <v>1835</v>
      </c>
      <c r="C2" s="798" t="s">
        <v>3010</v>
      </c>
      <c r="D2" s="798" t="s">
        <v>3011</v>
      </c>
      <c r="E2" s="798" t="s">
        <v>488</v>
      </c>
      <c r="F2" s="798" t="s">
        <v>11</v>
      </c>
      <c r="G2" s="798" t="s">
        <v>483</v>
      </c>
      <c r="H2" s="798" t="s">
        <v>3012</v>
      </c>
      <c r="I2" s="798" t="s">
        <v>1708</v>
      </c>
      <c r="J2" s="798" t="s">
        <v>3013</v>
      </c>
      <c r="K2" s="798" t="s">
        <v>3014</v>
      </c>
      <c r="L2" s="799"/>
      <c r="M2" s="800" t="s">
        <v>3015</v>
      </c>
      <c r="N2" s="800" t="s">
        <v>3016</v>
      </c>
      <c r="O2" s="800" t="s">
        <v>2499</v>
      </c>
      <c r="P2" s="801" t="s">
        <v>3017</v>
      </c>
    </row>
    <row r="3" spans="2:16">
      <c r="B3" s="802" t="s">
        <v>3018</v>
      </c>
      <c r="C3" s="803"/>
      <c r="D3" s="803"/>
      <c r="E3" s="803"/>
      <c r="F3" s="803"/>
      <c r="G3" s="803"/>
      <c r="H3" s="803">
        <f>SUM(C3:G3)</f>
        <v>0</v>
      </c>
      <c r="I3" s="803">
        <f>H3*2</f>
        <v>0</v>
      </c>
      <c r="J3" s="803">
        <f>ROUNDDOWN(I3/16,0)</f>
        <v>0</v>
      </c>
      <c r="K3" s="803">
        <v>12000</v>
      </c>
      <c r="L3" s="803"/>
      <c r="M3" s="803">
        <f>J3*K3</f>
        <v>0</v>
      </c>
      <c r="N3" s="803">
        <f>M3/5</f>
        <v>0</v>
      </c>
      <c r="O3" s="803">
        <f>M3*0.12</f>
        <v>0</v>
      </c>
      <c r="P3" s="804">
        <f>N3+O3</f>
        <v>0</v>
      </c>
    </row>
    <row r="4" spans="2:16">
      <c r="B4" s="802" t="s">
        <v>3019</v>
      </c>
      <c r="C4" s="803"/>
      <c r="D4" s="803"/>
      <c r="E4" s="803"/>
      <c r="F4" s="803"/>
      <c r="G4" s="803"/>
      <c r="H4" s="803">
        <f>SUM(C4:G4)</f>
        <v>0</v>
      </c>
      <c r="I4" s="803">
        <f>H4*2</f>
        <v>0</v>
      </c>
      <c r="J4" s="803">
        <f>ROUNDDOWN(I4/16,0)</f>
        <v>0</v>
      </c>
      <c r="K4" s="803">
        <v>12000</v>
      </c>
      <c r="L4" s="803"/>
      <c r="M4" s="803">
        <f>J4*K4</f>
        <v>0</v>
      </c>
      <c r="N4" s="803">
        <f>M4/5</f>
        <v>0</v>
      </c>
      <c r="O4" s="803">
        <f>M4*0.12</f>
        <v>0</v>
      </c>
      <c r="P4" s="804">
        <f>N4+O4</f>
        <v>0</v>
      </c>
    </row>
    <row r="5" spans="2:16">
      <c r="B5" s="802" t="s">
        <v>3020</v>
      </c>
      <c r="C5" s="803"/>
      <c r="D5" s="803"/>
      <c r="E5" s="803"/>
      <c r="F5" s="803"/>
      <c r="G5" s="803"/>
      <c r="H5" s="803"/>
      <c r="I5" s="803"/>
      <c r="J5" s="803">
        <f>J3</f>
        <v>0</v>
      </c>
      <c r="K5" s="803">
        <v>2799</v>
      </c>
      <c r="L5" s="803"/>
      <c r="M5" s="803"/>
      <c r="N5" s="803"/>
      <c r="O5" s="803"/>
      <c r="P5" s="804">
        <f>J5*K5</f>
        <v>0</v>
      </c>
    </row>
    <row r="6" spans="2:16">
      <c r="B6" s="802"/>
      <c r="C6" s="803"/>
      <c r="D6" s="803"/>
      <c r="E6" s="803"/>
      <c r="F6" s="803"/>
      <c r="G6" s="803"/>
      <c r="H6" s="803"/>
      <c r="I6" s="803"/>
      <c r="J6" s="803"/>
      <c r="K6" s="803"/>
      <c r="L6" s="803"/>
      <c r="M6" s="803"/>
      <c r="N6" s="803"/>
      <c r="O6" s="803"/>
      <c r="P6" s="804"/>
    </row>
    <row r="7" spans="2:16" ht="33">
      <c r="B7" s="805"/>
      <c r="C7" s="806"/>
      <c r="D7" s="806"/>
      <c r="E7" s="806"/>
      <c r="F7" s="806"/>
      <c r="G7" s="806"/>
      <c r="H7" s="807" t="s">
        <v>3021</v>
      </c>
      <c r="I7" s="806"/>
      <c r="J7" s="807" t="s">
        <v>2131</v>
      </c>
      <c r="K7" s="807" t="s">
        <v>3014</v>
      </c>
      <c r="L7" s="808"/>
      <c r="M7" s="809" t="s">
        <v>3015</v>
      </c>
      <c r="N7" s="809" t="s">
        <v>3016</v>
      </c>
      <c r="O7" s="809" t="s">
        <v>2499</v>
      </c>
      <c r="P7" s="810" t="s">
        <v>3017</v>
      </c>
    </row>
    <row r="8" spans="2:16">
      <c r="B8" s="802" t="s">
        <v>3022</v>
      </c>
      <c r="C8" s="803"/>
      <c r="D8" s="803"/>
      <c r="E8" s="803"/>
      <c r="F8" s="803"/>
      <c r="G8" s="803"/>
      <c r="H8" s="811">
        <v>1</v>
      </c>
      <c r="I8" s="803"/>
      <c r="J8" s="803">
        <f>ROUNDUP(J5*H8,0)</f>
        <v>0</v>
      </c>
      <c r="K8" s="803">
        <v>6153</v>
      </c>
      <c r="L8" s="803"/>
      <c r="M8" s="803">
        <f>J8*K8</f>
        <v>0</v>
      </c>
      <c r="N8" s="803">
        <f>M8/5</f>
        <v>0</v>
      </c>
      <c r="O8" s="803">
        <f>M8*0.12</f>
        <v>0</v>
      </c>
      <c r="P8" s="804">
        <f>N8+O8</f>
        <v>0</v>
      </c>
    </row>
    <row r="9" spans="2:16">
      <c r="B9" s="802"/>
      <c r="C9" s="803"/>
      <c r="D9" s="803"/>
      <c r="E9" s="803"/>
      <c r="F9" s="803"/>
      <c r="G9" s="803"/>
      <c r="H9" s="803"/>
      <c r="I9" s="803"/>
      <c r="J9" s="803"/>
      <c r="K9" s="803"/>
      <c r="L9" s="803"/>
      <c r="M9" s="803"/>
      <c r="N9" s="803"/>
      <c r="O9" s="803"/>
      <c r="P9" s="804"/>
    </row>
    <row r="10" spans="2:16" ht="33">
      <c r="B10" s="805"/>
      <c r="C10" s="807" t="s">
        <v>3023</v>
      </c>
      <c r="D10" s="807" t="str">
        <f>D2</f>
        <v>QA</v>
      </c>
      <c r="E10" s="807" t="str">
        <f t="shared" ref="E10:G10" si="0">E2</f>
        <v>Dev</v>
      </c>
      <c r="F10" s="807" t="str">
        <f t="shared" si="0"/>
        <v>Test</v>
      </c>
      <c r="G10" s="807" t="str">
        <f t="shared" si="0"/>
        <v>DR</v>
      </c>
      <c r="H10" s="807" t="s">
        <v>3024</v>
      </c>
      <c r="I10" s="807"/>
      <c r="J10" s="807"/>
      <c r="K10" s="807" t="s">
        <v>3025</v>
      </c>
      <c r="L10" s="808"/>
      <c r="M10" s="809" t="s">
        <v>3015</v>
      </c>
      <c r="N10" s="809" t="s">
        <v>3016</v>
      </c>
      <c r="O10" s="809" t="s">
        <v>2499</v>
      </c>
      <c r="P10" s="810" t="s">
        <v>3017</v>
      </c>
    </row>
    <row r="11" spans="2:16">
      <c r="B11" s="802" t="s">
        <v>3026</v>
      </c>
      <c r="C11" s="803"/>
      <c r="D11" s="803"/>
      <c r="E11" s="803"/>
      <c r="F11" s="803"/>
      <c r="G11" s="803"/>
      <c r="H11" s="803">
        <f>SUM(C11:G11)</f>
        <v>0</v>
      </c>
      <c r="I11" s="803"/>
      <c r="J11" s="803"/>
      <c r="K11" s="812">
        <v>2.5</v>
      </c>
      <c r="L11" s="803"/>
      <c r="M11" s="803">
        <f>H11*K11</f>
        <v>0</v>
      </c>
      <c r="N11" s="803">
        <f>M11/5</f>
        <v>0</v>
      </c>
      <c r="O11" s="803">
        <f>M11*0.12</f>
        <v>0</v>
      </c>
      <c r="P11" s="804">
        <f>N11+O11</f>
        <v>0</v>
      </c>
    </row>
    <row r="12" spans="2:16">
      <c r="B12" s="802" t="s">
        <v>3027</v>
      </c>
      <c r="C12" s="803"/>
      <c r="D12" s="803"/>
      <c r="E12" s="803"/>
      <c r="F12" s="803"/>
      <c r="G12" s="803"/>
      <c r="H12" s="803"/>
      <c r="I12" s="803"/>
      <c r="J12" s="803"/>
      <c r="K12" s="812">
        <v>1</v>
      </c>
      <c r="L12" s="803"/>
      <c r="M12" s="803">
        <f>H12*K12</f>
        <v>0</v>
      </c>
      <c r="N12" s="803"/>
      <c r="O12" s="803"/>
      <c r="P12" s="804"/>
    </row>
    <row r="13" spans="2:16">
      <c r="B13" s="802"/>
      <c r="C13" s="803"/>
      <c r="D13" s="803"/>
      <c r="E13" s="803"/>
      <c r="F13" s="803"/>
      <c r="G13" s="803"/>
      <c r="H13" s="803"/>
      <c r="I13" s="803"/>
      <c r="J13" s="803"/>
      <c r="K13" s="803"/>
      <c r="L13" s="803"/>
      <c r="M13" s="803"/>
      <c r="N13" s="803"/>
      <c r="O13" s="803"/>
      <c r="P13" s="804"/>
    </row>
    <row r="14" spans="2:16" ht="33">
      <c r="B14" s="813" t="s">
        <v>2313</v>
      </c>
      <c r="C14" s="814" t="s">
        <v>3009</v>
      </c>
      <c r="D14" s="814" t="s">
        <v>1154</v>
      </c>
      <c r="E14" s="814"/>
      <c r="F14" s="814"/>
      <c r="G14" s="814"/>
      <c r="H14" s="814"/>
      <c r="I14" s="814"/>
      <c r="J14" s="814"/>
      <c r="K14" s="814"/>
      <c r="L14" s="808"/>
      <c r="M14" s="809" t="s">
        <v>3015</v>
      </c>
      <c r="N14" s="809" t="s">
        <v>3016</v>
      </c>
      <c r="O14" s="809" t="s">
        <v>2499</v>
      </c>
      <c r="P14" s="810" t="s">
        <v>3017</v>
      </c>
    </row>
    <row r="15" spans="2:16">
      <c r="B15" s="802" t="s">
        <v>3028</v>
      </c>
      <c r="C15" s="803">
        <f>ROUNDUP(J3*2/40,0)</f>
        <v>0</v>
      </c>
      <c r="D15" s="803">
        <v>18717</v>
      </c>
      <c r="E15" s="803"/>
      <c r="F15" s="803"/>
      <c r="G15" s="803"/>
      <c r="H15" s="803"/>
      <c r="I15" s="803"/>
      <c r="J15" s="803"/>
      <c r="K15" s="803"/>
      <c r="L15" s="803"/>
      <c r="M15" s="803">
        <f>C15*D15</f>
        <v>0</v>
      </c>
      <c r="N15" s="803">
        <f>M15/5</f>
        <v>0</v>
      </c>
      <c r="O15" s="803">
        <f>M15*0.12</f>
        <v>0</v>
      </c>
      <c r="P15" s="804">
        <f>N15+O15</f>
        <v>0</v>
      </c>
    </row>
    <row r="16" spans="2:16">
      <c r="B16" s="802" t="s">
        <v>3029</v>
      </c>
      <c r="C16" s="803">
        <v>1</v>
      </c>
      <c r="D16" s="803">
        <v>21960</v>
      </c>
      <c r="E16" s="803"/>
      <c r="F16" s="803"/>
      <c r="G16" s="803"/>
      <c r="H16" s="803"/>
      <c r="I16" s="803"/>
      <c r="J16" s="803"/>
      <c r="K16" s="803"/>
      <c r="L16" s="803"/>
      <c r="M16" s="803">
        <f>C16*D16</f>
        <v>21960</v>
      </c>
      <c r="N16" s="803">
        <f>M16/5</f>
        <v>4392</v>
      </c>
      <c r="O16" s="803">
        <f>M16*0.12</f>
        <v>2635.2</v>
      </c>
      <c r="P16" s="804">
        <f>N16+O16</f>
        <v>7027.2</v>
      </c>
    </row>
    <row r="17" spans="2:16">
      <c r="B17" s="802"/>
      <c r="C17" s="803"/>
      <c r="D17" s="803"/>
      <c r="E17" s="803"/>
      <c r="F17" s="803"/>
      <c r="G17" s="803"/>
      <c r="H17" s="803"/>
      <c r="I17" s="803"/>
      <c r="J17" s="803"/>
      <c r="K17" s="803"/>
      <c r="L17" s="803"/>
      <c r="M17" s="803"/>
      <c r="N17" s="803"/>
      <c r="O17" s="803"/>
      <c r="P17" s="804"/>
    </row>
    <row r="18" spans="2:16" ht="33">
      <c r="B18" s="815" t="s">
        <v>1853</v>
      </c>
      <c r="C18" s="816" t="s">
        <v>3030</v>
      </c>
      <c r="D18" s="816" t="s">
        <v>3031</v>
      </c>
      <c r="E18" s="816"/>
      <c r="F18" s="816"/>
      <c r="G18" s="816"/>
      <c r="H18" s="816"/>
      <c r="I18" s="816"/>
      <c r="J18" s="816" t="s">
        <v>2131</v>
      </c>
      <c r="K18" s="817" t="s">
        <v>3014</v>
      </c>
      <c r="L18" s="818"/>
      <c r="M18" s="819"/>
      <c r="N18" s="819"/>
      <c r="O18" s="819"/>
      <c r="P18" s="810" t="s">
        <v>3017</v>
      </c>
    </row>
    <row r="19" spans="2:16">
      <c r="B19" s="820" t="s">
        <v>1853</v>
      </c>
      <c r="C19" s="821">
        <f>ROUNDUP(J3/16,0)+ROUNDUP(H11/1024/10000,0)</f>
        <v>0</v>
      </c>
      <c r="D19" s="821">
        <v>1500</v>
      </c>
      <c r="E19" s="821"/>
      <c r="F19" s="821"/>
      <c r="G19" s="821"/>
      <c r="H19" s="821"/>
      <c r="I19" s="821"/>
      <c r="J19" s="821"/>
      <c r="K19" s="821"/>
      <c r="L19" s="803"/>
      <c r="M19" s="821"/>
      <c r="N19" s="821"/>
      <c r="O19" s="821"/>
      <c r="P19" s="822">
        <f>C19*D19*12</f>
        <v>0</v>
      </c>
    </row>
    <row r="20" spans="2:16">
      <c r="B20" s="820" t="s">
        <v>3032</v>
      </c>
      <c r="C20" s="821"/>
      <c r="D20" s="821"/>
      <c r="E20" s="821"/>
      <c r="F20" s="821"/>
      <c r="G20" s="821"/>
      <c r="H20" s="821"/>
      <c r="I20" s="821"/>
      <c r="J20" s="821">
        <f>J3</f>
        <v>0</v>
      </c>
      <c r="K20" s="821">
        <v>1500</v>
      </c>
      <c r="L20" s="803"/>
      <c r="M20" s="821"/>
      <c r="N20" s="821"/>
      <c r="O20" s="821"/>
      <c r="P20" s="822">
        <f>J20*K20</f>
        <v>0</v>
      </c>
    </row>
    <row r="21" spans="2:16">
      <c r="B21" s="820" t="s">
        <v>3033</v>
      </c>
      <c r="C21" s="821"/>
      <c r="D21" s="821"/>
      <c r="E21" s="821"/>
      <c r="F21" s="821"/>
      <c r="G21" s="821"/>
      <c r="H21" s="821"/>
      <c r="I21" s="821"/>
      <c r="J21" s="823"/>
      <c r="K21" s="823"/>
      <c r="L21" s="803"/>
      <c r="M21" s="821"/>
      <c r="N21" s="821"/>
      <c r="O21" s="821"/>
      <c r="P21" s="822"/>
    </row>
    <row r="22" spans="2:16">
      <c r="B22" s="820" t="s">
        <v>3034</v>
      </c>
      <c r="C22" s="821"/>
      <c r="D22" s="821"/>
      <c r="E22" s="821"/>
      <c r="F22" s="821"/>
      <c r="G22" s="821"/>
      <c r="H22" s="821"/>
      <c r="I22" s="821"/>
      <c r="J22" s="823"/>
      <c r="K22" s="823"/>
      <c r="L22" s="803"/>
      <c r="M22" s="821"/>
      <c r="N22" s="821"/>
      <c r="O22" s="821"/>
      <c r="P22" s="822"/>
    </row>
    <row r="23" spans="2:16">
      <c r="B23" s="820" t="s">
        <v>3035</v>
      </c>
      <c r="C23" s="821"/>
      <c r="D23" s="821"/>
      <c r="E23" s="821"/>
      <c r="F23" s="821"/>
      <c r="G23" s="821"/>
      <c r="H23" s="821"/>
      <c r="I23" s="821"/>
      <c r="J23" s="823"/>
      <c r="K23" s="823"/>
      <c r="L23" s="803"/>
      <c r="M23" s="821"/>
      <c r="N23" s="821"/>
      <c r="O23" s="821"/>
      <c r="P23" s="822"/>
    </row>
    <row r="24" spans="2:16">
      <c r="B24" s="820" t="s">
        <v>3036</v>
      </c>
      <c r="C24" s="821"/>
      <c r="D24" s="821"/>
      <c r="E24" s="821"/>
      <c r="F24" s="821"/>
      <c r="G24" s="821"/>
      <c r="H24" s="821"/>
      <c r="I24" s="821"/>
      <c r="J24" s="823"/>
      <c r="K24" s="823"/>
      <c r="L24" s="803"/>
      <c r="M24" s="821"/>
      <c r="N24" s="821"/>
      <c r="O24" s="821"/>
      <c r="P24" s="822"/>
    </row>
    <row r="25" spans="2:16">
      <c r="B25" s="802"/>
      <c r="C25" s="803"/>
      <c r="D25" s="803"/>
      <c r="E25" s="803"/>
      <c r="F25" s="803"/>
      <c r="G25" s="803"/>
      <c r="H25" s="803"/>
      <c r="I25" s="803"/>
      <c r="J25" s="803"/>
      <c r="K25" s="803"/>
      <c r="L25" s="803"/>
      <c r="M25" s="803"/>
      <c r="N25" s="803"/>
      <c r="O25" s="803"/>
      <c r="P25" s="804"/>
    </row>
    <row r="26" spans="2:16">
      <c r="B26" s="802" t="s">
        <v>943</v>
      </c>
      <c r="C26" s="803"/>
      <c r="D26" s="803"/>
      <c r="E26" s="803"/>
      <c r="F26" s="803"/>
      <c r="G26" s="803"/>
      <c r="H26" s="803"/>
      <c r="I26" s="803"/>
      <c r="J26" s="803"/>
      <c r="K26" s="803"/>
      <c r="L26" s="803"/>
      <c r="M26" s="803"/>
      <c r="N26" s="803"/>
      <c r="O26" s="803"/>
      <c r="P26" s="824">
        <f>SUM(P2:P25)</f>
        <v>7027.2</v>
      </c>
    </row>
    <row r="27" spans="2:16">
      <c r="B27" s="825"/>
      <c r="C27" s="826"/>
      <c r="D27" s="826"/>
      <c r="E27" s="826"/>
      <c r="F27" s="826"/>
      <c r="G27" s="826"/>
      <c r="H27" s="826"/>
      <c r="I27" s="826"/>
      <c r="J27" s="826"/>
      <c r="K27" s="826"/>
      <c r="L27" s="827"/>
      <c r="M27" s="826"/>
      <c r="N27" s="826"/>
      <c r="O27" s="826"/>
      <c r="P27" s="828"/>
    </row>
    <row r="30" spans="2:16" ht="17">
      <c r="B30" s="829" t="s">
        <v>3037</v>
      </c>
      <c r="P30" s="830">
        <f>SUM(P2:P13)</f>
        <v>0</v>
      </c>
    </row>
    <row r="31" spans="2:16" ht="17">
      <c r="B31" s="832" t="s">
        <v>2313</v>
      </c>
      <c r="P31" s="830">
        <f>SUM(P14:P17)</f>
        <v>7027.2</v>
      </c>
    </row>
    <row r="32" spans="2:16" ht="16">
      <c r="B32" s="833" t="s">
        <v>1853</v>
      </c>
      <c r="P32" s="830">
        <f>SUM(P18:P25)</f>
        <v>0</v>
      </c>
    </row>
    <row r="33" spans="2:16">
      <c r="B33" s="830" t="s">
        <v>943</v>
      </c>
      <c r="P33" s="830">
        <f>SUM(P30:P32)</f>
        <v>7027.2</v>
      </c>
    </row>
  </sheetData>
  <pageMargins left="0.8" right="0.56000000000000005" top="0.57999999999999996" bottom="0.54" header="0.3" footer="0.3"/>
  <pageSetup scale="45"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8"/>
    <pageSetUpPr fitToPage="1"/>
  </sheetPr>
  <dimension ref="A1:AG45"/>
  <sheetViews>
    <sheetView showZeros="0" zoomScaleNormal="100" workbookViewId="0">
      <pane xSplit="4" ySplit="7" topLeftCell="E8" activePane="bottomRight" state="frozen"/>
      <selection activeCell="H7" sqref="A7:H7"/>
      <selection pane="topRight" activeCell="H7" sqref="A7:H7"/>
      <selection pane="bottomLeft" activeCell="H7" sqref="A7:H7"/>
      <selection pane="bottomRight" activeCell="F8" sqref="F8"/>
    </sheetView>
  </sheetViews>
  <sheetFormatPr baseColWidth="10" defaultColWidth="8.83203125" defaultRowHeight="15"/>
  <cols>
    <col min="1" max="1" width="64.5" customWidth="1"/>
    <col min="2" max="2" width="8.33203125" customWidth="1"/>
    <col min="3" max="3" width="6.33203125" customWidth="1"/>
    <col min="4" max="4" width="6" style="14" customWidth="1"/>
    <col min="5" max="5" width="8.5" style="14" customWidth="1"/>
    <col min="6" max="6" width="10" style="14" customWidth="1"/>
    <col min="7" max="7" width="10.83203125" customWidth="1"/>
    <col min="8" max="8" width="11.33203125" customWidth="1"/>
    <col min="9" max="9" width="1.6640625" customWidth="1"/>
    <col min="10" max="10" width="7.33203125" customWidth="1"/>
    <col min="11" max="12" width="10.83203125" customWidth="1"/>
    <col min="13" max="13" width="1.6640625" customWidth="1"/>
    <col min="14" max="14" width="6.33203125" customWidth="1"/>
    <col min="15" max="16" width="10.83203125" customWidth="1"/>
    <col min="17" max="17" width="1.6640625" customWidth="1"/>
    <col min="18" max="18" width="6.33203125" hidden="1" customWidth="1"/>
    <col min="19" max="20" width="10.83203125" hidden="1" customWidth="1"/>
    <col min="21" max="21" width="1.6640625" hidden="1" customWidth="1"/>
    <col min="22" max="22" width="7.33203125" hidden="1" customWidth="1"/>
    <col min="23" max="24" width="10.83203125" hidden="1" customWidth="1"/>
    <col min="25" max="25" width="1.6640625" hidden="1" customWidth="1"/>
    <col min="26" max="26" width="7.33203125" hidden="1" customWidth="1"/>
    <col min="27" max="28" width="10.83203125" hidden="1" customWidth="1"/>
    <col min="29" max="29" width="1.6640625" hidden="1" customWidth="1"/>
    <col min="30" max="30" width="7.33203125" customWidth="1"/>
    <col min="31" max="31" width="10.83203125" customWidth="1"/>
    <col min="32" max="33" width="10.83203125" style="6" customWidth="1"/>
  </cols>
  <sheetData>
    <row r="1" spans="1:33" s="1" customFormat="1">
      <c r="A1" s="287">
        <v>43686</v>
      </c>
      <c r="B1" s="34"/>
      <c r="C1" s="34"/>
      <c r="E1" s="16"/>
      <c r="F1" s="11" t="s">
        <v>1</v>
      </c>
      <c r="G1" s="11" t="s">
        <v>581</v>
      </c>
      <c r="H1" s="15" t="s">
        <v>962</v>
      </c>
      <c r="AF1" s="10"/>
      <c r="AG1" s="10"/>
    </row>
    <row r="2" spans="1:33" s="1" customFormat="1">
      <c r="B2" s="2"/>
      <c r="C2" s="2"/>
      <c r="E2" s="17" t="s">
        <v>486</v>
      </c>
      <c r="F2" s="92">
        <v>0.6</v>
      </c>
      <c r="G2" s="92">
        <v>0.22</v>
      </c>
      <c r="H2" s="18">
        <f>SUMIF($D$8:$D$35,E2,$AF$8:$AF$35)</f>
        <v>0</v>
      </c>
      <c r="AF2" s="10"/>
      <c r="AG2" s="10"/>
    </row>
    <row r="3" spans="1:33" s="1" customFormat="1">
      <c r="B3" s="2"/>
      <c r="C3" s="2"/>
      <c r="E3" s="17" t="s">
        <v>959</v>
      </c>
      <c r="F3" s="92">
        <v>0.2</v>
      </c>
      <c r="G3" s="92">
        <v>0.12</v>
      </c>
      <c r="H3" s="18">
        <f>SUMIF($D$8:$D$35,E3,$AF$8:$AF$35)</f>
        <v>0</v>
      </c>
      <c r="AF3" s="10"/>
      <c r="AG3" s="10"/>
    </row>
    <row r="4" spans="1:33" s="1" customFormat="1">
      <c r="B4" s="32"/>
      <c r="C4" s="32"/>
      <c r="E4" s="17" t="s">
        <v>1156</v>
      </c>
      <c r="F4" s="92">
        <v>0</v>
      </c>
      <c r="G4" s="92">
        <v>0</v>
      </c>
      <c r="H4" s="18">
        <f>SUMIF($D$8:$D$35,E4,$AF$8:$AF$35)</f>
        <v>0</v>
      </c>
      <c r="J4" s="1" t="s">
        <v>587</v>
      </c>
      <c r="K4" s="16" t="s">
        <v>589</v>
      </c>
      <c r="O4" s="16" t="s">
        <v>589</v>
      </c>
      <c r="S4" s="16" t="s">
        <v>944</v>
      </c>
      <c r="W4" s="16" t="s">
        <v>944</v>
      </c>
      <c r="AA4" s="16" t="s">
        <v>944</v>
      </c>
      <c r="AF4" s="10"/>
      <c r="AG4" s="10"/>
    </row>
    <row r="5" spans="1:33" s="1" customFormat="1">
      <c r="E5" s="94"/>
      <c r="F5" s="93"/>
      <c r="H5" s="35"/>
      <c r="J5" s="18"/>
      <c r="K5" s="18"/>
      <c r="AF5" s="10"/>
      <c r="AG5" s="10"/>
    </row>
    <row r="6" spans="1:33">
      <c r="A6" s="2"/>
      <c r="B6" s="2"/>
      <c r="C6" s="2"/>
      <c r="D6" s="16"/>
      <c r="E6" s="16"/>
      <c r="F6" s="16"/>
      <c r="G6" s="2"/>
      <c r="H6" s="2"/>
      <c r="I6" s="2"/>
      <c r="J6" s="700" t="s">
        <v>489</v>
      </c>
      <c r="K6" s="688"/>
      <c r="L6" s="689"/>
      <c r="M6" s="1"/>
      <c r="N6" s="731" t="s">
        <v>488</v>
      </c>
      <c r="O6" s="732"/>
      <c r="P6" s="733"/>
      <c r="Q6" s="1"/>
      <c r="R6" s="674" t="s">
        <v>11</v>
      </c>
      <c r="S6" s="670"/>
      <c r="T6" s="671"/>
      <c r="U6" s="12"/>
      <c r="V6" s="64" t="s">
        <v>483</v>
      </c>
      <c r="W6" s="65"/>
      <c r="X6" s="66"/>
      <c r="Y6" s="12"/>
      <c r="Z6" s="96" t="s">
        <v>586</v>
      </c>
      <c r="AA6" s="97"/>
      <c r="AB6" s="98"/>
      <c r="AC6" s="12"/>
      <c r="AD6" s="684" t="s">
        <v>34</v>
      </c>
      <c r="AE6" s="701"/>
      <c r="AF6" s="685"/>
      <c r="AG6" s="685"/>
    </row>
    <row r="7" spans="1:33" ht="32">
      <c r="A7" s="739" t="s">
        <v>939</v>
      </c>
      <c r="B7" s="742" t="s">
        <v>28</v>
      </c>
      <c r="C7" s="742" t="s">
        <v>1100</v>
      </c>
      <c r="D7" s="741" t="s">
        <v>942</v>
      </c>
      <c r="E7" s="741" t="s">
        <v>940</v>
      </c>
      <c r="F7" s="741" t="s">
        <v>241</v>
      </c>
      <c r="G7" s="742" t="s">
        <v>12</v>
      </c>
      <c r="H7" s="743" t="s">
        <v>1</v>
      </c>
      <c r="I7" s="3"/>
      <c r="J7" s="690" t="s">
        <v>0</v>
      </c>
      <c r="K7" s="690" t="s">
        <v>573</v>
      </c>
      <c r="L7" s="691" t="s">
        <v>574</v>
      </c>
      <c r="M7" s="4"/>
      <c r="N7" s="736" t="s">
        <v>0</v>
      </c>
      <c r="O7" s="736" t="s">
        <v>573</v>
      </c>
      <c r="P7" s="738" t="s">
        <v>574</v>
      </c>
      <c r="Q7" s="4"/>
      <c r="R7" s="672" t="s">
        <v>0</v>
      </c>
      <c r="S7" s="672" t="s">
        <v>573</v>
      </c>
      <c r="T7" s="673" t="s">
        <v>574</v>
      </c>
      <c r="U7" s="4"/>
      <c r="V7" s="58" t="s">
        <v>0</v>
      </c>
      <c r="W7" s="58" t="s">
        <v>573</v>
      </c>
      <c r="X7" s="59" t="s">
        <v>574</v>
      </c>
      <c r="Y7" s="4"/>
      <c r="Z7" s="99" t="s">
        <v>0</v>
      </c>
      <c r="AA7" s="99" t="s">
        <v>573</v>
      </c>
      <c r="AB7" s="100" t="s">
        <v>574</v>
      </c>
      <c r="AC7" s="4"/>
      <c r="AD7" s="702" t="s">
        <v>575</v>
      </c>
      <c r="AE7" s="702" t="s">
        <v>573</v>
      </c>
      <c r="AF7" s="702" t="s">
        <v>574</v>
      </c>
      <c r="AG7" s="702" t="s">
        <v>581</v>
      </c>
    </row>
    <row r="8" spans="1:33" s="12" customFormat="1" ht="16">
      <c r="A8" s="60" t="s">
        <v>687</v>
      </c>
      <c r="B8" s="19" t="s">
        <v>941</v>
      </c>
      <c r="C8" s="19" t="s">
        <v>1101</v>
      </c>
      <c r="D8" s="16" t="s">
        <v>486</v>
      </c>
      <c r="E8" s="269">
        <f>VLOOKUP($A8,'License Price List'!$B$2:$M$600,4,FALSE)</f>
        <v>950</v>
      </c>
      <c r="F8" s="269">
        <f>VLOOKUP($A8,'License Price List'!$B$2:$M$600,12,FALSE)</f>
        <v>47500</v>
      </c>
      <c r="G8" s="231">
        <f>IF(B8=$E$7,E8,F8)*VLOOKUP(C8,Discounts!$AA$4:$AB$10,2,FALSE)</f>
        <v>47500</v>
      </c>
      <c r="H8" s="8">
        <f>VLOOKUP(D8,$E$2:$F$4,2,FALSE)</f>
        <v>0.6</v>
      </c>
      <c r="J8" s="13"/>
      <c r="K8" s="13">
        <f>IF(K$4="y",$G8*J8,0)</f>
        <v>0</v>
      </c>
      <c r="L8" s="13">
        <f>K8*(1-$H8)</f>
        <v>0</v>
      </c>
      <c r="M8" s="1"/>
      <c r="N8" s="13"/>
      <c r="O8" s="13">
        <f>IF(O$4="y",$G8*N8,0)</f>
        <v>0</v>
      </c>
      <c r="P8" s="13">
        <f>O8*(1-$H8)</f>
        <v>0</v>
      </c>
      <c r="Q8" s="1"/>
      <c r="R8" s="13"/>
      <c r="S8" s="13">
        <f>IF(S$4="y",$G8*R8,0)</f>
        <v>0</v>
      </c>
      <c r="T8" s="13">
        <f>S8*(1-$H8)</f>
        <v>0</v>
      </c>
      <c r="U8" s="1"/>
      <c r="V8" s="13"/>
      <c r="W8" s="13">
        <f>IF(W$4="y",$G8*V8,0)</f>
        <v>0</v>
      </c>
      <c r="X8" s="13">
        <f>W8*(1-$H8)</f>
        <v>0</v>
      </c>
      <c r="Y8" s="1"/>
      <c r="Z8" s="13"/>
      <c r="AA8" s="13">
        <f>IF(AA$4="y",$G8*Z8,0)</f>
        <v>0</v>
      </c>
      <c r="AB8" s="13">
        <f>AA8*(1-$H8)</f>
        <v>0</v>
      </c>
      <c r="AC8" s="1"/>
      <c r="AD8" s="13">
        <f t="shared" ref="AD8:AD22" si="0">SUMIF(K8,"&gt;0",J8)+SUMIF(O8,"&gt;0",N8)+SUMIF(S8,"&gt;0",R8)+SUMIF(W8,"&gt;0",V8)+SUMIF(AA8,"&gt;0",Z8)</f>
        <v>0</v>
      </c>
      <c r="AE8" s="13">
        <f t="shared" ref="AE8:AE22" si="1">K8+O8+S8+W8+AA8</f>
        <v>0</v>
      </c>
      <c r="AF8" s="13">
        <f t="shared" ref="AF8:AF22" si="2">L8+P8+T8+X8+AB8</f>
        <v>0</v>
      </c>
      <c r="AG8" s="13">
        <f>IF(ISNUMBER(C8),C8*IF(B8=$E$7,E8,F8)*AD8*(1-H8)*VLOOKUP(D8,$E$2:$G$4,3,FALSE),AE8*(1-H8)*VLOOKUP(D8,$E$2:$G$4,3,FALSE))</f>
        <v>0</v>
      </c>
    </row>
    <row r="9" spans="1:33" s="12" customFormat="1" ht="16">
      <c r="A9" s="60" t="s">
        <v>705</v>
      </c>
      <c r="B9" s="19" t="s">
        <v>941</v>
      </c>
      <c r="C9" s="19" t="s">
        <v>1101</v>
      </c>
      <c r="D9" s="16" t="s">
        <v>486</v>
      </c>
      <c r="E9" s="269">
        <f>VLOOKUP($A9,'License Price List'!$B$2:$M$600,4,FALSE)</f>
        <v>150</v>
      </c>
      <c r="F9" s="269">
        <f>VLOOKUP($A9,'License Price List'!$B$2:$M$600,12,FALSE)</f>
        <v>7500</v>
      </c>
      <c r="G9" s="231">
        <f>IF(B9=$E$7,E9,F9)*VLOOKUP(C9,Discounts!$AA$4:$AB$10,2,FALSE)</f>
        <v>7500</v>
      </c>
      <c r="H9" s="8">
        <f t="shared" ref="H9:H25" si="3">VLOOKUP(D9,$E$2:$F$4,2,FALSE)</f>
        <v>0.6</v>
      </c>
      <c r="J9" s="13"/>
      <c r="K9" s="13">
        <f t="shared" ref="K9:K22" si="4">IF(K$4="y",$G9*J9,0)</f>
        <v>0</v>
      </c>
      <c r="L9" s="13">
        <f t="shared" ref="L9:L22" si="5">K9*(1-$H9)</f>
        <v>0</v>
      </c>
      <c r="M9" s="1"/>
      <c r="N9" s="13"/>
      <c r="O9" s="13">
        <f t="shared" ref="O9:O22" si="6">IF(O$4="y",$G9*N9,0)</f>
        <v>0</v>
      </c>
      <c r="P9" s="13">
        <f t="shared" ref="P9:P22" si="7">O9*(1-$H9)</f>
        <v>0</v>
      </c>
      <c r="Q9" s="1"/>
      <c r="R9" s="13"/>
      <c r="S9" s="13">
        <f t="shared" ref="S9:S22" si="8">IF(S$4="y",$G9*R9,0)</f>
        <v>0</v>
      </c>
      <c r="T9" s="13">
        <f t="shared" ref="T9:T22" si="9">S9*(1-$H9)</f>
        <v>0</v>
      </c>
      <c r="U9" s="1"/>
      <c r="V9" s="13"/>
      <c r="W9" s="13">
        <f t="shared" ref="W9:W22" si="10">IF(W$4="y",$G9*V9,0)</f>
        <v>0</v>
      </c>
      <c r="X9" s="13">
        <f t="shared" ref="X9:X22" si="11">W9*(1-$H9)</f>
        <v>0</v>
      </c>
      <c r="Y9" s="1"/>
      <c r="Z9" s="13"/>
      <c r="AA9" s="13">
        <f t="shared" ref="AA9:AA22" si="12">IF(AA$4="y",$G9*Z9,0)</f>
        <v>0</v>
      </c>
      <c r="AB9" s="13">
        <f t="shared" ref="AB9:AB22" si="13">AA9*(1-$H9)</f>
        <v>0</v>
      </c>
      <c r="AC9" s="1"/>
      <c r="AD9" s="13">
        <f t="shared" si="0"/>
        <v>0</v>
      </c>
      <c r="AE9" s="13">
        <f t="shared" si="1"/>
        <v>0</v>
      </c>
      <c r="AF9" s="13">
        <f t="shared" si="2"/>
        <v>0</v>
      </c>
      <c r="AG9" s="13">
        <f t="shared" ref="AG9:AG33" si="14">IF(ISNUMBER(C9),C9*IF(B9=$E$7,E9,F9)*AD9*(1-H9)*VLOOKUP(D9,$E$2:$G$4,3,FALSE),AE9*(1-H9)*VLOOKUP(D9,$E$2:$G$4,3,FALSE))</f>
        <v>0</v>
      </c>
    </row>
    <row r="10" spans="1:33" s="12" customFormat="1" ht="16">
      <c r="A10" s="60" t="s">
        <v>706</v>
      </c>
      <c r="B10" s="19" t="s">
        <v>941</v>
      </c>
      <c r="C10" s="19" t="s">
        <v>1101</v>
      </c>
      <c r="D10" s="16" t="s">
        <v>486</v>
      </c>
      <c r="E10" s="269">
        <f>VLOOKUP($A10,'License Price List'!$B$2:$M$600,4,FALSE)</f>
        <v>100</v>
      </c>
      <c r="F10" s="269">
        <f>VLOOKUP($A10,'License Price List'!$B$2:$M$600,12,FALSE)</f>
        <v>5000</v>
      </c>
      <c r="G10" s="231">
        <f>IF(B10=$E$7,E10,F10)*VLOOKUP(C10,Discounts!$AA$4:$AB$10,2,FALSE)</f>
        <v>5000</v>
      </c>
      <c r="H10" s="8">
        <f t="shared" si="3"/>
        <v>0.6</v>
      </c>
      <c r="J10" s="13"/>
      <c r="K10" s="13">
        <f t="shared" si="4"/>
        <v>0</v>
      </c>
      <c r="L10" s="13">
        <f t="shared" si="5"/>
        <v>0</v>
      </c>
      <c r="M10" s="1"/>
      <c r="N10" s="13"/>
      <c r="O10" s="13">
        <f t="shared" si="6"/>
        <v>0</v>
      </c>
      <c r="P10" s="13">
        <f t="shared" si="7"/>
        <v>0</v>
      </c>
      <c r="Q10" s="1"/>
      <c r="R10" s="13"/>
      <c r="S10" s="13">
        <f t="shared" si="8"/>
        <v>0</v>
      </c>
      <c r="T10" s="13">
        <f t="shared" si="9"/>
        <v>0</v>
      </c>
      <c r="U10" s="1"/>
      <c r="V10" s="13"/>
      <c r="W10" s="13">
        <f t="shared" si="10"/>
        <v>0</v>
      </c>
      <c r="X10" s="13">
        <f t="shared" si="11"/>
        <v>0</v>
      </c>
      <c r="Y10" s="1"/>
      <c r="Z10" s="13"/>
      <c r="AA10" s="13">
        <f t="shared" si="12"/>
        <v>0</v>
      </c>
      <c r="AB10" s="13">
        <f t="shared" si="13"/>
        <v>0</v>
      </c>
      <c r="AC10" s="1"/>
      <c r="AD10" s="13">
        <f t="shared" si="0"/>
        <v>0</v>
      </c>
      <c r="AE10" s="13">
        <f t="shared" si="1"/>
        <v>0</v>
      </c>
      <c r="AF10" s="13">
        <f t="shared" si="2"/>
        <v>0</v>
      </c>
      <c r="AG10" s="13">
        <f t="shared" si="14"/>
        <v>0</v>
      </c>
    </row>
    <row r="11" spans="1:33" s="12" customFormat="1" ht="16">
      <c r="A11" s="60" t="s">
        <v>696</v>
      </c>
      <c r="B11" s="19" t="s">
        <v>941</v>
      </c>
      <c r="C11" s="19" t="s">
        <v>1101</v>
      </c>
      <c r="D11" s="16" t="s">
        <v>486</v>
      </c>
      <c r="E11" s="269">
        <f>VLOOKUP($A11,'License Price List'!$B$2:$M$600,4,FALSE)</f>
        <v>230</v>
      </c>
      <c r="F11" s="269">
        <f>VLOOKUP($A11,'License Price List'!$B$2:$M$600,12,FALSE)</f>
        <v>11500</v>
      </c>
      <c r="G11" s="231">
        <f>IF(B11=$E$7,E11,F11)*VLOOKUP(C11,Discounts!$AA$4:$AB$10,2,FALSE)</f>
        <v>11500</v>
      </c>
      <c r="H11" s="8">
        <f t="shared" si="3"/>
        <v>0.6</v>
      </c>
      <c r="J11" s="13"/>
      <c r="K11" s="13">
        <f t="shared" si="4"/>
        <v>0</v>
      </c>
      <c r="L11" s="13">
        <f t="shared" si="5"/>
        <v>0</v>
      </c>
      <c r="M11" s="1"/>
      <c r="N11" s="13"/>
      <c r="O11" s="13">
        <f t="shared" si="6"/>
        <v>0</v>
      </c>
      <c r="P11" s="13">
        <f t="shared" si="7"/>
        <v>0</v>
      </c>
      <c r="Q11" s="1"/>
      <c r="R11" s="13"/>
      <c r="S11" s="13">
        <f t="shared" si="8"/>
        <v>0</v>
      </c>
      <c r="T11" s="13">
        <f t="shared" si="9"/>
        <v>0</v>
      </c>
      <c r="U11" s="1"/>
      <c r="V11" s="13"/>
      <c r="W11" s="13">
        <f t="shared" si="10"/>
        <v>0</v>
      </c>
      <c r="X11" s="13">
        <f t="shared" si="11"/>
        <v>0</v>
      </c>
      <c r="Y11" s="1"/>
      <c r="Z11" s="13"/>
      <c r="AA11" s="13">
        <f t="shared" si="12"/>
        <v>0</v>
      </c>
      <c r="AB11" s="13">
        <f t="shared" si="13"/>
        <v>0</v>
      </c>
      <c r="AC11" s="1"/>
      <c r="AD11" s="13">
        <f t="shared" si="0"/>
        <v>0</v>
      </c>
      <c r="AE11" s="13">
        <f t="shared" si="1"/>
        <v>0</v>
      </c>
      <c r="AF11" s="13">
        <f t="shared" si="2"/>
        <v>0</v>
      </c>
      <c r="AG11" s="13">
        <f t="shared" si="14"/>
        <v>0</v>
      </c>
    </row>
    <row r="12" spans="1:33" s="12" customFormat="1" ht="16">
      <c r="A12" s="60" t="s">
        <v>693</v>
      </c>
      <c r="B12" s="19" t="s">
        <v>941</v>
      </c>
      <c r="C12" s="19" t="s">
        <v>1101</v>
      </c>
      <c r="D12" s="16" t="s">
        <v>486</v>
      </c>
      <c r="E12" s="269">
        <f>VLOOKUP($A12,'License Price List'!$B$2:$M$600,4,FALSE)</f>
        <v>460</v>
      </c>
      <c r="F12" s="269">
        <f>VLOOKUP($A12,'License Price List'!$B$2:$M$600,12,FALSE)</f>
        <v>23000</v>
      </c>
      <c r="G12" s="231">
        <f>IF(B12=$E$7,E12,F12)*VLOOKUP(C12,Discounts!$AA$4:$AB$10,2,FALSE)</f>
        <v>23000</v>
      </c>
      <c r="H12" s="8">
        <f t="shared" si="3"/>
        <v>0.6</v>
      </c>
      <c r="J12" s="13"/>
      <c r="K12" s="13">
        <f t="shared" si="4"/>
        <v>0</v>
      </c>
      <c r="L12" s="13">
        <f t="shared" si="5"/>
        <v>0</v>
      </c>
      <c r="M12" s="1"/>
      <c r="N12" s="13"/>
      <c r="O12" s="13">
        <f t="shared" si="6"/>
        <v>0</v>
      </c>
      <c r="P12" s="13">
        <f t="shared" si="7"/>
        <v>0</v>
      </c>
      <c r="Q12" s="1"/>
      <c r="R12" s="13"/>
      <c r="S12" s="13">
        <f t="shared" si="8"/>
        <v>0</v>
      </c>
      <c r="T12" s="13">
        <f t="shared" si="9"/>
        <v>0</v>
      </c>
      <c r="U12" s="1"/>
      <c r="V12" s="13"/>
      <c r="W12" s="13">
        <f t="shared" si="10"/>
        <v>0</v>
      </c>
      <c r="X12" s="13">
        <f t="shared" si="11"/>
        <v>0</v>
      </c>
      <c r="Y12" s="1"/>
      <c r="Z12" s="13"/>
      <c r="AA12" s="13">
        <f t="shared" si="12"/>
        <v>0</v>
      </c>
      <c r="AB12" s="13">
        <f t="shared" si="13"/>
        <v>0</v>
      </c>
      <c r="AC12" s="1"/>
      <c r="AD12" s="13">
        <f t="shared" si="0"/>
        <v>0</v>
      </c>
      <c r="AE12" s="13">
        <f t="shared" si="1"/>
        <v>0</v>
      </c>
      <c r="AF12" s="13">
        <f t="shared" si="2"/>
        <v>0</v>
      </c>
      <c r="AG12" s="13">
        <f t="shared" si="14"/>
        <v>0</v>
      </c>
    </row>
    <row r="13" spans="1:33" s="12" customFormat="1" ht="16">
      <c r="A13" s="60" t="s">
        <v>695</v>
      </c>
      <c r="B13" s="19" t="s">
        <v>941</v>
      </c>
      <c r="C13" s="19" t="s">
        <v>1101</v>
      </c>
      <c r="D13" s="16" t="s">
        <v>486</v>
      </c>
      <c r="E13" s="269">
        <f>VLOOKUP($A13,'License Price List'!$B$2:$M$600,4,FALSE)</f>
        <v>230</v>
      </c>
      <c r="F13" s="269">
        <f>VLOOKUP($A13,'License Price List'!$B$2:$M$600,12,FALSE)</f>
        <v>11500</v>
      </c>
      <c r="G13" s="231">
        <f>IF(B13=$E$7,E13,F13)*VLOOKUP(C13,Discounts!$AA$4:$AB$10,2,FALSE)</f>
        <v>11500</v>
      </c>
      <c r="H13" s="8">
        <f t="shared" si="3"/>
        <v>0.6</v>
      </c>
      <c r="J13" s="13"/>
      <c r="K13" s="13">
        <f t="shared" si="4"/>
        <v>0</v>
      </c>
      <c r="L13" s="13">
        <f t="shared" si="5"/>
        <v>0</v>
      </c>
      <c r="M13" s="1"/>
      <c r="N13" s="13"/>
      <c r="O13" s="13">
        <f t="shared" si="6"/>
        <v>0</v>
      </c>
      <c r="P13" s="13">
        <f t="shared" si="7"/>
        <v>0</v>
      </c>
      <c r="Q13" s="1"/>
      <c r="R13" s="13"/>
      <c r="S13" s="13">
        <f t="shared" si="8"/>
        <v>0</v>
      </c>
      <c r="T13" s="13">
        <f t="shared" si="9"/>
        <v>0</v>
      </c>
      <c r="U13" s="1"/>
      <c r="V13" s="13"/>
      <c r="W13" s="13">
        <f t="shared" si="10"/>
        <v>0</v>
      </c>
      <c r="X13" s="13">
        <f t="shared" si="11"/>
        <v>0</v>
      </c>
      <c r="Y13" s="1"/>
      <c r="Z13" s="13"/>
      <c r="AA13" s="13">
        <f t="shared" si="12"/>
        <v>0</v>
      </c>
      <c r="AB13" s="13">
        <f t="shared" si="13"/>
        <v>0</v>
      </c>
      <c r="AC13" s="1"/>
      <c r="AD13" s="13">
        <f t="shared" si="0"/>
        <v>0</v>
      </c>
      <c r="AE13" s="13">
        <f t="shared" si="1"/>
        <v>0</v>
      </c>
      <c r="AF13" s="13">
        <f t="shared" si="2"/>
        <v>0</v>
      </c>
      <c r="AG13" s="13">
        <f t="shared" si="14"/>
        <v>0</v>
      </c>
    </row>
    <row r="14" spans="1:33" s="12" customFormat="1" ht="16">
      <c r="A14" s="60" t="s">
        <v>698</v>
      </c>
      <c r="B14" s="19" t="s">
        <v>941</v>
      </c>
      <c r="C14" s="19" t="s">
        <v>1101</v>
      </c>
      <c r="D14" s="16" t="s">
        <v>486</v>
      </c>
      <c r="E14" s="269">
        <f>VLOOKUP($A14,'License Price List'!$B$2:$M$600,4,FALSE)</f>
        <v>230</v>
      </c>
      <c r="F14" s="269">
        <f>VLOOKUP($A14,'License Price List'!$B$2:$M$600,12,FALSE)</f>
        <v>11500</v>
      </c>
      <c r="G14" s="231">
        <f>IF(B14=$E$7,E14,F14)*VLOOKUP(C14,Discounts!$AA$4:$AB$10,2,FALSE)</f>
        <v>11500</v>
      </c>
      <c r="H14" s="8">
        <f t="shared" si="3"/>
        <v>0.6</v>
      </c>
      <c r="J14" s="13"/>
      <c r="K14" s="13">
        <f t="shared" si="4"/>
        <v>0</v>
      </c>
      <c r="L14" s="13">
        <f t="shared" si="5"/>
        <v>0</v>
      </c>
      <c r="M14" s="1"/>
      <c r="N14" s="13"/>
      <c r="O14" s="13">
        <f t="shared" si="6"/>
        <v>0</v>
      </c>
      <c r="P14" s="13">
        <f t="shared" si="7"/>
        <v>0</v>
      </c>
      <c r="Q14" s="1"/>
      <c r="R14" s="13"/>
      <c r="S14" s="13">
        <f t="shared" si="8"/>
        <v>0</v>
      </c>
      <c r="T14" s="13">
        <f t="shared" si="9"/>
        <v>0</v>
      </c>
      <c r="U14" s="1"/>
      <c r="V14" s="13"/>
      <c r="W14" s="13">
        <f t="shared" si="10"/>
        <v>0</v>
      </c>
      <c r="X14" s="13">
        <f t="shared" si="11"/>
        <v>0</v>
      </c>
      <c r="Y14" s="1"/>
      <c r="Z14" s="13"/>
      <c r="AA14" s="13">
        <f t="shared" si="12"/>
        <v>0</v>
      </c>
      <c r="AB14" s="13">
        <f t="shared" si="13"/>
        <v>0</v>
      </c>
      <c r="AC14" s="1"/>
      <c r="AD14" s="13">
        <f t="shared" si="0"/>
        <v>0</v>
      </c>
      <c r="AE14" s="13">
        <f t="shared" si="1"/>
        <v>0</v>
      </c>
      <c r="AF14" s="13">
        <f t="shared" si="2"/>
        <v>0</v>
      </c>
      <c r="AG14" s="13">
        <f t="shared" si="14"/>
        <v>0</v>
      </c>
    </row>
    <row r="15" spans="1:33" s="12" customFormat="1" ht="16">
      <c r="A15" s="60" t="s">
        <v>699</v>
      </c>
      <c r="B15" s="19" t="s">
        <v>941</v>
      </c>
      <c r="C15" s="19" t="s">
        <v>1101</v>
      </c>
      <c r="D15" s="16" t="s">
        <v>486</v>
      </c>
      <c r="E15" s="269">
        <f>VLOOKUP($A15,'License Price List'!$B$2:$M$600,4,FALSE)</f>
        <v>300</v>
      </c>
      <c r="F15" s="269">
        <f>VLOOKUP($A15,'License Price List'!$B$2:$M$600,12,FALSE)</f>
        <v>15000</v>
      </c>
      <c r="G15" s="231">
        <f>IF(B15=$E$7,E15,F15)*VLOOKUP(C15,Discounts!$AA$4:$AB$10,2,FALSE)</f>
        <v>15000</v>
      </c>
      <c r="H15" s="8">
        <f t="shared" si="3"/>
        <v>0.6</v>
      </c>
      <c r="J15" s="13"/>
      <c r="K15" s="13">
        <f t="shared" si="4"/>
        <v>0</v>
      </c>
      <c r="L15" s="13">
        <f t="shared" si="5"/>
        <v>0</v>
      </c>
      <c r="M15" s="1"/>
      <c r="N15" s="13"/>
      <c r="O15" s="13">
        <f t="shared" si="6"/>
        <v>0</v>
      </c>
      <c r="P15" s="13">
        <f t="shared" si="7"/>
        <v>0</v>
      </c>
      <c r="Q15" s="1"/>
      <c r="R15" s="13"/>
      <c r="S15" s="13">
        <f t="shared" si="8"/>
        <v>0</v>
      </c>
      <c r="T15" s="13">
        <f t="shared" si="9"/>
        <v>0</v>
      </c>
      <c r="U15" s="1"/>
      <c r="V15" s="13"/>
      <c r="W15" s="13">
        <f t="shared" si="10"/>
        <v>0</v>
      </c>
      <c r="X15" s="13">
        <f t="shared" si="11"/>
        <v>0</v>
      </c>
      <c r="Y15" s="1"/>
      <c r="Z15" s="13"/>
      <c r="AA15" s="13">
        <f t="shared" si="12"/>
        <v>0</v>
      </c>
      <c r="AB15" s="13">
        <f t="shared" si="13"/>
        <v>0</v>
      </c>
      <c r="AC15" s="1"/>
      <c r="AD15" s="13">
        <f t="shared" si="0"/>
        <v>0</v>
      </c>
      <c r="AE15" s="13">
        <f t="shared" si="1"/>
        <v>0</v>
      </c>
      <c r="AF15" s="13">
        <f t="shared" si="2"/>
        <v>0</v>
      </c>
      <c r="AG15" s="13">
        <f t="shared" si="14"/>
        <v>0</v>
      </c>
    </row>
    <row r="16" spans="1:33" s="12" customFormat="1" ht="16">
      <c r="A16" s="60" t="s">
        <v>692</v>
      </c>
      <c r="B16" s="19" t="s">
        <v>941</v>
      </c>
      <c r="C16" s="19" t="s">
        <v>1101</v>
      </c>
      <c r="D16" s="16" t="s">
        <v>486</v>
      </c>
      <c r="E16" s="269">
        <f>VLOOKUP($A16,'License Price List'!$B$2:$M$600,4,FALSE)</f>
        <v>350</v>
      </c>
      <c r="F16" s="269">
        <f>VLOOKUP($A16,'License Price List'!$B$2:$M$600,12,FALSE)</f>
        <v>17500</v>
      </c>
      <c r="G16" s="231">
        <f>IF(B16=$E$7,E16,F16)*VLOOKUP(C16,Discounts!$AA$4:$AB$10,2,FALSE)</f>
        <v>17500</v>
      </c>
      <c r="H16" s="8">
        <f>VLOOKUP(D16,$E$2:$F$4,2,FALSE)</f>
        <v>0.6</v>
      </c>
      <c r="J16" s="13"/>
      <c r="K16" s="13">
        <f>IF(K$4="y",$G16*J16,0)</f>
        <v>0</v>
      </c>
      <c r="L16" s="13">
        <f>K16*(1-$H16)</f>
        <v>0</v>
      </c>
      <c r="M16" s="1"/>
      <c r="N16" s="13"/>
      <c r="O16" s="13">
        <f>IF(O$4="y",$G16*N16,0)</f>
        <v>0</v>
      </c>
      <c r="P16" s="13">
        <f>O16*(1-$H16)</f>
        <v>0</v>
      </c>
      <c r="Q16" s="1"/>
      <c r="R16" s="13"/>
      <c r="S16" s="13">
        <f>IF(S$4="y",$G16*R16,0)</f>
        <v>0</v>
      </c>
      <c r="T16" s="13">
        <f>S16*(1-$H16)</f>
        <v>0</v>
      </c>
      <c r="U16" s="1"/>
      <c r="V16" s="13"/>
      <c r="W16" s="13">
        <f>IF(W$4="y",$G16*V16,0)</f>
        <v>0</v>
      </c>
      <c r="X16" s="13">
        <f>W16*(1-$H16)</f>
        <v>0</v>
      </c>
      <c r="Y16" s="1"/>
      <c r="Z16" s="13"/>
      <c r="AA16" s="13">
        <f>IF(AA$4="y",$G16*Z16,0)</f>
        <v>0</v>
      </c>
      <c r="AB16" s="13">
        <f>AA16*(1-$H16)</f>
        <v>0</v>
      </c>
      <c r="AC16" s="1"/>
      <c r="AD16" s="13">
        <f>SUMIF(K16,"&gt;0",J16)+SUMIF(O16,"&gt;0",N16)+SUMIF(S16,"&gt;0",R16)+SUMIF(W16,"&gt;0",V16)+SUMIF(AA16,"&gt;0",Z16)</f>
        <v>0</v>
      </c>
      <c r="AE16" s="13">
        <f t="shared" ref="AE16:AF18" si="15">K16+O16+S16+W16+AA16</f>
        <v>0</v>
      </c>
      <c r="AF16" s="13">
        <f t="shared" si="15"/>
        <v>0</v>
      </c>
      <c r="AG16" s="13">
        <f t="shared" si="14"/>
        <v>0</v>
      </c>
    </row>
    <row r="17" spans="1:33" s="12" customFormat="1" ht="16">
      <c r="A17" s="60" t="s">
        <v>704</v>
      </c>
      <c r="B17" s="19" t="s">
        <v>941</v>
      </c>
      <c r="C17" s="19" t="s">
        <v>1101</v>
      </c>
      <c r="D17" s="16" t="s">
        <v>486</v>
      </c>
      <c r="E17" s="269">
        <f>VLOOKUP($A17,'License Price List'!$B$2:$M$600,4,FALSE)</f>
        <v>460</v>
      </c>
      <c r="F17" s="269">
        <f>VLOOKUP($A17,'License Price List'!$B$2:$M$600,12,FALSE)</f>
        <v>23000</v>
      </c>
      <c r="G17" s="231">
        <f>IF(B17=$E$7,E17,F17)*VLOOKUP(C17,Discounts!$AA$4:$AB$10,2,FALSE)</f>
        <v>23000</v>
      </c>
      <c r="H17" s="8">
        <f>VLOOKUP(D17,$E$2:$F$4,2,FALSE)</f>
        <v>0.6</v>
      </c>
      <c r="J17" s="13"/>
      <c r="K17" s="13">
        <f>IF(K$4="y",$G17*J17,0)</f>
        <v>0</v>
      </c>
      <c r="L17" s="13">
        <f>K17*(1-$H17)</f>
        <v>0</v>
      </c>
      <c r="M17" s="1"/>
      <c r="N17" s="13"/>
      <c r="O17" s="13">
        <f>IF(O$4="y",$G17*N17,0)</f>
        <v>0</v>
      </c>
      <c r="P17" s="13">
        <f>O17*(1-$H17)</f>
        <v>0</v>
      </c>
      <c r="Q17" s="1"/>
      <c r="R17" s="13"/>
      <c r="S17" s="13">
        <f>IF(S$4="y",$G17*R17,0)</f>
        <v>0</v>
      </c>
      <c r="T17" s="13">
        <f>S17*(1-$H17)</f>
        <v>0</v>
      </c>
      <c r="U17" s="1"/>
      <c r="V17" s="13"/>
      <c r="W17" s="13">
        <f>IF(W$4="y",$G17*V17,0)</f>
        <v>0</v>
      </c>
      <c r="X17" s="13">
        <f>W17*(1-$H17)</f>
        <v>0</v>
      </c>
      <c r="Y17" s="1"/>
      <c r="Z17" s="13"/>
      <c r="AA17" s="13">
        <f>IF(AA$4="y",$G17*Z17,0)</f>
        <v>0</v>
      </c>
      <c r="AB17" s="13">
        <f>AA17*(1-$H17)</f>
        <v>0</v>
      </c>
      <c r="AC17" s="1"/>
      <c r="AD17" s="13">
        <f>SUMIF(K17,"&gt;0",J17)+SUMIF(O17,"&gt;0",N17)+SUMIF(S17,"&gt;0",R17)+SUMIF(W17,"&gt;0",V17)+SUMIF(AA17,"&gt;0",Z17)</f>
        <v>0</v>
      </c>
      <c r="AE17" s="13">
        <f t="shared" si="15"/>
        <v>0</v>
      </c>
      <c r="AF17" s="13">
        <f t="shared" si="15"/>
        <v>0</v>
      </c>
      <c r="AG17" s="13">
        <f t="shared" si="14"/>
        <v>0</v>
      </c>
    </row>
    <row r="18" spans="1:33" s="12" customFormat="1" ht="16">
      <c r="A18" s="60" t="s">
        <v>708</v>
      </c>
      <c r="B18" s="19" t="s">
        <v>941</v>
      </c>
      <c r="C18" s="19" t="s">
        <v>1101</v>
      </c>
      <c r="D18" s="16" t="s">
        <v>486</v>
      </c>
      <c r="E18" s="269">
        <f>VLOOKUP($A18,'License Price List'!$B$2:$M$600,4,FALSE)</f>
        <v>230</v>
      </c>
      <c r="F18" s="269">
        <f>VLOOKUP($A18,'License Price List'!$B$2:$M$600,12,FALSE)</f>
        <v>11500</v>
      </c>
      <c r="G18" s="231">
        <f>IF(B18=$E$7,E18,F18)*VLOOKUP(C18,Discounts!$AA$4:$AB$10,2,FALSE)</f>
        <v>11500</v>
      </c>
      <c r="H18" s="8">
        <f>VLOOKUP(D18,$E$2:$F$4,2,FALSE)</f>
        <v>0.6</v>
      </c>
      <c r="J18" s="13"/>
      <c r="K18" s="13">
        <f>IF(K$4="y",$G18*J18,0)</f>
        <v>0</v>
      </c>
      <c r="L18" s="13">
        <f>K18*(1-$H18)</f>
        <v>0</v>
      </c>
      <c r="M18" s="1"/>
      <c r="N18" s="13"/>
      <c r="O18" s="13">
        <f>IF(O$4="y",$G18*N18,0)</f>
        <v>0</v>
      </c>
      <c r="P18" s="13">
        <f>O18*(1-$H18)</f>
        <v>0</v>
      </c>
      <c r="Q18" s="1"/>
      <c r="R18" s="13"/>
      <c r="S18" s="13">
        <f>IF(S$4="y",$G18*R18,0)</f>
        <v>0</v>
      </c>
      <c r="T18" s="13">
        <f>S18*(1-$H18)</f>
        <v>0</v>
      </c>
      <c r="U18" s="1"/>
      <c r="V18" s="13"/>
      <c r="W18" s="13">
        <f>IF(W$4="y",$G18*V18,0)</f>
        <v>0</v>
      </c>
      <c r="X18" s="13">
        <f>W18*(1-$H18)</f>
        <v>0</v>
      </c>
      <c r="Y18" s="1"/>
      <c r="Z18" s="13"/>
      <c r="AA18" s="13">
        <f>IF(AA$4="y",$G18*Z18,0)</f>
        <v>0</v>
      </c>
      <c r="AB18" s="13">
        <f>AA18*(1-$H18)</f>
        <v>0</v>
      </c>
      <c r="AC18" s="1"/>
      <c r="AD18" s="13">
        <f>SUMIF(K18,"&gt;0",J18)+SUMIF(O18,"&gt;0",N18)+SUMIF(S18,"&gt;0",R18)+SUMIF(W18,"&gt;0",V18)+SUMIF(AA18,"&gt;0",Z18)</f>
        <v>0</v>
      </c>
      <c r="AE18" s="13">
        <f t="shared" si="15"/>
        <v>0</v>
      </c>
      <c r="AF18" s="13">
        <f t="shared" si="15"/>
        <v>0</v>
      </c>
      <c r="AG18" s="13">
        <f t="shared" si="14"/>
        <v>0</v>
      </c>
    </row>
    <row r="19" spans="1:33" s="12" customFormat="1" ht="16">
      <c r="A19" s="60" t="s">
        <v>700</v>
      </c>
      <c r="B19" s="19" t="s">
        <v>941</v>
      </c>
      <c r="C19" s="19" t="s">
        <v>1101</v>
      </c>
      <c r="D19" s="16" t="s">
        <v>486</v>
      </c>
      <c r="E19" s="269">
        <f>VLOOKUP($A19,'License Price List'!$B$2:$M$600,4,FALSE)</f>
        <v>230</v>
      </c>
      <c r="F19" s="269">
        <f>VLOOKUP($A19,'License Price List'!$B$2:$M$600,12,FALSE)</f>
        <v>11500</v>
      </c>
      <c r="G19" s="231">
        <f>IF(B19=$E$7,E19,F19)*VLOOKUP(C19,Discounts!$AA$4:$AB$10,2,FALSE)</f>
        <v>11500</v>
      </c>
      <c r="H19" s="8">
        <f t="shared" si="3"/>
        <v>0.6</v>
      </c>
      <c r="J19" s="13"/>
      <c r="K19" s="13">
        <f t="shared" si="4"/>
        <v>0</v>
      </c>
      <c r="L19" s="13">
        <f t="shared" si="5"/>
        <v>0</v>
      </c>
      <c r="M19" s="1"/>
      <c r="N19" s="13"/>
      <c r="O19" s="13">
        <f t="shared" si="6"/>
        <v>0</v>
      </c>
      <c r="P19" s="13">
        <f t="shared" si="7"/>
        <v>0</v>
      </c>
      <c r="Q19" s="1"/>
      <c r="R19" s="13"/>
      <c r="S19" s="13">
        <f t="shared" si="8"/>
        <v>0</v>
      </c>
      <c r="T19" s="13">
        <f t="shared" si="9"/>
        <v>0</v>
      </c>
      <c r="U19" s="1"/>
      <c r="V19" s="13"/>
      <c r="W19" s="13">
        <f t="shared" si="10"/>
        <v>0</v>
      </c>
      <c r="X19" s="13">
        <f t="shared" si="11"/>
        <v>0</v>
      </c>
      <c r="Y19" s="1"/>
      <c r="Z19" s="13"/>
      <c r="AA19" s="13">
        <f t="shared" si="12"/>
        <v>0</v>
      </c>
      <c r="AB19" s="13">
        <f t="shared" si="13"/>
        <v>0</v>
      </c>
      <c r="AC19" s="1"/>
      <c r="AD19" s="13">
        <f t="shared" si="0"/>
        <v>0</v>
      </c>
      <c r="AE19" s="13">
        <f t="shared" si="1"/>
        <v>0</v>
      </c>
      <c r="AF19" s="13">
        <f t="shared" si="2"/>
        <v>0</v>
      </c>
      <c r="AG19" s="13">
        <f t="shared" si="14"/>
        <v>0</v>
      </c>
    </row>
    <row r="20" spans="1:33" s="12" customFormat="1" ht="16">
      <c r="A20" s="60" t="s">
        <v>701</v>
      </c>
      <c r="B20" s="19" t="s">
        <v>941</v>
      </c>
      <c r="C20" s="19" t="s">
        <v>1101</v>
      </c>
      <c r="D20" s="16" t="s">
        <v>486</v>
      </c>
      <c r="E20" s="269">
        <f>VLOOKUP($A20,'License Price List'!$B$2:$M$600,4,FALSE)</f>
        <v>230</v>
      </c>
      <c r="F20" s="269">
        <f>VLOOKUP($A20,'License Price List'!$B$2:$M$600,12,FALSE)</f>
        <v>11500</v>
      </c>
      <c r="G20" s="231">
        <f>IF(B20=$E$7,E20,F20)*VLOOKUP(C20,Discounts!$AA$4:$AB$10,2,FALSE)</f>
        <v>11500</v>
      </c>
      <c r="H20" s="8">
        <f t="shared" si="3"/>
        <v>0.6</v>
      </c>
      <c r="J20" s="13"/>
      <c r="K20" s="13">
        <f t="shared" si="4"/>
        <v>0</v>
      </c>
      <c r="L20" s="13">
        <f t="shared" si="5"/>
        <v>0</v>
      </c>
      <c r="M20" s="1"/>
      <c r="N20" s="13"/>
      <c r="O20" s="13">
        <f t="shared" si="6"/>
        <v>0</v>
      </c>
      <c r="P20" s="13">
        <f t="shared" si="7"/>
        <v>0</v>
      </c>
      <c r="Q20" s="1"/>
      <c r="R20" s="13"/>
      <c r="S20" s="13">
        <f t="shared" si="8"/>
        <v>0</v>
      </c>
      <c r="T20" s="13">
        <f t="shared" si="9"/>
        <v>0</v>
      </c>
      <c r="U20" s="1"/>
      <c r="V20" s="13"/>
      <c r="W20" s="13">
        <f t="shared" si="10"/>
        <v>0</v>
      </c>
      <c r="X20" s="13">
        <f t="shared" si="11"/>
        <v>0</v>
      </c>
      <c r="Y20" s="1"/>
      <c r="Z20" s="13"/>
      <c r="AA20" s="13">
        <f t="shared" si="12"/>
        <v>0</v>
      </c>
      <c r="AB20" s="13">
        <f t="shared" si="13"/>
        <v>0</v>
      </c>
      <c r="AC20" s="1"/>
      <c r="AD20" s="13">
        <f t="shared" si="0"/>
        <v>0</v>
      </c>
      <c r="AE20" s="13">
        <f t="shared" si="1"/>
        <v>0</v>
      </c>
      <c r="AF20" s="13">
        <f t="shared" si="2"/>
        <v>0</v>
      </c>
      <c r="AG20" s="13">
        <f t="shared" si="14"/>
        <v>0</v>
      </c>
    </row>
    <row r="21" spans="1:33" s="12" customFormat="1" ht="16">
      <c r="A21" s="60" t="s">
        <v>707</v>
      </c>
      <c r="B21" s="19" t="s">
        <v>941</v>
      </c>
      <c r="C21" s="19" t="s">
        <v>1101</v>
      </c>
      <c r="D21" s="16" t="s">
        <v>486</v>
      </c>
      <c r="E21" s="269">
        <f>VLOOKUP($A21,'License Price List'!$B$2:$M$600,4,FALSE)</f>
        <v>240</v>
      </c>
      <c r="F21" s="269">
        <f>VLOOKUP($A21,'License Price List'!$B$2:$M$600,12,FALSE)</f>
        <v>12000</v>
      </c>
      <c r="G21" s="231">
        <f>IF(B21=$E$7,E21,F21)*VLOOKUP(C21,Discounts!$AA$4:$AB$10,2,FALSE)</f>
        <v>12000</v>
      </c>
      <c r="H21" s="8">
        <f t="shared" si="3"/>
        <v>0.6</v>
      </c>
      <c r="J21" s="13"/>
      <c r="K21" s="13">
        <f t="shared" si="4"/>
        <v>0</v>
      </c>
      <c r="L21" s="13">
        <f t="shared" si="5"/>
        <v>0</v>
      </c>
      <c r="M21" s="1"/>
      <c r="N21" s="13"/>
      <c r="O21" s="13">
        <f t="shared" si="6"/>
        <v>0</v>
      </c>
      <c r="P21" s="13">
        <f t="shared" si="7"/>
        <v>0</v>
      </c>
      <c r="Q21" s="1"/>
      <c r="R21" s="13"/>
      <c r="S21" s="13">
        <f t="shared" si="8"/>
        <v>0</v>
      </c>
      <c r="T21" s="13">
        <f t="shared" si="9"/>
        <v>0</v>
      </c>
      <c r="U21" s="1"/>
      <c r="V21" s="13"/>
      <c r="W21" s="13">
        <f t="shared" si="10"/>
        <v>0</v>
      </c>
      <c r="X21" s="13">
        <f t="shared" si="11"/>
        <v>0</v>
      </c>
      <c r="Y21" s="1"/>
      <c r="Z21" s="13"/>
      <c r="AA21" s="13">
        <f t="shared" si="12"/>
        <v>0</v>
      </c>
      <c r="AB21" s="13">
        <f t="shared" si="13"/>
        <v>0</v>
      </c>
      <c r="AC21" s="1"/>
      <c r="AD21" s="13">
        <f t="shared" si="0"/>
        <v>0</v>
      </c>
      <c r="AE21" s="13">
        <f t="shared" si="1"/>
        <v>0</v>
      </c>
      <c r="AF21" s="13">
        <f t="shared" si="2"/>
        <v>0</v>
      </c>
      <c r="AG21" s="13">
        <f t="shared" si="14"/>
        <v>0</v>
      </c>
    </row>
    <row r="22" spans="1:33" s="12" customFormat="1" ht="16">
      <c r="A22" s="60" t="s">
        <v>709</v>
      </c>
      <c r="B22" s="19" t="s">
        <v>941</v>
      </c>
      <c r="C22" s="19" t="s">
        <v>1101</v>
      </c>
      <c r="D22" s="16" t="s">
        <v>486</v>
      </c>
      <c r="E22" s="269">
        <f>VLOOKUP($A22,'License Price List'!$B$2:$M$600,4,FALSE)</f>
        <v>150</v>
      </c>
      <c r="F22" s="269">
        <f>VLOOKUP($A22,'License Price List'!$B$2:$M$600,12,FALSE)</f>
        <v>7500</v>
      </c>
      <c r="G22" s="231">
        <f>IF(B22=$E$7,E22,F22)*VLOOKUP(C22,Discounts!$AA$4:$AB$10,2,FALSE)</f>
        <v>7500</v>
      </c>
      <c r="H22" s="8">
        <f t="shared" si="3"/>
        <v>0.6</v>
      </c>
      <c r="J22" s="13"/>
      <c r="K22" s="13">
        <f t="shared" si="4"/>
        <v>0</v>
      </c>
      <c r="L22" s="13">
        <f t="shared" si="5"/>
        <v>0</v>
      </c>
      <c r="M22" s="1"/>
      <c r="N22" s="13"/>
      <c r="O22" s="13">
        <f t="shared" si="6"/>
        <v>0</v>
      </c>
      <c r="P22" s="13">
        <f t="shared" si="7"/>
        <v>0</v>
      </c>
      <c r="Q22" s="1"/>
      <c r="R22" s="13"/>
      <c r="S22" s="13">
        <f t="shared" si="8"/>
        <v>0</v>
      </c>
      <c r="T22" s="13">
        <f t="shared" si="9"/>
        <v>0</v>
      </c>
      <c r="U22" s="1"/>
      <c r="V22" s="13"/>
      <c r="W22" s="13">
        <f t="shared" si="10"/>
        <v>0</v>
      </c>
      <c r="X22" s="13">
        <f t="shared" si="11"/>
        <v>0</v>
      </c>
      <c r="Y22" s="1"/>
      <c r="Z22" s="13"/>
      <c r="AA22" s="13">
        <f t="shared" si="12"/>
        <v>0</v>
      </c>
      <c r="AB22" s="13">
        <f t="shared" si="13"/>
        <v>0</v>
      </c>
      <c r="AC22" s="1"/>
      <c r="AD22" s="13">
        <f t="shared" si="0"/>
        <v>0</v>
      </c>
      <c r="AE22" s="13">
        <f t="shared" si="1"/>
        <v>0</v>
      </c>
      <c r="AF22" s="13">
        <f t="shared" si="2"/>
        <v>0</v>
      </c>
      <c r="AG22" s="13">
        <f t="shared" si="14"/>
        <v>0</v>
      </c>
    </row>
    <row r="23" spans="1:33" s="12" customFormat="1" ht="16">
      <c r="A23" s="60" t="s">
        <v>697</v>
      </c>
      <c r="B23" s="19" t="s">
        <v>941</v>
      </c>
      <c r="C23" s="19" t="s">
        <v>1101</v>
      </c>
      <c r="D23" s="16" t="s">
        <v>486</v>
      </c>
      <c r="E23" s="269">
        <f>VLOOKUP($A23,'License Price List'!$B$2:$M$600,4,FALSE)</f>
        <v>230</v>
      </c>
      <c r="F23" s="269">
        <f>VLOOKUP($A23,'License Price List'!$B$2:$M$600,12,FALSE)</f>
        <v>11500</v>
      </c>
      <c r="G23" s="231">
        <f>IF(B23=$E$7,E23,F23)*VLOOKUP(C23,Discounts!$AA$4:$AB$10,2,FALSE)</f>
        <v>11500</v>
      </c>
      <c r="H23" s="8">
        <f>VLOOKUP(D23,$E$2:$F$4,2,FALSE)</f>
        <v>0.6</v>
      </c>
      <c r="J23" s="13"/>
      <c r="K23" s="13">
        <f>IF(K$4="y",$G23*J23,0)</f>
        <v>0</v>
      </c>
      <c r="L23" s="13">
        <f>K23*(1-$H23)</f>
        <v>0</v>
      </c>
      <c r="M23" s="1"/>
      <c r="N23" s="13"/>
      <c r="O23" s="13">
        <f>IF(O$4="y",$G23*N23,0)</f>
        <v>0</v>
      </c>
      <c r="P23" s="13">
        <f>O23*(1-$H23)</f>
        <v>0</v>
      </c>
      <c r="Q23" s="1"/>
      <c r="R23" s="13"/>
      <c r="S23" s="13">
        <f>IF(S$4="y",$G23*R23,0)</f>
        <v>0</v>
      </c>
      <c r="T23" s="13">
        <f>S23*(1-$H23)</f>
        <v>0</v>
      </c>
      <c r="U23" s="1"/>
      <c r="V23" s="13"/>
      <c r="W23" s="13">
        <f>IF(W$4="y",$G23*V23,0)</f>
        <v>0</v>
      </c>
      <c r="X23" s="13">
        <f>W23*(1-$H23)</f>
        <v>0</v>
      </c>
      <c r="Y23" s="1"/>
      <c r="Z23" s="13"/>
      <c r="AA23" s="13">
        <f>IF(AA$4="y",$G23*Z23,0)</f>
        <v>0</v>
      </c>
      <c r="AB23" s="13">
        <f>AA23*(1-$H23)</f>
        <v>0</v>
      </c>
      <c r="AC23" s="1"/>
      <c r="AD23" s="13">
        <f>SUMIF(K23,"&gt;0",J23)+SUMIF(O23,"&gt;0",N23)+SUMIF(S23,"&gt;0",R23)+SUMIF(W23,"&gt;0",V23)+SUMIF(AA23,"&gt;0",Z23)</f>
        <v>0</v>
      </c>
      <c r="AE23" s="13">
        <f>K23+O23+S23+W23+AA23</f>
        <v>0</v>
      </c>
      <c r="AF23" s="13">
        <f>L23+P23+T23+X23+AB23</f>
        <v>0</v>
      </c>
      <c r="AG23" s="13">
        <f t="shared" si="14"/>
        <v>0</v>
      </c>
    </row>
    <row r="24" spans="1:33" s="12" customFormat="1" ht="16">
      <c r="A24" s="60" t="s">
        <v>729</v>
      </c>
      <c r="B24" s="19" t="s">
        <v>941</v>
      </c>
      <c r="C24" s="19" t="s">
        <v>1101</v>
      </c>
      <c r="D24" s="16" t="s">
        <v>486</v>
      </c>
      <c r="E24" s="269">
        <f>VLOOKUP($A24,'License Price List'!$B$2:$M$600,4,FALSE)</f>
        <v>120</v>
      </c>
      <c r="F24" s="269">
        <f>VLOOKUP($A24,'License Price List'!$B$2:$M$600,12,FALSE)</f>
        <v>6000</v>
      </c>
      <c r="G24" s="231">
        <f>IF(B24=$E$7,E24,F24)*VLOOKUP(C24,Discounts!$AA$4:$AB$10,2,FALSE)</f>
        <v>6000</v>
      </c>
      <c r="H24" s="8">
        <f t="shared" si="3"/>
        <v>0.6</v>
      </c>
      <c r="J24" s="13"/>
      <c r="K24" s="13">
        <f>IF(K$4="y",$G24*J24,0)</f>
        <v>0</v>
      </c>
      <c r="L24" s="13">
        <f t="shared" ref="L24:L25" si="16">K24*(1-$H24)</f>
        <v>0</v>
      </c>
      <c r="M24" s="1"/>
      <c r="N24" s="13"/>
      <c r="O24" s="13">
        <f>IF(O$4="y",$G24*N24,0)</f>
        <v>0</v>
      </c>
      <c r="P24" s="13">
        <f t="shared" ref="P24:P25" si="17">O24*(1-$H24)</f>
        <v>0</v>
      </c>
      <c r="Q24" s="1"/>
      <c r="R24" s="13"/>
      <c r="S24" s="13">
        <f>IF(S$4="y",$G24*R24,0)</f>
        <v>0</v>
      </c>
      <c r="T24" s="13">
        <f t="shared" ref="T24:T25" si="18">S24*(1-$H24)</f>
        <v>0</v>
      </c>
      <c r="U24" s="1"/>
      <c r="V24" s="13"/>
      <c r="W24" s="13">
        <f>IF(W$4="y",$G24*V24,0)</f>
        <v>0</v>
      </c>
      <c r="X24" s="13">
        <f t="shared" ref="X24:X25" si="19">W24*(1-$H24)</f>
        <v>0</v>
      </c>
      <c r="Y24" s="1"/>
      <c r="Z24" s="13"/>
      <c r="AA24" s="13">
        <f>IF(AA$4="y",$G24*Z24,0)</f>
        <v>0</v>
      </c>
      <c r="AB24" s="13">
        <f t="shared" ref="AB24:AB25" si="20">AA24*(1-$H24)</f>
        <v>0</v>
      </c>
      <c r="AC24" s="1"/>
      <c r="AD24" s="13">
        <f t="shared" ref="AD24:AD25" si="21">SUMIF(K24,"&gt;0",J24)+SUMIF(O24,"&gt;0",N24)+SUMIF(S24,"&gt;0",R24)+SUMIF(W24,"&gt;0",V24)+SUMIF(AA24,"&gt;0",Z24)</f>
        <v>0</v>
      </c>
      <c r="AE24" s="13">
        <f t="shared" ref="AE24:AE25" si="22">K24+O24+S24+W24+AA24</f>
        <v>0</v>
      </c>
      <c r="AF24" s="13">
        <f t="shared" ref="AF24:AF25" si="23">L24+P24+T24+X24+AB24</f>
        <v>0</v>
      </c>
      <c r="AG24" s="13">
        <f t="shared" si="14"/>
        <v>0</v>
      </c>
    </row>
    <row r="25" spans="1:33" s="12" customFormat="1" ht="16">
      <c r="A25" s="60" t="s">
        <v>775</v>
      </c>
      <c r="B25" s="19" t="s">
        <v>941</v>
      </c>
      <c r="C25" s="19" t="s">
        <v>1101</v>
      </c>
      <c r="D25" s="16" t="s">
        <v>486</v>
      </c>
      <c r="E25" s="269">
        <f>VLOOKUP($A25,'License Price List'!$B$2:$M$600,4,FALSE)</f>
        <v>350</v>
      </c>
      <c r="F25" s="269">
        <f>VLOOKUP($A25,'License Price List'!$B$2:$M$600,12,FALSE)</f>
        <v>17500</v>
      </c>
      <c r="G25" s="231">
        <f>IF(B25=$E$7,E25,F25)*VLOOKUP(C25,Discounts!$AA$4:$AB$10,2,FALSE)</f>
        <v>17500</v>
      </c>
      <c r="H25" s="8">
        <f t="shared" si="3"/>
        <v>0.6</v>
      </c>
      <c r="J25" s="13"/>
      <c r="K25" s="13">
        <f t="shared" ref="K25" si="24">IF(K$4="y",$G25*J25,0)</f>
        <v>0</v>
      </c>
      <c r="L25" s="13">
        <f t="shared" si="16"/>
        <v>0</v>
      </c>
      <c r="M25" s="1"/>
      <c r="N25" s="13"/>
      <c r="O25" s="13">
        <f t="shared" ref="O25" si="25">IF(O$4="y",$G25*N25,0)</f>
        <v>0</v>
      </c>
      <c r="P25" s="13">
        <f t="shared" si="17"/>
        <v>0</v>
      </c>
      <c r="Q25" s="1"/>
      <c r="R25" s="13"/>
      <c r="S25" s="13">
        <f t="shared" ref="S25" si="26">IF(S$4="y",$G25*R25,0)</f>
        <v>0</v>
      </c>
      <c r="T25" s="13">
        <f t="shared" si="18"/>
        <v>0</v>
      </c>
      <c r="U25" s="1"/>
      <c r="V25" s="13"/>
      <c r="W25" s="13">
        <f t="shared" ref="W25" si="27">IF(W$4="y",$G25*V25,0)</f>
        <v>0</v>
      </c>
      <c r="X25" s="13">
        <f t="shared" si="19"/>
        <v>0</v>
      </c>
      <c r="Y25" s="1"/>
      <c r="Z25" s="13"/>
      <c r="AA25" s="13">
        <f t="shared" ref="AA25" si="28">IF(AA$4="y",$G25*Z25,0)</f>
        <v>0</v>
      </c>
      <c r="AB25" s="13">
        <f t="shared" si="20"/>
        <v>0</v>
      </c>
      <c r="AC25" s="1"/>
      <c r="AD25" s="13">
        <f t="shared" si="21"/>
        <v>0</v>
      </c>
      <c r="AE25" s="13">
        <f t="shared" si="22"/>
        <v>0</v>
      </c>
      <c r="AF25" s="13">
        <f t="shared" si="23"/>
        <v>0</v>
      </c>
      <c r="AG25" s="13">
        <f t="shared" si="14"/>
        <v>0</v>
      </c>
    </row>
    <row r="26" spans="1:33" s="12" customFormat="1" ht="16">
      <c r="A26" s="60" t="s">
        <v>798</v>
      </c>
      <c r="B26" s="19" t="s">
        <v>941</v>
      </c>
      <c r="C26" s="19" t="s">
        <v>1101</v>
      </c>
      <c r="D26" s="16" t="s">
        <v>486</v>
      </c>
      <c r="E26" s="269">
        <f>VLOOKUP($A26,'License Price List'!$B$2:$M$600,4,FALSE)</f>
        <v>70</v>
      </c>
      <c r="F26" s="269">
        <f>VLOOKUP($A26,'License Price List'!$B$2:$M$600,12,FALSE)</f>
        <v>3500</v>
      </c>
      <c r="G26" s="231">
        <f>IF(B26=$E$7,E26,F26)*VLOOKUP(C26,Discounts!$AA$4:$AB$10,2,FALSE)</f>
        <v>3500</v>
      </c>
      <c r="H26" s="8">
        <f t="shared" ref="H26" si="29">VLOOKUP(D26,$E$2:$F$4,2,FALSE)</f>
        <v>0.6</v>
      </c>
      <c r="J26" s="13"/>
      <c r="K26" s="13">
        <f t="shared" ref="K26" si="30">IF(K$4="y",$G26*J26,0)</f>
        <v>0</v>
      </c>
      <c r="L26" s="13">
        <f t="shared" ref="L26" si="31">K26*(1-$H26)</f>
        <v>0</v>
      </c>
      <c r="M26" s="1"/>
      <c r="N26" s="13"/>
      <c r="O26" s="13">
        <f t="shared" ref="O26" si="32">IF(O$4="y",$G26*N26,0)</f>
        <v>0</v>
      </c>
      <c r="P26" s="13">
        <f t="shared" ref="P26" si="33">O26*(1-$H26)</f>
        <v>0</v>
      </c>
      <c r="Q26" s="1"/>
      <c r="R26" s="13"/>
      <c r="S26" s="13">
        <f t="shared" ref="S26" si="34">IF(S$4="y",$G26*R26,0)</f>
        <v>0</v>
      </c>
      <c r="T26" s="13">
        <f t="shared" ref="T26" si="35">S26*(1-$H26)</f>
        <v>0</v>
      </c>
      <c r="U26" s="1"/>
      <c r="V26" s="13"/>
      <c r="W26" s="13">
        <f t="shared" ref="W26" si="36">IF(W$4="y",$G26*V26,0)</f>
        <v>0</v>
      </c>
      <c r="X26" s="13">
        <f t="shared" ref="X26" si="37">W26*(1-$H26)</f>
        <v>0</v>
      </c>
      <c r="Y26" s="1"/>
      <c r="Z26" s="13"/>
      <c r="AA26" s="13">
        <f t="shared" ref="AA26" si="38">IF(AA$4="y",$G26*Z26,0)</f>
        <v>0</v>
      </c>
      <c r="AB26" s="13">
        <f t="shared" ref="AB26" si="39">AA26*(1-$H26)</f>
        <v>0</v>
      </c>
      <c r="AC26" s="1"/>
      <c r="AD26" s="13">
        <f t="shared" ref="AD26" si="40">SUMIF(K26,"&gt;0",J26)+SUMIF(O26,"&gt;0",N26)+SUMIF(S26,"&gt;0",R26)+SUMIF(W26,"&gt;0",V26)+SUMIF(AA26,"&gt;0",Z26)</f>
        <v>0</v>
      </c>
      <c r="AE26" s="13">
        <f t="shared" ref="AE26" si="41">K26+O26+S26+W26+AA26</f>
        <v>0</v>
      </c>
      <c r="AF26" s="13">
        <f t="shared" ref="AF26" si="42">L26+P26+T26+X26+AB26</f>
        <v>0</v>
      </c>
      <c r="AG26" s="13">
        <f t="shared" si="14"/>
        <v>0</v>
      </c>
    </row>
    <row r="27" spans="1:33" s="12" customFormat="1" ht="16">
      <c r="A27" s="60" t="s">
        <v>785</v>
      </c>
      <c r="B27" s="19" t="s">
        <v>941</v>
      </c>
      <c r="C27" s="19" t="s">
        <v>1101</v>
      </c>
      <c r="D27" s="16" t="s">
        <v>486</v>
      </c>
      <c r="E27" s="269">
        <f>VLOOKUP($A27,'License Price List'!$B$2:$M$600,4,FALSE)</f>
        <v>1200</v>
      </c>
      <c r="F27" s="269">
        <f>VLOOKUP($A27,'License Price List'!$B$2:$M$600,12,FALSE)</f>
        <v>57500</v>
      </c>
      <c r="G27" s="231">
        <f>IF(B27=$E$7,E27,F27)*VLOOKUP(C27,Discounts!$AA$4:$AB$10,2,FALSE)</f>
        <v>57500</v>
      </c>
      <c r="H27" s="8">
        <f t="shared" ref="H27:H31" si="43">VLOOKUP(D27,$E$2:$F$4,2,FALSE)</f>
        <v>0.6</v>
      </c>
      <c r="J27" s="13"/>
      <c r="K27" s="13">
        <f t="shared" ref="K27:K31" si="44">IF(K$4="y",$G27*J27,0)</f>
        <v>0</v>
      </c>
      <c r="L27" s="13">
        <f t="shared" ref="L27:L31" si="45">K27*(1-$H27)</f>
        <v>0</v>
      </c>
      <c r="M27" s="1"/>
      <c r="N27" s="13"/>
      <c r="O27" s="13">
        <f t="shared" ref="O27:O31" si="46">IF(O$4="y",$G27*N27,0)</f>
        <v>0</v>
      </c>
      <c r="P27" s="13">
        <f t="shared" ref="P27:P31" si="47">O27*(1-$H27)</f>
        <v>0</v>
      </c>
      <c r="Q27" s="1"/>
      <c r="R27" s="13"/>
      <c r="S27" s="13">
        <f t="shared" ref="S27:S31" si="48">IF(S$4="y",$G27*R27,0)</f>
        <v>0</v>
      </c>
      <c r="T27" s="13">
        <f t="shared" ref="T27:T31" si="49">S27*(1-$H27)</f>
        <v>0</v>
      </c>
      <c r="U27" s="1"/>
      <c r="V27" s="13"/>
      <c r="W27" s="13">
        <f t="shared" ref="W27:W31" si="50">IF(W$4="y",$G27*V27,0)</f>
        <v>0</v>
      </c>
      <c r="X27" s="13">
        <f t="shared" ref="X27:X31" si="51">W27*(1-$H27)</f>
        <v>0</v>
      </c>
      <c r="Y27" s="1"/>
      <c r="Z27" s="13"/>
      <c r="AA27" s="13">
        <f t="shared" ref="AA27:AA31" si="52">IF(AA$4="y",$G27*Z27,0)</f>
        <v>0</v>
      </c>
      <c r="AB27" s="13">
        <f t="shared" ref="AB27:AB31" si="53">AA27*(1-$H27)</f>
        <v>0</v>
      </c>
      <c r="AC27" s="1"/>
      <c r="AD27" s="13">
        <f t="shared" ref="AD27:AD31" si="54">SUMIF(K27,"&gt;0",J27)+SUMIF(O27,"&gt;0",N27)+SUMIF(S27,"&gt;0",R27)+SUMIF(W27,"&gt;0",V27)+SUMIF(AA27,"&gt;0",Z27)</f>
        <v>0</v>
      </c>
      <c r="AE27" s="13">
        <f t="shared" ref="AE27:AE31" si="55">K27+O27+S27+W27+AA27</f>
        <v>0</v>
      </c>
      <c r="AF27" s="13">
        <f t="shared" ref="AF27:AF31" si="56">L27+P27+T27+X27+AB27</f>
        <v>0</v>
      </c>
      <c r="AG27" s="13">
        <f t="shared" si="14"/>
        <v>0</v>
      </c>
    </row>
    <row r="28" spans="1:33" s="12" customFormat="1" ht="16">
      <c r="A28" s="60" t="s">
        <v>796</v>
      </c>
      <c r="B28" s="19" t="s">
        <v>941</v>
      </c>
      <c r="C28" s="19" t="s">
        <v>1101</v>
      </c>
      <c r="D28" s="16" t="s">
        <v>486</v>
      </c>
      <c r="E28" s="269">
        <f>VLOOKUP($A28,'License Price List'!$B$2:$M$600,4,FALSE)</f>
        <v>500</v>
      </c>
      <c r="F28" s="269">
        <f>VLOOKUP($A28,'License Price List'!$B$2:$M$600,12,FALSE)</f>
        <v>25000</v>
      </c>
      <c r="G28" s="231">
        <f>IF(B28=$E$7,E28,F28)*VLOOKUP(C28,Discounts!$AA$4:$AB$10,2,FALSE)</f>
        <v>25000</v>
      </c>
      <c r="H28" s="8">
        <f>VLOOKUP(D28,$E$2:$F$4,2,FALSE)</f>
        <v>0.6</v>
      </c>
      <c r="J28" s="13"/>
      <c r="K28" s="13">
        <f>IF(K$4="y",$G28*J28,0)</f>
        <v>0</v>
      </c>
      <c r="L28" s="13">
        <f>K28*(1-$H28)</f>
        <v>0</v>
      </c>
      <c r="M28" s="1"/>
      <c r="N28" s="13"/>
      <c r="O28" s="13">
        <f>IF(O$4="y",$G28*N28,0)</f>
        <v>0</v>
      </c>
      <c r="P28" s="13">
        <f>O28*(1-$H28)</f>
        <v>0</v>
      </c>
      <c r="Q28" s="1"/>
      <c r="R28" s="13"/>
      <c r="S28" s="13">
        <f>IF(S$4="y",$G28*R28,0)</f>
        <v>0</v>
      </c>
      <c r="T28" s="13">
        <f>S28*(1-$H28)</f>
        <v>0</v>
      </c>
      <c r="U28" s="1"/>
      <c r="V28" s="13"/>
      <c r="W28" s="13">
        <f>IF(W$4="y",$G28*V28,0)</f>
        <v>0</v>
      </c>
      <c r="X28" s="13">
        <f>W28*(1-$H28)</f>
        <v>0</v>
      </c>
      <c r="Y28" s="1"/>
      <c r="Z28" s="13"/>
      <c r="AA28" s="13">
        <f>IF(AA$4="y",$G28*Z28,0)</f>
        <v>0</v>
      </c>
      <c r="AB28" s="13">
        <f>AA28*(1-$H28)</f>
        <v>0</v>
      </c>
      <c r="AC28" s="1"/>
      <c r="AD28" s="13">
        <f>SUMIF(K28,"&gt;0",J28)+SUMIF(O28,"&gt;0",N28)+SUMIF(S28,"&gt;0",R28)+SUMIF(W28,"&gt;0",V28)+SUMIF(AA28,"&gt;0",Z28)</f>
        <v>0</v>
      </c>
      <c r="AE28" s="13">
        <f>K28+O28+S28+W28+AA28</f>
        <v>0</v>
      </c>
      <c r="AF28" s="13">
        <f>L28+P28+T28+X28+AB28</f>
        <v>0</v>
      </c>
      <c r="AG28" s="13">
        <f t="shared" si="14"/>
        <v>0</v>
      </c>
    </row>
    <row r="29" spans="1:33" s="12" customFormat="1" ht="16">
      <c r="A29" s="60" t="s">
        <v>795</v>
      </c>
      <c r="B29" s="19" t="s">
        <v>941</v>
      </c>
      <c r="C29" s="19" t="s">
        <v>1101</v>
      </c>
      <c r="D29" s="16" t="s">
        <v>486</v>
      </c>
      <c r="E29" s="269">
        <f>VLOOKUP($A29,'License Price List'!$B$2:$M$600,4,FALSE)</f>
        <v>240</v>
      </c>
      <c r="F29" s="269">
        <f>VLOOKUP($A29,'License Price List'!$B$2:$M$600,12,FALSE)</f>
        <v>12000</v>
      </c>
      <c r="G29" s="231">
        <f>IF(B29=$E$7,E29,F29)*VLOOKUP(C29,Discounts!$AA$4:$AB$10,2,FALSE)</f>
        <v>12000</v>
      </c>
      <c r="H29" s="8">
        <f t="shared" si="43"/>
        <v>0.6</v>
      </c>
      <c r="J29" s="13"/>
      <c r="K29" s="13">
        <f t="shared" si="44"/>
        <v>0</v>
      </c>
      <c r="L29" s="13">
        <f t="shared" si="45"/>
        <v>0</v>
      </c>
      <c r="M29" s="1"/>
      <c r="N29" s="13"/>
      <c r="O29" s="13">
        <f t="shared" si="46"/>
        <v>0</v>
      </c>
      <c r="P29" s="13">
        <f t="shared" si="47"/>
        <v>0</v>
      </c>
      <c r="Q29" s="1"/>
      <c r="R29" s="13"/>
      <c r="S29" s="13">
        <f t="shared" si="48"/>
        <v>0</v>
      </c>
      <c r="T29" s="13">
        <f t="shared" si="49"/>
        <v>0</v>
      </c>
      <c r="U29" s="1"/>
      <c r="V29" s="13"/>
      <c r="W29" s="13">
        <f t="shared" si="50"/>
        <v>0</v>
      </c>
      <c r="X29" s="13">
        <f t="shared" si="51"/>
        <v>0</v>
      </c>
      <c r="Y29" s="1"/>
      <c r="Z29" s="13"/>
      <c r="AA29" s="13">
        <f t="shared" si="52"/>
        <v>0</v>
      </c>
      <c r="AB29" s="13">
        <f t="shared" si="53"/>
        <v>0</v>
      </c>
      <c r="AC29" s="1"/>
      <c r="AD29" s="13">
        <f t="shared" si="54"/>
        <v>0</v>
      </c>
      <c r="AE29" s="13">
        <f t="shared" si="55"/>
        <v>0</v>
      </c>
      <c r="AF29" s="13">
        <f t="shared" si="56"/>
        <v>0</v>
      </c>
      <c r="AG29" s="13">
        <f t="shared" si="14"/>
        <v>0</v>
      </c>
    </row>
    <row r="30" spans="1:33" s="12" customFormat="1" ht="16">
      <c r="A30" s="60" t="s">
        <v>749</v>
      </c>
      <c r="B30" s="19" t="s">
        <v>941</v>
      </c>
      <c r="C30" s="19" t="s">
        <v>1101</v>
      </c>
      <c r="D30" s="16" t="s">
        <v>486</v>
      </c>
      <c r="E30" s="269">
        <f>VLOOKUP($A30,'License Price List'!$B$2:$M$600,4,FALSE)</f>
        <v>900</v>
      </c>
      <c r="F30" s="269">
        <f>VLOOKUP($A30,'License Price List'!$B$2:$M$600,12,FALSE)</f>
        <v>45000</v>
      </c>
      <c r="G30" s="231">
        <f>IF(B30=$E$7,E30,F30)*VLOOKUP(C30,Discounts!$AA$4:$AB$10,2,FALSE)</f>
        <v>45000</v>
      </c>
      <c r="H30" s="8">
        <f t="shared" si="43"/>
        <v>0.6</v>
      </c>
      <c r="J30" s="13"/>
      <c r="K30" s="13">
        <f t="shared" si="44"/>
        <v>0</v>
      </c>
      <c r="L30" s="13">
        <f t="shared" si="45"/>
        <v>0</v>
      </c>
      <c r="M30" s="1"/>
      <c r="N30" s="13"/>
      <c r="O30" s="13">
        <f t="shared" si="46"/>
        <v>0</v>
      </c>
      <c r="P30" s="13">
        <f t="shared" si="47"/>
        <v>0</v>
      </c>
      <c r="Q30" s="1"/>
      <c r="R30" s="13"/>
      <c r="S30" s="13">
        <f t="shared" si="48"/>
        <v>0</v>
      </c>
      <c r="T30" s="13">
        <f t="shared" si="49"/>
        <v>0</v>
      </c>
      <c r="U30" s="1"/>
      <c r="V30" s="13"/>
      <c r="W30" s="13">
        <f t="shared" si="50"/>
        <v>0</v>
      </c>
      <c r="X30" s="13">
        <f t="shared" si="51"/>
        <v>0</v>
      </c>
      <c r="Y30" s="1"/>
      <c r="Z30" s="13"/>
      <c r="AA30" s="13">
        <f t="shared" si="52"/>
        <v>0</v>
      </c>
      <c r="AB30" s="13">
        <f t="shared" si="53"/>
        <v>0</v>
      </c>
      <c r="AC30" s="1"/>
      <c r="AD30" s="13">
        <f t="shared" si="54"/>
        <v>0</v>
      </c>
      <c r="AE30" s="13">
        <f t="shared" si="55"/>
        <v>0</v>
      </c>
      <c r="AF30" s="13">
        <f t="shared" si="56"/>
        <v>0</v>
      </c>
      <c r="AG30" s="13">
        <f t="shared" si="14"/>
        <v>0</v>
      </c>
    </row>
    <row r="31" spans="1:33" s="12" customFormat="1" ht="16">
      <c r="A31" s="60" t="s">
        <v>845</v>
      </c>
      <c r="B31" s="19" t="s">
        <v>940</v>
      </c>
      <c r="C31" s="19" t="s">
        <v>1101</v>
      </c>
      <c r="D31" s="16" t="s">
        <v>486</v>
      </c>
      <c r="E31" s="269">
        <f>VLOOKUP($A31,'License Price List'!$B$2:$M$600,4,FALSE)</f>
        <v>4000</v>
      </c>
      <c r="F31" s="269">
        <f>VLOOKUP($A31,'License Price List'!$B$2:$M$600,12,FALSE)</f>
        <v>200000</v>
      </c>
      <c r="G31" s="231">
        <f>IF(B31=$E$7,E31,F31)*VLOOKUP(C31,Discounts!$AA$4:$AB$10,2,FALSE)</f>
        <v>4000</v>
      </c>
      <c r="H31" s="8">
        <f t="shared" si="43"/>
        <v>0.6</v>
      </c>
      <c r="J31" s="13"/>
      <c r="K31" s="13">
        <f t="shared" si="44"/>
        <v>0</v>
      </c>
      <c r="L31" s="13">
        <f t="shared" si="45"/>
        <v>0</v>
      </c>
      <c r="M31" s="1"/>
      <c r="N31" s="13"/>
      <c r="O31" s="13">
        <f t="shared" si="46"/>
        <v>0</v>
      </c>
      <c r="P31" s="13">
        <f t="shared" si="47"/>
        <v>0</v>
      </c>
      <c r="Q31" s="1"/>
      <c r="R31" s="13"/>
      <c r="S31" s="13">
        <f t="shared" si="48"/>
        <v>0</v>
      </c>
      <c r="T31" s="13">
        <f t="shared" si="49"/>
        <v>0</v>
      </c>
      <c r="U31" s="1"/>
      <c r="V31" s="13"/>
      <c r="W31" s="13">
        <f t="shared" si="50"/>
        <v>0</v>
      </c>
      <c r="X31" s="13">
        <f t="shared" si="51"/>
        <v>0</v>
      </c>
      <c r="Y31" s="1"/>
      <c r="Z31" s="13"/>
      <c r="AA31" s="13">
        <f t="shared" si="52"/>
        <v>0</v>
      </c>
      <c r="AB31" s="13">
        <f t="shared" si="53"/>
        <v>0</v>
      </c>
      <c r="AC31" s="1"/>
      <c r="AD31" s="13">
        <f t="shared" si="54"/>
        <v>0</v>
      </c>
      <c r="AE31" s="13">
        <f t="shared" si="55"/>
        <v>0</v>
      </c>
      <c r="AF31" s="13">
        <f t="shared" si="56"/>
        <v>0</v>
      </c>
      <c r="AG31" s="13">
        <f t="shared" si="14"/>
        <v>0</v>
      </c>
    </row>
    <row r="32" spans="1:33" s="12" customFormat="1" ht="16">
      <c r="A32" s="60" t="s">
        <v>1633</v>
      </c>
      <c r="B32" s="19" t="s">
        <v>961</v>
      </c>
      <c r="C32" s="19" t="s">
        <v>1101</v>
      </c>
      <c r="D32" s="16" t="s">
        <v>486</v>
      </c>
      <c r="E32" s="269"/>
      <c r="F32" s="269">
        <v>10000</v>
      </c>
      <c r="G32" s="231">
        <f>IF(B32=$E$7,E32,F32)*VLOOKUP(C32,Discounts!$AA$4:$AB$10,2,FALSE)</f>
        <v>10000</v>
      </c>
      <c r="H32" s="8">
        <f>VLOOKUP(D32,$E$2:$F$4,2,FALSE)</f>
        <v>0.6</v>
      </c>
      <c r="J32" s="13"/>
      <c r="K32" s="13">
        <f>IF(K$4="y",$G32*J32,0)</f>
        <v>0</v>
      </c>
      <c r="L32" s="13">
        <f>K32*(1-$H32)</f>
        <v>0</v>
      </c>
      <c r="M32" s="1"/>
      <c r="N32" s="13"/>
      <c r="O32" s="13">
        <f>IF(O$4="y",$G32*N32,0)</f>
        <v>0</v>
      </c>
      <c r="P32" s="13">
        <f>O32*(1-$H32)</f>
        <v>0</v>
      </c>
      <c r="Q32" s="1"/>
      <c r="R32" s="13"/>
      <c r="S32" s="13">
        <f>IF(S$4="y",$G32*R32,0)</f>
        <v>0</v>
      </c>
      <c r="T32" s="13">
        <f>S32*(1-$H32)</f>
        <v>0</v>
      </c>
      <c r="U32" s="1"/>
      <c r="V32" s="13"/>
      <c r="W32" s="13">
        <f>IF(W$4="y",$G32*V32,0)</f>
        <v>0</v>
      </c>
      <c r="X32" s="13">
        <f>W32*(1-$H32)</f>
        <v>0</v>
      </c>
      <c r="Y32" s="1"/>
      <c r="Z32" s="13"/>
      <c r="AA32" s="13">
        <f>IF(AA$4="y",$G32*Z32,0)</f>
        <v>0</v>
      </c>
      <c r="AB32" s="13">
        <f>AA32*(1-$H32)</f>
        <v>0</v>
      </c>
      <c r="AC32" s="1"/>
      <c r="AD32" s="13">
        <f>SUMIF(K32,"&gt;0",J32)+SUMIF(O32,"&gt;0",N32)+SUMIF(S32,"&gt;0",R32)+SUMIF(W32,"&gt;0",V32)+SUMIF(AA32,"&gt;0",Z32)</f>
        <v>0</v>
      </c>
      <c r="AE32" s="13">
        <f>K32+O32+S32+W32+AA32</f>
        <v>0</v>
      </c>
      <c r="AF32" s="13">
        <f>L32+P32+T32+X32+AB32</f>
        <v>0</v>
      </c>
      <c r="AG32" s="13">
        <f t="shared" ref="AG32" si="57">IF(ISNUMBER(C32),C32*IF(B32=$E$7,E32,F32)*AD32*(1-H32)*VLOOKUP(D32,$E$2:$G$4,3,FALSE),AE32*(1-H32)*VLOOKUP(D32,$E$2:$G$4,3,FALSE))</f>
        <v>0</v>
      </c>
    </row>
    <row r="33" spans="1:33" s="12" customFormat="1" ht="16">
      <c r="A33" s="60" t="s">
        <v>1634</v>
      </c>
      <c r="B33" s="19" t="s">
        <v>961</v>
      </c>
      <c r="C33" s="19" t="s">
        <v>1101</v>
      </c>
      <c r="D33" s="16" t="s">
        <v>486</v>
      </c>
      <c r="E33" s="269"/>
      <c r="F33" s="269">
        <v>20000</v>
      </c>
      <c r="G33" s="231">
        <f>IF(B33=$E$7,E33,F33)*VLOOKUP(C33,Discounts!$AA$4:$AB$10,2,FALSE)</f>
        <v>20000</v>
      </c>
      <c r="H33" s="8">
        <f>VLOOKUP(D33,$E$2:$F$4,2,FALSE)</f>
        <v>0.6</v>
      </c>
      <c r="J33" s="13"/>
      <c r="K33" s="13">
        <f>IF(K$4="y",$G33*J33,0)</f>
        <v>0</v>
      </c>
      <c r="L33" s="13">
        <f>K33*(1-$H33)</f>
        <v>0</v>
      </c>
      <c r="M33" s="1"/>
      <c r="N33" s="13"/>
      <c r="O33" s="13">
        <f>IF(O$4="y",$G33*N33,0)</f>
        <v>0</v>
      </c>
      <c r="P33" s="13">
        <f>O33*(1-$H33)</f>
        <v>0</v>
      </c>
      <c r="Q33" s="1"/>
      <c r="R33" s="13"/>
      <c r="S33" s="13">
        <f>IF(S$4="y",$G33*R33,0)</f>
        <v>0</v>
      </c>
      <c r="T33" s="13">
        <f>S33*(1-$H33)</f>
        <v>0</v>
      </c>
      <c r="U33" s="1"/>
      <c r="V33" s="13"/>
      <c r="W33" s="13">
        <f>IF(W$4="y",$G33*V33,0)</f>
        <v>0</v>
      </c>
      <c r="X33" s="13">
        <f>W33*(1-$H33)</f>
        <v>0</v>
      </c>
      <c r="Y33" s="1"/>
      <c r="Z33" s="13"/>
      <c r="AA33" s="13">
        <f>IF(AA$4="y",$G33*Z33,0)</f>
        <v>0</v>
      </c>
      <c r="AB33" s="13">
        <f>AA33*(1-$H33)</f>
        <v>0</v>
      </c>
      <c r="AC33" s="1"/>
      <c r="AD33" s="13">
        <f>SUMIF(K33,"&gt;0",J33)+SUMIF(O33,"&gt;0",N33)+SUMIF(S33,"&gt;0",R33)+SUMIF(W33,"&gt;0",V33)+SUMIF(AA33,"&gt;0",Z33)</f>
        <v>0</v>
      </c>
      <c r="AE33" s="13">
        <f>K33+O33+S33+W33+AA33</f>
        <v>0</v>
      </c>
      <c r="AF33" s="13">
        <f>L33+P33+T33+X33+AB33</f>
        <v>0</v>
      </c>
      <c r="AG33" s="13">
        <f t="shared" si="14"/>
        <v>0</v>
      </c>
    </row>
    <row r="34" spans="1:33" s="12" customFormat="1">
      <c r="A34" s="60"/>
      <c r="B34" s="19"/>
      <c r="C34" s="19"/>
      <c r="D34" s="16"/>
      <c r="E34" s="269"/>
      <c r="F34" s="269"/>
      <c r="G34" s="231"/>
      <c r="H34" s="8"/>
      <c r="J34" s="13"/>
      <c r="K34" s="13"/>
      <c r="L34" s="13"/>
      <c r="M34" s="1"/>
      <c r="N34" s="13"/>
      <c r="O34" s="13"/>
      <c r="P34" s="13"/>
      <c r="Q34" s="1"/>
      <c r="R34" s="13"/>
      <c r="S34" s="13"/>
      <c r="T34" s="13"/>
      <c r="U34" s="1"/>
      <c r="V34" s="13"/>
      <c r="W34" s="13"/>
      <c r="X34" s="13"/>
      <c r="Y34" s="1"/>
      <c r="Z34" s="13"/>
      <c r="AA34" s="13"/>
      <c r="AB34" s="13"/>
      <c r="AC34" s="1"/>
      <c r="AD34" s="13"/>
      <c r="AE34" s="13"/>
      <c r="AF34" s="13"/>
      <c r="AG34" s="13"/>
    </row>
    <row r="35" spans="1:33" s="7" customFormat="1" ht="16">
      <c r="A35" s="5" t="s">
        <v>943</v>
      </c>
      <c r="D35" s="26"/>
      <c r="E35" s="26"/>
      <c r="F35" s="26"/>
      <c r="K35" s="21">
        <f>SUM(K7:K34)</f>
        <v>0</v>
      </c>
      <c r="L35" s="21">
        <f>SUM(L7:L34)</f>
        <v>0</v>
      </c>
      <c r="M35" s="28"/>
      <c r="N35" s="28"/>
      <c r="O35" s="21">
        <f>SUM(O7:O34)</f>
        <v>0</v>
      </c>
      <c r="P35" s="21">
        <f>SUM(P7:P34)</f>
        <v>0</v>
      </c>
      <c r="Q35" s="28"/>
      <c r="R35" s="28"/>
      <c r="S35" s="21">
        <f>SUM(S7:S34)</f>
        <v>0</v>
      </c>
      <c r="T35" s="21">
        <f>SUM(T7:T34)</f>
        <v>0</v>
      </c>
      <c r="U35" s="28"/>
      <c r="V35" s="28"/>
      <c r="W35" s="21">
        <f>SUM(W7:W34)</f>
        <v>0</v>
      </c>
      <c r="X35" s="21">
        <f>SUM(X7:X34)</f>
        <v>0</v>
      </c>
      <c r="Y35" s="28"/>
      <c r="Z35" s="28"/>
      <c r="AA35" s="21">
        <f>SUM(AA7:AA34)</f>
        <v>0</v>
      </c>
      <c r="AB35" s="21">
        <f>SUM(AB7:AB34)</f>
        <v>0</v>
      </c>
      <c r="AC35" s="28"/>
      <c r="AD35" s="28"/>
      <c r="AE35" s="21">
        <f>SUM(AE7:AE34)</f>
        <v>0</v>
      </c>
      <c r="AF35" s="21">
        <f>SUM(AF7:AF34)</f>
        <v>0</v>
      </c>
      <c r="AG35" s="21">
        <f>SUM(AG7:AG34)</f>
        <v>0</v>
      </c>
    </row>
    <row r="36" spans="1:33" s="7" customFormat="1">
      <c r="A36" s="30"/>
      <c r="D36" s="26"/>
      <c r="E36" s="26"/>
      <c r="F36" s="26"/>
      <c r="L36" s="24"/>
      <c r="P36" s="24"/>
      <c r="T36" s="24"/>
      <c r="X36" s="24"/>
      <c r="AB36" s="24"/>
      <c r="AF36" s="29"/>
      <c r="AG36" s="29"/>
    </row>
    <row r="37" spans="1:33" s="7" customFormat="1">
      <c r="D37" s="26"/>
      <c r="E37" s="26"/>
      <c r="F37" s="26"/>
      <c r="T37" s="24"/>
      <c r="X37" s="24"/>
      <c r="AB37" s="24"/>
      <c r="AF37" s="29"/>
      <c r="AG37" s="29"/>
    </row>
    <row r="38" spans="1:33" s="7" customFormat="1">
      <c r="A38" s="25"/>
      <c r="B38" s="56"/>
      <c r="C38" s="56"/>
      <c r="D38" s="26"/>
      <c r="E38" s="26"/>
      <c r="F38" s="26"/>
      <c r="L38" s="24"/>
      <c r="P38" s="24"/>
      <c r="T38" s="24"/>
      <c r="X38" s="24"/>
      <c r="AB38" s="24"/>
      <c r="AF38" s="24"/>
      <c r="AG38" s="24"/>
    </row>
    <row r="39" spans="1:33" s="296" customFormat="1">
      <c r="A39" s="303" t="s">
        <v>1159</v>
      </c>
      <c r="B39" s="56"/>
      <c r="C39" s="56"/>
      <c r="D39" s="26"/>
      <c r="E39" s="26"/>
      <c r="F39" s="26"/>
      <c r="L39" s="297"/>
      <c r="P39" s="297"/>
      <c r="T39" s="297"/>
      <c r="X39" s="297"/>
      <c r="AB39" s="297"/>
      <c r="AF39" s="297"/>
      <c r="AG39" s="297"/>
    </row>
    <row r="40" spans="1:33" s="296" customFormat="1">
      <c r="A40" s="304" t="s">
        <v>1160</v>
      </c>
      <c r="B40" s="56"/>
      <c r="C40" s="56"/>
      <c r="D40" s="26"/>
      <c r="E40" s="26"/>
      <c r="F40" s="26"/>
      <c r="L40" s="298"/>
      <c r="P40" s="298"/>
      <c r="T40" s="298"/>
      <c r="X40" s="298"/>
      <c r="AB40" s="298"/>
      <c r="AF40" s="298"/>
      <c r="AG40" s="298"/>
    </row>
    <row r="41" spans="1:33" s="296" customFormat="1">
      <c r="A41" s="303"/>
      <c r="D41" s="26"/>
      <c r="E41" s="26"/>
      <c r="F41" s="26"/>
      <c r="AD41" s="299"/>
      <c r="AE41" s="299"/>
      <c r="AF41" s="300"/>
      <c r="AG41" s="300"/>
    </row>
    <row r="42" spans="1:33" s="296" customFormat="1">
      <c r="A42" s="304" t="s">
        <v>1161</v>
      </c>
      <c r="D42" s="26"/>
      <c r="E42" s="26"/>
      <c r="F42" s="26"/>
      <c r="AF42" s="300"/>
      <c r="AG42" s="300"/>
    </row>
    <row r="43" spans="1:33" s="296" customFormat="1">
      <c r="A43" s="303" t="s">
        <v>1162</v>
      </c>
      <c r="D43" s="26"/>
      <c r="E43" s="26"/>
      <c r="F43" s="26"/>
      <c r="AD43" s="298"/>
      <c r="AE43" s="298"/>
      <c r="AF43" s="301"/>
      <c r="AG43" s="301"/>
    </row>
    <row r="44" spans="1:33" s="294" customFormat="1">
      <c r="A44" s="305" t="s">
        <v>1163</v>
      </c>
      <c r="D44" s="14"/>
      <c r="E44" s="14"/>
      <c r="F44" s="14"/>
      <c r="AF44" s="302"/>
      <c r="AG44" s="302"/>
    </row>
    <row r="45" spans="1:33" s="294" customFormat="1">
      <c r="A45" s="305" t="s">
        <v>1164</v>
      </c>
      <c r="D45" s="14"/>
      <c r="E45" s="14"/>
      <c r="F45" s="14"/>
      <c r="AF45" s="302"/>
      <c r="AG45" s="302"/>
    </row>
  </sheetData>
  <autoFilter ref="AD7:AG33" xr:uid="{00000000-0009-0000-0000-00000A000000}"/>
  <pageMargins left="0.25" right="0.25" top="0.75" bottom="0.75" header="0.3" footer="0.3"/>
  <pageSetup scale="47"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prompt="Select Perpetual (PERP) or length of term in years" xr:uid="{00000000-0002-0000-0A00-000000000000}">
          <x14:formula1>
            <xm:f>Discounts!$AA$4:$AA$10</xm:f>
          </x14:formula1>
          <xm:sqref>C8:C33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8EAE-F9D1-4477-B0A4-198F1B8C4A16}">
  <sheetPr codeName="Sheet12">
    <tabColor theme="8"/>
    <pageSetUpPr fitToPage="1"/>
  </sheetPr>
  <dimension ref="A1:AH199"/>
  <sheetViews>
    <sheetView showZeros="0" workbookViewId="0">
      <pane xSplit="6" ySplit="6" topLeftCell="G7" activePane="bottomRight" state="frozen"/>
      <selection activeCell="H7" sqref="A7:H7"/>
      <selection pane="topRight" activeCell="H7" sqref="A7:H7"/>
      <selection pane="bottomLeft" activeCell="H7" sqref="A7:H7"/>
      <selection pane="bottomRight" activeCell="H7" sqref="A7:H7"/>
    </sheetView>
  </sheetViews>
  <sheetFormatPr baseColWidth="10" defaultColWidth="9.1640625" defaultRowHeight="15" outlineLevelRow="1"/>
  <cols>
    <col min="1" max="1" width="3.1640625" style="236" customWidth="1"/>
    <col min="2" max="2" width="93.83203125" style="236" customWidth="1"/>
    <col min="3" max="4" width="9.5" style="236" customWidth="1"/>
    <col min="5" max="5" width="9.6640625" style="236" customWidth="1"/>
    <col min="6" max="6" width="9.33203125" style="277" customWidth="1"/>
    <col min="7" max="7" width="1.6640625" style="236" customWidth="1"/>
    <col min="8" max="8" width="5.5" style="236" customWidth="1"/>
    <col min="9" max="11" width="10.6640625" style="236" customWidth="1"/>
    <col min="12" max="12" width="1.6640625" style="236" customWidth="1"/>
    <col min="13" max="13" width="5.5" style="236" customWidth="1"/>
    <col min="14" max="16" width="10.6640625" style="236" customWidth="1"/>
    <col min="17" max="17" width="1.6640625" style="236" customWidth="1"/>
    <col min="18" max="18" width="5.5" style="236" hidden="1" customWidth="1"/>
    <col min="19" max="21" width="10.6640625" style="236" hidden="1" customWidth="1"/>
    <col min="22" max="22" width="1.6640625" style="236" hidden="1" customWidth="1"/>
    <col min="23" max="23" width="7.33203125" style="236" customWidth="1"/>
    <col min="24" max="26" width="10.6640625" style="236" customWidth="1"/>
    <col min="27" max="16384" width="9.1640625" style="236"/>
  </cols>
  <sheetData>
    <row r="1" spans="1:34">
      <c r="B1" s="288">
        <v>43689</v>
      </c>
      <c r="D1" s="284" t="s">
        <v>1</v>
      </c>
      <c r="E1" s="284" t="s">
        <v>581</v>
      </c>
      <c r="F1" s="286" t="s">
        <v>568</v>
      </c>
    </row>
    <row r="2" spans="1:34">
      <c r="C2" s="236" t="s">
        <v>959</v>
      </c>
      <c r="D2" s="289">
        <v>0.2</v>
      </c>
      <c r="E2" s="290">
        <v>0.12</v>
      </c>
      <c r="F2" s="18">
        <f>SUMIF($D$6:$D$112,$C2,Y$6:Y$112)</f>
        <v>0</v>
      </c>
    </row>
    <row r="3" spans="1:34">
      <c r="C3" s="236" t="s">
        <v>1155</v>
      </c>
      <c r="D3" s="289">
        <v>0.6</v>
      </c>
      <c r="E3" s="290">
        <v>0.22</v>
      </c>
      <c r="F3" s="18">
        <f>SUMIF($D$6:$D$112,$C3,Y$6:Y$112)</f>
        <v>0</v>
      </c>
    </row>
    <row r="4" spans="1:34">
      <c r="C4" s="236" t="s">
        <v>1156</v>
      </c>
      <c r="D4" s="289">
        <v>0</v>
      </c>
      <c r="E4" s="290">
        <v>0</v>
      </c>
      <c r="F4" s="18">
        <f>SUMIF($D$6:$D$112,$C4,Y$6:Y$112)</f>
        <v>0</v>
      </c>
    </row>
    <row r="5" spans="1:34">
      <c r="A5" s="41"/>
      <c r="C5"/>
      <c r="D5"/>
      <c r="E5"/>
      <c r="G5" s="41"/>
      <c r="H5" s="703" t="s">
        <v>489</v>
      </c>
      <c r="I5" s="704"/>
      <c r="J5" s="705"/>
      <c r="K5" s="705"/>
      <c r="L5" s="41"/>
      <c r="M5" s="748" t="s">
        <v>1157</v>
      </c>
      <c r="N5" s="749"/>
      <c r="O5" s="750"/>
      <c r="P5" s="750"/>
      <c r="R5" s="707" t="s">
        <v>483</v>
      </c>
      <c r="S5" s="708"/>
      <c r="T5" s="709"/>
      <c r="U5" s="709"/>
      <c r="W5" s="684" t="s">
        <v>34</v>
      </c>
      <c r="X5" s="701"/>
      <c r="Y5" s="685"/>
      <c r="Z5" s="685"/>
    </row>
    <row r="6" spans="1:34" ht="32">
      <c r="A6" s="41"/>
      <c r="B6" s="739" t="s">
        <v>945</v>
      </c>
      <c r="C6" s="739" t="s">
        <v>28</v>
      </c>
      <c r="D6" s="742" t="s">
        <v>14</v>
      </c>
      <c r="E6" s="742" t="s">
        <v>946</v>
      </c>
      <c r="F6" s="747" t="s">
        <v>1</v>
      </c>
      <c r="G6" s="232"/>
      <c r="H6" s="706" t="s">
        <v>0</v>
      </c>
      <c r="I6" s="706" t="s">
        <v>573</v>
      </c>
      <c r="J6" s="706" t="s">
        <v>574</v>
      </c>
      <c r="K6" s="706" t="s">
        <v>581</v>
      </c>
      <c r="L6" s="232"/>
      <c r="M6" s="751" t="s">
        <v>0</v>
      </c>
      <c r="N6" s="751" t="s">
        <v>573</v>
      </c>
      <c r="O6" s="751" t="s">
        <v>574</v>
      </c>
      <c r="P6" s="751" t="s">
        <v>581</v>
      </c>
      <c r="R6" s="710" t="s">
        <v>0</v>
      </c>
      <c r="S6" s="710" t="s">
        <v>573</v>
      </c>
      <c r="T6" s="710" t="s">
        <v>574</v>
      </c>
      <c r="U6" s="710" t="s">
        <v>581</v>
      </c>
      <c r="W6" s="702" t="s">
        <v>0</v>
      </c>
      <c r="X6" s="702" t="s">
        <v>573</v>
      </c>
      <c r="Y6" s="702" t="s">
        <v>574</v>
      </c>
      <c r="Z6" s="702" t="s">
        <v>581</v>
      </c>
    </row>
    <row r="7" spans="1:34">
      <c r="A7" s="41"/>
      <c r="B7" s="364" t="s">
        <v>1826</v>
      </c>
      <c r="C7" s="233"/>
      <c r="D7" s="285"/>
      <c r="E7" s="273"/>
      <c r="F7" s="278"/>
      <c r="G7" s="273"/>
      <c r="H7" s="273"/>
      <c r="I7" s="273"/>
      <c r="J7" s="273"/>
      <c r="K7" s="273"/>
      <c r="L7" s="273"/>
      <c r="M7" s="273"/>
      <c r="N7" s="273"/>
      <c r="O7" s="273"/>
      <c r="P7" s="273"/>
      <c r="Q7" s="273"/>
      <c r="R7" s="273"/>
      <c r="S7" s="273"/>
      <c r="T7" s="273"/>
      <c r="U7" s="273"/>
      <c r="V7" s="273"/>
      <c r="W7" s="273"/>
      <c r="X7" s="273"/>
      <c r="Y7" s="273"/>
      <c r="Z7" s="273"/>
      <c r="AA7" s="273"/>
      <c r="AB7" s="273"/>
      <c r="AC7" s="273"/>
      <c r="AD7" s="273"/>
      <c r="AE7" s="273"/>
      <c r="AF7" s="273"/>
      <c r="AG7" s="273"/>
      <c r="AH7" s="273"/>
    </row>
    <row r="8" spans="1:34">
      <c r="A8" s="41"/>
      <c r="B8" s="280" t="s">
        <v>1755</v>
      </c>
      <c r="C8" s="233" t="s">
        <v>1154</v>
      </c>
      <c r="D8" s="285" t="s">
        <v>959</v>
      </c>
      <c r="E8" s="273">
        <v>242000</v>
      </c>
      <c r="F8" s="278">
        <f t="shared" ref="F8" si="0">VLOOKUP(D8,$C$2:$E$4,2,FALSE)</f>
        <v>0.2</v>
      </c>
      <c r="G8" s="273"/>
      <c r="H8" s="273"/>
      <c r="I8" s="273">
        <f>$E8*H8</f>
        <v>0</v>
      </c>
      <c r="J8" s="273">
        <f>(1-$F8)*I8</f>
        <v>0</v>
      </c>
      <c r="K8" s="273">
        <f>J8*VLOOKUP($D8,$C$2:$E$4,3,FALSE)</f>
        <v>0</v>
      </c>
      <c r="L8" s="273"/>
      <c r="M8" s="273"/>
      <c r="N8" s="273">
        <f>$E8*M8</f>
        <v>0</v>
      </c>
      <c r="O8" s="273">
        <f>(1-$F8)*N8</f>
        <v>0</v>
      </c>
      <c r="P8" s="273">
        <f>O8*VLOOKUP($D8,$C$2:$E$4,3,FALSE)</f>
        <v>0</v>
      </c>
      <c r="Q8" s="273"/>
      <c r="R8" s="273"/>
      <c r="S8" s="273">
        <f t="shared" ref="S8" si="1">$E8*R8</f>
        <v>0</v>
      </c>
      <c r="T8" s="273">
        <f t="shared" ref="T8" si="2">(1-$F8)*S8</f>
        <v>0</v>
      </c>
      <c r="U8" s="273">
        <f t="shared" ref="U8" si="3">T8*VLOOKUP($D8,$C$2:$E$4,3,FALSE)</f>
        <v>0</v>
      </c>
      <c r="V8" s="273"/>
      <c r="W8" s="273">
        <f t="shared" ref="W8:Z8" si="4">SUMIF($G$6:$V$6,W$6,$G8:$V8)</f>
        <v>0</v>
      </c>
      <c r="X8" s="273">
        <f t="shared" si="4"/>
        <v>0</v>
      </c>
      <c r="Y8" s="273">
        <f t="shared" si="4"/>
        <v>0</v>
      </c>
      <c r="Z8" s="273">
        <f t="shared" si="4"/>
        <v>0</v>
      </c>
      <c r="AA8" s="273"/>
      <c r="AB8" s="273"/>
      <c r="AC8" s="273"/>
      <c r="AD8" s="273"/>
      <c r="AE8" s="273"/>
      <c r="AF8" s="273"/>
      <c r="AG8" s="273"/>
      <c r="AH8" s="273"/>
    </row>
    <row r="9" spans="1:34">
      <c r="A9" s="41"/>
      <c r="B9" s="280" t="s">
        <v>1758</v>
      </c>
      <c r="C9" s="233" t="s">
        <v>1154</v>
      </c>
      <c r="D9" s="285" t="s">
        <v>959</v>
      </c>
      <c r="E9" s="273">
        <v>242000</v>
      </c>
      <c r="F9" s="278">
        <f>VLOOKUP(D9,$C$2:$E$4,2,FALSE)</f>
        <v>0.2</v>
      </c>
      <c r="G9" s="273"/>
      <c r="H9" s="273"/>
      <c r="I9" s="273">
        <f>$E9*H9</f>
        <v>0</v>
      </c>
      <c r="J9" s="273">
        <f>(1-$F9)*I9</f>
        <v>0</v>
      </c>
      <c r="K9" s="273">
        <f>J9*VLOOKUP($D9,$C$2:$E$4,3,FALSE)</f>
        <v>0</v>
      </c>
      <c r="L9" s="273"/>
      <c r="M9" s="273"/>
      <c r="N9" s="273">
        <f>$E9*M9</f>
        <v>0</v>
      </c>
      <c r="O9" s="273">
        <f>(1-$F9)*N9</f>
        <v>0</v>
      </c>
      <c r="P9" s="273">
        <f>O9*VLOOKUP($D9,$C$2:$E$4,3,FALSE)</f>
        <v>0</v>
      </c>
      <c r="Q9" s="273"/>
      <c r="R9" s="273"/>
      <c r="S9" s="273">
        <f>$E9*R9</f>
        <v>0</v>
      </c>
      <c r="T9" s="273">
        <f>(1-$F9)*S9</f>
        <v>0</v>
      </c>
      <c r="U9" s="273">
        <f>T9*VLOOKUP($D9,$C$2:$E$4,3,FALSE)</f>
        <v>0</v>
      </c>
      <c r="V9" s="273"/>
      <c r="W9" s="273">
        <f>H9+M9</f>
        <v>0</v>
      </c>
      <c r="X9" s="273">
        <f>I9+N9</f>
        <v>0</v>
      </c>
      <c r="Y9" s="273">
        <f>J9+O9</f>
        <v>0</v>
      </c>
      <c r="Z9" s="273">
        <f>K9+P9</f>
        <v>0</v>
      </c>
      <c r="AA9" s="273"/>
      <c r="AB9" s="273"/>
      <c r="AC9" s="273"/>
      <c r="AD9" s="273"/>
      <c r="AE9" s="273"/>
      <c r="AF9" s="273"/>
      <c r="AG9" s="273"/>
      <c r="AH9" s="273"/>
    </row>
    <row r="10" spans="1:34">
      <c r="A10" s="41"/>
      <c r="B10" s="280" t="s">
        <v>1756</v>
      </c>
      <c r="C10" s="233" t="s">
        <v>1154</v>
      </c>
      <c r="D10" s="285" t="s">
        <v>959</v>
      </c>
      <c r="E10" s="273">
        <v>363000</v>
      </c>
      <c r="F10" s="278">
        <f t="shared" ref="F10:F15" si="5">VLOOKUP(D10,$C$2:$E$4,2,FALSE)</f>
        <v>0.2</v>
      </c>
      <c r="G10" s="273"/>
      <c r="H10" s="273"/>
      <c r="I10" s="273">
        <f t="shared" ref="I10:I15" si="6">$E10*H10</f>
        <v>0</v>
      </c>
      <c r="J10" s="273">
        <f t="shared" ref="J10:J15" si="7">(1-$F10)*I10</f>
        <v>0</v>
      </c>
      <c r="K10" s="273">
        <f t="shared" ref="K10:K15" si="8">J10*VLOOKUP($D10,$C$2:$E$4,3,FALSE)</f>
        <v>0</v>
      </c>
      <c r="L10" s="273"/>
      <c r="M10" s="273"/>
      <c r="N10" s="273">
        <f t="shared" ref="N10:N15" si="9">$E10*M10</f>
        <v>0</v>
      </c>
      <c r="O10" s="273">
        <f t="shared" ref="O10:O15" si="10">(1-$F10)*N10</f>
        <v>0</v>
      </c>
      <c r="P10" s="273">
        <f t="shared" ref="P10:P15" si="11">O10*VLOOKUP($D10,$C$2:$E$4,3,FALSE)</f>
        <v>0</v>
      </c>
      <c r="Q10" s="273"/>
      <c r="R10" s="273"/>
      <c r="S10" s="273">
        <f t="shared" ref="S10:S15" si="12">$E10*R10</f>
        <v>0</v>
      </c>
      <c r="T10" s="273">
        <f t="shared" ref="T10:T15" si="13">(1-$F10)*S10</f>
        <v>0</v>
      </c>
      <c r="U10" s="273">
        <f t="shared" ref="U10:U15" si="14">T10*VLOOKUP($D10,$C$2:$E$4,3,FALSE)</f>
        <v>0</v>
      </c>
      <c r="V10" s="273"/>
      <c r="W10" s="273">
        <f t="shared" ref="W10:W15" si="15">H10+M10</f>
        <v>0</v>
      </c>
      <c r="X10" s="273">
        <f t="shared" ref="X10:X15" si="16">I10+N10</f>
        <v>0</v>
      </c>
      <c r="Y10" s="273">
        <f t="shared" ref="Y10:Y15" si="17">J10+O10</f>
        <v>0</v>
      </c>
      <c r="Z10" s="273">
        <f t="shared" ref="Z10:Z15" si="18">K10+P10</f>
        <v>0</v>
      </c>
      <c r="AA10" s="273"/>
      <c r="AB10" s="273"/>
      <c r="AC10" s="273"/>
      <c r="AD10" s="273"/>
      <c r="AE10" s="273"/>
      <c r="AF10" s="273"/>
      <c r="AG10" s="273"/>
      <c r="AH10" s="273"/>
    </row>
    <row r="11" spans="1:34">
      <c r="A11" s="41"/>
      <c r="B11" s="280" t="s">
        <v>1757</v>
      </c>
      <c r="C11" s="233" t="s">
        <v>1154</v>
      </c>
      <c r="D11" s="285" t="s">
        <v>959</v>
      </c>
      <c r="E11" s="273">
        <v>387000</v>
      </c>
      <c r="F11" s="278">
        <f t="shared" si="5"/>
        <v>0.2</v>
      </c>
      <c r="G11" s="273"/>
      <c r="H11" s="273"/>
      <c r="I11" s="273">
        <f t="shared" si="6"/>
        <v>0</v>
      </c>
      <c r="J11" s="273">
        <f t="shared" si="7"/>
        <v>0</v>
      </c>
      <c r="K11" s="273">
        <f t="shared" si="8"/>
        <v>0</v>
      </c>
      <c r="L11" s="273"/>
      <c r="M11" s="273"/>
      <c r="N11" s="273">
        <f t="shared" si="9"/>
        <v>0</v>
      </c>
      <c r="O11" s="273">
        <f t="shared" si="10"/>
        <v>0</v>
      </c>
      <c r="P11" s="273">
        <f t="shared" si="11"/>
        <v>0</v>
      </c>
      <c r="Q11" s="273"/>
      <c r="R11" s="273"/>
      <c r="S11" s="273">
        <f t="shared" si="12"/>
        <v>0</v>
      </c>
      <c r="T11" s="273">
        <f t="shared" si="13"/>
        <v>0</v>
      </c>
      <c r="U11" s="273">
        <f t="shared" si="14"/>
        <v>0</v>
      </c>
      <c r="V11" s="273"/>
      <c r="W11" s="273">
        <f t="shared" si="15"/>
        <v>0</v>
      </c>
      <c r="X11" s="273">
        <f t="shared" si="16"/>
        <v>0</v>
      </c>
      <c r="Y11" s="273">
        <f t="shared" si="17"/>
        <v>0</v>
      </c>
      <c r="Z11" s="273">
        <f t="shared" si="18"/>
        <v>0</v>
      </c>
      <c r="AA11" s="273"/>
      <c r="AB11" s="273"/>
      <c r="AC11" s="273"/>
      <c r="AD11" s="273"/>
      <c r="AE11" s="273"/>
      <c r="AF11" s="273"/>
      <c r="AG11" s="273"/>
      <c r="AH11" s="273"/>
    </row>
    <row r="12" spans="1:34">
      <c r="A12" s="41"/>
      <c r="B12" s="280" t="s">
        <v>1759</v>
      </c>
      <c r="C12" s="233" t="s">
        <v>1154</v>
      </c>
      <c r="D12" s="285" t="s">
        <v>959</v>
      </c>
      <c r="E12" s="273">
        <v>363000</v>
      </c>
      <c r="F12" s="278">
        <f t="shared" si="5"/>
        <v>0.2</v>
      </c>
      <c r="G12" s="273"/>
      <c r="H12" s="273"/>
      <c r="I12" s="273">
        <f t="shared" si="6"/>
        <v>0</v>
      </c>
      <c r="J12" s="273">
        <f t="shared" si="7"/>
        <v>0</v>
      </c>
      <c r="K12" s="273">
        <f t="shared" si="8"/>
        <v>0</v>
      </c>
      <c r="L12" s="273"/>
      <c r="M12" s="273"/>
      <c r="N12" s="273">
        <f t="shared" si="9"/>
        <v>0</v>
      </c>
      <c r="O12" s="273">
        <f t="shared" si="10"/>
        <v>0</v>
      </c>
      <c r="P12" s="273">
        <f t="shared" si="11"/>
        <v>0</v>
      </c>
      <c r="Q12" s="273"/>
      <c r="R12" s="273"/>
      <c r="S12" s="273">
        <f t="shared" si="12"/>
        <v>0</v>
      </c>
      <c r="T12" s="273">
        <f t="shared" si="13"/>
        <v>0</v>
      </c>
      <c r="U12" s="273">
        <f t="shared" si="14"/>
        <v>0</v>
      </c>
      <c r="V12" s="273"/>
      <c r="W12" s="273">
        <f t="shared" si="15"/>
        <v>0</v>
      </c>
      <c r="X12" s="273">
        <f t="shared" si="16"/>
        <v>0</v>
      </c>
      <c r="Y12" s="273">
        <f t="shared" si="17"/>
        <v>0</v>
      </c>
      <c r="Z12" s="273">
        <f t="shared" si="18"/>
        <v>0</v>
      </c>
      <c r="AA12" s="273"/>
      <c r="AB12" s="273"/>
      <c r="AC12" s="273"/>
      <c r="AD12" s="273"/>
      <c r="AE12" s="273"/>
      <c r="AF12" s="273"/>
      <c r="AG12" s="273"/>
      <c r="AH12" s="273"/>
    </row>
    <row r="13" spans="1:34">
      <c r="A13" s="41"/>
      <c r="B13" s="280" t="s">
        <v>1760</v>
      </c>
      <c r="C13" s="233" t="s">
        <v>1154</v>
      </c>
      <c r="D13" s="285" t="s">
        <v>959</v>
      </c>
      <c r="E13" s="273">
        <v>387000</v>
      </c>
      <c r="F13" s="278">
        <f t="shared" si="5"/>
        <v>0.2</v>
      </c>
      <c r="G13" s="273"/>
      <c r="H13" s="273"/>
      <c r="I13" s="273">
        <f t="shared" si="6"/>
        <v>0</v>
      </c>
      <c r="J13" s="273">
        <f t="shared" si="7"/>
        <v>0</v>
      </c>
      <c r="K13" s="273">
        <f t="shared" si="8"/>
        <v>0</v>
      </c>
      <c r="L13" s="273"/>
      <c r="M13" s="273"/>
      <c r="N13" s="273">
        <f t="shared" si="9"/>
        <v>0</v>
      </c>
      <c r="O13" s="273">
        <f t="shared" si="10"/>
        <v>0</v>
      </c>
      <c r="P13" s="273">
        <f t="shared" si="11"/>
        <v>0</v>
      </c>
      <c r="Q13" s="273"/>
      <c r="R13" s="273"/>
      <c r="S13" s="273">
        <f t="shared" si="12"/>
        <v>0</v>
      </c>
      <c r="T13" s="273">
        <f t="shared" si="13"/>
        <v>0</v>
      </c>
      <c r="U13" s="273">
        <f t="shared" si="14"/>
        <v>0</v>
      </c>
      <c r="V13" s="273"/>
      <c r="W13" s="273">
        <f t="shared" si="15"/>
        <v>0</v>
      </c>
      <c r="X13" s="273">
        <f t="shared" si="16"/>
        <v>0</v>
      </c>
      <c r="Y13" s="273">
        <f t="shared" si="17"/>
        <v>0</v>
      </c>
      <c r="Z13" s="273">
        <f t="shared" si="18"/>
        <v>0</v>
      </c>
      <c r="AA13" s="273"/>
      <c r="AB13" s="273"/>
      <c r="AC13" s="273"/>
      <c r="AD13" s="273"/>
      <c r="AE13" s="273"/>
      <c r="AF13" s="273"/>
      <c r="AG13" s="273"/>
      <c r="AH13" s="273"/>
    </row>
    <row r="14" spans="1:34">
      <c r="A14" s="41"/>
      <c r="B14" s="280" t="s">
        <v>1761</v>
      </c>
      <c r="C14" s="233" t="s">
        <v>1154</v>
      </c>
      <c r="D14" s="285" t="s">
        <v>959</v>
      </c>
      <c r="E14" s="273">
        <v>935000</v>
      </c>
      <c r="F14" s="278">
        <f t="shared" si="5"/>
        <v>0.2</v>
      </c>
      <c r="G14" s="273"/>
      <c r="H14" s="273"/>
      <c r="I14" s="273">
        <f t="shared" si="6"/>
        <v>0</v>
      </c>
      <c r="J14" s="273">
        <f t="shared" si="7"/>
        <v>0</v>
      </c>
      <c r="K14" s="273">
        <f t="shared" si="8"/>
        <v>0</v>
      </c>
      <c r="L14" s="273"/>
      <c r="M14" s="273"/>
      <c r="N14" s="273">
        <f t="shared" si="9"/>
        <v>0</v>
      </c>
      <c r="O14" s="273">
        <f t="shared" si="10"/>
        <v>0</v>
      </c>
      <c r="P14" s="273">
        <f t="shared" si="11"/>
        <v>0</v>
      </c>
      <c r="Q14" s="273"/>
      <c r="R14" s="273"/>
      <c r="S14" s="273">
        <f t="shared" si="12"/>
        <v>0</v>
      </c>
      <c r="T14" s="273">
        <f t="shared" si="13"/>
        <v>0</v>
      </c>
      <c r="U14" s="273">
        <f t="shared" si="14"/>
        <v>0</v>
      </c>
      <c r="V14" s="273"/>
      <c r="W14" s="273">
        <f t="shared" si="15"/>
        <v>0</v>
      </c>
      <c r="X14" s="273">
        <f t="shared" si="16"/>
        <v>0</v>
      </c>
      <c r="Y14" s="273">
        <f t="shared" si="17"/>
        <v>0</v>
      </c>
      <c r="Z14" s="273">
        <f t="shared" si="18"/>
        <v>0</v>
      </c>
      <c r="AA14" s="273"/>
      <c r="AB14" s="273"/>
      <c r="AC14" s="273"/>
      <c r="AD14" s="273"/>
      <c r="AE14" s="273"/>
      <c r="AF14" s="273"/>
      <c r="AG14" s="273"/>
      <c r="AH14" s="273"/>
    </row>
    <row r="15" spans="1:34">
      <c r="A15" s="41"/>
      <c r="B15" s="280" t="s">
        <v>1762</v>
      </c>
      <c r="C15" s="233" t="s">
        <v>1154</v>
      </c>
      <c r="D15" s="285" t="s">
        <v>959</v>
      </c>
      <c r="E15" s="273">
        <v>935000</v>
      </c>
      <c r="F15" s="278">
        <f t="shared" si="5"/>
        <v>0.2</v>
      </c>
      <c r="G15" s="273"/>
      <c r="H15" s="273"/>
      <c r="I15" s="273">
        <f t="shared" si="6"/>
        <v>0</v>
      </c>
      <c r="J15" s="273">
        <f t="shared" si="7"/>
        <v>0</v>
      </c>
      <c r="K15" s="273">
        <f t="shared" si="8"/>
        <v>0</v>
      </c>
      <c r="L15" s="273"/>
      <c r="M15" s="273"/>
      <c r="N15" s="273">
        <f t="shared" si="9"/>
        <v>0</v>
      </c>
      <c r="O15" s="273">
        <f t="shared" si="10"/>
        <v>0</v>
      </c>
      <c r="P15" s="273">
        <f t="shared" si="11"/>
        <v>0</v>
      </c>
      <c r="Q15" s="273"/>
      <c r="R15" s="273"/>
      <c r="S15" s="273">
        <f t="shared" si="12"/>
        <v>0</v>
      </c>
      <c r="T15" s="273">
        <f t="shared" si="13"/>
        <v>0</v>
      </c>
      <c r="U15" s="273">
        <f t="shared" si="14"/>
        <v>0</v>
      </c>
      <c r="V15" s="273"/>
      <c r="W15" s="273">
        <f t="shared" si="15"/>
        <v>0</v>
      </c>
      <c r="X15" s="273">
        <f t="shared" si="16"/>
        <v>0</v>
      </c>
      <c r="Y15" s="273">
        <f t="shared" si="17"/>
        <v>0</v>
      </c>
      <c r="Z15" s="273">
        <f t="shared" si="18"/>
        <v>0</v>
      </c>
      <c r="AA15" s="273"/>
      <c r="AB15" s="273"/>
      <c r="AC15" s="273"/>
      <c r="AD15" s="273"/>
      <c r="AE15" s="273"/>
      <c r="AF15" s="273"/>
      <c r="AG15" s="273"/>
      <c r="AH15" s="273"/>
    </row>
    <row r="16" spans="1:34">
      <c r="A16" s="41"/>
      <c r="B16" s="280" t="s">
        <v>1747</v>
      </c>
      <c r="C16" s="233" t="s">
        <v>1154</v>
      </c>
      <c r="D16" s="285" t="s">
        <v>959</v>
      </c>
      <c r="E16" s="273">
        <v>242000</v>
      </c>
      <c r="F16" s="278">
        <f t="shared" ref="F16" si="19">VLOOKUP(D16,$C$2:$E$4,2,FALSE)</f>
        <v>0.2</v>
      </c>
      <c r="G16" s="273"/>
      <c r="H16" s="273"/>
      <c r="I16" s="273">
        <f t="shared" ref="I16:I23" si="20">$E16*H16</f>
        <v>0</v>
      </c>
      <c r="J16" s="273">
        <f t="shared" ref="J16:J23" si="21">(1-$F16)*I16</f>
        <v>0</v>
      </c>
      <c r="K16" s="273">
        <f t="shared" ref="K16:K23" si="22">J16*VLOOKUP($D16,$C$2:$E$4,3,FALSE)</f>
        <v>0</v>
      </c>
      <c r="L16" s="273"/>
      <c r="M16" s="273"/>
      <c r="N16" s="273">
        <f t="shared" ref="N16:N23" si="23">$E16*M16</f>
        <v>0</v>
      </c>
      <c r="O16" s="273">
        <f t="shared" ref="O16:O23" si="24">(1-$F16)*N16</f>
        <v>0</v>
      </c>
      <c r="P16" s="273">
        <f t="shared" ref="P16:P23" si="25">O16*VLOOKUP($D16,$C$2:$E$4,3,FALSE)</f>
        <v>0</v>
      </c>
      <c r="Q16" s="273"/>
      <c r="R16" s="273"/>
      <c r="S16" s="273">
        <f t="shared" ref="S16:S23" si="26">$E16*R16</f>
        <v>0</v>
      </c>
      <c r="T16" s="273">
        <f t="shared" ref="T16:T23" si="27">(1-$F16)*S16</f>
        <v>0</v>
      </c>
      <c r="U16" s="273">
        <f t="shared" ref="U16:U23" si="28">T16*VLOOKUP($D16,$C$2:$E$4,3,FALSE)</f>
        <v>0</v>
      </c>
      <c r="V16" s="273"/>
      <c r="W16" s="273">
        <f t="shared" ref="W16" si="29">H16+M16</f>
        <v>0</v>
      </c>
      <c r="X16" s="273">
        <f t="shared" ref="X16" si="30">I16+N16</f>
        <v>0</v>
      </c>
      <c r="Y16" s="273">
        <f t="shared" ref="Y16" si="31">J16+O16</f>
        <v>0</v>
      </c>
      <c r="Z16" s="273">
        <f t="shared" ref="Z16" si="32">K16+P16</f>
        <v>0</v>
      </c>
      <c r="AA16" s="273"/>
      <c r="AB16" s="273"/>
      <c r="AC16" s="273"/>
      <c r="AD16" s="273"/>
      <c r="AE16" s="273"/>
      <c r="AF16" s="273"/>
      <c r="AG16" s="273"/>
      <c r="AH16" s="273"/>
    </row>
    <row r="17" spans="1:34">
      <c r="A17" s="41"/>
      <c r="B17" s="280" t="s">
        <v>1750</v>
      </c>
      <c r="C17" s="233" t="s">
        <v>1154</v>
      </c>
      <c r="D17" s="285" t="s">
        <v>959</v>
      </c>
      <c r="E17" s="273">
        <v>242000</v>
      </c>
      <c r="F17" s="278">
        <f>VLOOKUP(D17,$C$2:$E$4,2,FALSE)</f>
        <v>0.2</v>
      </c>
      <c r="G17" s="273"/>
      <c r="H17" s="273"/>
      <c r="I17" s="273">
        <f t="shared" si="20"/>
        <v>0</v>
      </c>
      <c r="J17" s="273">
        <f t="shared" si="21"/>
        <v>0</v>
      </c>
      <c r="K17" s="273">
        <f t="shared" si="22"/>
        <v>0</v>
      </c>
      <c r="L17" s="273"/>
      <c r="M17" s="273"/>
      <c r="N17" s="273">
        <f t="shared" si="23"/>
        <v>0</v>
      </c>
      <c r="O17" s="273">
        <f t="shared" si="24"/>
        <v>0</v>
      </c>
      <c r="P17" s="273">
        <f t="shared" si="25"/>
        <v>0</v>
      </c>
      <c r="Q17" s="273"/>
      <c r="R17" s="273"/>
      <c r="S17" s="273">
        <f t="shared" si="26"/>
        <v>0</v>
      </c>
      <c r="T17" s="273">
        <f t="shared" si="27"/>
        <v>0</v>
      </c>
      <c r="U17" s="273">
        <f t="shared" si="28"/>
        <v>0</v>
      </c>
      <c r="V17" s="273"/>
      <c r="W17" s="273">
        <f>H17+M17</f>
        <v>0</v>
      </c>
      <c r="X17" s="273">
        <f>I17+N17</f>
        <v>0</v>
      </c>
      <c r="Y17" s="273">
        <f>J17+O17</f>
        <v>0</v>
      </c>
      <c r="Z17" s="273">
        <f>K17+P17</f>
        <v>0</v>
      </c>
      <c r="AA17" s="273"/>
      <c r="AB17" s="273"/>
      <c r="AC17" s="273"/>
      <c r="AD17" s="273"/>
      <c r="AE17" s="273"/>
      <c r="AF17" s="273"/>
      <c r="AG17" s="273"/>
      <c r="AH17" s="273"/>
    </row>
    <row r="18" spans="1:34">
      <c r="A18" s="41"/>
      <c r="B18" s="280" t="s">
        <v>1748</v>
      </c>
      <c r="C18" s="233" t="s">
        <v>1154</v>
      </c>
      <c r="D18" s="285" t="s">
        <v>959</v>
      </c>
      <c r="E18" s="273">
        <v>363000</v>
      </c>
      <c r="F18" s="278">
        <f t="shared" ref="F18" si="33">VLOOKUP(D18,$C$2:$E$4,2,FALSE)</f>
        <v>0.2</v>
      </c>
      <c r="G18" s="273"/>
      <c r="H18" s="273"/>
      <c r="I18" s="273">
        <f t="shared" si="20"/>
        <v>0</v>
      </c>
      <c r="J18" s="273">
        <f t="shared" si="21"/>
        <v>0</v>
      </c>
      <c r="K18" s="273">
        <f t="shared" si="22"/>
        <v>0</v>
      </c>
      <c r="L18" s="273"/>
      <c r="M18" s="273"/>
      <c r="N18" s="273">
        <f t="shared" si="23"/>
        <v>0</v>
      </c>
      <c r="O18" s="273">
        <f t="shared" si="24"/>
        <v>0</v>
      </c>
      <c r="P18" s="273">
        <f t="shared" si="25"/>
        <v>0</v>
      </c>
      <c r="Q18" s="273"/>
      <c r="R18" s="273"/>
      <c r="S18" s="273">
        <f t="shared" si="26"/>
        <v>0</v>
      </c>
      <c r="T18" s="273">
        <f t="shared" si="27"/>
        <v>0</v>
      </c>
      <c r="U18" s="273">
        <f t="shared" si="28"/>
        <v>0</v>
      </c>
      <c r="V18" s="273"/>
      <c r="W18" s="273">
        <f t="shared" ref="W18" si="34">H18+M18</f>
        <v>0</v>
      </c>
      <c r="X18" s="273">
        <f t="shared" ref="X18" si="35">I18+N18</f>
        <v>0</v>
      </c>
      <c r="Y18" s="273">
        <f t="shared" ref="Y18" si="36">J18+O18</f>
        <v>0</v>
      </c>
      <c r="Z18" s="273">
        <f t="shared" ref="Z18" si="37">K18+P18</f>
        <v>0</v>
      </c>
      <c r="AA18" s="273"/>
      <c r="AB18" s="273"/>
      <c r="AC18" s="273"/>
      <c r="AD18" s="273"/>
      <c r="AE18" s="273"/>
      <c r="AF18" s="273"/>
      <c r="AG18" s="273"/>
      <c r="AH18" s="273"/>
    </row>
    <row r="19" spans="1:34">
      <c r="A19" s="41"/>
      <c r="B19" s="280" t="s">
        <v>1749</v>
      </c>
      <c r="C19" s="233" t="s">
        <v>1154</v>
      </c>
      <c r="D19" s="285" t="s">
        <v>959</v>
      </c>
      <c r="E19" s="273">
        <v>387000</v>
      </c>
      <c r="F19" s="278">
        <f t="shared" ref="F19" si="38">VLOOKUP(D19,$C$2:$E$4,2,FALSE)</f>
        <v>0.2</v>
      </c>
      <c r="G19" s="273"/>
      <c r="H19" s="273"/>
      <c r="I19" s="273">
        <f t="shared" si="20"/>
        <v>0</v>
      </c>
      <c r="J19" s="273">
        <f t="shared" si="21"/>
        <v>0</v>
      </c>
      <c r="K19" s="273">
        <f t="shared" si="22"/>
        <v>0</v>
      </c>
      <c r="L19" s="273"/>
      <c r="M19" s="273"/>
      <c r="N19" s="273">
        <f t="shared" si="23"/>
        <v>0</v>
      </c>
      <c r="O19" s="273">
        <f t="shared" si="24"/>
        <v>0</v>
      </c>
      <c r="P19" s="273">
        <f t="shared" si="25"/>
        <v>0</v>
      </c>
      <c r="Q19" s="273"/>
      <c r="R19" s="273"/>
      <c r="S19" s="273">
        <f t="shared" si="26"/>
        <v>0</v>
      </c>
      <c r="T19" s="273">
        <f t="shared" si="27"/>
        <v>0</v>
      </c>
      <c r="U19" s="273">
        <f t="shared" si="28"/>
        <v>0</v>
      </c>
      <c r="V19" s="273"/>
      <c r="W19" s="273">
        <f t="shared" ref="W19" si="39">H19+M19</f>
        <v>0</v>
      </c>
      <c r="X19" s="273">
        <f t="shared" ref="X19" si="40">I19+N19</f>
        <v>0</v>
      </c>
      <c r="Y19" s="273">
        <f t="shared" ref="Y19" si="41">J19+O19</f>
        <v>0</v>
      </c>
      <c r="Z19" s="273">
        <f t="shared" ref="Z19" si="42">K19+P19</f>
        <v>0</v>
      </c>
      <c r="AA19" s="273"/>
      <c r="AB19" s="273"/>
      <c r="AC19" s="273"/>
      <c r="AD19" s="273"/>
      <c r="AE19" s="273"/>
      <c r="AF19" s="273"/>
      <c r="AG19" s="273"/>
      <c r="AH19" s="273"/>
    </row>
    <row r="20" spans="1:34">
      <c r="A20" s="41"/>
      <c r="B20" s="280" t="s">
        <v>1751</v>
      </c>
      <c r="C20" s="233" t="s">
        <v>1154</v>
      </c>
      <c r="D20" s="285" t="s">
        <v>959</v>
      </c>
      <c r="E20" s="273">
        <v>363000</v>
      </c>
      <c r="F20" s="278">
        <f>VLOOKUP(D20,$C$2:$E$4,2,FALSE)</f>
        <v>0.2</v>
      </c>
      <c r="G20" s="273"/>
      <c r="H20" s="273"/>
      <c r="I20" s="273">
        <f t="shared" si="20"/>
        <v>0</v>
      </c>
      <c r="J20" s="273">
        <f t="shared" si="21"/>
        <v>0</v>
      </c>
      <c r="K20" s="273">
        <f t="shared" si="22"/>
        <v>0</v>
      </c>
      <c r="L20" s="273"/>
      <c r="M20" s="273"/>
      <c r="N20" s="273">
        <f t="shared" si="23"/>
        <v>0</v>
      </c>
      <c r="O20" s="273">
        <f t="shared" si="24"/>
        <v>0</v>
      </c>
      <c r="P20" s="273">
        <f t="shared" si="25"/>
        <v>0</v>
      </c>
      <c r="Q20" s="273"/>
      <c r="R20" s="273"/>
      <c r="S20" s="273">
        <f t="shared" si="26"/>
        <v>0</v>
      </c>
      <c r="T20" s="273">
        <f t="shared" si="27"/>
        <v>0</v>
      </c>
      <c r="U20" s="273">
        <f t="shared" si="28"/>
        <v>0</v>
      </c>
      <c r="V20" s="273"/>
      <c r="W20" s="273">
        <f t="shared" ref="W20:Z23" si="43">H20+M20</f>
        <v>0</v>
      </c>
      <c r="X20" s="273">
        <f t="shared" si="43"/>
        <v>0</v>
      </c>
      <c r="Y20" s="273">
        <f t="shared" si="43"/>
        <v>0</v>
      </c>
      <c r="Z20" s="273">
        <f t="shared" si="43"/>
        <v>0</v>
      </c>
      <c r="AA20" s="273"/>
      <c r="AB20" s="273"/>
      <c r="AC20" s="273"/>
      <c r="AD20" s="273"/>
      <c r="AE20" s="273"/>
      <c r="AF20" s="273"/>
      <c r="AG20" s="273"/>
      <c r="AH20" s="273"/>
    </row>
    <row r="21" spans="1:34">
      <c r="A21" s="41"/>
      <c r="B21" s="280" t="s">
        <v>1752</v>
      </c>
      <c r="C21" s="233" t="s">
        <v>1154</v>
      </c>
      <c r="D21" s="285" t="s">
        <v>959</v>
      </c>
      <c r="E21" s="273">
        <v>387000</v>
      </c>
      <c r="F21" s="278">
        <f>VLOOKUP(D21,$C$2:$E$4,2,FALSE)</f>
        <v>0.2</v>
      </c>
      <c r="G21" s="273"/>
      <c r="H21" s="273"/>
      <c r="I21" s="273">
        <f t="shared" si="20"/>
        <v>0</v>
      </c>
      <c r="J21" s="273">
        <f t="shared" si="21"/>
        <v>0</v>
      </c>
      <c r="K21" s="273">
        <f t="shared" si="22"/>
        <v>0</v>
      </c>
      <c r="L21" s="273"/>
      <c r="M21" s="273"/>
      <c r="N21" s="273">
        <f t="shared" si="23"/>
        <v>0</v>
      </c>
      <c r="O21" s="273">
        <f t="shared" si="24"/>
        <v>0</v>
      </c>
      <c r="P21" s="273">
        <f t="shared" si="25"/>
        <v>0</v>
      </c>
      <c r="Q21" s="273"/>
      <c r="R21" s="273"/>
      <c r="S21" s="273">
        <f t="shared" si="26"/>
        <v>0</v>
      </c>
      <c r="T21" s="273">
        <f t="shared" si="27"/>
        <v>0</v>
      </c>
      <c r="U21" s="273">
        <f t="shared" si="28"/>
        <v>0</v>
      </c>
      <c r="V21" s="273"/>
      <c r="W21" s="273">
        <f t="shared" si="43"/>
        <v>0</v>
      </c>
      <c r="X21" s="273">
        <f t="shared" si="43"/>
        <v>0</v>
      </c>
      <c r="Y21" s="273">
        <f t="shared" si="43"/>
        <v>0</v>
      </c>
      <c r="Z21" s="273">
        <f t="shared" si="43"/>
        <v>0</v>
      </c>
      <c r="AA21" s="273"/>
      <c r="AB21" s="273"/>
      <c r="AC21" s="273"/>
      <c r="AD21" s="273"/>
      <c r="AE21" s="273"/>
      <c r="AF21" s="273"/>
      <c r="AG21" s="273"/>
      <c r="AH21" s="273"/>
    </row>
    <row r="22" spans="1:34">
      <c r="A22" s="41"/>
      <c r="B22" s="280" t="s">
        <v>1753</v>
      </c>
      <c r="C22" s="233" t="s">
        <v>1154</v>
      </c>
      <c r="D22" s="285" t="s">
        <v>959</v>
      </c>
      <c r="E22" s="273">
        <v>935000</v>
      </c>
      <c r="F22" s="278">
        <f>VLOOKUP(D22,$C$2:$E$4,2,FALSE)</f>
        <v>0.2</v>
      </c>
      <c r="G22" s="273"/>
      <c r="H22" s="273"/>
      <c r="I22" s="273">
        <f t="shared" si="20"/>
        <v>0</v>
      </c>
      <c r="J22" s="273">
        <f t="shared" si="21"/>
        <v>0</v>
      </c>
      <c r="K22" s="273">
        <f t="shared" si="22"/>
        <v>0</v>
      </c>
      <c r="L22" s="273"/>
      <c r="M22" s="273"/>
      <c r="N22" s="273">
        <f t="shared" si="23"/>
        <v>0</v>
      </c>
      <c r="O22" s="273">
        <f t="shared" si="24"/>
        <v>0</v>
      </c>
      <c r="P22" s="273">
        <f t="shared" si="25"/>
        <v>0</v>
      </c>
      <c r="Q22" s="273"/>
      <c r="R22" s="273"/>
      <c r="S22" s="273">
        <f t="shared" si="26"/>
        <v>0</v>
      </c>
      <c r="T22" s="273">
        <f t="shared" si="27"/>
        <v>0</v>
      </c>
      <c r="U22" s="273">
        <f t="shared" si="28"/>
        <v>0</v>
      </c>
      <c r="V22" s="273"/>
      <c r="W22" s="273">
        <f t="shared" si="43"/>
        <v>0</v>
      </c>
      <c r="X22" s="273">
        <f t="shared" si="43"/>
        <v>0</v>
      </c>
      <c r="Y22" s="273">
        <f t="shared" si="43"/>
        <v>0</v>
      </c>
      <c r="Z22" s="273">
        <f t="shared" si="43"/>
        <v>0</v>
      </c>
      <c r="AA22" s="273"/>
      <c r="AB22" s="273"/>
      <c r="AC22" s="273"/>
      <c r="AD22" s="273"/>
      <c r="AE22" s="273"/>
      <c r="AF22" s="273"/>
      <c r="AG22" s="273"/>
      <c r="AH22" s="273"/>
    </row>
    <row r="23" spans="1:34">
      <c r="A23" s="41"/>
      <c r="B23" s="280" t="s">
        <v>1754</v>
      </c>
      <c r="C23" s="233" t="s">
        <v>1154</v>
      </c>
      <c r="D23" s="285" t="s">
        <v>959</v>
      </c>
      <c r="E23" s="273">
        <v>935000</v>
      </c>
      <c r="F23" s="278">
        <f>VLOOKUP(D23,$C$2:$E$4,2,FALSE)</f>
        <v>0.2</v>
      </c>
      <c r="G23" s="273"/>
      <c r="H23" s="273"/>
      <c r="I23" s="273">
        <f t="shared" si="20"/>
        <v>0</v>
      </c>
      <c r="J23" s="273">
        <f t="shared" si="21"/>
        <v>0</v>
      </c>
      <c r="K23" s="273">
        <f t="shared" si="22"/>
        <v>0</v>
      </c>
      <c r="L23" s="273"/>
      <c r="M23" s="273"/>
      <c r="N23" s="273">
        <f t="shared" si="23"/>
        <v>0</v>
      </c>
      <c r="O23" s="273">
        <f t="shared" si="24"/>
        <v>0</v>
      </c>
      <c r="P23" s="273">
        <f t="shared" si="25"/>
        <v>0</v>
      </c>
      <c r="Q23" s="273"/>
      <c r="R23" s="273"/>
      <c r="S23" s="273">
        <f t="shared" si="26"/>
        <v>0</v>
      </c>
      <c r="T23" s="273">
        <f t="shared" si="27"/>
        <v>0</v>
      </c>
      <c r="U23" s="273">
        <f t="shared" si="28"/>
        <v>0</v>
      </c>
      <c r="V23" s="273"/>
      <c r="W23" s="273">
        <f t="shared" si="43"/>
        <v>0</v>
      </c>
      <c r="X23" s="273">
        <f t="shared" si="43"/>
        <v>0</v>
      </c>
      <c r="Y23" s="273">
        <f t="shared" si="43"/>
        <v>0</v>
      </c>
      <c r="Z23" s="273">
        <f t="shared" si="43"/>
        <v>0</v>
      </c>
      <c r="AA23" s="273"/>
      <c r="AB23" s="273"/>
      <c r="AC23" s="273"/>
      <c r="AD23" s="273"/>
      <c r="AE23" s="273"/>
      <c r="AF23" s="273"/>
      <c r="AG23" s="273"/>
      <c r="AH23" s="273"/>
    </row>
    <row r="24" spans="1:34">
      <c r="A24" s="41"/>
      <c r="B24" s="364" t="s">
        <v>1827</v>
      </c>
      <c r="C24" s="233"/>
      <c r="D24" s="285"/>
      <c r="E24" s="273"/>
      <c r="F24" s="278"/>
      <c r="G24" s="273"/>
      <c r="H24" s="273"/>
      <c r="I24" s="273"/>
      <c r="J24" s="273"/>
      <c r="K24" s="273"/>
      <c r="L24" s="273"/>
      <c r="M24" s="273"/>
      <c r="N24" s="273"/>
      <c r="O24" s="273"/>
      <c r="P24" s="273"/>
      <c r="Q24" s="273"/>
      <c r="R24" s="273"/>
      <c r="S24" s="273"/>
      <c r="T24" s="273"/>
      <c r="U24" s="273"/>
      <c r="V24" s="273"/>
      <c r="W24" s="273"/>
      <c r="X24" s="273"/>
      <c r="Y24" s="273"/>
      <c r="Z24" s="273"/>
      <c r="AA24" s="273"/>
      <c r="AB24" s="273"/>
      <c r="AC24" s="273"/>
      <c r="AD24" s="273"/>
      <c r="AE24" s="273"/>
      <c r="AF24" s="273"/>
      <c r="AG24" s="273"/>
      <c r="AH24" s="273"/>
    </row>
    <row r="25" spans="1:34">
      <c r="A25" s="41"/>
      <c r="B25" s="280" t="s">
        <v>1783</v>
      </c>
      <c r="C25" s="233" t="s">
        <v>1154</v>
      </c>
      <c r="D25" s="285" t="s">
        <v>959</v>
      </c>
      <c r="E25" s="273">
        <v>5000</v>
      </c>
      <c r="F25" s="278">
        <f>VLOOKUP(D25,$C$2:$E$4,2,FALSE)</f>
        <v>0.2</v>
      </c>
      <c r="G25" s="273"/>
      <c r="H25" s="273"/>
      <c r="I25" s="273">
        <f>$E25*H25</f>
        <v>0</v>
      </c>
      <c r="J25" s="273">
        <f>(1-$F25)*I25</f>
        <v>0</v>
      </c>
      <c r="K25" s="273">
        <f>J25*VLOOKUP($D25,$C$2:$E$4,3,FALSE)</f>
        <v>0</v>
      </c>
      <c r="L25" s="273"/>
      <c r="M25" s="273"/>
      <c r="N25" s="273">
        <f>$E25*M25</f>
        <v>0</v>
      </c>
      <c r="O25" s="273">
        <f>(1-$F25)*N25</f>
        <v>0</v>
      </c>
      <c r="P25" s="273">
        <f>O25*VLOOKUP($D25,$C$2:$E$4,3,FALSE)</f>
        <v>0</v>
      </c>
      <c r="Q25" s="273"/>
      <c r="R25" s="273"/>
      <c r="S25" s="273">
        <f>$E25*R25</f>
        <v>0</v>
      </c>
      <c r="T25" s="273">
        <f>(1-$F25)*S25</f>
        <v>0</v>
      </c>
      <c r="U25" s="273">
        <f>T25*VLOOKUP($D25,$C$2:$E$4,3,FALSE)</f>
        <v>0</v>
      </c>
      <c r="V25" s="273"/>
      <c r="W25" s="273">
        <f t="shared" ref="W25:Z26" si="44">H25+M25</f>
        <v>0</v>
      </c>
      <c r="X25" s="273">
        <f t="shared" si="44"/>
        <v>0</v>
      </c>
      <c r="Y25" s="273">
        <f t="shared" si="44"/>
        <v>0</v>
      </c>
      <c r="Z25" s="273">
        <f t="shared" si="44"/>
        <v>0</v>
      </c>
      <c r="AA25" s="273"/>
      <c r="AB25" s="273"/>
      <c r="AC25" s="273"/>
      <c r="AD25" s="273"/>
      <c r="AE25" s="273"/>
      <c r="AF25" s="273"/>
      <c r="AG25" s="273"/>
      <c r="AH25" s="273"/>
    </row>
    <row r="26" spans="1:34">
      <c r="A26" s="41"/>
      <c r="B26" s="280" t="s">
        <v>1784</v>
      </c>
      <c r="C26" s="233" t="s">
        <v>1154</v>
      </c>
      <c r="D26" s="285" t="s">
        <v>959</v>
      </c>
      <c r="E26" s="273">
        <v>16000</v>
      </c>
      <c r="F26" s="278">
        <f>VLOOKUP(D26,$C$2:$E$4,2,FALSE)</f>
        <v>0.2</v>
      </c>
      <c r="G26" s="273"/>
      <c r="H26" s="273"/>
      <c r="I26" s="273">
        <f>$E26*H26</f>
        <v>0</v>
      </c>
      <c r="J26" s="273">
        <f>(1-$F26)*I26</f>
        <v>0</v>
      </c>
      <c r="K26" s="273">
        <f>J26*VLOOKUP($D26,$C$2:$E$4,3,FALSE)</f>
        <v>0</v>
      </c>
      <c r="L26" s="273"/>
      <c r="M26" s="273"/>
      <c r="N26" s="273">
        <f>$E26*M26</f>
        <v>0</v>
      </c>
      <c r="O26" s="273">
        <f>(1-$F26)*N26</f>
        <v>0</v>
      </c>
      <c r="P26" s="273">
        <f>O26*VLOOKUP($D26,$C$2:$E$4,3,FALSE)</f>
        <v>0</v>
      </c>
      <c r="Q26" s="273"/>
      <c r="R26" s="273"/>
      <c r="S26" s="273">
        <f>$E26*R26</f>
        <v>0</v>
      </c>
      <c r="T26" s="273">
        <f>(1-$F26)*S26</f>
        <v>0</v>
      </c>
      <c r="U26" s="273">
        <f>T26*VLOOKUP($D26,$C$2:$E$4,3,FALSE)</f>
        <v>0</v>
      </c>
      <c r="V26" s="273"/>
      <c r="W26" s="273">
        <f t="shared" si="44"/>
        <v>0</v>
      </c>
      <c r="X26" s="273">
        <f t="shared" si="44"/>
        <v>0</v>
      </c>
      <c r="Y26" s="273">
        <f t="shared" si="44"/>
        <v>0</v>
      </c>
      <c r="Z26" s="273">
        <f t="shared" si="44"/>
        <v>0</v>
      </c>
      <c r="AA26" s="273"/>
      <c r="AB26" s="273"/>
      <c r="AC26" s="273"/>
      <c r="AD26" s="273"/>
      <c r="AE26" s="273"/>
      <c r="AF26" s="273"/>
      <c r="AG26" s="273"/>
      <c r="AH26" s="273"/>
    </row>
    <row r="27" spans="1:34">
      <c r="A27" s="41"/>
      <c r="B27" s="280" t="s">
        <v>1766</v>
      </c>
      <c r="C27" s="233" t="s">
        <v>1154</v>
      </c>
      <c r="D27" s="285" t="s">
        <v>959</v>
      </c>
      <c r="E27" s="273">
        <v>45000</v>
      </c>
      <c r="F27" s="278">
        <f t="shared" ref="F27:F98" si="45">VLOOKUP(D27,$C$2:$E$4,2,FALSE)</f>
        <v>0.2</v>
      </c>
      <c r="G27" s="273"/>
      <c r="H27" s="273"/>
      <c r="I27" s="273">
        <f t="shared" ref="I27:I98" si="46">$E27*H27</f>
        <v>0</v>
      </c>
      <c r="J27" s="273">
        <f t="shared" ref="J27:J98" si="47">(1-$F27)*I27</f>
        <v>0</v>
      </c>
      <c r="K27" s="273">
        <f t="shared" ref="K27:K98" si="48">J27*VLOOKUP($D27,$C$2:$E$4,3,FALSE)</f>
        <v>0</v>
      </c>
      <c r="L27" s="273"/>
      <c r="M27" s="273"/>
      <c r="N27" s="273">
        <f t="shared" ref="N27:N98" si="49">$E27*M27</f>
        <v>0</v>
      </c>
      <c r="O27" s="273">
        <f t="shared" ref="O27:O98" si="50">(1-$F27)*N27</f>
        <v>0</v>
      </c>
      <c r="P27" s="273">
        <f t="shared" ref="P27:P98" si="51">O27*VLOOKUP($D27,$C$2:$E$4,3,FALSE)</f>
        <v>0</v>
      </c>
      <c r="Q27" s="273"/>
      <c r="R27" s="273"/>
      <c r="S27" s="273">
        <f t="shared" ref="S27:S35" si="52">$E27*R27</f>
        <v>0</v>
      </c>
      <c r="T27" s="273">
        <f t="shared" ref="T27:T35" si="53">(1-$F27)*S27</f>
        <v>0</v>
      </c>
      <c r="U27" s="273">
        <f t="shared" ref="U27:U35" si="54">T27*VLOOKUP($D27,$C$2:$E$4,3,FALSE)</f>
        <v>0</v>
      </c>
      <c r="V27" s="273"/>
      <c r="W27" s="273">
        <f t="shared" ref="W27:W98" si="55">H27+M27</f>
        <v>0</v>
      </c>
      <c r="X27" s="273">
        <f t="shared" ref="X27:X98" si="56">I27+N27</f>
        <v>0</v>
      </c>
      <c r="Y27" s="273">
        <f t="shared" ref="Y27:Y98" si="57">J27+O27</f>
        <v>0</v>
      </c>
      <c r="Z27" s="273">
        <f t="shared" ref="Z27:Z98" si="58">K27+P27</f>
        <v>0</v>
      </c>
      <c r="AA27" s="273"/>
      <c r="AB27" s="273"/>
      <c r="AC27" s="273"/>
      <c r="AD27" s="273"/>
      <c r="AE27" s="273"/>
      <c r="AF27" s="273"/>
      <c r="AG27" s="273"/>
      <c r="AH27" s="273"/>
    </row>
    <row r="28" spans="1:34">
      <c r="A28" s="41"/>
      <c r="B28" s="280" t="s">
        <v>1767</v>
      </c>
      <c r="C28" s="233" t="s">
        <v>1154</v>
      </c>
      <c r="D28" s="285" t="s">
        <v>959</v>
      </c>
      <c r="E28" s="273">
        <v>57000</v>
      </c>
      <c r="F28" s="278">
        <f t="shared" si="45"/>
        <v>0.2</v>
      </c>
      <c r="G28" s="273"/>
      <c r="H28" s="273"/>
      <c r="I28" s="273">
        <f t="shared" si="46"/>
        <v>0</v>
      </c>
      <c r="J28" s="273">
        <f t="shared" si="47"/>
        <v>0</v>
      </c>
      <c r="K28" s="273">
        <f t="shared" si="48"/>
        <v>0</v>
      </c>
      <c r="L28" s="273"/>
      <c r="M28" s="273"/>
      <c r="N28" s="273">
        <f t="shared" si="49"/>
        <v>0</v>
      </c>
      <c r="O28" s="273">
        <f t="shared" si="50"/>
        <v>0</v>
      </c>
      <c r="P28" s="273">
        <f t="shared" si="51"/>
        <v>0</v>
      </c>
      <c r="Q28" s="273"/>
      <c r="R28" s="273"/>
      <c r="S28" s="273">
        <f t="shared" si="52"/>
        <v>0</v>
      </c>
      <c r="T28" s="273">
        <f t="shared" si="53"/>
        <v>0</v>
      </c>
      <c r="U28" s="273">
        <f t="shared" si="54"/>
        <v>0</v>
      </c>
      <c r="V28" s="273"/>
      <c r="W28" s="273">
        <f t="shared" si="55"/>
        <v>0</v>
      </c>
      <c r="X28" s="273">
        <f t="shared" si="56"/>
        <v>0</v>
      </c>
      <c r="Y28" s="273">
        <f t="shared" si="57"/>
        <v>0</v>
      </c>
      <c r="Z28" s="273">
        <f t="shared" si="58"/>
        <v>0</v>
      </c>
      <c r="AA28" s="273"/>
      <c r="AB28" s="273"/>
      <c r="AC28" s="273"/>
      <c r="AD28" s="273"/>
      <c r="AE28" s="273"/>
      <c r="AF28" s="273"/>
      <c r="AG28" s="273"/>
      <c r="AH28" s="273"/>
    </row>
    <row r="29" spans="1:34">
      <c r="A29" s="41"/>
      <c r="B29" s="280" t="s">
        <v>1768</v>
      </c>
      <c r="C29" s="233" t="s">
        <v>1154</v>
      </c>
      <c r="D29" s="285" t="s">
        <v>959</v>
      </c>
      <c r="E29" s="273">
        <v>331000</v>
      </c>
      <c r="F29" s="278">
        <f t="shared" si="45"/>
        <v>0.2</v>
      </c>
      <c r="G29" s="273"/>
      <c r="H29" s="273"/>
      <c r="I29" s="273">
        <f t="shared" si="46"/>
        <v>0</v>
      </c>
      <c r="J29" s="273">
        <f t="shared" si="47"/>
        <v>0</v>
      </c>
      <c r="K29" s="273">
        <f t="shared" si="48"/>
        <v>0</v>
      </c>
      <c r="L29" s="273"/>
      <c r="M29" s="273"/>
      <c r="N29" s="273">
        <f t="shared" si="49"/>
        <v>0</v>
      </c>
      <c r="O29" s="273">
        <f t="shared" si="50"/>
        <v>0</v>
      </c>
      <c r="P29" s="273">
        <f t="shared" si="51"/>
        <v>0</v>
      </c>
      <c r="Q29" s="273"/>
      <c r="R29" s="273"/>
      <c r="S29" s="273">
        <f t="shared" si="52"/>
        <v>0</v>
      </c>
      <c r="T29" s="273">
        <f t="shared" si="53"/>
        <v>0</v>
      </c>
      <c r="U29" s="273">
        <f t="shared" si="54"/>
        <v>0</v>
      </c>
      <c r="V29" s="273"/>
      <c r="W29" s="273">
        <f t="shared" si="55"/>
        <v>0</v>
      </c>
      <c r="X29" s="273">
        <f t="shared" si="56"/>
        <v>0</v>
      </c>
      <c r="Y29" s="273">
        <f t="shared" si="57"/>
        <v>0</v>
      </c>
      <c r="Z29" s="273">
        <f t="shared" si="58"/>
        <v>0</v>
      </c>
      <c r="AA29" s="273"/>
      <c r="AB29" s="273"/>
      <c r="AC29" s="273"/>
      <c r="AD29" s="273"/>
      <c r="AE29" s="273"/>
      <c r="AF29" s="273"/>
      <c r="AG29" s="273"/>
      <c r="AH29" s="273"/>
    </row>
    <row r="30" spans="1:34">
      <c r="A30" s="41"/>
      <c r="B30" s="280" t="s">
        <v>1770</v>
      </c>
      <c r="C30" s="233" t="s">
        <v>1154</v>
      </c>
      <c r="D30" s="285" t="s">
        <v>959</v>
      </c>
      <c r="E30" s="273">
        <v>37000</v>
      </c>
      <c r="F30" s="278">
        <f t="shared" si="45"/>
        <v>0.2</v>
      </c>
      <c r="G30" s="273"/>
      <c r="H30" s="273"/>
      <c r="I30" s="273">
        <f t="shared" si="46"/>
        <v>0</v>
      </c>
      <c r="J30" s="273">
        <f t="shared" si="47"/>
        <v>0</v>
      </c>
      <c r="K30" s="273">
        <f t="shared" si="48"/>
        <v>0</v>
      </c>
      <c r="L30" s="273"/>
      <c r="M30" s="273"/>
      <c r="N30" s="273">
        <f t="shared" si="49"/>
        <v>0</v>
      </c>
      <c r="O30" s="273">
        <f t="shared" si="50"/>
        <v>0</v>
      </c>
      <c r="P30" s="273">
        <f t="shared" si="51"/>
        <v>0</v>
      </c>
      <c r="Q30" s="273"/>
      <c r="R30" s="273"/>
      <c r="S30" s="273">
        <f t="shared" si="52"/>
        <v>0</v>
      </c>
      <c r="T30" s="273">
        <f t="shared" si="53"/>
        <v>0</v>
      </c>
      <c r="U30" s="273">
        <f t="shared" si="54"/>
        <v>0</v>
      </c>
      <c r="V30" s="273"/>
      <c r="W30" s="273">
        <f t="shared" si="55"/>
        <v>0</v>
      </c>
      <c r="X30" s="273">
        <f t="shared" si="56"/>
        <v>0</v>
      </c>
      <c r="Y30" s="273">
        <f t="shared" si="57"/>
        <v>0</v>
      </c>
      <c r="Z30" s="273">
        <f t="shared" si="58"/>
        <v>0</v>
      </c>
      <c r="AA30" s="273"/>
      <c r="AB30" s="273"/>
      <c r="AC30" s="273"/>
      <c r="AD30" s="273"/>
      <c r="AE30" s="273"/>
      <c r="AF30" s="273"/>
      <c r="AG30" s="273"/>
      <c r="AH30" s="273"/>
    </row>
    <row r="31" spans="1:34">
      <c r="A31" s="41"/>
      <c r="B31" s="280" t="s">
        <v>1773</v>
      </c>
      <c r="C31" s="233" t="s">
        <v>1154</v>
      </c>
      <c r="D31" s="285" t="s">
        <v>959</v>
      </c>
      <c r="E31" s="273">
        <v>331000</v>
      </c>
      <c r="F31" s="278">
        <f t="shared" si="45"/>
        <v>0.2</v>
      </c>
      <c r="G31" s="273"/>
      <c r="H31" s="273"/>
      <c r="I31" s="273">
        <f t="shared" si="46"/>
        <v>0</v>
      </c>
      <c r="J31" s="273">
        <f t="shared" si="47"/>
        <v>0</v>
      </c>
      <c r="K31" s="273">
        <f t="shared" si="48"/>
        <v>0</v>
      </c>
      <c r="L31" s="273"/>
      <c r="M31" s="273"/>
      <c r="N31" s="273">
        <f t="shared" si="49"/>
        <v>0</v>
      </c>
      <c r="O31" s="273">
        <f t="shared" si="50"/>
        <v>0</v>
      </c>
      <c r="P31" s="273">
        <f t="shared" si="51"/>
        <v>0</v>
      </c>
      <c r="Q31" s="273"/>
      <c r="R31" s="273"/>
      <c r="S31" s="273">
        <f t="shared" si="52"/>
        <v>0</v>
      </c>
      <c r="T31" s="273">
        <f t="shared" si="53"/>
        <v>0</v>
      </c>
      <c r="U31" s="273">
        <f t="shared" si="54"/>
        <v>0</v>
      </c>
      <c r="V31" s="273"/>
      <c r="W31" s="273">
        <f t="shared" si="55"/>
        <v>0</v>
      </c>
      <c r="X31" s="273">
        <f t="shared" si="56"/>
        <v>0</v>
      </c>
      <c r="Y31" s="273">
        <f t="shared" si="57"/>
        <v>0</v>
      </c>
      <c r="Z31" s="273">
        <f t="shared" si="58"/>
        <v>0</v>
      </c>
      <c r="AA31" s="273"/>
      <c r="AB31" s="273"/>
      <c r="AC31" s="273"/>
      <c r="AD31" s="273"/>
      <c r="AE31" s="273"/>
      <c r="AF31" s="273"/>
      <c r="AG31" s="273"/>
      <c r="AH31" s="273"/>
    </row>
    <row r="32" spans="1:34">
      <c r="A32" s="41"/>
      <c r="B32" s="280" t="s">
        <v>1774</v>
      </c>
      <c r="C32" s="233" t="s">
        <v>1154</v>
      </c>
      <c r="D32" s="285" t="s">
        <v>959</v>
      </c>
      <c r="E32" s="273">
        <v>331000</v>
      </c>
      <c r="F32" s="278">
        <f t="shared" si="45"/>
        <v>0.2</v>
      </c>
      <c r="G32" s="273"/>
      <c r="H32" s="273"/>
      <c r="I32" s="273">
        <f t="shared" si="46"/>
        <v>0</v>
      </c>
      <c r="J32" s="273">
        <f t="shared" si="47"/>
        <v>0</v>
      </c>
      <c r="K32" s="273">
        <f t="shared" si="48"/>
        <v>0</v>
      </c>
      <c r="L32" s="273"/>
      <c r="M32" s="273"/>
      <c r="N32" s="273">
        <f t="shared" si="49"/>
        <v>0</v>
      </c>
      <c r="O32" s="273">
        <f t="shared" si="50"/>
        <v>0</v>
      </c>
      <c r="P32" s="273">
        <f t="shared" si="51"/>
        <v>0</v>
      </c>
      <c r="Q32" s="273"/>
      <c r="R32" s="273"/>
      <c r="S32" s="273">
        <f t="shared" si="52"/>
        <v>0</v>
      </c>
      <c r="T32" s="273">
        <f t="shared" si="53"/>
        <v>0</v>
      </c>
      <c r="U32" s="273">
        <f t="shared" si="54"/>
        <v>0</v>
      </c>
      <c r="V32" s="273"/>
      <c r="W32" s="273">
        <f t="shared" si="55"/>
        <v>0</v>
      </c>
      <c r="X32" s="273">
        <f t="shared" si="56"/>
        <v>0</v>
      </c>
      <c r="Y32" s="273">
        <f t="shared" si="57"/>
        <v>0</v>
      </c>
      <c r="Z32" s="273">
        <f t="shared" si="58"/>
        <v>0</v>
      </c>
      <c r="AA32" s="273"/>
      <c r="AB32" s="273"/>
      <c r="AC32" s="273"/>
      <c r="AD32" s="273"/>
      <c r="AE32" s="273"/>
      <c r="AF32" s="273"/>
      <c r="AG32" s="273"/>
      <c r="AH32" s="273"/>
    </row>
    <row r="33" spans="1:34">
      <c r="A33" s="41"/>
      <c r="B33" s="280" t="s">
        <v>1780</v>
      </c>
      <c r="C33" s="233" t="s">
        <v>1154</v>
      </c>
      <c r="D33" s="285" t="s">
        <v>959</v>
      </c>
      <c r="E33" s="273">
        <v>16500</v>
      </c>
      <c r="F33" s="278">
        <f t="shared" si="45"/>
        <v>0.2</v>
      </c>
      <c r="G33" s="273"/>
      <c r="H33" s="273"/>
      <c r="I33" s="273">
        <f t="shared" si="46"/>
        <v>0</v>
      </c>
      <c r="J33" s="273">
        <f t="shared" si="47"/>
        <v>0</v>
      </c>
      <c r="K33" s="273">
        <f t="shared" si="48"/>
        <v>0</v>
      </c>
      <c r="L33" s="273"/>
      <c r="M33" s="273"/>
      <c r="N33" s="273">
        <f t="shared" si="49"/>
        <v>0</v>
      </c>
      <c r="O33" s="273">
        <f t="shared" si="50"/>
        <v>0</v>
      </c>
      <c r="P33" s="273">
        <f t="shared" si="51"/>
        <v>0</v>
      </c>
      <c r="Q33" s="273"/>
      <c r="R33" s="273"/>
      <c r="S33" s="273">
        <f t="shared" si="52"/>
        <v>0</v>
      </c>
      <c r="T33" s="273">
        <f t="shared" si="53"/>
        <v>0</v>
      </c>
      <c r="U33" s="273">
        <f t="shared" si="54"/>
        <v>0</v>
      </c>
      <c r="V33" s="273"/>
      <c r="W33" s="273">
        <f t="shared" si="55"/>
        <v>0</v>
      </c>
      <c r="X33" s="273">
        <f t="shared" si="56"/>
        <v>0</v>
      </c>
      <c r="Y33" s="273">
        <f t="shared" si="57"/>
        <v>0</v>
      </c>
      <c r="Z33" s="273">
        <f t="shared" si="58"/>
        <v>0</v>
      </c>
      <c r="AA33" s="273"/>
      <c r="AB33" s="273"/>
      <c r="AC33" s="273"/>
      <c r="AD33" s="273"/>
      <c r="AE33" s="273"/>
      <c r="AF33" s="273"/>
      <c r="AG33" s="273"/>
      <c r="AH33" s="273"/>
    </row>
    <row r="34" spans="1:34">
      <c r="A34" s="41"/>
      <c r="B34" s="280" t="s">
        <v>1781</v>
      </c>
      <c r="C34" s="233" t="s">
        <v>1154</v>
      </c>
      <c r="D34" s="285" t="s">
        <v>959</v>
      </c>
      <c r="E34" s="273">
        <v>53000</v>
      </c>
      <c r="F34" s="278">
        <f t="shared" si="45"/>
        <v>0.2</v>
      </c>
      <c r="G34" s="273"/>
      <c r="H34" s="273"/>
      <c r="I34" s="273">
        <f t="shared" si="46"/>
        <v>0</v>
      </c>
      <c r="J34" s="273">
        <f t="shared" si="47"/>
        <v>0</v>
      </c>
      <c r="K34" s="273">
        <f t="shared" si="48"/>
        <v>0</v>
      </c>
      <c r="L34" s="273"/>
      <c r="M34" s="273"/>
      <c r="N34" s="273">
        <f t="shared" si="49"/>
        <v>0</v>
      </c>
      <c r="O34" s="273">
        <f t="shared" si="50"/>
        <v>0</v>
      </c>
      <c r="P34" s="273">
        <f t="shared" si="51"/>
        <v>0</v>
      </c>
      <c r="Q34" s="273"/>
      <c r="R34" s="273"/>
      <c r="S34" s="273">
        <f t="shared" si="52"/>
        <v>0</v>
      </c>
      <c r="T34" s="273">
        <f t="shared" si="53"/>
        <v>0</v>
      </c>
      <c r="U34" s="273">
        <f t="shared" si="54"/>
        <v>0</v>
      </c>
      <c r="V34" s="273"/>
      <c r="W34" s="273">
        <f t="shared" si="55"/>
        <v>0</v>
      </c>
      <c r="X34" s="273">
        <f t="shared" si="56"/>
        <v>0</v>
      </c>
      <c r="Y34" s="273">
        <f t="shared" si="57"/>
        <v>0</v>
      </c>
      <c r="Z34" s="273">
        <f t="shared" si="58"/>
        <v>0</v>
      </c>
      <c r="AA34" s="273"/>
      <c r="AB34" s="273"/>
      <c r="AC34" s="273"/>
      <c r="AD34" s="273"/>
      <c r="AE34" s="273"/>
      <c r="AF34" s="273"/>
      <c r="AG34" s="273"/>
      <c r="AH34" s="273"/>
    </row>
    <row r="35" spans="1:34">
      <c r="A35" s="41"/>
      <c r="B35" s="280" t="s">
        <v>1782</v>
      </c>
      <c r="C35" s="233" t="s">
        <v>1154</v>
      </c>
      <c r="D35" s="285" t="s">
        <v>959</v>
      </c>
      <c r="E35" s="273">
        <v>53000</v>
      </c>
      <c r="F35" s="278">
        <f t="shared" si="45"/>
        <v>0.2</v>
      </c>
      <c r="G35" s="273"/>
      <c r="H35" s="273"/>
      <c r="I35" s="273">
        <f t="shared" si="46"/>
        <v>0</v>
      </c>
      <c r="J35" s="273">
        <f t="shared" si="47"/>
        <v>0</v>
      </c>
      <c r="K35" s="273">
        <f t="shared" si="48"/>
        <v>0</v>
      </c>
      <c r="L35" s="273"/>
      <c r="M35" s="273"/>
      <c r="N35" s="273">
        <f t="shared" si="49"/>
        <v>0</v>
      </c>
      <c r="O35" s="273">
        <f t="shared" si="50"/>
        <v>0</v>
      </c>
      <c r="P35" s="273">
        <f t="shared" si="51"/>
        <v>0</v>
      </c>
      <c r="Q35" s="273"/>
      <c r="R35" s="273"/>
      <c r="S35" s="273">
        <f t="shared" si="52"/>
        <v>0</v>
      </c>
      <c r="T35" s="273">
        <f t="shared" si="53"/>
        <v>0</v>
      </c>
      <c r="U35" s="273">
        <f t="shared" si="54"/>
        <v>0</v>
      </c>
      <c r="V35" s="273"/>
      <c r="W35" s="273">
        <f t="shared" si="55"/>
        <v>0</v>
      </c>
      <c r="X35" s="273">
        <f t="shared" si="56"/>
        <v>0</v>
      </c>
      <c r="Y35" s="273">
        <f t="shared" si="57"/>
        <v>0</v>
      </c>
      <c r="Z35" s="273">
        <f t="shared" si="58"/>
        <v>0</v>
      </c>
      <c r="AA35" s="273"/>
      <c r="AB35" s="273"/>
      <c r="AC35" s="273"/>
      <c r="AD35" s="273"/>
      <c r="AE35" s="273"/>
      <c r="AF35" s="273"/>
      <c r="AG35" s="273"/>
      <c r="AH35" s="273"/>
    </row>
    <row r="36" spans="1:34">
      <c r="A36" s="41"/>
      <c r="B36" s="280" t="s">
        <v>1746</v>
      </c>
      <c r="C36" s="233" t="s">
        <v>1154</v>
      </c>
      <c r="D36" s="285" t="s">
        <v>959</v>
      </c>
      <c r="E36" s="273">
        <v>89000</v>
      </c>
      <c r="F36" s="278">
        <f t="shared" ref="F36:F48" si="59">VLOOKUP(D36,$C$2:$E$4,2,FALSE)</f>
        <v>0.2</v>
      </c>
      <c r="G36" s="273"/>
      <c r="H36" s="273"/>
      <c r="I36" s="273">
        <f t="shared" ref="I36:I45" si="60">$E36*H36</f>
        <v>0</v>
      </c>
      <c r="J36" s="273">
        <f t="shared" ref="J36:J45" si="61">(1-$F36)*I36</f>
        <v>0</v>
      </c>
      <c r="K36" s="273">
        <f t="shared" ref="K36:K45" si="62">J36*VLOOKUP($D36,$C$2:$E$4,3,FALSE)</f>
        <v>0</v>
      </c>
      <c r="L36" s="273"/>
      <c r="M36" s="273"/>
      <c r="N36" s="273">
        <f t="shared" ref="N36:N45" si="63">$E36*M36</f>
        <v>0</v>
      </c>
      <c r="O36" s="273">
        <f t="shared" ref="O36:O45" si="64">(1-$F36)*N36</f>
        <v>0</v>
      </c>
      <c r="P36" s="273">
        <f t="shared" ref="P36:P45" si="65">O36*VLOOKUP($D36,$C$2:$E$4,3,FALSE)</f>
        <v>0</v>
      </c>
      <c r="Q36" s="273"/>
      <c r="R36" s="273"/>
      <c r="S36" s="273">
        <f t="shared" ref="S36:S45" si="66">$E36*R36</f>
        <v>0</v>
      </c>
      <c r="T36" s="273">
        <f t="shared" ref="T36:T45" si="67">(1-$F36)*S36</f>
        <v>0</v>
      </c>
      <c r="U36" s="273">
        <f t="shared" ref="U36:U45" si="68">T36*VLOOKUP($D36,$C$2:$E$4,3,FALSE)</f>
        <v>0</v>
      </c>
      <c r="V36" s="273"/>
      <c r="W36" s="273">
        <f t="shared" ref="W36:W48" si="69">H36+M36</f>
        <v>0</v>
      </c>
      <c r="X36" s="273">
        <f t="shared" ref="X36:Z36" si="70">I36+N36</f>
        <v>0</v>
      </c>
      <c r="Y36" s="273">
        <f t="shared" si="70"/>
        <v>0</v>
      </c>
      <c r="Z36" s="273">
        <f t="shared" si="70"/>
        <v>0</v>
      </c>
      <c r="AA36" s="273"/>
      <c r="AB36" s="273"/>
      <c r="AC36" s="273"/>
      <c r="AD36" s="273"/>
      <c r="AE36" s="273"/>
      <c r="AF36" s="273"/>
      <c r="AG36" s="273"/>
      <c r="AH36" s="273"/>
    </row>
    <row r="37" spans="1:34">
      <c r="A37" s="41"/>
      <c r="B37" s="280" t="s">
        <v>1763</v>
      </c>
      <c r="C37" s="233" t="s">
        <v>1154</v>
      </c>
      <c r="D37" s="285" t="s">
        <v>959</v>
      </c>
      <c r="E37" s="273">
        <v>45000</v>
      </c>
      <c r="F37" s="278">
        <f t="shared" si="59"/>
        <v>0.2</v>
      </c>
      <c r="G37" s="273"/>
      <c r="H37" s="273"/>
      <c r="I37" s="273">
        <f t="shared" si="60"/>
        <v>0</v>
      </c>
      <c r="J37" s="273">
        <f t="shared" si="61"/>
        <v>0</v>
      </c>
      <c r="K37" s="273">
        <f t="shared" si="62"/>
        <v>0</v>
      </c>
      <c r="L37" s="273"/>
      <c r="M37" s="273"/>
      <c r="N37" s="273">
        <f t="shared" si="63"/>
        <v>0</v>
      </c>
      <c r="O37" s="273">
        <f t="shared" si="64"/>
        <v>0</v>
      </c>
      <c r="P37" s="273">
        <f t="shared" si="65"/>
        <v>0</v>
      </c>
      <c r="Q37" s="273"/>
      <c r="R37" s="273"/>
      <c r="S37" s="273">
        <f t="shared" si="66"/>
        <v>0</v>
      </c>
      <c r="T37" s="273">
        <f t="shared" si="67"/>
        <v>0</v>
      </c>
      <c r="U37" s="273">
        <f t="shared" si="68"/>
        <v>0</v>
      </c>
      <c r="V37" s="273"/>
      <c r="W37" s="273">
        <f t="shared" si="69"/>
        <v>0</v>
      </c>
      <c r="X37" s="273">
        <f t="shared" ref="X37:X46" si="71">I37+N37</f>
        <v>0</v>
      </c>
      <c r="Y37" s="273">
        <f t="shared" ref="Y37:Y46" si="72">J37+O37</f>
        <v>0</v>
      </c>
      <c r="Z37" s="273">
        <f t="shared" ref="Z37:Z46" si="73">K37+P37</f>
        <v>0</v>
      </c>
      <c r="AA37" s="273"/>
      <c r="AB37" s="273"/>
      <c r="AC37" s="273"/>
      <c r="AD37" s="273"/>
      <c r="AE37" s="273"/>
      <c r="AF37" s="273"/>
      <c r="AG37" s="273"/>
      <c r="AH37" s="273"/>
    </row>
    <row r="38" spans="1:34">
      <c r="A38" s="41"/>
      <c r="B38" s="280" t="s">
        <v>1764</v>
      </c>
      <c r="C38" s="233" t="s">
        <v>1154</v>
      </c>
      <c r="D38" s="285" t="s">
        <v>959</v>
      </c>
      <c r="E38" s="273">
        <v>57000</v>
      </c>
      <c r="F38" s="278">
        <f t="shared" si="59"/>
        <v>0.2</v>
      </c>
      <c r="G38" s="273"/>
      <c r="H38" s="273"/>
      <c r="I38" s="273">
        <f t="shared" si="60"/>
        <v>0</v>
      </c>
      <c r="J38" s="273">
        <f t="shared" si="61"/>
        <v>0</v>
      </c>
      <c r="K38" s="273">
        <f t="shared" si="62"/>
        <v>0</v>
      </c>
      <c r="L38" s="273"/>
      <c r="M38" s="273"/>
      <c r="N38" s="273">
        <f t="shared" si="63"/>
        <v>0</v>
      </c>
      <c r="O38" s="273">
        <f t="shared" si="64"/>
        <v>0</v>
      </c>
      <c r="P38" s="273">
        <f t="shared" si="65"/>
        <v>0</v>
      </c>
      <c r="Q38" s="273"/>
      <c r="R38" s="273"/>
      <c r="S38" s="273">
        <f t="shared" si="66"/>
        <v>0</v>
      </c>
      <c r="T38" s="273">
        <f t="shared" si="67"/>
        <v>0</v>
      </c>
      <c r="U38" s="273">
        <f t="shared" si="68"/>
        <v>0</v>
      </c>
      <c r="V38" s="273"/>
      <c r="W38" s="273">
        <f t="shared" si="69"/>
        <v>0</v>
      </c>
      <c r="X38" s="273">
        <f t="shared" si="71"/>
        <v>0</v>
      </c>
      <c r="Y38" s="273">
        <f t="shared" si="72"/>
        <v>0</v>
      </c>
      <c r="Z38" s="273">
        <f t="shared" si="73"/>
        <v>0</v>
      </c>
      <c r="AA38" s="273"/>
      <c r="AB38" s="273"/>
      <c r="AC38" s="273"/>
      <c r="AD38" s="273"/>
      <c r="AE38" s="273"/>
      <c r="AF38" s="273"/>
      <c r="AG38" s="273"/>
      <c r="AH38" s="273"/>
    </row>
    <row r="39" spans="1:34">
      <c r="A39" s="41"/>
      <c r="B39" s="280" t="s">
        <v>1765</v>
      </c>
      <c r="C39" s="233" t="s">
        <v>1154</v>
      </c>
      <c r="D39" s="285" t="s">
        <v>959</v>
      </c>
      <c r="E39" s="273">
        <v>331000</v>
      </c>
      <c r="F39" s="278">
        <f t="shared" si="59"/>
        <v>0.2</v>
      </c>
      <c r="G39" s="273"/>
      <c r="H39" s="273"/>
      <c r="I39" s="273">
        <f t="shared" si="60"/>
        <v>0</v>
      </c>
      <c r="J39" s="273">
        <f t="shared" si="61"/>
        <v>0</v>
      </c>
      <c r="K39" s="273">
        <f t="shared" si="62"/>
        <v>0</v>
      </c>
      <c r="L39" s="273"/>
      <c r="M39" s="273"/>
      <c r="N39" s="273">
        <f t="shared" si="63"/>
        <v>0</v>
      </c>
      <c r="O39" s="273">
        <f t="shared" si="64"/>
        <v>0</v>
      </c>
      <c r="P39" s="273">
        <f t="shared" si="65"/>
        <v>0</v>
      </c>
      <c r="Q39" s="273"/>
      <c r="R39" s="273"/>
      <c r="S39" s="273">
        <f t="shared" si="66"/>
        <v>0</v>
      </c>
      <c r="T39" s="273">
        <f t="shared" si="67"/>
        <v>0</v>
      </c>
      <c r="U39" s="273">
        <f t="shared" si="68"/>
        <v>0</v>
      </c>
      <c r="V39" s="273"/>
      <c r="W39" s="273">
        <f t="shared" si="69"/>
        <v>0</v>
      </c>
      <c r="X39" s="273">
        <f t="shared" si="71"/>
        <v>0</v>
      </c>
      <c r="Y39" s="273">
        <f t="shared" si="72"/>
        <v>0</v>
      </c>
      <c r="Z39" s="273">
        <f t="shared" si="73"/>
        <v>0</v>
      </c>
      <c r="AA39" s="273"/>
      <c r="AB39" s="273"/>
      <c r="AC39" s="273"/>
      <c r="AD39" s="273"/>
      <c r="AE39" s="273"/>
      <c r="AF39" s="273"/>
      <c r="AG39" s="273"/>
      <c r="AH39" s="273"/>
    </row>
    <row r="40" spans="1:34">
      <c r="A40" s="41"/>
      <c r="B40" s="280" t="s">
        <v>1771</v>
      </c>
      <c r="C40" s="233" t="s">
        <v>1154</v>
      </c>
      <c r="D40" s="285" t="s">
        <v>959</v>
      </c>
      <c r="E40" s="273">
        <v>331000</v>
      </c>
      <c r="F40" s="278">
        <f t="shared" si="59"/>
        <v>0.2</v>
      </c>
      <c r="G40" s="273"/>
      <c r="H40" s="273"/>
      <c r="I40" s="273">
        <f t="shared" si="60"/>
        <v>0</v>
      </c>
      <c r="J40" s="273">
        <f t="shared" si="61"/>
        <v>0</v>
      </c>
      <c r="K40" s="273">
        <f t="shared" si="62"/>
        <v>0</v>
      </c>
      <c r="L40" s="273"/>
      <c r="M40" s="273"/>
      <c r="N40" s="273">
        <f t="shared" si="63"/>
        <v>0</v>
      </c>
      <c r="O40" s="273">
        <f t="shared" si="64"/>
        <v>0</v>
      </c>
      <c r="P40" s="273">
        <f t="shared" si="65"/>
        <v>0</v>
      </c>
      <c r="Q40" s="273"/>
      <c r="R40" s="273"/>
      <c r="S40" s="273">
        <f t="shared" si="66"/>
        <v>0</v>
      </c>
      <c r="T40" s="273">
        <f t="shared" si="67"/>
        <v>0</v>
      </c>
      <c r="U40" s="273">
        <f t="shared" si="68"/>
        <v>0</v>
      </c>
      <c r="V40" s="273"/>
      <c r="W40" s="273">
        <f t="shared" si="69"/>
        <v>0</v>
      </c>
      <c r="X40" s="273">
        <f t="shared" si="71"/>
        <v>0</v>
      </c>
      <c r="Y40" s="273">
        <f t="shared" si="72"/>
        <v>0</v>
      </c>
      <c r="Z40" s="273">
        <f t="shared" si="73"/>
        <v>0</v>
      </c>
      <c r="AA40" s="273"/>
      <c r="AB40" s="273"/>
      <c r="AC40" s="273"/>
      <c r="AD40" s="273"/>
      <c r="AE40" s="273"/>
      <c r="AF40" s="273"/>
      <c r="AG40" s="273"/>
      <c r="AH40" s="273"/>
    </row>
    <row r="41" spans="1:34">
      <c r="A41" s="41"/>
      <c r="B41" s="280" t="s">
        <v>1772</v>
      </c>
      <c r="C41" s="233" t="s">
        <v>1154</v>
      </c>
      <c r="D41" s="285" t="s">
        <v>959</v>
      </c>
      <c r="E41" s="273">
        <v>331000</v>
      </c>
      <c r="F41" s="278">
        <f t="shared" si="59"/>
        <v>0.2</v>
      </c>
      <c r="G41" s="273"/>
      <c r="H41" s="273"/>
      <c r="I41" s="273">
        <f t="shared" si="60"/>
        <v>0</v>
      </c>
      <c r="J41" s="273">
        <f t="shared" si="61"/>
        <v>0</v>
      </c>
      <c r="K41" s="273">
        <f t="shared" si="62"/>
        <v>0</v>
      </c>
      <c r="L41" s="273"/>
      <c r="M41" s="273"/>
      <c r="N41" s="273">
        <f t="shared" si="63"/>
        <v>0</v>
      </c>
      <c r="O41" s="273">
        <f t="shared" si="64"/>
        <v>0</v>
      </c>
      <c r="P41" s="273">
        <f t="shared" si="65"/>
        <v>0</v>
      </c>
      <c r="Q41" s="273"/>
      <c r="R41" s="273"/>
      <c r="S41" s="273">
        <f t="shared" si="66"/>
        <v>0</v>
      </c>
      <c r="T41" s="273">
        <f t="shared" si="67"/>
        <v>0</v>
      </c>
      <c r="U41" s="273">
        <f t="shared" si="68"/>
        <v>0</v>
      </c>
      <c r="V41" s="273"/>
      <c r="W41" s="273">
        <f t="shared" si="69"/>
        <v>0</v>
      </c>
      <c r="X41" s="273">
        <f t="shared" si="71"/>
        <v>0</v>
      </c>
      <c r="Y41" s="273">
        <f t="shared" si="72"/>
        <v>0</v>
      </c>
      <c r="Z41" s="273">
        <f t="shared" si="73"/>
        <v>0</v>
      </c>
      <c r="AA41" s="273"/>
      <c r="AB41" s="273"/>
      <c r="AC41" s="273"/>
      <c r="AD41" s="273"/>
      <c r="AE41" s="273"/>
      <c r="AF41" s="273"/>
      <c r="AG41" s="273"/>
      <c r="AH41" s="273"/>
    </row>
    <row r="42" spans="1:34">
      <c r="A42" s="41"/>
      <c r="B42" s="280" t="s">
        <v>1769</v>
      </c>
      <c r="C42" s="233" t="s">
        <v>1154</v>
      </c>
      <c r="D42" s="285" t="s">
        <v>959</v>
      </c>
      <c r="E42" s="273">
        <v>37000</v>
      </c>
      <c r="F42" s="278">
        <f t="shared" si="59"/>
        <v>0.2</v>
      </c>
      <c r="G42" s="273"/>
      <c r="H42" s="273"/>
      <c r="I42" s="273">
        <f t="shared" si="60"/>
        <v>0</v>
      </c>
      <c r="J42" s="273">
        <f t="shared" si="61"/>
        <v>0</v>
      </c>
      <c r="K42" s="273">
        <f t="shared" si="62"/>
        <v>0</v>
      </c>
      <c r="L42" s="273"/>
      <c r="M42" s="273"/>
      <c r="N42" s="273">
        <f t="shared" si="63"/>
        <v>0</v>
      </c>
      <c r="O42" s="273">
        <f t="shared" si="64"/>
        <v>0</v>
      </c>
      <c r="P42" s="273">
        <f t="shared" si="65"/>
        <v>0</v>
      </c>
      <c r="Q42" s="273"/>
      <c r="R42" s="273"/>
      <c r="S42" s="273">
        <f t="shared" si="66"/>
        <v>0</v>
      </c>
      <c r="T42" s="273">
        <f t="shared" si="67"/>
        <v>0</v>
      </c>
      <c r="U42" s="273">
        <f t="shared" si="68"/>
        <v>0</v>
      </c>
      <c r="V42" s="273"/>
      <c r="W42" s="273">
        <f t="shared" si="69"/>
        <v>0</v>
      </c>
      <c r="X42" s="273">
        <f t="shared" si="71"/>
        <v>0</v>
      </c>
      <c r="Y42" s="273">
        <f t="shared" si="72"/>
        <v>0</v>
      </c>
      <c r="Z42" s="273">
        <f t="shared" si="73"/>
        <v>0</v>
      </c>
      <c r="AA42" s="273"/>
      <c r="AB42" s="273"/>
      <c r="AC42" s="273"/>
      <c r="AD42" s="273"/>
      <c r="AE42" s="273"/>
      <c r="AF42" s="273"/>
      <c r="AG42" s="273"/>
      <c r="AH42" s="273"/>
    </row>
    <row r="43" spans="1:34">
      <c r="A43" s="41"/>
      <c r="B43" s="280" t="s">
        <v>1777</v>
      </c>
      <c r="C43" s="233" t="s">
        <v>1154</v>
      </c>
      <c r="D43" s="285" t="s">
        <v>959</v>
      </c>
      <c r="E43" s="273">
        <v>16500</v>
      </c>
      <c r="F43" s="278">
        <f t="shared" si="59"/>
        <v>0.2</v>
      </c>
      <c r="G43" s="273"/>
      <c r="H43" s="273"/>
      <c r="I43" s="273">
        <f t="shared" si="60"/>
        <v>0</v>
      </c>
      <c r="J43" s="273">
        <f t="shared" si="61"/>
        <v>0</v>
      </c>
      <c r="K43" s="273">
        <f t="shared" si="62"/>
        <v>0</v>
      </c>
      <c r="L43" s="273"/>
      <c r="M43" s="273"/>
      <c r="N43" s="273">
        <f t="shared" si="63"/>
        <v>0</v>
      </c>
      <c r="O43" s="273">
        <f t="shared" si="64"/>
        <v>0</v>
      </c>
      <c r="P43" s="273">
        <f t="shared" si="65"/>
        <v>0</v>
      </c>
      <c r="Q43" s="273"/>
      <c r="R43" s="273"/>
      <c r="S43" s="273">
        <f t="shared" si="66"/>
        <v>0</v>
      </c>
      <c r="T43" s="273">
        <f t="shared" si="67"/>
        <v>0</v>
      </c>
      <c r="U43" s="273">
        <f t="shared" si="68"/>
        <v>0</v>
      </c>
      <c r="V43" s="273"/>
      <c r="W43" s="273">
        <f t="shared" si="69"/>
        <v>0</v>
      </c>
      <c r="X43" s="273">
        <f t="shared" si="71"/>
        <v>0</v>
      </c>
      <c r="Y43" s="273">
        <f t="shared" si="72"/>
        <v>0</v>
      </c>
      <c r="Z43" s="273">
        <f t="shared" si="73"/>
        <v>0</v>
      </c>
      <c r="AA43" s="273"/>
      <c r="AB43" s="273"/>
      <c r="AC43" s="273"/>
      <c r="AD43" s="273"/>
      <c r="AE43" s="273"/>
      <c r="AF43" s="273"/>
      <c r="AG43" s="273"/>
      <c r="AH43" s="273"/>
    </row>
    <row r="44" spans="1:34">
      <c r="A44" s="41"/>
      <c r="B44" s="280" t="s">
        <v>1778</v>
      </c>
      <c r="C44" s="233" t="s">
        <v>1154</v>
      </c>
      <c r="D44" s="285" t="s">
        <v>959</v>
      </c>
      <c r="E44" s="273">
        <v>53000</v>
      </c>
      <c r="F44" s="278">
        <f t="shared" si="59"/>
        <v>0.2</v>
      </c>
      <c r="G44" s="273"/>
      <c r="H44" s="273"/>
      <c r="I44" s="273">
        <f t="shared" si="60"/>
        <v>0</v>
      </c>
      <c r="J44" s="273">
        <f t="shared" si="61"/>
        <v>0</v>
      </c>
      <c r="K44" s="273">
        <f t="shared" si="62"/>
        <v>0</v>
      </c>
      <c r="L44" s="273"/>
      <c r="M44" s="273"/>
      <c r="N44" s="273">
        <f t="shared" si="63"/>
        <v>0</v>
      </c>
      <c r="O44" s="273">
        <f t="shared" si="64"/>
        <v>0</v>
      </c>
      <c r="P44" s="273">
        <f t="shared" si="65"/>
        <v>0</v>
      </c>
      <c r="Q44" s="273"/>
      <c r="R44" s="273"/>
      <c r="S44" s="273">
        <f t="shared" si="66"/>
        <v>0</v>
      </c>
      <c r="T44" s="273">
        <f t="shared" si="67"/>
        <v>0</v>
      </c>
      <c r="U44" s="273">
        <f t="shared" si="68"/>
        <v>0</v>
      </c>
      <c r="V44" s="273"/>
      <c r="W44" s="273">
        <f t="shared" si="69"/>
        <v>0</v>
      </c>
      <c r="X44" s="273">
        <f t="shared" si="71"/>
        <v>0</v>
      </c>
      <c r="Y44" s="273">
        <f t="shared" si="72"/>
        <v>0</v>
      </c>
      <c r="Z44" s="273">
        <f t="shared" si="73"/>
        <v>0</v>
      </c>
      <c r="AA44" s="273"/>
      <c r="AB44" s="273"/>
      <c r="AC44" s="273"/>
      <c r="AD44" s="273"/>
      <c r="AE44" s="273"/>
      <c r="AF44" s="273"/>
      <c r="AG44" s="273"/>
      <c r="AH44" s="273"/>
    </row>
    <row r="45" spans="1:34">
      <c r="A45" s="41"/>
      <c r="B45" s="280" t="s">
        <v>1779</v>
      </c>
      <c r="C45" s="233" t="s">
        <v>1154</v>
      </c>
      <c r="D45" s="285" t="s">
        <v>959</v>
      </c>
      <c r="E45" s="273">
        <v>53000</v>
      </c>
      <c r="F45" s="278">
        <f t="shared" si="59"/>
        <v>0.2</v>
      </c>
      <c r="G45" s="273"/>
      <c r="H45" s="273"/>
      <c r="I45" s="273">
        <f t="shared" si="60"/>
        <v>0</v>
      </c>
      <c r="J45" s="273">
        <f t="shared" si="61"/>
        <v>0</v>
      </c>
      <c r="K45" s="273">
        <f t="shared" si="62"/>
        <v>0</v>
      </c>
      <c r="L45" s="273"/>
      <c r="M45" s="273"/>
      <c r="N45" s="273">
        <f t="shared" si="63"/>
        <v>0</v>
      </c>
      <c r="O45" s="273">
        <f t="shared" si="64"/>
        <v>0</v>
      </c>
      <c r="P45" s="273">
        <f t="shared" si="65"/>
        <v>0</v>
      </c>
      <c r="Q45" s="273"/>
      <c r="R45" s="273"/>
      <c r="S45" s="273">
        <f t="shared" si="66"/>
        <v>0</v>
      </c>
      <c r="T45" s="273">
        <f t="shared" si="67"/>
        <v>0</v>
      </c>
      <c r="U45" s="273">
        <f t="shared" si="68"/>
        <v>0</v>
      </c>
      <c r="V45" s="273"/>
      <c r="W45" s="273">
        <f t="shared" si="69"/>
        <v>0</v>
      </c>
      <c r="X45" s="273">
        <f t="shared" si="71"/>
        <v>0</v>
      </c>
      <c r="Y45" s="273">
        <f t="shared" si="72"/>
        <v>0</v>
      </c>
      <c r="Z45" s="273">
        <f t="shared" si="73"/>
        <v>0</v>
      </c>
      <c r="AA45" s="273"/>
      <c r="AB45" s="273"/>
      <c r="AC45" s="273"/>
      <c r="AD45" s="273"/>
      <c r="AE45" s="273"/>
      <c r="AF45" s="273"/>
      <c r="AG45" s="273"/>
      <c r="AH45" s="273"/>
    </row>
    <row r="46" spans="1:34">
      <c r="A46" s="41"/>
      <c r="B46" s="280" t="s">
        <v>1736</v>
      </c>
      <c r="C46" s="233" t="s">
        <v>1154</v>
      </c>
      <c r="D46" s="285" t="s">
        <v>959</v>
      </c>
      <c r="E46" s="273">
        <v>84000</v>
      </c>
      <c r="F46" s="278">
        <f t="shared" si="59"/>
        <v>0.2</v>
      </c>
      <c r="G46" s="273"/>
      <c r="H46" s="273"/>
      <c r="I46" s="273">
        <f t="shared" ref="I46:I57" si="74">$E46*H46</f>
        <v>0</v>
      </c>
      <c r="J46" s="273">
        <f t="shared" ref="J46:J57" si="75">(1-$F46)*I46</f>
        <v>0</v>
      </c>
      <c r="K46" s="273">
        <f t="shared" ref="K46:K57" si="76">J46*VLOOKUP($D46,$C$2:$E$4,3,FALSE)</f>
        <v>0</v>
      </c>
      <c r="L46" s="273"/>
      <c r="M46" s="273"/>
      <c r="N46" s="273">
        <f t="shared" ref="N46:N57" si="77">$E46*M46</f>
        <v>0</v>
      </c>
      <c r="O46" s="273">
        <f t="shared" ref="O46:O57" si="78">(1-$F46)*N46</f>
        <v>0</v>
      </c>
      <c r="P46" s="273">
        <f t="shared" ref="P46:P57" si="79">O46*VLOOKUP($D46,$C$2:$E$4,3,FALSE)</f>
        <v>0</v>
      </c>
      <c r="Q46" s="273"/>
      <c r="R46" s="273"/>
      <c r="S46" s="273">
        <f t="shared" ref="S46:S57" si="80">$E46*R46</f>
        <v>0</v>
      </c>
      <c r="T46" s="273">
        <f t="shared" ref="T46:T57" si="81">(1-$F46)*S46</f>
        <v>0</v>
      </c>
      <c r="U46" s="273">
        <f t="shared" ref="U46:U57" si="82">T46*VLOOKUP($D46,$C$2:$E$4,3,FALSE)</f>
        <v>0</v>
      </c>
      <c r="V46" s="273"/>
      <c r="W46" s="273">
        <f t="shared" si="69"/>
        <v>0</v>
      </c>
      <c r="X46" s="273">
        <f t="shared" si="71"/>
        <v>0</v>
      </c>
      <c r="Y46" s="273">
        <f t="shared" si="72"/>
        <v>0</v>
      </c>
      <c r="Z46" s="273">
        <f t="shared" si="73"/>
        <v>0</v>
      </c>
      <c r="AA46" s="273"/>
      <c r="AB46" s="273"/>
      <c r="AC46" s="273"/>
      <c r="AD46" s="273"/>
      <c r="AE46" s="273"/>
      <c r="AF46" s="273"/>
      <c r="AG46" s="273"/>
      <c r="AH46" s="273"/>
    </row>
    <row r="47" spans="1:34">
      <c r="A47" s="41"/>
      <c r="B47" s="280" t="s">
        <v>1737</v>
      </c>
      <c r="C47" s="233" t="s">
        <v>1154</v>
      </c>
      <c r="D47" s="285" t="s">
        <v>959</v>
      </c>
      <c r="E47" s="273">
        <v>84000</v>
      </c>
      <c r="F47" s="278">
        <f t="shared" si="59"/>
        <v>0.2</v>
      </c>
      <c r="G47" s="273"/>
      <c r="H47" s="273"/>
      <c r="I47" s="273">
        <f t="shared" si="74"/>
        <v>0</v>
      </c>
      <c r="J47" s="273">
        <f t="shared" si="75"/>
        <v>0</v>
      </c>
      <c r="K47" s="273">
        <f t="shared" si="76"/>
        <v>0</v>
      </c>
      <c r="L47" s="273"/>
      <c r="M47" s="273"/>
      <c r="N47" s="273">
        <f t="shared" si="77"/>
        <v>0</v>
      </c>
      <c r="O47" s="273">
        <f t="shared" si="78"/>
        <v>0</v>
      </c>
      <c r="P47" s="273">
        <f t="shared" si="79"/>
        <v>0</v>
      </c>
      <c r="Q47" s="273"/>
      <c r="R47" s="273"/>
      <c r="S47" s="273">
        <f t="shared" si="80"/>
        <v>0</v>
      </c>
      <c r="T47" s="273">
        <f t="shared" si="81"/>
        <v>0</v>
      </c>
      <c r="U47" s="273">
        <f t="shared" si="82"/>
        <v>0</v>
      </c>
      <c r="V47" s="273"/>
      <c r="W47" s="273">
        <f t="shared" si="69"/>
        <v>0</v>
      </c>
      <c r="X47" s="273">
        <f t="shared" ref="X47" si="83">I47+N47</f>
        <v>0</v>
      </c>
      <c r="Y47" s="273">
        <f t="shared" ref="Y47" si="84">J47+O47</f>
        <v>0</v>
      </c>
      <c r="Z47" s="273">
        <f t="shared" ref="Z47" si="85">K47+P47</f>
        <v>0</v>
      </c>
      <c r="AA47" s="273"/>
      <c r="AB47" s="273"/>
      <c r="AC47" s="273"/>
      <c r="AD47" s="273"/>
      <c r="AE47" s="273"/>
      <c r="AF47" s="273"/>
      <c r="AG47" s="273"/>
      <c r="AH47" s="273"/>
    </row>
    <row r="48" spans="1:34">
      <c r="A48" s="41"/>
      <c r="B48" s="280" t="s">
        <v>1738</v>
      </c>
      <c r="C48" s="233" t="s">
        <v>1154</v>
      </c>
      <c r="D48" s="285" t="s">
        <v>959</v>
      </c>
      <c r="E48" s="273">
        <v>84000</v>
      </c>
      <c r="F48" s="278">
        <f t="shared" si="59"/>
        <v>0.2</v>
      </c>
      <c r="G48" s="273"/>
      <c r="H48" s="273"/>
      <c r="I48" s="273">
        <f t="shared" si="74"/>
        <v>0</v>
      </c>
      <c r="J48" s="273">
        <f t="shared" si="75"/>
        <v>0</v>
      </c>
      <c r="K48" s="273">
        <f t="shared" si="76"/>
        <v>0</v>
      </c>
      <c r="L48" s="273"/>
      <c r="M48" s="273"/>
      <c r="N48" s="273">
        <f t="shared" si="77"/>
        <v>0</v>
      </c>
      <c r="O48" s="273">
        <f t="shared" si="78"/>
        <v>0</v>
      </c>
      <c r="P48" s="273">
        <f t="shared" si="79"/>
        <v>0</v>
      </c>
      <c r="Q48" s="273"/>
      <c r="R48" s="273"/>
      <c r="S48" s="273">
        <f t="shared" si="80"/>
        <v>0</v>
      </c>
      <c r="T48" s="273">
        <f t="shared" si="81"/>
        <v>0</v>
      </c>
      <c r="U48" s="273">
        <f t="shared" si="82"/>
        <v>0</v>
      </c>
      <c r="V48" s="273"/>
      <c r="W48" s="273">
        <f t="shared" si="69"/>
        <v>0</v>
      </c>
      <c r="X48" s="273">
        <f>I48+N48</f>
        <v>0</v>
      </c>
      <c r="Y48" s="273">
        <f>J48+O48</f>
        <v>0</v>
      </c>
      <c r="Z48" s="273">
        <f>K48+P48</f>
        <v>0</v>
      </c>
      <c r="AA48" s="273"/>
      <c r="AB48" s="273"/>
      <c r="AC48" s="273"/>
      <c r="AD48" s="273"/>
      <c r="AE48" s="273"/>
      <c r="AF48" s="273"/>
      <c r="AG48" s="273"/>
      <c r="AH48" s="273"/>
    </row>
    <row r="49" spans="1:34">
      <c r="A49" s="41"/>
      <c r="B49" s="280" t="s">
        <v>1739</v>
      </c>
      <c r="C49" s="233" t="s">
        <v>1154</v>
      </c>
      <c r="D49" s="285" t="s">
        <v>959</v>
      </c>
      <c r="E49" s="273">
        <v>84000</v>
      </c>
      <c r="F49" s="278">
        <f t="shared" ref="F49" si="86">VLOOKUP(D49,$C$2:$E$4,2,FALSE)</f>
        <v>0.2</v>
      </c>
      <c r="G49" s="273"/>
      <c r="H49" s="273"/>
      <c r="I49" s="273">
        <f t="shared" si="74"/>
        <v>0</v>
      </c>
      <c r="J49" s="273">
        <f t="shared" si="75"/>
        <v>0</v>
      </c>
      <c r="K49" s="273">
        <f t="shared" si="76"/>
        <v>0</v>
      </c>
      <c r="L49" s="273"/>
      <c r="M49" s="273"/>
      <c r="N49" s="273">
        <f t="shared" si="77"/>
        <v>0</v>
      </c>
      <c r="O49" s="273">
        <f t="shared" si="78"/>
        <v>0</v>
      </c>
      <c r="P49" s="273">
        <f t="shared" si="79"/>
        <v>0</v>
      </c>
      <c r="Q49" s="273"/>
      <c r="R49" s="273"/>
      <c r="S49" s="273">
        <f t="shared" si="80"/>
        <v>0</v>
      </c>
      <c r="T49" s="273">
        <f t="shared" si="81"/>
        <v>0</v>
      </c>
      <c r="U49" s="273">
        <f t="shared" si="82"/>
        <v>0</v>
      </c>
      <c r="V49" s="273"/>
      <c r="W49" s="273">
        <f t="shared" ref="W49" si="87">H49+M49</f>
        <v>0</v>
      </c>
      <c r="X49" s="273">
        <f t="shared" ref="X49" si="88">I49+N49</f>
        <v>0</v>
      </c>
      <c r="Y49" s="273">
        <f t="shared" ref="Y49" si="89">J49+O49</f>
        <v>0</v>
      </c>
      <c r="Z49" s="273">
        <f t="shared" ref="Z49" si="90">K49+P49</f>
        <v>0</v>
      </c>
      <c r="AA49" s="273"/>
      <c r="AB49" s="273"/>
      <c r="AC49" s="273"/>
      <c r="AD49" s="273"/>
      <c r="AE49" s="273"/>
      <c r="AF49" s="273"/>
      <c r="AG49" s="273"/>
      <c r="AH49" s="273"/>
    </row>
    <row r="50" spans="1:34">
      <c r="A50" s="41"/>
      <c r="B50" s="280" t="s">
        <v>1740</v>
      </c>
      <c r="C50" s="233" t="s">
        <v>1154</v>
      </c>
      <c r="D50" s="285" t="s">
        <v>959</v>
      </c>
      <c r="E50" s="273">
        <v>84000</v>
      </c>
      <c r="F50" s="278">
        <f>VLOOKUP(D50,$C$2:$E$4,2,FALSE)</f>
        <v>0.2</v>
      </c>
      <c r="G50" s="273"/>
      <c r="H50" s="273"/>
      <c r="I50" s="273">
        <f t="shared" si="74"/>
        <v>0</v>
      </c>
      <c r="J50" s="273">
        <f t="shared" si="75"/>
        <v>0</v>
      </c>
      <c r="K50" s="273">
        <f t="shared" si="76"/>
        <v>0</v>
      </c>
      <c r="L50" s="273"/>
      <c r="M50" s="273"/>
      <c r="N50" s="273">
        <f t="shared" si="77"/>
        <v>0</v>
      </c>
      <c r="O50" s="273">
        <f t="shared" si="78"/>
        <v>0</v>
      </c>
      <c r="P50" s="273">
        <f t="shared" si="79"/>
        <v>0</v>
      </c>
      <c r="Q50" s="273"/>
      <c r="R50" s="273"/>
      <c r="S50" s="273">
        <f t="shared" si="80"/>
        <v>0</v>
      </c>
      <c r="T50" s="273">
        <f t="shared" si="81"/>
        <v>0</v>
      </c>
      <c r="U50" s="273">
        <f t="shared" si="82"/>
        <v>0</v>
      </c>
      <c r="V50" s="273"/>
      <c r="W50" s="273">
        <f>H50+M50</f>
        <v>0</v>
      </c>
      <c r="X50" s="273">
        <f>I50+N50</f>
        <v>0</v>
      </c>
      <c r="Y50" s="273">
        <f>J50+O50</f>
        <v>0</v>
      </c>
      <c r="Z50" s="273">
        <f>K50+P50</f>
        <v>0</v>
      </c>
      <c r="AA50" s="273"/>
      <c r="AB50" s="273"/>
      <c r="AC50" s="273"/>
      <c r="AD50" s="273"/>
      <c r="AE50" s="273"/>
      <c r="AF50" s="273"/>
      <c r="AG50" s="273"/>
      <c r="AH50" s="273"/>
    </row>
    <row r="51" spans="1:34">
      <c r="A51" s="41"/>
      <c r="B51" s="280" t="s">
        <v>1741</v>
      </c>
      <c r="C51" s="233" t="s">
        <v>1154</v>
      </c>
      <c r="D51" s="285" t="s">
        <v>959</v>
      </c>
      <c r="E51" s="273">
        <v>84000</v>
      </c>
      <c r="F51" s="278">
        <f t="shared" ref="F51" si="91">VLOOKUP(D51,$C$2:$E$4,2,FALSE)</f>
        <v>0.2</v>
      </c>
      <c r="G51" s="273"/>
      <c r="H51" s="273"/>
      <c r="I51" s="273">
        <f t="shared" si="74"/>
        <v>0</v>
      </c>
      <c r="J51" s="273">
        <f t="shared" si="75"/>
        <v>0</v>
      </c>
      <c r="K51" s="273">
        <f t="shared" si="76"/>
        <v>0</v>
      </c>
      <c r="L51" s="273"/>
      <c r="M51" s="273"/>
      <c r="N51" s="273">
        <f t="shared" si="77"/>
        <v>0</v>
      </c>
      <c r="O51" s="273">
        <f t="shared" si="78"/>
        <v>0</v>
      </c>
      <c r="P51" s="273">
        <f t="shared" si="79"/>
        <v>0</v>
      </c>
      <c r="Q51" s="273"/>
      <c r="R51" s="273"/>
      <c r="S51" s="273">
        <f t="shared" si="80"/>
        <v>0</v>
      </c>
      <c r="T51" s="273">
        <f t="shared" si="81"/>
        <v>0</v>
      </c>
      <c r="U51" s="273">
        <f t="shared" si="82"/>
        <v>0</v>
      </c>
      <c r="V51" s="273"/>
      <c r="W51" s="273">
        <f t="shared" ref="W51" si="92">H51+M51</f>
        <v>0</v>
      </c>
      <c r="X51" s="273">
        <f t="shared" ref="X51" si="93">I51+N51</f>
        <v>0</v>
      </c>
      <c r="Y51" s="273">
        <f t="shared" ref="Y51" si="94">J51+O51</f>
        <v>0</v>
      </c>
      <c r="Z51" s="273">
        <f t="shared" ref="Z51" si="95">K51+P51</f>
        <v>0</v>
      </c>
      <c r="AA51" s="273"/>
      <c r="AB51" s="273"/>
      <c r="AC51" s="273"/>
      <c r="AD51" s="273"/>
      <c r="AE51" s="273"/>
      <c r="AF51" s="273"/>
      <c r="AG51" s="273"/>
      <c r="AH51" s="273"/>
    </row>
    <row r="52" spans="1:34">
      <c r="A52" s="41"/>
      <c r="B52" s="280" t="s">
        <v>1742</v>
      </c>
      <c r="C52" s="233" t="s">
        <v>1154</v>
      </c>
      <c r="D52" s="285" t="s">
        <v>959</v>
      </c>
      <c r="E52" s="273">
        <v>84000</v>
      </c>
      <c r="F52" s="278">
        <f>VLOOKUP(D52,$C$2:$E$4,2,FALSE)</f>
        <v>0.2</v>
      </c>
      <c r="G52" s="273"/>
      <c r="H52" s="273"/>
      <c r="I52" s="273">
        <f t="shared" si="74"/>
        <v>0</v>
      </c>
      <c r="J52" s="273">
        <f t="shared" si="75"/>
        <v>0</v>
      </c>
      <c r="K52" s="273">
        <f t="shared" si="76"/>
        <v>0</v>
      </c>
      <c r="L52" s="273"/>
      <c r="M52" s="273"/>
      <c r="N52" s="273">
        <f t="shared" si="77"/>
        <v>0</v>
      </c>
      <c r="O52" s="273">
        <f t="shared" si="78"/>
        <v>0</v>
      </c>
      <c r="P52" s="273">
        <f t="shared" si="79"/>
        <v>0</v>
      </c>
      <c r="Q52" s="273"/>
      <c r="R52" s="273"/>
      <c r="S52" s="273">
        <f t="shared" si="80"/>
        <v>0</v>
      </c>
      <c r="T52" s="273">
        <f t="shared" si="81"/>
        <v>0</v>
      </c>
      <c r="U52" s="273">
        <f t="shared" si="82"/>
        <v>0</v>
      </c>
      <c r="V52" s="273"/>
      <c r="W52" s="273">
        <f t="shared" ref="W52:Z53" si="96">H52+M52</f>
        <v>0</v>
      </c>
      <c r="X52" s="273">
        <f t="shared" si="96"/>
        <v>0</v>
      </c>
      <c r="Y52" s="273">
        <f t="shared" si="96"/>
        <v>0</v>
      </c>
      <c r="Z52" s="273">
        <f t="shared" si="96"/>
        <v>0</v>
      </c>
      <c r="AA52" s="273"/>
      <c r="AB52" s="273"/>
      <c r="AC52" s="273"/>
      <c r="AD52" s="273"/>
      <c r="AE52" s="273"/>
      <c r="AF52" s="273"/>
      <c r="AG52" s="273"/>
      <c r="AH52" s="273"/>
    </row>
    <row r="53" spans="1:34">
      <c r="A53" s="41"/>
      <c r="B53" s="280" t="s">
        <v>1743</v>
      </c>
      <c r="C53" s="233" t="s">
        <v>1154</v>
      </c>
      <c r="D53" s="285" t="s">
        <v>959</v>
      </c>
      <c r="E53" s="273">
        <v>84000</v>
      </c>
      <c r="F53" s="278">
        <f>VLOOKUP(D53,$C$2:$E$4,2,FALSE)</f>
        <v>0.2</v>
      </c>
      <c r="G53" s="273"/>
      <c r="H53" s="273"/>
      <c r="I53" s="273">
        <f t="shared" si="74"/>
        <v>0</v>
      </c>
      <c r="J53" s="273">
        <f t="shared" si="75"/>
        <v>0</v>
      </c>
      <c r="K53" s="273">
        <f t="shared" si="76"/>
        <v>0</v>
      </c>
      <c r="L53" s="273"/>
      <c r="M53" s="273"/>
      <c r="N53" s="273">
        <f t="shared" si="77"/>
        <v>0</v>
      </c>
      <c r="O53" s="273">
        <f t="shared" si="78"/>
        <v>0</v>
      </c>
      <c r="P53" s="273">
        <f t="shared" si="79"/>
        <v>0</v>
      </c>
      <c r="Q53" s="273"/>
      <c r="R53" s="273"/>
      <c r="S53" s="273">
        <f t="shared" si="80"/>
        <v>0</v>
      </c>
      <c r="T53" s="273">
        <f t="shared" si="81"/>
        <v>0</v>
      </c>
      <c r="U53" s="273">
        <f t="shared" si="82"/>
        <v>0</v>
      </c>
      <c r="V53" s="273"/>
      <c r="W53" s="273">
        <f t="shared" si="96"/>
        <v>0</v>
      </c>
      <c r="X53" s="273">
        <f t="shared" si="96"/>
        <v>0</v>
      </c>
      <c r="Y53" s="273">
        <f t="shared" si="96"/>
        <v>0</v>
      </c>
      <c r="Z53" s="273">
        <f t="shared" si="96"/>
        <v>0</v>
      </c>
      <c r="AA53" s="273"/>
      <c r="AB53" s="273"/>
      <c r="AC53" s="273"/>
      <c r="AD53" s="273"/>
      <c r="AE53" s="273"/>
      <c r="AF53" s="273"/>
      <c r="AG53" s="273"/>
      <c r="AH53" s="273"/>
    </row>
    <row r="54" spans="1:34">
      <c r="A54" s="41"/>
      <c r="B54" s="280" t="s">
        <v>1744</v>
      </c>
      <c r="C54" s="233" t="s">
        <v>1154</v>
      </c>
      <c r="D54" s="285" t="s">
        <v>959</v>
      </c>
      <c r="E54" s="273">
        <v>89000</v>
      </c>
      <c r="F54" s="278">
        <f>VLOOKUP(D54,$C$2:$E$4,2,FALSE)</f>
        <v>0.2</v>
      </c>
      <c r="G54" s="273"/>
      <c r="H54" s="273"/>
      <c r="I54" s="273">
        <f t="shared" si="74"/>
        <v>0</v>
      </c>
      <c r="J54" s="273">
        <f t="shared" si="75"/>
        <v>0</v>
      </c>
      <c r="K54" s="273">
        <f t="shared" si="76"/>
        <v>0</v>
      </c>
      <c r="L54" s="273"/>
      <c r="M54" s="273"/>
      <c r="N54" s="273">
        <f t="shared" si="77"/>
        <v>0</v>
      </c>
      <c r="O54" s="273">
        <f t="shared" si="78"/>
        <v>0</v>
      </c>
      <c r="P54" s="273">
        <f t="shared" si="79"/>
        <v>0</v>
      </c>
      <c r="Q54" s="273"/>
      <c r="R54" s="273"/>
      <c r="S54" s="273">
        <f t="shared" si="80"/>
        <v>0</v>
      </c>
      <c r="T54" s="273">
        <f t="shared" si="81"/>
        <v>0</v>
      </c>
      <c r="U54" s="273">
        <f t="shared" si="82"/>
        <v>0</v>
      </c>
      <c r="V54" s="273"/>
      <c r="W54" s="273">
        <f>H54+M54</f>
        <v>0</v>
      </c>
      <c r="X54" s="273">
        <f>I54+N54</f>
        <v>0</v>
      </c>
      <c r="Y54" s="273">
        <f>J54+O54</f>
        <v>0</v>
      </c>
      <c r="Z54" s="273">
        <f>K54+P54</f>
        <v>0</v>
      </c>
      <c r="AA54" s="273"/>
      <c r="AB54" s="273"/>
      <c r="AC54" s="273"/>
      <c r="AD54" s="273"/>
      <c r="AE54" s="273"/>
      <c r="AF54" s="273"/>
      <c r="AG54" s="273"/>
      <c r="AH54" s="273"/>
    </row>
    <row r="55" spans="1:34">
      <c r="A55" s="41"/>
      <c r="B55" s="280" t="s">
        <v>1745</v>
      </c>
      <c r="C55" s="233" t="s">
        <v>1154</v>
      </c>
      <c r="D55" s="285" t="s">
        <v>959</v>
      </c>
      <c r="E55" s="273">
        <v>89000</v>
      </c>
      <c r="F55" s="278">
        <f t="shared" ref="F55:F57" si="97">VLOOKUP(D55,$C$2:$E$4,2,FALSE)</f>
        <v>0.2</v>
      </c>
      <c r="G55" s="273"/>
      <c r="H55" s="273"/>
      <c r="I55" s="273">
        <f t="shared" si="74"/>
        <v>0</v>
      </c>
      <c r="J55" s="273">
        <f t="shared" si="75"/>
        <v>0</v>
      </c>
      <c r="K55" s="273">
        <f t="shared" si="76"/>
        <v>0</v>
      </c>
      <c r="L55" s="273"/>
      <c r="M55" s="273"/>
      <c r="N55" s="273">
        <f t="shared" si="77"/>
        <v>0</v>
      </c>
      <c r="O55" s="273">
        <f t="shared" si="78"/>
        <v>0</v>
      </c>
      <c r="P55" s="273">
        <f t="shared" si="79"/>
        <v>0</v>
      </c>
      <c r="Q55" s="273"/>
      <c r="R55" s="273"/>
      <c r="S55" s="273">
        <f t="shared" si="80"/>
        <v>0</v>
      </c>
      <c r="T55" s="273">
        <f t="shared" si="81"/>
        <v>0</v>
      </c>
      <c r="U55" s="273">
        <f t="shared" si="82"/>
        <v>0</v>
      </c>
      <c r="V55" s="273"/>
      <c r="W55" s="273">
        <f t="shared" ref="W55:W57" si="98">H55+M55</f>
        <v>0</v>
      </c>
      <c r="X55" s="273">
        <f t="shared" ref="X55:X57" si="99">I55+N55</f>
        <v>0</v>
      </c>
      <c r="Y55" s="273">
        <f t="shared" ref="Y55:Y57" si="100">J55+O55</f>
        <v>0</v>
      </c>
      <c r="Z55" s="273">
        <f t="shared" ref="Z55:Z57" si="101">K55+P55</f>
        <v>0</v>
      </c>
      <c r="AA55" s="273"/>
      <c r="AB55" s="273"/>
      <c r="AC55" s="273"/>
      <c r="AD55" s="273"/>
      <c r="AE55" s="273"/>
      <c r="AF55" s="273"/>
      <c r="AG55" s="273"/>
      <c r="AH55" s="273"/>
    </row>
    <row r="56" spans="1:34">
      <c r="A56" s="41"/>
      <c r="B56" s="280" t="s">
        <v>2315</v>
      </c>
      <c r="C56" s="233" t="s">
        <v>1154</v>
      </c>
      <c r="D56" s="285" t="s">
        <v>959</v>
      </c>
      <c r="E56" s="273">
        <v>328</v>
      </c>
      <c r="F56" s="278">
        <f t="shared" si="97"/>
        <v>0.2</v>
      </c>
      <c r="G56" s="273"/>
      <c r="H56" s="273"/>
      <c r="I56" s="273">
        <f t="shared" si="74"/>
        <v>0</v>
      </c>
      <c r="J56" s="273">
        <f t="shared" si="75"/>
        <v>0</v>
      </c>
      <c r="K56" s="273">
        <f t="shared" si="76"/>
        <v>0</v>
      </c>
      <c r="L56" s="273"/>
      <c r="M56" s="273"/>
      <c r="N56" s="273">
        <f t="shared" si="77"/>
        <v>0</v>
      </c>
      <c r="O56" s="273">
        <f t="shared" si="78"/>
        <v>0</v>
      </c>
      <c r="P56" s="273">
        <f t="shared" si="79"/>
        <v>0</v>
      </c>
      <c r="Q56" s="273"/>
      <c r="R56" s="273"/>
      <c r="S56" s="273">
        <f t="shared" si="80"/>
        <v>0</v>
      </c>
      <c r="T56" s="273">
        <f t="shared" si="81"/>
        <v>0</v>
      </c>
      <c r="U56" s="273">
        <f t="shared" si="82"/>
        <v>0</v>
      </c>
      <c r="V56" s="273"/>
      <c r="W56" s="273">
        <f t="shared" si="98"/>
        <v>0</v>
      </c>
      <c r="X56" s="273">
        <f t="shared" si="99"/>
        <v>0</v>
      </c>
      <c r="Y56" s="273">
        <f t="shared" si="100"/>
        <v>0</v>
      </c>
      <c r="Z56" s="273">
        <f t="shared" si="101"/>
        <v>0</v>
      </c>
      <c r="AA56" s="273"/>
      <c r="AB56" s="273"/>
      <c r="AC56" s="273"/>
      <c r="AD56" s="273"/>
      <c r="AE56" s="273"/>
      <c r="AF56" s="273"/>
      <c r="AG56" s="273"/>
      <c r="AH56" s="273"/>
    </row>
    <row r="57" spans="1:34">
      <c r="A57" s="41"/>
      <c r="B57" s="280" t="s">
        <v>2316</v>
      </c>
      <c r="C57" s="233" t="s">
        <v>1154</v>
      </c>
      <c r="D57" s="285" t="s">
        <v>959</v>
      </c>
      <c r="E57" s="273">
        <v>11024</v>
      </c>
      <c r="F57" s="278">
        <f t="shared" si="97"/>
        <v>0.2</v>
      </c>
      <c r="G57" s="273"/>
      <c r="H57" s="273"/>
      <c r="I57" s="273">
        <f t="shared" si="74"/>
        <v>0</v>
      </c>
      <c r="J57" s="273">
        <f t="shared" si="75"/>
        <v>0</v>
      </c>
      <c r="K57" s="273">
        <f t="shared" si="76"/>
        <v>0</v>
      </c>
      <c r="L57" s="273"/>
      <c r="M57" s="273"/>
      <c r="N57" s="273">
        <f t="shared" si="77"/>
        <v>0</v>
      </c>
      <c r="O57" s="273">
        <f t="shared" si="78"/>
        <v>0</v>
      </c>
      <c r="P57" s="273">
        <f t="shared" si="79"/>
        <v>0</v>
      </c>
      <c r="Q57" s="273"/>
      <c r="R57" s="273"/>
      <c r="S57" s="273">
        <f t="shared" si="80"/>
        <v>0</v>
      </c>
      <c r="T57" s="273">
        <f t="shared" si="81"/>
        <v>0</v>
      </c>
      <c r="U57" s="273">
        <f t="shared" si="82"/>
        <v>0</v>
      </c>
      <c r="V57" s="273"/>
      <c r="W57" s="273">
        <f t="shared" si="98"/>
        <v>0</v>
      </c>
      <c r="X57" s="273">
        <f t="shared" si="99"/>
        <v>0</v>
      </c>
      <c r="Y57" s="273">
        <f t="shared" si="100"/>
        <v>0</v>
      </c>
      <c r="Z57" s="273">
        <f t="shared" si="101"/>
        <v>0</v>
      </c>
      <c r="AA57" s="273"/>
      <c r="AB57" s="273"/>
      <c r="AC57" s="273"/>
      <c r="AD57" s="273"/>
      <c r="AE57" s="273"/>
      <c r="AF57" s="273"/>
      <c r="AG57" s="273"/>
      <c r="AH57" s="273"/>
    </row>
    <row r="58" spans="1:34">
      <c r="A58" s="41"/>
      <c r="B58" s="364" t="s">
        <v>2652</v>
      </c>
      <c r="C58" s="233"/>
      <c r="D58" s="285"/>
      <c r="E58" s="273"/>
      <c r="F58" s="278"/>
      <c r="G58" s="273"/>
      <c r="H58" s="273"/>
      <c r="I58" s="273"/>
      <c r="J58" s="273"/>
      <c r="K58" s="273"/>
      <c r="L58" s="273"/>
      <c r="M58" s="273"/>
      <c r="N58" s="273"/>
      <c r="O58" s="273"/>
      <c r="P58" s="273"/>
      <c r="Q58" s="273"/>
      <c r="R58" s="273"/>
      <c r="S58" s="273"/>
      <c r="T58" s="273"/>
      <c r="U58" s="273"/>
      <c r="V58" s="273"/>
      <c r="W58" s="273"/>
      <c r="X58" s="273"/>
      <c r="Y58" s="273"/>
      <c r="Z58" s="273"/>
      <c r="AA58" s="273"/>
      <c r="AB58" s="273"/>
      <c r="AC58" s="273"/>
      <c r="AD58" s="273"/>
      <c r="AE58" s="273"/>
      <c r="AF58" s="273"/>
      <c r="AG58" s="273"/>
      <c r="AH58" s="273"/>
    </row>
    <row r="59" spans="1:34">
      <c r="A59" s="41"/>
      <c r="B59" s="280" t="s">
        <v>1775</v>
      </c>
      <c r="C59" s="233" t="s">
        <v>1154</v>
      </c>
      <c r="D59" s="285" t="s">
        <v>1155</v>
      </c>
      <c r="E59" s="273">
        <v>10000</v>
      </c>
      <c r="F59" s="278">
        <f>VLOOKUP(D59,$C$2:$E$4,2,FALSE)</f>
        <v>0.6</v>
      </c>
      <c r="G59" s="273"/>
      <c r="H59" s="273"/>
      <c r="I59" s="273">
        <f>$E59*H59</f>
        <v>0</v>
      </c>
      <c r="J59" s="273">
        <f>(1-$F59)*I59</f>
        <v>0</v>
      </c>
      <c r="K59" s="273">
        <f>J59*VLOOKUP($D59,$C$2:$E$4,3,FALSE)</f>
        <v>0</v>
      </c>
      <c r="L59" s="273"/>
      <c r="M59" s="273"/>
      <c r="N59" s="273">
        <f>$E59*M59</f>
        <v>0</v>
      </c>
      <c r="O59" s="273">
        <f>(1-$F59)*N59</f>
        <v>0</v>
      </c>
      <c r="P59" s="273">
        <f>O59*VLOOKUP($D59,$C$2:$E$4,3,FALSE)</f>
        <v>0</v>
      </c>
      <c r="Q59" s="273"/>
      <c r="R59" s="273"/>
      <c r="S59" s="273">
        <f>$E59*R59</f>
        <v>0</v>
      </c>
      <c r="T59" s="273">
        <f>(1-$F59)*S59</f>
        <v>0</v>
      </c>
      <c r="U59" s="273">
        <f>T59*VLOOKUP($D59,$C$2:$E$4,3,FALSE)</f>
        <v>0</v>
      </c>
      <c r="V59" s="273"/>
      <c r="W59" s="273">
        <f t="shared" ref="W59:Z60" si="102">H59+M59</f>
        <v>0</v>
      </c>
      <c r="X59" s="273">
        <f t="shared" si="102"/>
        <v>0</v>
      </c>
      <c r="Y59" s="273">
        <f t="shared" si="102"/>
        <v>0</v>
      </c>
      <c r="Z59" s="273">
        <f t="shared" si="102"/>
        <v>0</v>
      </c>
      <c r="AA59" s="273"/>
      <c r="AB59" s="273"/>
      <c r="AC59" s="273"/>
      <c r="AD59" s="273"/>
      <c r="AE59" s="273"/>
      <c r="AF59" s="273"/>
      <c r="AG59" s="273"/>
      <c r="AH59" s="273"/>
    </row>
    <row r="60" spans="1:34">
      <c r="A60" s="41"/>
      <c r="B60" s="280" t="s">
        <v>1776</v>
      </c>
      <c r="C60" s="233" t="s">
        <v>1154</v>
      </c>
      <c r="D60" s="285" t="s">
        <v>1155</v>
      </c>
      <c r="E60" s="273">
        <v>20000</v>
      </c>
      <c r="F60" s="278">
        <f>VLOOKUP(D60,$C$2:$E$4,2,FALSE)</f>
        <v>0.6</v>
      </c>
      <c r="G60" s="273"/>
      <c r="H60" s="273"/>
      <c r="I60" s="273">
        <f>$E60*H60</f>
        <v>0</v>
      </c>
      <c r="J60" s="273">
        <f>(1-$F60)*I60</f>
        <v>0</v>
      </c>
      <c r="K60" s="273">
        <f>J60*VLOOKUP($D60,$C$2:$E$4,3,FALSE)</f>
        <v>0</v>
      </c>
      <c r="L60" s="273"/>
      <c r="M60" s="273"/>
      <c r="N60" s="273">
        <f>$E60*M60</f>
        <v>0</v>
      </c>
      <c r="O60" s="273">
        <f>(1-$F60)*N60</f>
        <v>0</v>
      </c>
      <c r="P60" s="273">
        <f>O60*VLOOKUP($D60,$C$2:$E$4,3,FALSE)</f>
        <v>0</v>
      </c>
      <c r="Q60" s="273"/>
      <c r="R60" s="273"/>
      <c r="S60" s="273">
        <f>$E60*R60</f>
        <v>0</v>
      </c>
      <c r="T60" s="273">
        <f>(1-$F60)*S60</f>
        <v>0</v>
      </c>
      <c r="U60" s="273">
        <f>T60*VLOOKUP($D60,$C$2:$E$4,3,FALSE)</f>
        <v>0</v>
      </c>
      <c r="V60" s="273"/>
      <c r="W60" s="273">
        <f t="shared" si="102"/>
        <v>0</v>
      </c>
      <c r="X60" s="273">
        <f t="shared" si="102"/>
        <v>0</v>
      </c>
      <c r="Y60" s="273">
        <f t="shared" si="102"/>
        <v>0</v>
      </c>
      <c r="Z60" s="273">
        <f t="shared" si="102"/>
        <v>0</v>
      </c>
      <c r="AA60" s="273"/>
      <c r="AB60" s="273"/>
      <c r="AC60" s="273"/>
      <c r="AD60" s="273"/>
      <c r="AE60" s="273"/>
      <c r="AF60" s="273"/>
      <c r="AG60" s="273"/>
      <c r="AH60" s="273"/>
    </row>
    <row r="61" spans="1:34">
      <c r="A61" s="41"/>
      <c r="B61" s="364" t="s">
        <v>1825</v>
      </c>
      <c r="C61" s="233"/>
      <c r="D61" s="285"/>
      <c r="E61" s="273"/>
      <c r="F61" s="278"/>
      <c r="G61" s="273"/>
      <c r="H61" s="273"/>
      <c r="I61" s="273"/>
      <c r="J61" s="273"/>
      <c r="K61" s="273"/>
      <c r="L61" s="273"/>
      <c r="M61" s="273"/>
      <c r="N61" s="273"/>
      <c r="O61" s="273"/>
      <c r="P61" s="273"/>
      <c r="Q61" s="273"/>
      <c r="R61" s="273"/>
      <c r="S61" s="273"/>
      <c r="T61" s="273"/>
      <c r="U61" s="273"/>
      <c r="V61" s="273"/>
      <c r="W61" s="273"/>
      <c r="X61" s="273"/>
      <c r="Y61" s="273"/>
      <c r="Z61" s="273"/>
      <c r="AA61" s="273"/>
      <c r="AB61" s="273"/>
      <c r="AC61" s="273"/>
      <c r="AD61" s="273"/>
      <c r="AE61" s="273"/>
      <c r="AF61" s="273"/>
      <c r="AG61" s="273"/>
      <c r="AH61" s="273"/>
    </row>
    <row r="62" spans="1:34" hidden="1" outlineLevel="1">
      <c r="A62" s="41"/>
      <c r="B62" s="280" t="s">
        <v>1786</v>
      </c>
      <c r="C62" s="233" t="s">
        <v>1154</v>
      </c>
      <c r="D62" s="285" t="s">
        <v>959</v>
      </c>
      <c r="E62" s="273">
        <v>714000</v>
      </c>
      <c r="F62" s="278">
        <f t="shared" si="45"/>
        <v>0.2</v>
      </c>
      <c r="G62" s="273"/>
      <c r="H62" s="273"/>
      <c r="I62" s="273">
        <f t="shared" si="46"/>
        <v>0</v>
      </c>
      <c r="J62" s="273">
        <f t="shared" si="47"/>
        <v>0</v>
      </c>
      <c r="K62" s="273">
        <f t="shared" si="48"/>
        <v>0</v>
      </c>
      <c r="L62" s="273"/>
      <c r="M62" s="273"/>
      <c r="N62" s="273">
        <f t="shared" si="49"/>
        <v>0</v>
      </c>
      <c r="O62" s="273">
        <f t="shared" si="50"/>
        <v>0</v>
      </c>
      <c r="P62" s="273">
        <f t="shared" si="51"/>
        <v>0</v>
      </c>
      <c r="Q62" s="273"/>
      <c r="R62" s="273"/>
      <c r="S62" s="273">
        <f t="shared" ref="S62:S100" si="103">$E62*R62</f>
        <v>0</v>
      </c>
      <c r="T62" s="273">
        <f t="shared" ref="T62:T100" si="104">(1-$F62)*S62</f>
        <v>0</v>
      </c>
      <c r="U62" s="273">
        <f t="shared" ref="U62:U100" si="105">T62*VLOOKUP($D62,$C$2:$E$4,3,FALSE)</f>
        <v>0</v>
      </c>
      <c r="V62" s="273"/>
      <c r="W62" s="273">
        <f t="shared" si="55"/>
        <v>0</v>
      </c>
      <c r="X62" s="273">
        <f t="shared" si="56"/>
        <v>0</v>
      </c>
      <c r="Y62" s="273">
        <f t="shared" si="57"/>
        <v>0</v>
      </c>
      <c r="Z62" s="273">
        <f t="shared" si="58"/>
        <v>0</v>
      </c>
      <c r="AA62" s="273"/>
      <c r="AB62" s="273"/>
      <c r="AC62" s="273"/>
      <c r="AD62" s="273"/>
      <c r="AE62" s="273"/>
      <c r="AF62" s="273"/>
      <c r="AG62" s="273"/>
      <c r="AH62" s="273"/>
    </row>
    <row r="63" spans="1:34" hidden="1" outlineLevel="1">
      <c r="A63" s="41"/>
      <c r="B63" s="280" t="s">
        <v>1787</v>
      </c>
      <c r="C63" s="233" t="s">
        <v>1154</v>
      </c>
      <c r="D63" s="285" t="s">
        <v>959</v>
      </c>
      <c r="E63" s="273">
        <v>38500</v>
      </c>
      <c r="F63" s="278">
        <f t="shared" si="45"/>
        <v>0.2</v>
      </c>
      <c r="G63" s="273"/>
      <c r="H63" s="273"/>
      <c r="I63" s="273">
        <f t="shared" si="46"/>
        <v>0</v>
      </c>
      <c r="J63" s="273">
        <f t="shared" si="47"/>
        <v>0</v>
      </c>
      <c r="K63" s="273">
        <f t="shared" si="48"/>
        <v>0</v>
      </c>
      <c r="L63" s="273"/>
      <c r="M63" s="273"/>
      <c r="N63" s="273">
        <f t="shared" si="49"/>
        <v>0</v>
      </c>
      <c r="O63" s="273">
        <f t="shared" si="50"/>
        <v>0</v>
      </c>
      <c r="P63" s="273">
        <f t="shared" si="51"/>
        <v>0</v>
      </c>
      <c r="Q63" s="273"/>
      <c r="R63" s="273"/>
      <c r="S63" s="273">
        <f t="shared" si="103"/>
        <v>0</v>
      </c>
      <c r="T63" s="273">
        <f t="shared" si="104"/>
        <v>0</v>
      </c>
      <c r="U63" s="273">
        <f t="shared" si="105"/>
        <v>0</v>
      </c>
      <c r="V63" s="273"/>
      <c r="W63" s="273">
        <f t="shared" si="55"/>
        <v>0</v>
      </c>
      <c r="X63" s="273">
        <f t="shared" si="56"/>
        <v>0</v>
      </c>
      <c r="Y63" s="273">
        <f t="shared" si="57"/>
        <v>0</v>
      </c>
      <c r="Z63" s="273">
        <f t="shared" si="58"/>
        <v>0</v>
      </c>
      <c r="AA63" s="273"/>
      <c r="AB63" s="273"/>
      <c r="AC63" s="273"/>
      <c r="AD63" s="273"/>
      <c r="AE63" s="273"/>
      <c r="AF63" s="273"/>
      <c r="AG63" s="273"/>
      <c r="AH63" s="273"/>
    </row>
    <row r="64" spans="1:34" hidden="1" outlineLevel="1">
      <c r="A64" s="41"/>
      <c r="B64" s="280" t="s">
        <v>1788</v>
      </c>
      <c r="C64" s="233" t="s">
        <v>1154</v>
      </c>
      <c r="D64" s="285" t="s">
        <v>959</v>
      </c>
      <c r="E64" s="273">
        <v>262000</v>
      </c>
      <c r="F64" s="278">
        <f t="shared" si="45"/>
        <v>0.2</v>
      </c>
      <c r="G64" s="273"/>
      <c r="H64" s="273"/>
      <c r="I64" s="273">
        <f t="shared" si="46"/>
        <v>0</v>
      </c>
      <c r="J64" s="273">
        <f t="shared" si="47"/>
        <v>0</v>
      </c>
      <c r="K64" s="273">
        <f t="shared" si="48"/>
        <v>0</v>
      </c>
      <c r="L64" s="273"/>
      <c r="M64" s="273"/>
      <c r="N64" s="273">
        <f t="shared" si="49"/>
        <v>0</v>
      </c>
      <c r="O64" s="273">
        <f t="shared" si="50"/>
        <v>0</v>
      </c>
      <c r="P64" s="273">
        <f t="shared" si="51"/>
        <v>0</v>
      </c>
      <c r="Q64" s="273"/>
      <c r="R64" s="273"/>
      <c r="S64" s="273">
        <f t="shared" si="103"/>
        <v>0</v>
      </c>
      <c r="T64" s="273">
        <f t="shared" si="104"/>
        <v>0</v>
      </c>
      <c r="U64" s="273">
        <f t="shared" si="105"/>
        <v>0</v>
      </c>
      <c r="V64" s="273"/>
      <c r="W64" s="273">
        <f t="shared" si="55"/>
        <v>0</v>
      </c>
      <c r="X64" s="273">
        <f t="shared" si="56"/>
        <v>0</v>
      </c>
      <c r="Y64" s="273">
        <f t="shared" si="57"/>
        <v>0</v>
      </c>
      <c r="Z64" s="273">
        <f t="shared" si="58"/>
        <v>0</v>
      </c>
      <c r="AA64" s="273"/>
      <c r="AB64" s="273"/>
      <c r="AC64" s="273"/>
      <c r="AD64" s="273"/>
      <c r="AE64" s="273"/>
      <c r="AF64" s="273"/>
      <c r="AG64" s="273"/>
      <c r="AH64" s="273"/>
    </row>
    <row r="65" spans="1:34" hidden="1" outlineLevel="1">
      <c r="A65" s="41"/>
      <c r="B65" s="280" t="s">
        <v>1789</v>
      </c>
      <c r="C65" s="233" t="s">
        <v>1154</v>
      </c>
      <c r="D65" s="285" t="s">
        <v>959</v>
      </c>
      <c r="E65" s="273">
        <v>15000</v>
      </c>
      <c r="F65" s="278">
        <f t="shared" si="45"/>
        <v>0.2</v>
      </c>
      <c r="G65" s="273"/>
      <c r="H65" s="273"/>
      <c r="I65" s="273">
        <f t="shared" si="46"/>
        <v>0</v>
      </c>
      <c r="J65" s="273">
        <f t="shared" si="47"/>
        <v>0</v>
      </c>
      <c r="K65" s="273">
        <f t="shared" si="48"/>
        <v>0</v>
      </c>
      <c r="L65" s="273"/>
      <c r="M65" s="273"/>
      <c r="N65" s="273">
        <f t="shared" si="49"/>
        <v>0</v>
      </c>
      <c r="O65" s="273">
        <f t="shared" si="50"/>
        <v>0</v>
      </c>
      <c r="P65" s="273">
        <f t="shared" si="51"/>
        <v>0</v>
      </c>
      <c r="Q65" s="273"/>
      <c r="R65" s="273"/>
      <c r="S65" s="273">
        <f t="shared" si="103"/>
        <v>0</v>
      </c>
      <c r="T65" s="273">
        <f t="shared" si="104"/>
        <v>0</v>
      </c>
      <c r="U65" s="273">
        <f t="shared" si="105"/>
        <v>0</v>
      </c>
      <c r="V65" s="273"/>
      <c r="W65" s="273">
        <f t="shared" si="55"/>
        <v>0</v>
      </c>
      <c r="X65" s="273">
        <f t="shared" si="56"/>
        <v>0</v>
      </c>
      <c r="Y65" s="273">
        <f t="shared" si="57"/>
        <v>0</v>
      </c>
      <c r="Z65" s="273">
        <f t="shared" si="58"/>
        <v>0</v>
      </c>
      <c r="AA65" s="273"/>
      <c r="AB65" s="273"/>
      <c r="AC65" s="273"/>
      <c r="AD65" s="273"/>
      <c r="AE65" s="273"/>
      <c r="AF65" s="273"/>
      <c r="AG65" s="273"/>
      <c r="AH65" s="273"/>
    </row>
    <row r="66" spans="1:34" hidden="1" outlineLevel="1">
      <c r="A66" s="41"/>
      <c r="B66" s="280" t="s">
        <v>1790</v>
      </c>
      <c r="C66" s="233" t="s">
        <v>1154</v>
      </c>
      <c r="D66" s="285" t="s">
        <v>959</v>
      </c>
      <c r="E66" s="273">
        <v>12000</v>
      </c>
      <c r="F66" s="278">
        <f t="shared" si="45"/>
        <v>0.2</v>
      </c>
      <c r="G66" s="273"/>
      <c r="H66" s="273"/>
      <c r="I66" s="273">
        <f t="shared" si="46"/>
        <v>0</v>
      </c>
      <c r="J66" s="273">
        <f t="shared" si="47"/>
        <v>0</v>
      </c>
      <c r="K66" s="273">
        <f t="shared" si="48"/>
        <v>0</v>
      </c>
      <c r="L66" s="273"/>
      <c r="M66" s="273"/>
      <c r="N66" s="273">
        <f t="shared" si="49"/>
        <v>0</v>
      </c>
      <c r="O66" s="273">
        <f t="shared" si="50"/>
        <v>0</v>
      </c>
      <c r="P66" s="273">
        <f t="shared" si="51"/>
        <v>0</v>
      </c>
      <c r="Q66" s="273"/>
      <c r="R66" s="273"/>
      <c r="S66" s="273">
        <f t="shared" si="103"/>
        <v>0</v>
      </c>
      <c r="T66" s="273">
        <f t="shared" si="104"/>
        <v>0</v>
      </c>
      <c r="U66" s="273">
        <f t="shared" si="105"/>
        <v>0</v>
      </c>
      <c r="V66" s="273"/>
      <c r="W66" s="273">
        <f t="shared" si="55"/>
        <v>0</v>
      </c>
      <c r="X66" s="273">
        <f t="shared" si="56"/>
        <v>0</v>
      </c>
      <c r="Y66" s="273">
        <f t="shared" si="57"/>
        <v>0</v>
      </c>
      <c r="Z66" s="273">
        <f t="shared" si="58"/>
        <v>0</v>
      </c>
      <c r="AA66" s="273"/>
      <c r="AB66" s="273"/>
      <c r="AC66" s="273"/>
      <c r="AD66" s="273"/>
      <c r="AE66" s="273"/>
      <c r="AF66" s="273"/>
      <c r="AG66" s="273"/>
      <c r="AH66" s="273"/>
    </row>
    <row r="67" spans="1:34" hidden="1" outlineLevel="1">
      <c r="A67" s="41"/>
      <c r="B67" s="280" t="s">
        <v>1791</v>
      </c>
      <c r="C67" s="233" t="s">
        <v>1154</v>
      </c>
      <c r="D67" s="285" t="s">
        <v>959</v>
      </c>
      <c r="E67" s="273">
        <v>25000</v>
      </c>
      <c r="F67" s="278">
        <f t="shared" si="45"/>
        <v>0.2</v>
      </c>
      <c r="G67" s="273"/>
      <c r="H67" s="273"/>
      <c r="I67" s="273">
        <f t="shared" si="46"/>
        <v>0</v>
      </c>
      <c r="J67" s="273">
        <f t="shared" si="47"/>
        <v>0</v>
      </c>
      <c r="K67" s="273">
        <f t="shared" si="48"/>
        <v>0</v>
      </c>
      <c r="L67" s="273"/>
      <c r="M67" s="273"/>
      <c r="N67" s="273">
        <f t="shared" si="49"/>
        <v>0</v>
      </c>
      <c r="O67" s="273">
        <f t="shared" si="50"/>
        <v>0</v>
      </c>
      <c r="P67" s="273">
        <f t="shared" si="51"/>
        <v>0</v>
      </c>
      <c r="Q67" s="273"/>
      <c r="R67" s="273"/>
      <c r="S67" s="273">
        <f t="shared" si="103"/>
        <v>0</v>
      </c>
      <c r="T67" s="273">
        <f t="shared" si="104"/>
        <v>0</v>
      </c>
      <c r="U67" s="273">
        <f t="shared" si="105"/>
        <v>0</v>
      </c>
      <c r="V67" s="273"/>
      <c r="W67" s="273">
        <f t="shared" si="55"/>
        <v>0</v>
      </c>
      <c r="X67" s="273">
        <f t="shared" si="56"/>
        <v>0</v>
      </c>
      <c r="Y67" s="273">
        <f t="shared" si="57"/>
        <v>0</v>
      </c>
      <c r="Z67" s="273">
        <f t="shared" si="58"/>
        <v>0</v>
      </c>
      <c r="AA67" s="273"/>
      <c r="AB67" s="273"/>
      <c r="AC67" s="273"/>
      <c r="AD67" s="273"/>
      <c r="AE67" s="273"/>
      <c r="AF67" s="273"/>
      <c r="AG67" s="273"/>
      <c r="AH67" s="273"/>
    </row>
    <row r="68" spans="1:34" hidden="1" outlineLevel="1">
      <c r="A68" s="41"/>
      <c r="B68" s="280" t="s">
        <v>1792</v>
      </c>
      <c r="C68" s="233" t="s">
        <v>1154</v>
      </c>
      <c r="D68" s="285" t="s">
        <v>959</v>
      </c>
      <c r="E68" s="273">
        <v>77000</v>
      </c>
      <c r="F68" s="278">
        <f t="shared" si="45"/>
        <v>0.2</v>
      </c>
      <c r="G68" s="273"/>
      <c r="H68" s="273"/>
      <c r="I68" s="273">
        <f t="shared" si="46"/>
        <v>0</v>
      </c>
      <c r="J68" s="273">
        <f t="shared" si="47"/>
        <v>0</v>
      </c>
      <c r="K68" s="273">
        <f t="shared" si="48"/>
        <v>0</v>
      </c>
      <c r="L68" s="273"/>
      <c r="M68" s="273"/>
      <c r="N68" s="273">
        <f t="shared" si="49"/>
        <v>0</v>
      </c>
      <c r="O68" s="273">
        <f t="shared" si="50"/>
        <v>0</v>
      </c>
      <c r="P68" s="273">
        <f t="shared" si="51"/>
        <v>0</v>
      </c>
      <c r="Q68" s="273"/>
      <c r="R68" s="273"/>
      <c r="S68" s="273">
        <f t="shared" si="103"/>
        <v>0</v>
      </c>
      <c r="T68" s="273">
        <f t="shared" si="104"/>
        <v>0</v>
      </c>
      <c r="U68" s="273">
        <f t="shared" si="105"/>
        <v>0</v>
      </c>
      <c r="V68" s="273"/>
      <c r="W68" s="273">
        <f t="shared" si="55"/>
        <v>0</v>
      </c>
      <c r="X68" s="273">
        <f t="shared" si="56"/>
        <v>0</v>
      </c>
      <c r="Y68" s="273">
        <f t="shared" si="57"/>
        <v>0</v>
      </c>
      <c r="Z68" s="273">
        <f t="shared" si="58"/>
        <v>0</v>
      </c>
      <c r="AA68" s="273"/>
      <c r="AB68" s="273"/>
      <c r="AC68" s="273"/>
      <c r="AD68" s="273"/>
      <c r="AE68" s="273"/>
      <c r="AF68" s="273"/>
      <c r="AG68" s="273"/>
      <c r="AH68" s="273"/>
    </row>
    <row r="69" spans="1:34" hidden="1" outlineLevel="1">
      <c r="A69" s="41"/>
      <c r="B69" s="280" t="s">
        <v>1793</v>
      </c>
      <c r="C69" s="233" t="s">
        <v>1154</v>
      </c>
      <c r="D69" s="285" t="s">
        <v>959</v>
      </c>
      <c r="E69" s="273">
        <v>65000</v>
      </c>
      <c r="F69" s="278">
        <f t="shared" si="45"/>
        <v>0.2</v>
      </c>
      <c r="G69" s="273"/>
      <c r="H69" s="273"/>
      <c r="I69" s="273">
        <f t="shared" si="46"/>
        <v>0</v>
      </c>
      <c r="J69" s="273">
        <f t="shared" si="47"/>
        <v>0</v>
      </c>
      <c r="K69" s="273">
        <f t="shared" si="48"/>
        <v>0</v>
      </c>
      <c r="L69" s="273"/>
      <c r="M69" s="273"/>
      <c r="N69" s="273">
        <f t="shared" si="49"/>
        <v>0</v>
      </c>
      <c r="O69" s="273">
        <f t="shared" si="50"/>
        <v>0</v>
      </c>
      <c r="P69" s="273">
        <f t="shared" si="51"/>
        <v>0</v>
      </c>
      <c r="Q69" s="273"/>
      <c r="R69" s="273"/>
      <c r="S69" s="273">
        <f t="shared" si="103"/>
        <v>0</v>
      </c>
      <c r="T69" s="273">
        <f t="shared" si="104"/>
        <v>0</v>
      </c>
      <c r="U69" s="273">
        <f t="shared" si="105"/>
        <v>0</v>
      </c>
      <c r="V69" s="273"/>
      <c r="W69" s="273">
        <f t="shared" si="55"/>
        <v>0</v>
      </c>
      <c r="X69" s="273">
        <f t="shared" si="56"/>
        <v>0</v>
      </c>
      <c r="Y69" s="273">
        <f t="shared" si="57"/>
        <v>0</v>
      </c>
      <c r="Z69" s="273">
        <f t="shared" si="58"/>
        <v>0</v>
      </c>
      <c r="AA69" s="273"/>
      <c r="AB69" s="273"/>
      <c r="AC69" s="273"/>
      <c r="AD69" s="273"/>
      <c r="AE69" s="273"/>
      <c r="AF69" s="273"/>
      <c r="AG69" s="273"/>
      <c r="AH69" s="273"/>
    </row>
    <row r="70" spans="1:34" hidden="1" outlineLevel="1">
      <c r="A70" s="41"/>
      <c r="B70" s="280" t="s">
        <v>1794</v>
      </c>
      <c r="C70" s="233" t="s">
        <v>1154</v>
      </c>
      <c r="D70" s="285" t="s">
        <v>959</v>
      </c>
      <c r="E70" s="273">
        <v>185000</v>
      </c>
      <c r="F70" s="278">
        <f t="shared" si="45"/>
        <v>0.2</v>
      </c>
      <c r="G70" s="273"/>
      <c r="H70" s="273"/>
      <c r="I70" s="273">
        <f t="shared" si="46"/>
        <v>0</v>
      </c>
      <c r="J70" s="273">
        <f t="shared" si="47"/>
        <v>0</v>
      </c>
      <c r="K70" s="273">
        <f t="shared" si="48"/>
        <v>0</v>
      </c>
      <c r="L70" s="273"/>
      <c r="M70" s="273"/>
      <c r="N70" s="273">
        <f t="shared" si="49"/>
        <v>0</v>
      </c>
      <c r="O70" s="273">
        <f t="shared" si="50"/>
        <v>0</v>
      </c>
      <c r="P70" s="273">
        <f t="shared" si="51"/>
        <v>0</v>
      </c>
      <c r="Q70" s="273"/>
      <c r="R70" s="273"/>
      <c r="S70" s="273">
        <f t="shared" si="103"/>
        <v>0</v>
      </c>
      <c r="T70" s="273">
        <f t="shared" si="104"/>
        <v>0</v>
      </c>
      <c r="U70" s="273">
        <f t="shared" si="105"/>
        <v>0</v>
      </c>
      <c r="V70" s="273"/>
      <c r="W70" s="273">
        <f t="shared" si="55"/>
        <v>0</v>
      </c>
      <c r="X70" s="273">
        <f t="shared" si="56"/>
        <v>0</v>
      </c>
      <c r="Y70" s="273">
        <f t="shared" si="57"/>
        <v>0</v>
      </c>
      <c r="Z70" s="273">
        <f t="shared" si="58"/>
        <v>0</v>
      </c>
      <c r="AA70" s="273"/>
      <c r="AB70" s="273"/>
      <c r="AC70" s="273"/>
      <c r="AD70" s="273"/>
      <c r="AE70" s="273"/>
      <c r="AF70" s="273"/>
      <c r="AG70" s="273"/>
      <c r="AH70" s="273"/>
    </row>
    <row r="71" spans="1:34" hidden="1" outlineLevel="1">
      <c r="A71" s="41"/>
      <c r="B71" s="280" t="s">
        <v>1795</v>
      </c>
      <c r="C71" s="233" t="s">
        <v>1154</v>
      </c>
      <c r="D71" s="285" t="s">
        <v>959</v>
      </c>
      <c r="E71" s="273">
        <v>30000</v>
      </c>
      <c r="F71" s="278">
        <f t="shared" si="45"/>
        <v>0.2</v>
      </c>
      <c r="G71" s="273"/>
      <c r="H71" s="273"/>
      <c r="I71" s="273">
        <f t="shared" si="46"/>
        <v>0</v>
      </c>
      <c r="J71" s="273">
        <f t="shared" si="47"/>
        <v>0</v>
      </c>
      <c r="K71" s="273">
        <f t="shared" si="48"/>
        <v>0</v>
      </c>
      <c r="L71" s="273"/>
      <c r="M71" s="273"/>
      <c r="N71" s="273">
        <f t="shared" si="49"/>
        <v>0</v>
      </c>
      <c r="O71" s="273">
        <f t="shared" si="50"/>
        <v>0</v>
      </c>
      <c r="P71" s="273">
        <f t="shared" si="51"/>
        <v>0</v>
      </c>
      <c r="Q71" s="273"/>
      <c r="R71" s="273"/>
      <c r="S71" s="273">
        <f t="shared" si="103"/>
        <v>0</v>
      </c>
      <c r="T71" s="273">
        <f t="shared" si="104"/>
        <v>0</v>
      </c>
      <c r="U71" s="273">
        <f t="shared" si="105"/>
        <v>0</v>
      </c>
      <c r="V71" s="273"/>
      <c r="W71" s="273">
        <f t="shared" si="55"/>
        <v>0</v>
      </c>
      <c r="X71" s="273">
        <f t="shared" si="56"/>
        <v>0</v>
      </c>
      <c r="Y71" s="273">
        <f t="shared" si="57"/>
        <v>0</v>
      </c>
      <c r="Z71" s="273">
        <f t="shared" si="58"/>
        <v>0</v>
      </c>
      <c r="AA71" s="273"/>
      <c r="AB71" s="273"/>
      <c r="AC71" s="273"/>
      <c r="AD71" s="273"/>
      <c r="AE71" s="273"/>
      <c r="AF71" s="273"/>
      <c r="AG71" s="273"/>
      <c r="AH71" s="273"/>
    </row>
    <row r="72" spans="1:34" hidden="1" outlineLevel="1">
      <c r="A72" s="41"/>
      <c r="B72" s="280" t="s">
        <v>1796</v>
      </c>
      <c r="C72" s="233" t="s">
        <v>1154</v>
      </c>
      <c r="D72" s="285" t="s">
        <v>959</v>
      </c>
      <c r="E72" s="273">
        <v>18500</v>
      </c>
      <c r="F72" s="278">
        <f t="shared" si="45"/>
        <v>0.2</v>
      </c>
      <c r="G72" s="273"/>
      <c r="H72" s="273"/>
      <c r="I72" s="273">
        <f t="shared" si="46"/>
        <v>0</v>
      </c>
      <c r="J72" s="273">
        <f t="shared" si="47"/>
        <v>0</v>
      </c>
      <c r="K72" s="273">
        <f t="shared" si="48"/>
        <v>0</v>
      </c>
      <c r="L72" s="273"/>
      <c r="M72" s="273"/>
      <c r="N72" s="273">
        <f t="shared" si="49"/>
        <v>0</v>
      </c>
      <c r="O72" s="273">
        <f t="shared" si="50"/>
        <v>0</v>
      </c>
      <c r="P72" s="273">
        <f t="shared" si="51"/>
        <v>0</v>
      </c>
      <c r="Q72" s="273"/>
      <c r="R72" s="273"/>
      <c r="S72" s="273">
        <f t="shared" si="103"/>
        <v>0</v>
      </c>
      <c r="T72" s="273">
        <f t="shared" si="104"/>
        <v>0</v>
      </c>
      <c r="U72" s="273">
        <f t="shared" si="105"/>
        <v>0</v>
      </c>
      <c r="V72" s="273"/>
      <c r="W72" s="273">
        <f t="shared" si="55"/>
        <v>0</v>
      </c>
      <c r="X72" s="273">
        <f t="shared" si="56"/>
        <v>0</v>
      </c>
      <c r="Y72" s="273">
        <f t="shared" si="57"/>
        <v>0</v>
      </c>
      <c r="Z72" s="273">
        <f t="shared" si="58"/>
        <v>0</v>
      </c>
      <c r="AA72" s="273"/>
      <c r="AB72" s="273"/>
      <c r="AC72" s="273"/>
      <c r="AD72" s="273"/>
      <c r="AE72" s="273"/>
      <c r="AF72" s="273"/>
      <c r="AG72" s="273"/>
      <c r="AH72" s="273"/>
    </row>
    <row r="73" spans="1:34" hidden="1" outlineLevel="1">
      <c r="A73" s="41"/>
      <c r="B73" s="280" t="s">
        <v>1797</v>
      </c>
      <c r="C73" s="233" t="s">
        <v>1154</v>
      </c>
      <c r="D73" s="285" t="s">
        <v>959</v>
      </c>
      <c r="E73" s="273">
        <v>165000</v>
      </c>
      <c r="F73" s="278">
        <f t="shared" si="45"/>
        <v>0.2</v>
      </c>
      <c r="G73" s="273"/>
      <c r="H73" s="273"/>
      <c r="I73" s="273">
        <f t="shared" si="46"/>
        <v>0</v>
      </c>
      <c r="J73" s="273">
        <f t="shared" si="47"/>
        <v>0</v>
      </c>
      <c r="K73" s="273">
        <f t="shared" si="48"/>
        <v>0</v>
      </c>
      <c r="L73" s="273"/>
      <c r="M73" s="273"/>
      <c r="N73" s="273">
        <f t="shared" si="49"/>
        <v>0</v>
      </c>
      <c r="O73" s="273">
        <f t="shared" si="50"/>
        <v>0</v>
      </c>
      <c r="P73" s="273">
        <f t="shared" si="51"/>
        <v>0</v>
      </c>
      <c r="Q73" s="273"/>
      <c r="R73" s="273"/>
      <c r="S73" s="273">
        <f t="shared" si="103"/>
        <v>0</v>
      </c>
      <c r="T73" s="273">
        <f t="shared" si="104"/>
        <v>0</v>
      </c>
      <c r="U73" s="273">
        <f t="shared" si="105"/>
        <v>0</v>
      </c>
      <c r="V73" s="273"/>
      <c r="W73" s="273">
        <f t="shared" si="55"/>
        <v>0</v>
      </c>
      <c r="X73" s="273">
        <f t="shared" si="56"/>
        <v>0</v>
      </c>
      <c r="Y73" s="273">
        <f t="shared" si="57"/>
        <v>0</v>
      </c>
      <c r="Z73" s="273">
        <f t="shared" si="58"/>
        <v>0</v>
      </c>
      <c r="AA73" s="273"/>
      <c r="AB73" s="273"/>
      <c r="AC73" s="273"/>
      <c r="AD73" s="273"/>
      <c r="AE73" s="273"/>
      <c r="AF73" s="273"/>
      <c r="AG73" s="273"/>
      <c r="AH73" s="273"/>
    </row>
    <row r="74" spans="1:34" hidden="1" outlineLevel="1">
      <c r="A74" s="41"/>
      <c r="B74" s="280" t="s">
        <v>1798</v>
      </c>
      <c r="C74" s="233" t="s">
        <v>1154</v>
      </c>
      <c r="D74" s="285" t="s">
        <v>959</v>
      </c>
      <c r="E74" s="273">
        <v>37280</v>
      </c>
      <c r="F74" s="278">
        <f t="shared" si="45"/>
        <v>0.2</v>
      </c>
      <c r="G74" s="273"/>
      <c r="H74" s="273"/>
      <c r="I74" s="273">
        <f t="shared" si="46"/>
        <v>0</v>
      </c>
      <c r="J74" s="273">
        <f t="shared" si="47"/>
        <v>0</v>
      </c>
      <c r="K74" s="273">
        <f t="shared" si="48"/>
        <v>0</v>
      </c>
      <c r="L74" s="273"/>
      <c r="M74" s="273"/>
      <c r="N74" s="273">
        <f t="shared" si="49"/>
        <v>0</v>
      </c>
      <c r="O74" s="273">
        <f t="shared" si="50"/>
        <v>0</v>
      </c>
      <c r="P74" s="273">
        <f t="shared" si="51"/>
        <v>0</v>
      </c>
      <c r="Q74" s="273"/>
      <c r="R74" s="273"/>
      <c r="S74" s="273">
        <f t="shared" si="103"/>
        <v>0</v>
      </c>
      <c r="T74" s="273">
        <f t="shared" si="104"/>
        <v>0</v>
      </c>
      <c r="U74" s="273">
        <f t="shared" si="105"/>
        <v>0</v>
      </c>
      <c r="V74" s="273"/>
      <c r="W74" s="273">
        <f t="shared" si="55"/>
        <v>0</v>
      </c>
      <c r="X74" s="273">
        <f t="shared" si="56"/>
        <v>0</v>
      </c>
      <c r="Y74" s="273">
        <f t="shared" si="57"/>
        <v>0</v>
      </c>
      <c r="Z74" s="273">
        <f t="shared" si="58"/>
        <v>0</v>
      </c>
      <c r="AA74" s="273"/>
      <c r="AB74" s="273"/>
      <c r="AC74" s="273"/>
      <c r="AD74" s="273"/>
      <c r="AE74" s="273"/>
      <c r="AF74" s="273"/>
      <c r="AG74" s="273"/>
      <c r="AH74" s="273"/>
    </row>
    <row r="75" spans="1:34" hidden="1" outlineLevel="1">
      <c r="A75" s="41"/>
      <c r="B75" s="280" t="s">
        <v>1799</v>
      </c>
      <c r="C75" s="233" t="s">
        <v>1154</v>
      </c>
      <c r="D75" s="285" t="s">
        <v>959</v>
      </c>
      <c r="E75" s="273">
        <v>18715</v>
      </c>
      <c r="F75" s="278">
        <f t="shared" si="45"/>
        <v>0.2</v>
      </c>
      <c r="G75" s="273"/>
      <c r="H75" s="273"/>
      <c r="I75" s="273">
        <f t="shared" si="46"/>
        <v>0</v>
      </c>
      <c r="J75" s="273">
        <f t="shared" si="47"/>
        <v>0</v>
      </c>
      <c r="K75" s="273">
        <f t="shared" si="48"/>
        <v>0</v>
      </c>
      <c r="L75" s="273"/>
      <c r="M75" s="273"/>
      <c r="N75" s="273">
        <f t="shared" si="49"/>
        <v>0</v>
      </c>
      <c r="O75" s="273">
        <f t="shared" si="50"/>
        <v>0</v>
      </c>
      <c r="P75" s="273">
        <f t="shared" si="51"/>
        <v>0</v>
      </c>
      <c r="Q75" s="273"/>
      <c r="R75" s="273"/>
      <c r="S75" s="273">
        <f t="shared" si="103"/>
        <v>0</v>
      </c>
      <c r="T75" s="273">
        <f t="shared" si="104"/>
        <v>0</v>
      </c>
      <c r="U75" s="273">
        <f t="shared" si="105"/>
        <v>0</v>
      </c>
      <c r="V75" s="273"/>
      <c r="W75" s="273">
        <f t="shared" si="55"/>
        <v>0</v>
      </c>
      <c r="X75" s="273">
        <f t="shared" si="56"/>
        <v>0</v>
      </c>
      <c r="Y75" s="273">
        <f t="shared" si="57"/>
        <v>0</v>
      </c>
      <c r="Z75" s="273">
        <f t="shared" si="58"/>
        <v>0</v>
      </c>
      <c r="AA75" s="273"/>
      <c r="AB75" s="273"/>
      <c r="AC75" s="273"/>
      <c r="AD75" s="273"/>
      <c r="AE75" s="273"/>
      <c r="AF75" s="273"/>
      <c r="AG75" s="273"/>
      <c r="AH75" s="273"/>
    </row>
    <row r="76" spans="1:34" hidden="1" outlineLevel="1">
      <c r="A76" s="41"/>
      <c r="B76" s="280" t="s">
        <v>1800</v>
      </c>
      <c r="C76" s="233" t="s">
        <v>1154</v>
      </c>
      <c r="D76" s="285" t="s">
        <v>959</v>
      </c>
      <c r="E76" s="273">
        <v>24224</v>
      </c>
      <c r="F76" s="278">
        <f t="shared" si="45"/>
        <v>0.2</v>
      </c>
      <c r="G76" s="273"/>
      <c r="H76" s="273"/>
      <c r="I76" s="273">
        <f t="shared" si="46"/>
        <v>0</v>
      </c>
      <c r="J76" s="273">
        <f t="shared" si="47"/>
        <v>0</v>
      </c>
      <c r="K76" s="273">
        <f t="shared" si="48"/>
        <v>0</v>
      </c>
      <c r="L76" s="273"/>
      <c r="M76" s="273"/>
      <c r="N76" s="273">
        <f t="shared" si="49"/>
        <v>0</v>
      </c>
      <c r="O76" s="273">
        <f t="shared" si="50"/>
        <v>0</v>
      </c>
      <c r="P76" s="273">
        <f t="shared" si="51"/>
        <v>0</v>
      </c>
      <c r="Q76" s="273"/>
      <c r="R76" s="273"/>
      <c r="S76" s="273">
        <f t="shared" si="103"/>
        <v>0</v>
      </c>
      <c r="T76" s="273">
        <f t="shared" si="104"/>
        <v>0</v>
      </c>
      <c r="U76" s="273">
        <f t="shared" si="105"/>
        <v>0</v>
      </c>
      <c r="V76" s="273"/>
      <c r="W76" s="273">
        <f t="shared" si="55"/>
        <v>0</v>
      </c>
      <c r="X76" s="273">
        <f t="shared" si="56"/>
        <v>0</v>
      </c>
      <c r="Y76" s="273">
        <f t="shared" si="57"/>
        <v>0</v>
      </c>
      <c r="Z76" s="273">
        <f t="shared" si="58"/>
        <v>0</v>
      </c>
      <c r="AA76" s="273"/>
      <c r="AB76" s="273"/>
      <c r="AC76" s="273"/>
      <c r="AD76" s="273"/>
      <c r="AE76" s="273"/>
      <c r="AF76" s="273"/>
      <c r="AG76" s="273"/>
      <c r="AH76" s="273"/>
    </row>
    <row r="77" spans="1:34" hidden="1" outlineLevel="1">
      <c r="A77" s="41"/>
      <c r="B77" s="280" t="s">
        <v>1801</v>
      </c>
      <c r="C77" s="233" t="s">
        <v>1154</v>
      </c>
      <c r="D77" s="285" t="s">
        <v>959</v>
      </c>
      <c r="E77" s="273">
        <v>37320</v>
      </c>
      <c r="F77" s="278">
        <f t="shared" si="45"/>
        <v>0.2</v>
      </c>
      <c r="G77" s="273"/>
      <c r="H77" s="273"/>
      <c r="I77" s="273">
        <f t="shared" si="46"/>
        <v>0</v>
      </c>
      <c r="J77" s="273">
        <f t="shared" si="47"/>
        <v>0</v>
      </c>
      <c r="K77" s="273">
        <f t="shared" si="48"/>
        <v>0</v>
      </c>
      <c r="L77" s="273"/>
      <c r="M77" s="273"/>
      <c r="N77" s="273">
        <f t="shared" si="49"/>
        <v>0</v>
      </c>
      <c r="O77" s="273">
        <f t="shared" si="50"/>
        <v>0</v>
      </c>
      <c r="P77" s="273">
        <f t="shared" si="51"/>
        <v>0</v>
      </c>
      <c r="Q77" s="273"/>
      <c r="R77" s="273"/>
      <c r="S77" s="273">
        <f t="shared" si="103"/>
        <v>0</v>
      </c>
      <c r="T77" s="273">
        <f t="shared" si="104"/>
        <v>0</v>
      </c>
      <c r="U77" s="273">
        <f t="shared" si="105"/>
        <v>0</v>
      </c>
      <c r="V77" s="273"/>
      <c r="W77" s="273">
        <f t="shared" si="55"/>
        <v>0</v>
      </c>
      <c r="X77" s="273">
        <f t="shared" si="56"/>
        <v>0</v>
      </c>
      <c r="Y77" s="273">
        <f t="shared" si="57"/>
        <v>0</v>
      </c>
      <c r="Z77" s="273">
        <f t="shared" si="58"/>
        <v>0</v>
      </c>
      <c r="AA77" s="273"/>
      <c r="AB77" s="273"/>
      <c r="AC77" s="273"/>
      <c r="AD77" s="273"/>
      <c r="AE77" s="273"/>
      <c r="AF77" s="273"/>
      <c r="AG77" s="273"/>
      <c r="AH77" s="273"/>
    </row>
    <row r="78" spans="1:34" hidden="1" outlineLevel="1">
      <c r="A78" s="41"/>
      <c r="B78" s="280" t="s">
        <v>1802</v>
      </c>
      <c r="C78" s="233" t="s">
        <v>1154</v>
      </c>
      <c r="D78" s="285" t="s">
        <v>959</v>
      </c>
      <c r="E78" s="273">
        <v>19009</v>
      </c>
      <c r="F78" s="278">
        <f t="shared" si="45"/>
        <v>0.2</v>
      </c>
      <c r="G78" s="273"/>
      <c r="H78" s="273"/>
      <c r="I78" s="273">
        <f t="shared" si="46"/>
        <v>0</v>
      </c>
      <c r="J78" s="273">
        <f t="shared" si="47"/>
        <v>0</v>
      </c>
      <c r="K78" s="273">
        <f t="shared" si="48"/>
        <v>0</v>
      </c>
      <c r="L78" s="273"/>
      <c r="M78" s="273"/>
      <c r="N78" s="273">
        <f t="shared" si="49"/>
        <v>0</v>
      </c>
      <c r="O78" s="273">
        <f t="shared" si="50"/>
        <v>0</v>
      </c>
      <c r="P78" s="273">
        <f t="shared" si="51"/>
        <v>0</v>
      </c>
      <c r="Q78" s="273"/>
      <c r="R78" s="273"/>
      <c r="S78" s="273">
        <f t="shared" si="103"/>
        <v>0</v>
      </c>
      <c r="T78" s="273">
        <f t="shared" si="104"/>
        <v>0</v>
      </c>
      <c r="U78" s="273">
        <f t="shared" si="105"/>
        <v>0</v>
      </c>
      <c r="V78" s="273"/>
      <c r="W78" s="273">
        <f t="shared" si="55"/>
        <v>0</v>
      </c>
      <c r="X78" s="273">
        <f t="shared" si="56"/>
        <v>0</v>
      </c>
      <c r="Y78" s="273">
        <f t="shared" si="57"/>
        <v>0</v>
      </c>
      <c r="Z78" s="273">
        <f t="shared" si="58"/>
        <v>0</v>
      </c>
      <c r="AA78" s="273"/>
      <c r="AB78" s="273"/>
      <c r="AC78" s="273"/>
      <c r="AD78" s="273"/>
      <c r="AE78" s="273"/>
      <c r="AF78" s="273"/>
      <c r="AG78" s="273"/>
      <c r="AH78" s="273"/>
    </row>
    <row r="79" spans="1:34" hidden="1" outlineLevel="1">
      <c r="A79" s="41"/>
      <c r="B79" s="280" t="s">
        <v>1803</v>
      </c>
      <c r="C79" s="233" t="s">
        <v>1154</v>
      </c>
      <c r="D79" s="285" t="s">
        <v>959</v>
      </c>
      <c r="E79" s="273">
        <v>24340</v>
      </c>
      <c r="F79" s="278">
        <f t="shared" si="45"/>
        <v>0.2</v>
      </c>
      <c r="G79" s="273"/>
      <c r="H79" s="273"/>
      <c r="I79" s="273">
        <f t="shared" si="46"/>
        <v>0</v>
      </c>
      <c r="J79" s="273">
        <f t="shared" si="47"/>
        <v>0</v>
      </c>
      <c r="K79" s="273">
        <f t="shared" si="48"/>
        <v>0</v>
      </c>
      <c r="L79" s="273"/>
      <c r="M79" s="273"/>
      <c r="N79" s="273">
        <f t="shared" si="49"/>
        <v>0</v>
      </c>
      <c r="O79" s="273">
        <f t="shared" si="50"/>
        <v>0</v>
      </c>
      <c r="P79" s="273">
        <f t="shared" si="51"/>
        <v>0</v>
      </c>
      <c r="Q79" s="273"/>
      <c r="R79" s="273"/>
      <c r="S79" s="273">
        <f t="shared" si="103"/>
        <v>0</v>
      </c>
      <c r="T79" s="273">
        <f t="shared" si="104"/>
        <v>0</v>
      </c>
      <c r="U79" s="273">
        <f t="shared" si="105"/>
        <v>0</v>
      </c>
      <c r="V79" s="273"/>
      <c r="W79" s="273">
        <f t="shared" si="55"/>
        <v>0</v>
      </c>
      <c r="X79" s="273">
        <f t="shared" si="56"/>
        <v>0</v>
      </c>
      <c r="Y79" s="273">
        <f t="shared" si="57"/>
        <v>0</v>
      </c>
      <c r="Z79" s="273">
        <f t="shared" si="58"/>
        <v>0</v>
      </c>
      <c r="AA79" s="273"/>
      <c r="AB79" s="273"/>
      <c r="AC79" s="273"/>
      <c r="AD79" s="273"/>
      <c r="AE79" s="273"/>
      <c r="AF79" s="273"/>
      <c r="AG79" s="273"/>
      <c r="AH79" s="273"/>
    </row>
    <row r="80" spans="1:34" hidden="1" outlineLevel="1">
      <c r="A80" s="41"/>
      <c r="B80" s="280" t="s">
        <v>1804</v>
      </c>
      <c r="C80" s="233" t="s">
        <v>1154</v>
      </c>
      <c r="D80" s="285" t="s">
        <v>959</v>
      </c>
      <c r="E80" s="273">
        <v>45000</v>
      </c>
      <c r="F80" s="278">
        <f t="shared" si="45"/>
        <v>0.2</v>
      </c>
      <c r="G80" s="273"/>
      <c r="H80" s="273"/>
      <c r="I80" s="273">
        <f t="shared" si="46"/>
        <v>0</v>
      </c>
      <c r="J80" s="273">
        <f t="shared" si="47"/>
        <v>0</v>
      </c>
      <c r="K80" s="273">
        <f t="shared" si="48"/>
        <v>0</v>
      </c>
      <c r="L80" s="273"/>
      <c r="M80" s="273"/>
      <c r="N80" s="273">
        <f t="shared" si="49"/>
        <v>0</v>
      </c>
      <c r="O80" s="273">
        <f t="shared" si="50"/>
        <v>0</v>
      </c>
      <c r="P80" s="273">
        <f t="shared" si="51"/>
        <v>0</v>
      </c>
      <c r="Q80" s="273"/>
      <c r="R80" s="273"/>
      <c r="S80" s="273">
        <f t="shared" si="103"/>
        <v>0</v>
      </c>
      <c r="T80" s="273">
        <f t="shared" si="104"/>
        <v>0</v>
      </c>
      <c r="U80" s="273">
        <f t="shared" si="105"/>
        <v>0</v>
      </c>
      <c r="V80" s="273"/>
      <c r="W80" s="273">
        <f t="shared" si="55"/>
        <v>0</v>
      </c>
      <c r="X80" s="273">
        <f t="shared" si="56"/>
        <v>0</v>
      </c>
      <c r="Y80" s="273">
        <f t="shared" si="57"/>
        <v>0</v>
      </c>
      <c r="Z80" s="273">
        <f t="shared" si="58"/>
        <v>0</v>
      </c>
      <c r="AA80" s="273"/>
      <c r="AB80" s="273"/>
      <c r="AC80" s="273"/>
      <c r="AD80" s="273"/>
      <c r="AE80" s="273"/>
      <c r="AF80" s="273"/>
      <c r="AG80" s="273"/>
      <c r="AH80" s="273"/>
    </row>
    <row r="81" spans="1:34" hidden="1" outlineLevel="1">
      <c r="A81" s="41"/>
      <c r="B81" s="280" t="s">
        <v>1805</v>
      </c>
      <c r="C81" s="233" t="s">
        <v>1154</v>
      </c>
      <c r="D81" s="285" t="s">
        <v>959</v>
      </c>
      <c r="E81" s="273">
        <v>17000</v>
      </c>
      <c r="F81" s="278">
        <f t="shared" si="45"/>
        <v>0.2</v>
      </c>
      <c r="G81" s="273"/>
      <c r="H81" s="273"/>
      <c r="I81" s="273">
        <f t="shared" si="46"/>
        <v>0</v>
      </c>
      <c r="J81" s="273">
        <f t="shared" si="47"/>
        <v>0</v>
      </c>
      <c r="K81" s="273">
        <f t="shared" si="48"/>
        <v>0</v>
      </c>
      <c r="L81" s="273"/>
      <c r="M81" s="273"/>
      <c r="N81" s="273">
        <f t="shared" si="49"/>
        <v>0</v>
      </c>
      <c r="O81" s="273">
        <f t="shared" si="50"/>
        <v>0</v>
      </c>
      <c r="P81" s="273">
        <f t="shared" si="51"/>
        <v>0</v>
      </c>
      <c r="Q81" s="273"/>
      <c r="R81" s="273"/>
      <c r="S81" s="273">
        <f t="shared" si="103"/>
        <v>0</v>
      </c>
      <c r="T81" s="273">
        <f t="shared" si="104"/>
        <v>0</v>
      </c>
      <c r="U81" s="273">
        <f t="shared" si="105"/>
        <v>0</v>
      </c>
      <c r="V81" s="273"/>
      <c r="W81" s="273">
        <f t="shared" si="55"/>
        <v>0</v>
      </c>
      <c r="X81" s="273">
        <f t="shared" si="56"/>
        <v>0</v>
      </c>
      <c r="Y81" s="273">
        <f t="shared" si="57"/>
        <v>0</v>
      </c>
      <c r="Z81" s="273">
        <f t="shared" si="58"/>
        <v>0</v>
      </c>
      <c r="AA81" s="273"/>
      <c r="AB81" s="273"/>
      <c r="AC81" s="273"/>
      <c r="AD81" s="273"/>
      <c r="AE81" s="273"/>
      <c r="AF81" s="273"/>
      <c r="AG81" s="273"/>
      <c r="AH81" s="273"/>
    </row>
    <row r="82" spans="1:34" hidden="1" outlineLevel="1">
      <c r="A82" s="41"/>
      <c r="B82" s="280" t="s">
        <v>1806</v>
      </c>
      <c r="C82" s="233" t="s">
        <v>1154</v>
      </c>
      <c r="D82" s="285" t="s">
        <v>959</v>
      </c>
      <c r="E82" s="273">
        <v>49000</v>
      </c>
      <c r="F82" s="278">
        <f t="shared" si="45"/>
        <v>0.2</v>
      </c>
      <c r="G82" s="273"/>
      <c r="H82" s="273"/>
      <c r="I82" s="273">
        <f t="shared" si="46"/>
        <v>0</v>
      </c>
      <c r="J82" s="273">
        <f t="shared" si="47"/>
        <v>0</v>
      </c>
      <c r="K82" s="273">
        <f t="shared" si="48"/>
        <v>0</v>
      </c>
      <c r="L82" s="273"/>
      <c r="M82" s="273"/>
      <c r="N82" s="273">
        <f t="shared" si="49"/>
        <v>0</v>
      </c>
      <c r="O82" s="273">
        <f t="shared" si="50"/>
        <v>0</v>
      </c>
      <c r="P82" s="273">
        <f t="shared" si="51"/>
        <v>0</v>
      </c>
      <c r="Q82" s="273"/>
      <c r="R82" s="273"/>
      <c r="S82" s="273">
        <f t="shared" si="103"/>
        <v>0</v>
      </c>
      <c r="T82" s="273">
        <f t="shared" si="104"/>
        <v>0</v>
      </c>
      <c r="U82" s="273">
        <f t="shared" si="105"/>
        <v>0</v>
      </c>
      <c r="V82" s="273"/>
      <c r="W82" s="273">
        <f t="shared" si="55"/>
        <v>0</v>
      </c>
      <c r="X82" s="273">
        <f t="shared" si="56"/>
        <v>0</v>
      </c>
      <c r="Y82" s="273">
        <f t="shared" si="57"/>
        <v>0</v>
      </c>
      <c r="Z82" s="273">
        <f t="shared" si="58"/>
        <v>0</v>
      </c>
      <c r="AA82" s="273"/>
      <c r="AB82" s="273"/>
      <c r="AC82" s="273"/>
      <c r="AD82" s="273"/>
      <c r="AE82" s="273"/>
      <c r="AF82" s="273"/>
      <c r="AG82" s="273"/>
      <c r="AH82" s="273"/>
    </row>
    <row r="83" spans="1:34" hidden="1" outlineLevel="1">
      <c r="A83" s="41"/>
      <c r="B83" s="280" t="s">
        <v>1807</v>
      </c>
      <c r="C83" s="233" t="s">
        <v>1154</v>
      </c>
      <c r="D83" s="285" t="s">
        <v>959</v>
      </c>
      <c r="E83" s="273">
        <v>51000</v>
      </c>
      <c r="F83" s="278">
        <f t="shared" si="45"/>
        <v>0.2</v>
      </c>
      <c r="G83" s="273"/>
      <c r="H83" s="273"/>
      <c r="I83" s="273">
        <f t="shared" si="46"/>
        <v>0</v>
      </c>
      <c r="J83" s="273">
        <f t="shared" si="47"/>
        <v>0</v>
      </c>
      <c r="K83" s="273">
        <f t="shared" si="48"/>
        <v>0</v>
      </c>
      <c r="L83" s="273"/>
      <c r="M83" s="273"/>
      <c r="N83" s="273">
        <f t="shared" si="49"/>
        <v>0</v>
      </c>
      <c r="O83" s="273">
        <f t="shared" si="50"/>
        <v>0</v>
      </c>
      <c r="P83" s="273">
        <f t="shared" si="51"/>
        <v>0</v>
      </c>
      <c r="Q83" s="273"/>
      <c r="R83" s="273"/>
      <c r="S83" s="273">
        <f t="shared" si="103"/>
        <v>0</v>
      </c>
      <c r="T83" s="273">
        <f t="shared" si="104"/>
        <v>0</v>
      </c>
      <c r="U83" s="273">
        <f t="shared" si="105"/>
        <v>0</v>
      </c>
      <c r="V83" s="273"/>
      <c r="W83" s="273">
        <f t="shared" si="55"/>
        <v>0</v>
      </c>
      <c r="X83" s="273">
        <f t="shared" si="56"/>
        <v>0</v>
      </c>
      <c r="Y83" s="273">
        <f t="shared" si="57"/>
        <v>0</v>
      </c>
      <c r="Z83" s="273">
        <f t="shared" si="58"/>
        <v>0</v>
      </c>
      <c r="AA83" s="273"/>
      <c r="AB83" s="273"/>
      <c r="AC83" s="273"/>
      <c r="AD83" s="273"/>
      <c r="AE83" s="273"/>
      <c r="AF83" s="273"/>
      <c r="AG83" s="273"/>
      <c r="AH83" s="273"/>
    </row>
    <row r="84" spans="1:34" hidden="1" outlineLevel="1">
      <c r="A84" s="41"/>
      <c r="B84" s="280" t="s">
        <v>1808</v>
      </c>
      <c r="C84" s="233" t="s">
        <v>1154</v>
      </c>
      <c r="D84" s="285" t="s">
        <v>959</v>
      </c>
      <c r="E84" s="273">
        <v>51000</v>
      </c>
      <c r="F84" s="278">
        <f t="shared" si="45"/>
        <v>0.2</v>
      </c>
      <c r="G84" s="273"/>
      <c r="H84" s="273"/>
      <c r="I84" s="273">
        <f t="shared" si="46"/>
        <v>0</v>
      </c>
      <c r="J84" s="273">
        <f t="shared" si="47"/>
        <v>0</v>
      </c>
      <c r="K84" s="273">
        <f t="shared" si="48"/>
        <v>0</v>
      </c>
      <c r="L84" s="273"/>
      <c r="M84" s="273"/>
      <c r="N84" s="273">
        <f t="shared" si="49"/>
        <v>0</v>
      </c>
      <c r="O84" s="273">
        <f t="shared" si="50"/>
        <v>0</v>
      </c>
      <c r="P84" s="273">
        <f t="shared" si="51"/>
        <v>0</v>
      </c>
      <c r="Q84" s="273"/>
      <c r="R84" s="273"/>
      <c r="S84" s="273">
        <f t="shared" si="103"/>
        <v>0</v>
      </c>
      <c r="T84" s="273">
        <f t="shared" si="104"/>
        <v>0</v>
      </c>
      <c r="U84" s="273">
        <f t="shared" si="105"/>
        <v>0</v>
      </c>
      <c r="V84" s="273"/>
      <c r="W84" s="273">
        <f t="shared" si="55"/>
        <v>0</v>
      </c>
      <c r="X84" s="273">
        <f t="shared" si="56"/>
        <v>0</v>
      </c>
      <c r="Y84" s="273">
        <f t="shared" si="57"/>
        <v>0</v>
      </c>
      <c r="Z84" s="273">
        <f t="shared" si="58"/>
        <v>0</v>
      </c>
      <c r="AA84" s="273"/>
      <c r="AB84" s="273"/>
      <c r="AC84" s="273"/>
      <c r="AD84" s="273"/>
      <c r="AE84" s="273"/>
      <c r="AF84" s="273"/>
      <c r="AG84" s="273"/>
      <c r="AH84" s="273"/>
    </row>
    <row r="85" spans="1:34" hidden="1" outlineLevel="1">
      <c r="A85" s="41"/>
      <c r="B85" s="280" t="s">
        <v>1809</v>
      </c>
      <c r="C85" s="233" t="s">
        <v>1154</v>
      </c>
      <c r="D85" s="285" t="s">
        <v>959</v>
      </c>
      <c r="E85" s="273">
        <v>17000</v>
      </c>
      <c r="F85" s="278">
        <f t="shared" si="45"/>
        <v>0.2</v>
      </c>
      <c r="G85" s="273"/>
      <c r="H85" s="273"/>
      <c r="I85" s="273">
        <f t="shared" si="46"/>
        <v>0</v>
      </c>
      <c r="J85" s="273">
        <f t="shared" si="47"/>
        <v>0</v>
      </c>
      <c r="K85" s="273">
        <f t="shared" si="48"/>
        <v>0</v>
      </c>
      <c r="L85" s="273"/>
      <c r="M85" s="273"/>
      <c r="N85" s="273">
        <f t="shared" si="49"/>
        <v>0</v>
      </c>
      <c r="O85" s="273">
        <f t="shared" si="50"/>
        <v>0</v>
      </c>
      <c r="P85" s="273">
        <f t="shared" si="51"/>
        <v>0</v>
      </c>
      <c r="Q85" s="273"/>
      <c r="R85" s="273"/>
      <c r="S85" s="273">
        <f t="shared" si="103"/>
        <v>0</v>
      </c>
      <c r="T85" s="273">
        <f t="shared" si="104"/>
        <v>0</v>
      </c>
      <c r="U85" s="273">
        <f t="shared" si="105"/>
        <v>0</v>
      </c>
      <c r="V85" s="273"/>
      <c r="W85" s="273">
        <f t="shared" si="55"/>
        <v>0</v>
      </c>
      <c r="X85" s="273">
        <f t="shared" si="56"/>
        <v>0</v>
      </c>
      <c r="Y85" s="273">
        <f t="shared" si="57"/>
        <v>0</v>
      </c>
      <c r="Z85" s="273">
        <f t="shared" si="58"/>
        <v>0</v>
      </c>
      <c r="AA85" s="273"/>
      <c r="AB85" s="273"/>
      <c r="AC85" s="273"/>
      <c r="AD85" s="273"/>
      <c r="AE85" s="273"/>
      <c r="AF85" s="273"/>
      <c r="AG85" s="273"/>
      <c r="AH85" s="273"/>
    </row>
    <row r="86" spans="1:34" hidden="1" outlineLevel="1">
      <c r="A86" s="41"/>
      <c r="B86" s="280" t="s">
        <v>1810</v>
      </c>
      <c r="C86" s="233" t="s">
        <v>1154</v>
      </c>
      <c r="D86" s="285" t="s">
        <v>959</v>
      </c>
      <c r="E86" s="273">
        <v>79000</v>
      </c>
      <c r="F86" s="278">
        <f t="shared" si="45"/>
        <v>0.2</v>
      </c>
      <c r="G86" s="273"/>
      <c r="H86" s="273"/>
      <c r="I86" s="273">
        <f t="shared" si="46"/>
        <v>0</v>
      </c>
      <c r="J86" s="273">
        <f t="shared" si="47"/>
        <v>0</v>
      </c>
      <c r="K86" s="273">
        <f t="shared" si="48"/>
        <v>0</v>
      </c>
      <c r="L86" s="273"/>
      <c r="M86" s="273"/>
      <c r="N86" s="273">
        <f t="shared" si="49"/>
        <v>0</v>
      </c>
      <c r="O86" s="273">
        <f t="shared" si="50"/>
        <v>0</v>
      </c>
      <c r="P86" s="273">
        <f t="shared" si="51"/>
        <v>0</v>
      </c>
      <c r="Q86" s="273"/>
      <c r="R86" s="273"/>
      <c r="S86" s="273">
        <f t="shared" si="103"/>
        <v>0</v>
      </c>
      <c r="T86" s="273">
        <f t="shared" si="104"/>
        <v>0</v>
      </c>
      <c r="U86" s="273">
        <f t="shared" si="105"/>
        <v>0</v>
      </c>
      <c r="V86" s="273"/>
      <c r="W86" s="273">
        <f t="shared" si="55"/>
        <v>0</v>
      </c>
      <c r="X86" s="273">
        <f t="shared" si="56"/>
        <v>0</v>
      </c>
      <c r="Y86" s="273">
        <f t="shared" si="57"/>
        <v>0</v>
      </c>
      <c r="Z86" s="273">
        <f t="shared" si="58"/>
        <v>0</v>
      </c>
      <c r="AA86" s="273"/>
      <c r="AB86" s="273"/>
      <c r="AC86" s="273"/>
      <c r="AD86" s="273"/>
      <c r="AE86" s="273"/>
      <c r="AF86" s="273"/>
      <c r="AG86" s="273"/>
      <c r="AH86" s="273"/>
    </row>
    <row r="87" spans="1:34" hidden="1" outlineLevel="1">
      <c r="A87" s="41"/>
      <c r="B87" s="280" t="s">
        <v>1811</v>
      </c>
      <c r="C87" s="233" t="s">
        <v>1154</v>
      </c>
      <c r="D87" s="285" t="s">
        <v>959</v>
      </c>
      <c r="E87" s="273">
        <v>54000</v>
      </c>
      <c r="F87" s="278">
        <f t="shared" si="45"/>
        <v>0.2</v>
      </c>
      <c r="G87" s="273"/>
      <c r="H87" s="273"/>
      <c r="I87" s="273">
        <f t="shared" si="46"/>
        <v>0</v>
      </c>
      <c r="J87" s="273">
        <f t="shared" si="47"/>
        <v>0</v>
      </c>
      <c r="K87" s="273">
        <f t="shared" si="48"/>
        <v>0</v>
      </c>
      <c r="L87" s="273"/>
      <c r="M87" s="273"/>
      <c r="N87" s="273">
        <f t="shared" si="49"/>
        <v>0</v>
      </c>
      <c r="O87" s="273">
        <f t="shared" si="50"/>
        <v>0</v>
      </c>
      <c r="P87" s="273">
        <f t="shared" si="51"/>
        <v>0</v>
      </c>
      <c r="Q87" s="273"/>
      <c r="R87" s="273"/>
      <c r="S87" s="273">
        <f t="shared" si="103"/>
        <v>0</v>
      </c>
      <c r="T87" s="273">
        <f t="shared" si="104"/>
        <v>0</v>
      </c>
      <c r="U87" s="273">
        <f t="shared" si="105"/>
        <v>0</v>
      </c>
      <c r="V87" s="273"/>
      <c r="W87" s="273">
        <f t="shared" si="55"/>
        <v>0</v>
      </c>
      <c r="X87" s="273">
        <f t="shared" si="56"/>
        <v>0</v>
      </c>
      <c r="Y87" s="273">
        <f t="shared" si="57"/>
        <v>0</v>
      </c>
      <c r="Z87" s="273">
        <f t="shared" si="58"/>
        <v>0</v>
      </c>
      <c r="AA87" s="273"/>
      <c r="AB87" s="273"/>
      <c r="AC87" s="273"/>
      <c r="AD87" s="273"/>
      <c r="AE87" s="273"/>
      <c r="AF87" s="273"/>
      <c r="AG87" s="273"/>
      <c r="AH87" s="273"/>
    </row>
    <row r="88" spans="1:34" hidden="1" outlineLevel="1">
      <c r="A88" s="41"/>
      <c r="B88" s="280" t="s">
        <v>1812</v>
      </c>
      <c r="C88" s="233" t="s">
        <v>1154</v>
      </c>
      <c r="D88" s="285" t="s">
        <v>959</v>
      </c>
      <c r="E88" s="273">
        <v>54000</v>
      </c>
      <c r="F88" s="278">
        <f t="shared" si="45"/>
        <v>0.2</v>
      </c>
      <c r="G88" s="273"/>
      <c r="H88" s="273"/>
      <c r="I88" s="273">
        <f t="shared" si="46"/>
        <v>0</v>
      </c>
      <c r="J88" s="273">
        <f t="shared" si="47"/>
        <v>0</v>
      </c>
      <c r="K88" s="273">
        <f t="shared" si="48"/>
        <v>0</v>
      </c>
      <c r="L88" s="273"/>
      <c r="M88" s="273"/>
      <c r="N88" s="273">
        <f t="shared" si="49"/>
        <v>0</v>
      </c>
      <c r="O88" s="273">
        <f t="shared" si="50"/>
        <v>0</v>
      </c>
      <c r="P88" s="273">
        <f t="shared" si="51"/>
        <v>0</v>
      </c>
      <c r="Q88" s="273"/>
      <c r="R88" s="273"/>
      <c r="S88" s="273">
        <f t="shared" si="103"/>
        <v>0</v>
      </c>
      <c r="T88" s="273">
        <f t="shared" si="104"/>
        <v>0</v>
      </c>
      <c r="U88" s="273">
        <f t="shared" si="105"/>
        <v>0</v>
      </c>
      <c r="V88" s="273"/>
      <c r="W88" s="273">
        <f t="shared" si="55"/>
        <v>0</v>
      </c>
      <c r="X88" s="273">
        <f t="shared" si="56"/>
        <v>0</v>
      </c>
      <c r="Y88" s="273">
        <f t="shared" si="57"/>
        <v>0</v>
      </c>
      <c r="Z88" s="273">
        <f t="shared" si="58"/>
        <v>0</v>
      </c>
      <c r="AA88" s="273"/>
      <c r="AB88" s="273"/>
      <c r="AC88" s="273"/>
      <c r="AD88" s="273"/>
      <c r="AE88" s="273"/>
      <c r="AF88" s="273"/>
      <c r="AG88" s="273"/>
      <c r="AH88" s="273"/>
    </row>
    <row r="89" spans="1:34" hidden="1" outlineLevel="1">
      <c r="A89" s="41"/>
      <c r="B89" s="280" t="s">
        <v>1813</v>
      </c>
      <c r="C89" s="233" t="s">
        <v>1154</v>
      </c>
      <c r="D89" s="285" t="s">
        <v>959</v>
      </c>
      <c r="E89" s="273">
        <v>123270</v>
      </c>
      <c r="F89" s="278">
        <f t="shared" si="45"/>
        <v>0.2</v>
      </c>
      <c r="G89" s="273"/>
      <c r="H89" s="273"/>
      <c r="I89" s="273">
        <f t="shared" si="46"/>
        <v>0</v>
      </c>
      <c r="J89" s="273">
        <f t="shared" si="47"/>
        <v>0</v>
      </c>
      <c r="K89" s="273">
        <f t="shared" si="48"/>
        <v>0</v>
      </c>
      <c r="L89" s="273"/>
      <c r="M89" s="273"/>
      <c r="N89" s="273">
        <f t="shared" si="49"/>
        <v>0</v>
      </c>
      <c r="O89" s="273">
        <f t="shared" si="50"/>
        <v>0</v>
      </c>
      <c r="P89" s="273">
        <f t="shared" si="51"/>
        <v>0</v>
      </c>
      <c r="Q89" s="273"/>
      <c r="R89" s="273"/>
      <c r="S89" s="273">
        <f t="shared" si="103"/>
        <v>0</v>
      </c>
      <c r="T89" s="273">
        <f t="shared" si="104"/>
        <v>0</v>
      </c>
      <c r="U89" s="273">
        <f t="shared" si="105"/>
        <v>0</v>
      </c>
      <c r="V89" s="273"/>
      <c r="W89" s="273">
        <f t="shared" si="55"/>
        <v>0</v>
      </c>
      <c r="X89" s="273">
        <f t="shared" si="56"/>
        <v>0</v>
      </c>
      <c r="Y89" s="273">
        <f t="shared" si="57"/>
        <v>0</v>
      </c>
      <c r="Z89" s="273">
        <f t="shared" si="58"/>
        <v>0</v>
      </c>
      <c r="AA89" s="273"/>
      <c r="AB89" s="273"/>
      <c r="AC89" s="273"/>
      <c r="AD89" s="273"/>
      <c r="AE89" s="273"/>
      <c r="AF89" s="273"/>
      <c r="AG89" s="273"/>
      <c r="AH89" s="273"/>
    </row>
    <row r="90" spans="1:34" hidden="1" outlineLevel="1">
      <c r="A90" s="41"/>
      <c r="B90" s="280" t="s">
        <v>1814</v>
      </c>
      <c r="C90" s="233" t="s">
        <v>1154</v>
      </c>
      <c r="D90" s="285" t="s">
        <v>959</v>
      </c>
      <c r="E90" s="273">
        <v>81216</v>
      </c>
      <c r="F90" s="278">
        <f t="shared" si="45"/>
        <v>0.2</v>
      </c>
      <c r="G90" s="273"/>
      <c r="H90" s="273"/>
      <c r="I90" s="273">
        <f t="shared" si="46"/>
        <v>0</v>
      </c>
      <c r="J90" s="273">
        <f t="shared" si="47"/>
        <v>0</v>
      </c>
      <c r="K90" s="273">
        <f t="shared" si="48"/>
        <v>0</v>
      </c>
      <c r="L90" s="273"/>
      <c r="M90" s="273"/>
      <c r="N90" s="273">
        <f t="shared" si="49"/>
        <v>0</v>
      </c>
      <c r="O90" s="273">
        <f t="shared" si="50"/>
        <v>0</v>
      </c>
      <c r="P90" s="273">
        <f t="shared" si="51"/>
        <v>0</v>
      </c>
      <c r="Q90" s="273"/>
      <c r="R90" s="273"/>
      <c r="S90" s="273">
        <f t="shared" si="103"/>
        <v>0</v>
      </c>
      <c r="T90" s="273">
        <f t="shared" si="104"/>
        <v>0</v>
      </c>
      <c r="U90" s="273">
        <f t="shared" si="105"/>
        <v>0</v>
      </c>
      <c r="V90" s="273"/>
      <c r="W90" s="273">
        <f t="shared" si="55"/>
        <v>0</v>
      </c>
      <c r="X90" s="273">
        <f t="shared" si="56"/>
        <v>0</v>
      </c>
      <c r="Y90" s="273">
        <f t="shared" si="57"/>
        <v>0</v>
      </c>
      <c r="Z90" s="273">
        <f t="shared" si="58"/>
        <v>0</v>
      </c>
      <c r="AA90" s="273"/>
      <c r="AB90" s="273"/>
      <c r="AC90" s="273"/>
      <c r="AD90" s="273"/>
      <c r="AE90" s="273"/>
      <c r="AF90" s="273"/>
      <c r="AG90" s="273"/>
      <c r="AH90" s="273"/>
    </row>
    <row r="91" spans="1:34" hidden="1" outlineLevel="1">
      <c r="A91" s="41"/>
      <c r="B91" s="280" t="s">
        <v>1815</v>
      </c>
      <c r="C91" s="233" t="s">
        <v>1154</v>
      </c>
      <c r="D91" s="285" t="s">
        <v>959</v>
      </c>
      <c r="E91" s="273">
        <v>45000</v>
      </c>
      <c r="F91" s="278">
        <f t="shared" si="45"/>
        <v>0.2</v>
      </c>
      <c r="G91" s="273"/>
      <c r="H91" s="273"/>
      <c r="I91" s="273">
        <f t="shared" si="46"/>
        <v>0</v>
      </c>
      <c r="J91" s="273">
        <f t="shared" si="47"/>
        <v>0</v>
      </c>
      <c r="K91" s="273">
        <f t="shared" si="48"/>
        <v>0</v>
      </c>
      <c r="L91" s="273"/>
      <c r="M91" s="273"/>
      <c r="N91" s="273">
        <f t="shared" si="49"/>
        <v>0</v>
      </c>
      <c r="O91" s="273">
        <f t="shared" si="50"/>
        <v>0</v>
      </c>
      <c r="P91" s="273">
        <f t="shared" si="51"/>
        <v>0</v>
      </c>
      <c r="Q91" s="273"/>
      <c r="R91" s="273"/>
      <c r="S91" s="273">
        <f t="shared" si="103"/>
        <v>0</v>
      </c>
      <c r="T91" s="273">
        <f t="shared" si="104"/>
        <v>0</v>
      </c>
      <c r="U91" s="273">
        <f t="shared" si="105"/>
        <v>0</v>
      </c>
      <c r="V91" s="273"/>
      <c r="W91" s="273">
        <f t="shared" si="55"/>
        <v>0</v>
      </c>
      <c r="X91" s="273">
        <f t="shared" si="56"/>
        <v>0</v>
      </c>
      <c r="Y91" s="273">
        <f t="shared" si="57"/>
        <v>0</v>
      </c>
      <c r="Z91" s="273">
        <f t="shared" si="58"/>
        <v>0</v>
      </c>
      <c r="AA91" s="273"/>
      <c r="AB91" s="273"/>
      <c r="AC91" s="273"/>
      <c r="AD91" s="273"/>
      <c r="AE91" s="273"/>
      <c r="AF91" s="273"/>
      <c r="AG91" s="273"/>
      <c r="AH91" s="273"/>
    </row>
    <row r="92" spans="1:34" hidden="1" outlineLevel="1">
      <c r="A92" s="41"/>
      <c r="B92" s="280" t="s">
        <v>1816</v>
      </c>
      <c r="C92" s="233" t="s">
        <v>1154</v>
      </c>
      <c r="D92" s="285" t="s">
        <v>959</v>
      </c>
      <c r="E92" s="273">
        <v>15000</v>
      </c>
      <c r="F92" s="278">
        <f t="shared" si="45"/>
        <v>0.2</v>
      </c>
      <c r="G92" s="273"/>
      <c r="H92" s="273"/>
      <c r="I92" s="273">
        <f t="shared" si="46"/>
        <v>0</v>
      </c>
      <c r="J92" s="273">
        <f t="shared" si="47"/>
        <v>0</v>
      </c>
      <c r="K92" s="273">
        <f t="shared" si="48"/>
        <v>0</v>
      </c>
      <c r="L92" s="273"/>
      <c r="M92" s="273"/>
      <c r="N92" s="273">
        <f t="shared" si="49"/>
        <v>0</v>
      </c>
      <c r="O92" s="273">
        <f t="shared" si="50"/>
        <v>0</v>
      </c>
      <c r="P92" s="273">
        <f t="shared" si="51"/>
        <v>0</v>
      </c>
      <c r="Q92" s="273"/>
      <c r="R92" s="273"/>
      <c r="S92" s="273">
        <f t="shared" si="103"/>
        <v>0</v>
      </c>
      <c r="T92" s="273">
        <f t="shared" si="104"/>
        <v>0</v>
      </c>
      <c r="U92" s="273">
        <f t="shared" si="105"/>
        <v>0</v>
      </c>
      <c r="V92" s="273"/>
      <c r="W92" s="273">
        <f t="shared" si="55"/>
        <v>0</v>
      </c>
      <c r="X92" s="273">
        <f t="shared" si="56"/>
        <v>0</v>
      </c>
      <c r="Y92" s="273">
        <f t="shared" si="57"/>
        <v>0</v>
      </c>
      <c r="Z92" s="273">
        <f t="shared" si="58"/>
        <v>0</v>
      </c>
      <c r="AA92" s="273"/>
      <c r="AB92" s="273"/>
      <c r="AC92" s="273"/>
      <c r="AD92" s="273"/>
      <c r="AE92" s="273"/>
      <c r="AF92" s="273"/>
      <c r="AG92" s="273"/>
      <c r="AH92" s="273"/>
    </row>
    <row r="93" spans="1:34" hidden="1" outlineLevel="1">
      <c r="A93" s="41"/>
      <c r="B93" s="280" t="s">
        <v>1817</v>
      </c>
      <c r="C93" s="233" t="s">
        <v>1154</v>
      </c>
      <c r="D93" s="285" t="s">
        <v>959</v>
      </c>
      <c r="E93" s="273">
        <v>10000</v>
      </c>
      <c r="F93" s="278">
        <f t="shared" si="45"/>
        <v>0.2</v>
      </c>
      <c r="G93" s="273"/>
      <c r="H93" s="273"/>
      <c r="I93" s="273">
        <f t="shared" si="46"/>
        <v>0</v>
      </c>
      <c r="J93" s="273">
        <f t="shared" si="47"/>
        <v>0</v>
      </c>
      <c r="K93" s="273">
        <f t="shared" si="48"/>
        <v>0</v>
      </c>
      <c r="L93" s="273"/>
      <c r="M93" s="273"/>
      <c r="N93" s="273">
        <f t="shared" si="49"/>
        <v>0</v>
      </c>
      <c r="O93" s="273">
        <f t="shared" si="50"/>
        <v>0</v>
      </c>
      <c r="P93" s="273">
        <f t="shared" si="51"/>
        <v>0</v>
      </c>
      <c r="Q93" s="273"/>
      <c r="R93" s="273"/>
      <c r="S93" s="273">
        <f t="shared" si="103"/>
        <v>0</v>
      </c>
      <c r="T93" s="273">
        <f t="shared" si="104"/>
        <v>0</v>
      </c>
      <c r="U93" s="273">
        <f t="shared" si="105"/>
        <v>0</v>
      </c>
      <c r="V93" s="273"/>
      <c r="W93" s="273">
        <f t="shared" si="55"/>
        <v>0</v>
      </c>
      <c r="X93" s="273">
        <f t="shared" si="56"/>
        <v>0</v>
      </c>
      <c r="Y93" s="273">
        <f t="shared" si="57"/>
        <v>0</v>
      </c>
      <c r="Z93" s="273">
        <f t="shared" si="58"/>
        <v>0</v>
      </c>
      <c r="AA93" s="273"/>
      <c r="AB93" s="273"/>
      <c r="AC93" s="273"/>
      <c r="AD93" s="273"/>
      <c r="AE93" s="273"/>
      <c r="AF93" s="273"/>
      <c r="AG93" s="273"/>
      <c r="AH93" s="273"/>
    </row>
    <row r="94" spans="1:34" hidden="1" outlineLevel="1">
      <c r="A94" s="41"/>
      <c r="B94" s="280" t="s">
        <v>1818</v>
      </c>
      <c r="C94" s="233" t="s">
        <v>1154</v>
      </c>
      <c r="D94" s="285" t="s">
        <v>959</v>
      </c>
      <c r="E94" s="273">
        <v>6000</v>
      </c>
      <c r="F94" s="278">
        <f t="shared" si="45"/>
        <v>0.2</v>
      </c>
      <c r="G94" s="273"/>
      <c r="H94" s="273"/>
      <c r="I94" s="273">
        <f t="shared" si="46"/>
        <v>0</v>
      </c>
      <c r="J94" s="273">
        <f t="shared" si="47"/>
        <v>0</v>
      </c>
      <c r="K94" s="273">
        <f t="shared" si="48"/>
        <v>0</v>
      </c>
      <c r="L94" s="273"/>
      <c r="M94" s="273"/>
      <c r="N94" s="273">
        <f t="shared" si="49"/>
        <v>0</v>
      </c>
      <c r="O94" s="273">
        <f t="shared" si="50"/>
        <v>0</v>
      </c>
      <c r="P94" s="273">
        <f t="shared" si="51"/>
        <v>0</v>
      </c>
      <c r="Q94" s="273"/>
      <c r="R94" s="273"/>
      <c r="S94" s="273">
        <f t="shared" si="103"/>
        <v>0</v>
      </c>
      <c r="T94" s="273">
        <f t="shared" si="104"/>
        <v>0</v>
      </c>
      <c r="U94" s="273">
        <f t="shared" si="105"/>
        <v>0</v>
      </c>
      <c r="V94" s="273"/>
      <c r="W94" s="273">
        <f t="shared" si="55"/>
        <v>0</v>
      </c>
      <c r="X94" s="273">
        <f t="shared" si="56"/>
        <v>0</v>
      </c>
      <c r="Y94" s="273">
        <f t="shared" si="57"/>
        <v>0</v>
      </c>
      <c r="Z94" s="273">
        <f t="shared" si="58"/>
        <v>0</v>
      </c>
      <c r="AA94" s="273"/>
      <c r="AB94" s="273"/>
      <c r="AC94" s="273"/>
      <c r="AD94" s="273"/>
      <c r="AE94" s="273"/>
      <c r="AF94" s="273"/>
      <c r="AG94" s="273"/>
      <c r="AH94" s="273"/>
    </row>
    <row r="95" spans="1:34" hidden="1" outlineLevel="1">
      <c r="A95" s="41"/>
      <c r="B95" s="280" t="s">
        <v>1819</v>
      </c>
      <c r="C95" s="233" t="s">
        <v>1154</v>
      </c>
      <c r="D95" s="285" t="s">
        <v>959</v>
      </c>
      <c r="E95" s="273">
        <v>305000</v>
      </c>
      <c r="F95" s="278">
        <f t="shared" si="45"/>
        <v>0.2</v>
      </c>
      <c r="G95" s="273"/>
      <c r="H95" s="273"/>
      <c r="I95" s="273">
        <f t="shared" si="46"/>
        <v>0</v>
      </c>
      <c r="J95" s="273">
        <f t="shared" si="47"/>
        <v>0</v>
      </c>
      <c r="K95" s="273">
        <f t="shared" si="48"/>
        <v>0</v>
      </c>
      <c r="L95" s="273"/>
      <c r="M95" s="273"/>
      <c r="N95" s="273">
        <f t="shared" si="49"/>
        <v>0</v>
      </c>
      <c r="O95" s="273">
        <f t="shared" si="50"/>
        <v>0</v>
      </c>
      <c r="P95" s="273">
        <f t="shared" si="51"/>
        <v>0</v>
      </c>
      <c r="Q95" s="273"/>
      <c r="R95" s="273"/>
      <c r="S95" s="273">
        <f t="shared" si="103"/>
        <v>0</v>
      </c>
      <c r="T95" s="273">
        <f t="shared" si="104"/>
        <v>0</v>
      </c>
      <c r="U95" s="273">
        <f t="shared" si="105"/>
        <v>0</v>
      </c>
      <c r="V95" s="273"/>
      <c r="W95" s="273">
        <f t="shared" si="55"/>
        <v>0</v>
      </c>
      <c r="X95" s="273">
        <f t="shared" si="56"/>
        <v>0</v>
      </c>
      <c r="Y95" s="273">
        <f t="shared" si="57"/>
        <v>0</v>
      </c>
      <c r="Z95" s="273">
        <f t="shared" si="58"/>
        <v>0</v>
      </c>
      <c r="AA95" s="273"/>
      <c r="AB95" s="273"/>
      <c r="AC95" s="273"/>
      <c r="AD95" s="273"/>
      <c r="AE95" s="273"/>
      <c r="AF95" s="273"/>
      <c r="AG95" s="273"/>
      <c r="AH95" s="273"/>
    </row>
    <row r="96" spans="1:34" hidden="1" outlineLevel="1">
      <c r="A96" s="41"/>
      <c r="B96" s="280" t="s">
        <v>1820</v>
      </c>
      <c r="C96" s="233" t="s">
        <v>1154</v>
      </c>
      <c r="D96" s="285" t="s">
        <v>959</v>
      </c>
      <c r="E96" s="273">
        <v>31500</v>
      </c>
      <c r="F96" s="278">
        <f t="shared" si="45"/>
        <v>0.2</v>
      </c>
      <c r="G96" s="273"/>
      <c r="H96" s="273"/>
      <c r="I96" s="273">
        <f t="shared" si="46"/>
        <v>0</v>
      </c>
      <c r="J96" s="273">
        <f t="shared" si="47"/>
        <v>0</v>
      </c>
      <c r="K96" s="273">
        <f t="shared" si="48"/>
        <v>0</v>
      </c>
      <c r="L96" s="273"/>
      <c r="M96" s="273"/>
      <c r="N96" s="273">
        <f t="shared" si="49"/>
        <v>0</v>
      </c>
      <c r="O96" s="273">
        <f t="shared" si="50"/>
        <v>0</v>
      </c>
      <c r="P96" s="273">
        <f t="shared" si="51"/>
        <v>0</v>
      </c>
      <c r="Q96" s="273"/>
      <c r="R96" s="273"/>
      <c r="S96" s="273">
        <f t="shared" si="103"/>
        <v>0</v>
      </c>
      <c r="T96" s="273">
        <f t="shared" si="104"/>
        <v>0</v>
      </c>
      <c r="U96" s="273">
        <f t="shared" si="105"/>
        <v>0</v>
      </c>
      <c r="V96" s="273"/>
      <c r="W96" s="273">
        <f t="shared" si="55"/>
        <v>0</v>
      </c>
      <c r="X96" s="273">
        <f t="shared" si="56"/>
        <v>0</v>
      </c>
      <c r="Y96" s="273">
        <f t="shared" si="57"/>
        <v>0</v>
      </c>
      <c r="Z96" s="273">
        <f t="shared" si="58"/>
        <v>0</v>
      </c>
      <c r="AA96" s="273"/>
      <c r="AB96" s="273"/>
      <c r="AC96" s="273"/>
      <c r="AD96" s="273"/>
      <c r="AE96" s="273"/>
      <c r="AF96" s="273"/>
      <c r="AG96" s="273"/>
      <c r="AH96" s="273"/>
    </row>
    <row r="97" spans="1:34" hidden="1" outlineLevel="1">
      <c r="A97" s="41"/>
      <c r="B97" s="280" t="s">
        <v>1821</v>
      </c>
      <c r="C97" s="233" t="s">
        <v>1154</v>
      </c>
      <c r="D97" s="285" t="s">
        <v>959</v>
      </c>
      <c r="E97" s="273">
        <v>305000</v>
      </c>
      <c r="F97" s="278">
        <f t="shared" si="45"/>
        <v>0.2</v>
      </c>
      <c r="G97" s="273"/>
      <c r="H97" s="273"/>
      <c r="I97" s="273">
        <f t="shared" si="46"/>
        <v>0</v>
      </c>
      <c r="J97" s="273">
        <f t="shared" si="47"/>
        <v>0</v>
      </c>
      <c r="K97" s="273">
        <f t="shared" si="48"/>
        <v>0</v>
      </c>
      <c r="L97" s="273"/>
      <c r="M97" s="273"/>
      <c r="N97" s="273">
        <f t="shared" si="49"/>
        <v>0</v>
      </c>
      <c r="O97" s="273">
        <f t="shared" si="50"/>
        <v>0</v>
      </c>
      <c r="P97" s="273">
        <f t="shared" si="51"/>
        <v>0</v>
      </c>
      <c r="Q97" s="273"/>
      <c r="R97" s="273"/>
      <c r="S97" s="273">
        <f t="shared" si="103"/>
        <v>0</v>
      </c>
      <c r="T97" s="273">
        <f t="shared" si="104"/>
        <v>0</v>
      </c>
      <c r="U97" s="273">
        <f t="shared" si="105"/>
        <v>0</v>
      </c>
      <c r="V97" s="273"/>
      <c r="W97" s="273">
        <f t="shared" si="55"/>
        <v>0</v>
      </c>
      <c r="X97" s="273">
        <f t="shared" si="56"/>
        <v>0</v>
      </c>
      <c r="Y97" s="273">
        <f t="shared" si="57"/>
        <v>0</v>
      </c>
      <c r="Z97" s="273">
        <f t="shared" si="58"/>
        <v>0</v>
      </c>
      <c r="AA97" s="273"/>
      <c r="AB97" s="273"/>
      <c r="AC97" s="273"/>
      <c r="AD97" s="273"/>
      <c r="AE97" s="273"/>
      <c r="AF97" s="273"/>
      <c r="AG97" s="273"/>
      <c r="AH97" s="273"/>
    </row>
    <row r="98" spans="1:34" hidden="1" outlineLevel="1">
      <c r="A98" s="41"/>
      <c r="B98" s="280" t="s">
        <v>1822</v>
      </c>
      <c r="C98" s="233" t="s">
        <v>1154</v>
      </c>
      <c r="D98" s="285" t="s">
        <v>959</v>
      </c>
      <c r="E98" s="273">
        <v>31500</v>
      </c>
      <c r="F98" s="278">
        <f t="shared" si="45"/>
        <v>0.2</v>
      </c>
      <c r="G98" s="273"/>
      <c r="H98" s="273"/>
      <c r="I98" s="273">
        <f t="shared" si="46"/>
        <v>0</v>
      </c>
      <c r="J98" s="273">
        <f t="shared" si="47"/>
        <v>0</v>
      </c>
      <c r="K98" s="273">
        <f t="shared" si="48"/>
        <v>0</v>
      </c>
      <c r="L98" s="273"/>
      <c r="M98" s="273"/>
      <c r="N98" s="273">
        <f t="shared" si="49"/>
        <v>0</v>
      </c>
      <c r="O98" s="273">
        <f t="shared" si="50"/>
        <v>0</v>
      </c>
      <c r="P98" s="273">
        <f t="shared" si="51"/>
        <v>0</v>
      </c>
      <c r="Q98" s="273"/>
      <c r="R98" s="273"/>
      <c r="S98" s="273">
        <f t="shared" si="103"/>
        <v>0</v>
      </c>
      <c r="T98" s="273">
        <f t="shared" si="104"/>
        <v>0</v>
      </c>
      <c r="U98" s="273">
        <f t="shared" si="105"/>
        <v>0</v>
      </c>
      <c r="V98" s="273"/>
      <c r="W98" s="273">
        <f t="shared" si="55"/>
        <v>0</v>
      </c>
      <c r="X98" s="273">
        <f t="shared" si="56"/>
        <v>0</v>
      </c>
      <c r="Y98" s="273">
        <f t="shared" si="57"/>
        <v>0</v>
      </c>
      <c r="Z98" s="273">
        <f t="shared" si="58"/>
        <v>0</v>
      </c>
      <c r="AA98" s="273"/>
      <c r="AB98" s="273"/>
      <c r="AC98" s="273"/>
      <c r="AD98" s="273"/>
      <c r="AE98" s="273"/>
      <c r="AF98" s="273"/>
      <c r="AG98" s="273"/>
      <c r="AH98" s="273"/>
    </row>
    <row r="99" spans="1:34" hidden="1" outlineLevel="1">
      <c r="A99" s="41"/>
      <c r="B99" s="280" t="s">
        <v>1823</v>
      </c>
      <c r="C99" s="233" t="s">
        <v>1154</v>
      </c>
      <c r="D99" s="285" t="s">
        <v>959</v>
      </c>
      <c r="E99" s="273">
        <v>55943</v>
      </c>
      <c r="F99" s="278">
        <f t="shared" ref="F99:F100" si="106">VLOOKUP(D99,$C$2:$E$4,2,FALSE)</f>
        <v>0.2</v>
      </c>
      <c r="G99" s="273"/>
      <c r="H99" s="273"/>
      <c r="I99" s="273">
        <f t="shared" ref="I99:I100" si="107">$E99*H99</f>
        <v>0</v>
      </c>
      <c r="J99" s="273">
        <f t="shared" ref="J99:J100" si="108">(1-$F99)*I99</f>
        <v>0</v>
      </c>
      <c r="K99" s="273">
        <f t="shared" ref="K99:K100" si="109">J99*VLOOKUP($D99,$C$2:$E$4,3,FALSE)</f>
        <v>0</v>
      </c>
      <c r="L99" s="273"/>
      <c r="M99" s="273"/>
      <c r="N99" s="273">
        <f t="shared" ref="N99:N100" si="110">$E99*M99</f>
        <v>0</v>
      </c>
      <c r="O99" s="273">
        <f t="shared" ref="O99:O100" si="111">(1-$F99)*N99</f>
        <v>0</v>
      </c>
      <c r="P99" s="273">
        <f t="shared" ref="P99:P100" si="112">O99*VLOOKUP($D99,$C$2:$E$4,3,FALSE)</f>
        <v>0</v>
      </c>
      <c r="Q99" s="273"/>
      <c r="R99" s="273"/>
      <c r="S99" s="273">
        <f t="shared" si="103"/>
        <v>0</v>
      </c>
      <c r="T99" s="273">
        <f t="shared" si="104"/>
        <v>0</v>
      </c>
      <c r="U99" s="273">
        <f t="shared" si="105"/>
        <v>0</v>
      </c>
      <c r="V99" s="273"/>
      <c r="W99" s="273">
        <f t="shared" ref="W99:W100" si="113">H99+M99</f>
        <v>0</v>
      </c>
      <c r="X99" s="273">
        <f t="shared" ref="X99:X100" si="114">I99+N99</f>
        <v>0</v>
      </c>
      <c r="Y99" s="273">
        <f t="shared" ref="Y99:Y100" si="115">J99+O99</f>
        <v>0</v>
      </c>
      <c r="Z99" s="273">
        <f t="shared" ref="Z99:Z100" si="116">K99+P99</f>
        <v>0</v>
      </c>
      <c r="AA99" s="273"/>
      <c r="AB99" s="273"/>
      <c r="AC99" s="273"/>
      <c r="AD99" s="273"/>
      <c r="AE99" s="273"/>
      <c r="AF99" s="273"/>
      <c r="AG99" s="273"/>
      <c r="AH99" s="273"/>
    </row>
    <row r="100" spans="1:34" hidden="1" outlineLevel="1">
      <c r="A100" s="41"/>
      <c r="B100" s="280" t="s">
        <v>1824</v>
      </c>
      <c r="C100" s="233" t="s">
        <v>1154</v>
      </c>
      <c r="D100" s="285" t="s">
        <v>959</v>
      </c>
      <c r="E100" s="273">
        <v>96995</v>
      </c>
      <c r="F100" s="278">
        <f t="shared" si="106"/>
        <v>0.2</v>
      </c>
      <c r="G100" s="273"/>
      <c r="H100" s="273"/>
      <c r="I100" s="273">
        <f t="shared" si="107"/>
        <v>0</v>
      </c>
      <c r="J100" s="273">
        <f t="shared" si="108"/>
        <v>0</v>
      </c>
      <c r="K100" s="273">
        <f t="shared" si="109"/>
        <v>0</v>
      </c>
      <c r="L100" s="273"/>
      <c r="M100" s="273"/>
      <c r="N100" s="273">
        <f t="shared" si="110"/>
        <v>0</v>
      </c>
      <c r="O100" s="273">
        <f t="shared" si="111"/>
        <v>0</v>
      </c>
      <c r="P100" s="273">
        <f t="shared" si="112"/>
        <v>0</v>
      </c>
      <c r="Q100" s="273"/>
      <c r="R100" s="273"/>
      <c r="S100" s="273">
        <f t="shared" si="103"/>
        <v>0</v>
      </c>
      <c r="T100" s="273">
        <f t="shared" si="104"/>
        <v>0</v>
      </c>
      <c r="U100" s="273">
        <f t="shared" si="105"/>
        <v>0</v>
      </c>
      <c r="V100" s="273"/>
      <c r="W100" s="273">
        <f t="shared" si="113"/>
        <v>0</v>
      </c>
      <c r="X100" s="273">
        <f t="shared" si="114"/>
        <v>0</v>
      </c>
      <c r="Y100" s="273">
        <f t="shared" si="115"/>
        <v>0</v>
      </c>
      <c r="Z100" s="273">
        <f t="shared" si="116"/>
        <v>0</v>
      </c>
      <c r="AA100" s="273"/>
      <c r="AB100" s="273"/>
      <c r="AC100" s="273"/>
      <c r="AD100" s="273"/>
      <c r="AE100" s="273"/>
      <c r="AF100" s="273"/>
      <c r="AG100" s="273"/>
      <c r="AH100" s="273"/>
    </row>
    <row r="101" spans="1:34" collapsed="1">
      <c r="A101" s="41"/>
      <c r="B101" s="364" t="s">
        <v>1635</v>
      </c>
      <c r="C101" s="233"/>
      <c r="D101" s="285"/>
      <c r="E101" s="283"/>
      <c r="F101" s="278"/>
      <c r="G101" s="273"/>
      <c r="H101" s="273"/>
      <c r="I101" s="273"/>
      <c r="J101" s="273"/>
      <c r="K101" s="273"/>
      <c r="L101" s="273"/>
      <c r="M101" s="273"/>
      <c r="N101" s="273"/>
      <c r="O101" s="273"/>
      <c r="P101" s="273"/>
      <c r="Q101" s="273"/>
      <c r="R101" s="273"/>
      <c r="S101" s="273"/>
      <c r="T101" s="273"/>
      <c r="U101" s="273"/>
      <c r="V101" s="273"/>
      <c r="W101" s="273"/>
      <c r="X101" s="273"/>
      <c r="Y101" s="273"/>
      <c r="Z101" s="273"/>
      <c r="AA101" s="273"/>
      <c r="AB101" s="273"/>
      <c r="AC101" s="273"/>
      <c r="AD101" s="273"/>
      <c r="AE101" s="273"/>
      <c r="AF101" s="273"/>
      <c r="AG101" s="273"/>
      <c r="AH101" s="273"/>
    </row>
    <row r="102" spans="1:34">
      <c r="A102" s="41"/>
      <c r="B102" s="280" t="s">
        <v>1785</v>
      </c>
      <c r="C102" s="233" t="s">
        <v>1154</v>
      </c>
      <c r="D102" s="285" t="s">
        <v>1156</v>
      </c>
      <c r="E102" s="273">
        <v>50000</v>
      </c>
      <c r="F102" s="278"/>
      <c r="G102" s="273"/>
      <c r="H102" s="273"/>
      <c r="I102" s="273">
        <f>$E102*H102</f>
        <v>0</v>
      </c>
      <c r="J102" s="273">
        <f>(1-$F102)*I102</f>
        <v>0</v>
      </c>
      <c r="K102" s="273">
        <f>J102*VLOOKUP($D102,$C$2:$E$4,3,FALSE)</f>
        <v>0</v>
      </c>
      <c r="L102" s="273"/>
      <c r="M102" s="273"/>
      <c r="N102" s="273">
        <f>$E102*M102</f>
        <v>0</v>
      </c>
      <c r="O102" s="273">
        <f>(1-$F102)*N102</f>
        <v>0</v>
      </c>
      <c r="P102" s="273">
        <f>O102*VLOOKUP($D102,$C$2:$E$4,3,FALSE)</f>
        <v>0</v>
      </c>
      <c r="Q102" s="273"/>
      <c r="R102" s="273"/>
      <c r="S102" s="273">
        <f>$E102*R102</f>
        <v>0</v>
      </c>
      <c r="T102" s="273">
        <f>(1-$F102)*S102</f>
        <v>0</v>
      </c>
      <c r="U102" s="273">
        <f>T102*VLOOKUP($D102,$C$2:$E$4,3,FALSE)</f>
        <v>0</v>
      </c>
      <c r="V102" s="273"/>
      <c r="W102" s="273">
        <f>H102+M102</f>
        <v>0</v>
      </c>
      <c r="X102" s="273">
        <f>I102+N102</f>
        <v>0</v>
      </c>
      <c r="Y102" s="273">
        <f>J102+O102</f>
        <v>0</v>
      </c>
      <c r="Z102" s="273">
        <f>K102+P102</f>
        <v>0</v>
      </c>
      <c r="AA102" s="273"/>
      <c r="AB102" s="273"/>
      <c r="AC102" s="273"/>
      <c r="AD102" s="273"/>
      <c r="AE102" s="273"/>
      <c r="AF102" s="273"/>
      <c r="AG102" s="273"/>
      <c r="AH102" s="273"/>
    </row>
    <row r="103" spans="1:34">
      <c r="A103" s="41"/>
      <c r="B103" s="280" t="s">
        <v>952</v>
      </c>
      <c r="C103" s="233" t="s">
        <v>948</v>
      </c>
      <c r="D103" s="285" t="s">
        <v>1156</v>
      </c>
      <c r="E103" s="283">
        <v>4240</v>
      </c>
      <c r="F103" s="278">
        <f t="shared" ref="F103:F111" si="117">VLOOKUP(D103,$C$2:$E$4,2,FALSE)</f>
        <v>0</v>
      </c>
      <c r="G103" s="273"/>
      <c r="H103" s="273"/>
      <c r="I103" s="273">
        <f t="shared" ref="I103:I111" si="118">$E103*H103</f>
        <v>0</v>
      </c>
      <c r="J103" s="273">
        <f t="shared" ref="J103:J111" si="119">(1-$F103)*I103</f>
        <v>0</v>
      </c>
      <c r="K103" s="273">
        <f t="shared" ref="K103:K111" si="120">J103*VLOOKUP($D103,$C$2:$E$4,3,FALSE)</f>
        <v>0</v>
      </c>
      <c r="L103" s="273"/>
      <c r="M103" s="273"/>
      <c r="N103" s="273">
        <f t="shared" ref="N103:N111" si="121">$E103*M103</f>
        <v>0</v>
      </c>
      <c r="O103" s="273">
        <f t="shared" ref="O103:O111" si="122">(1-$F103)*N103</f>
        <v>0</v>
      </c>
      <c r="P103" s="273">
        <f t="shared" ref="P103:P111" si="123">O103*VLOOKUP($D103,$C$2:$E$4,3,FALSE)</f>
        <v>0</v>
      </c>
      <c r="Q103" s="273"/>
      <c r="R103" s="273"/>
      <c r="S103" s="273">
        <f t="shared" ref="S103:S111" si="124">$E103*R103</f>
        <v>0</v>
      </c>
      <c r="T103" s="273">
        <f t="shared" ref="T103:T111" si="125">(1-$F103)*S103</f>
        <v>0</v>
      </c>
      <c r="U103" s="273">
        <f t="shared" ref="U103:U111" si="126">T103*VLOOKUP($D103,$C$2:$E$4,3,FALSE)</f>
        <v>0</v>
      </c>
      <c r="V103" s="273"/>
      <c r="W103" s="273">
        <f t="shared" ref="W103:Z110" si="127">H103+M103</f>
        <v>0</v>
      </c>
      <c r="X103" s="273">
        <f t="shared" si="127"/>
        <v>0</v>
      </c>
      <c r="Y103" s="273">
        <f t="shared" si="127"/>
        <v>0</v>
      </c>
      <c r="Z103" s="273">
        <f t="shared" si="127"/>
        <v>0</v>
      </c>
      <c r="AA103" s="273"/>
      <c r="AB103" s="273"/>
      <c r="AC103" s="273"/>
      <c r="AD103" s="273"/>
      <c r="AE103" s="273"/>
      <c r="AF103" s="273"/>
      <c r="AG103" s="273"/>
      <c r="AH103" s="273"/>
    </row>
    <row r="104" spans="1:34">
      <c r="A104" s="41"/>
      <c r="B104" s="280" t="s">
        <v>953</v>
      </c>
      <c r="C104" s="233" t="s">
        <v>948</v>
      </c>
      <c r="D104" s="285" t="s">
        <v>1156</v>
      </c>
      <c r="E104" s="283">
        <v>13249</v>
      </c>
      <c r="F104" s="278">
        <f t="shared" si="117"/>
        <v>0</v>
      </c>
      <c r="G104" s="273"/>
      <c r="H104" s="273"/>
      <c r="I104" s="273">
        <f t="shared" si="118"/>
        <v>0</v>
      </c>
      <c r="J104" s="273">
        <f t="shared" si="119"/>
        <v>0</v>
      </c>
      <c r="K104" s="273">
        <f t="shared" si="120"/>
        <v>0</v>
      </c>
      <c r="L104" s="273"/>
      <c r="M104" s="273"/>
      <c r="N104" s="273">
        <f t="shared" si="121"/>
        <v>0</v>
      </c>
      <c r="O104" s="273">
        <f t="shared" si="122"/>
        <v>0</v>
      </c>
      <c r="P104" s="273">
        <f t="shared" si="123"/>
        <v>0</v>
      </c>
      <c r="Q104" s="273"/>
      <c r="R104" s="273"/>
      <c r="S104" s="273">
        <f t="shared" si="124"/>
        <v>0</v>
      </c>
      <c r="T104" s="273">
        <f t="shared" si="125"/>
        <v>0</v>
      </c>
      <c r="U104" s="273">
        <f t="shared" si="126"/>
        <v>0</v>
      </c>
      <c r="V104" s="273"/>
      <c r="W104" s="273">
        <f t="shared" si="127"/>
        <v>0</v>
      </c>
      <c r="X104" s="273">
        <f t="shared" si="127"/>
        <v>0</v>
      </c>
      <c r="Y104" s="273">
        <f t="shared" si="127"/>
        <v>0</v>
      </c>
      <c r="Z104" s="273">
        <f t="shared" si="127"/>
        <v>0</v>
      </c>
      <c r="AA104" s="273"/>
      <c r="AB104" s="273"/>
      <c r="AC104" s="273"/>
      <c r="AD104" s="273"/>
      <c r="AE104" s="273"/>
      <c r="AF104" s="273"/>
      <c r="AG104" s="273"/>
      <c r="AH104" s="273"/>
    </row>
    <row r="105" spans="1:34">
      <c r="A105" s="41"/>
      <c r="B105" s="281" t="s">
        <v>2317</v>
      </c>
      <c r="C105" s="233" t="s">
        <v>948</v>
      </c>
      <c r="D105" s="285" t="s">
        <v>1156</v>
      </c>
      <c r="E105" s="283">
        <v>1590</v>
      </c>
      <c r="F105" s="278">
        <f t="shared" si="117"/>
        <v>0</v>
      </c>
      <c r="G105" s="273"/>
      <c r="H105" s="273"/>
      <c r="I105" s="273">
        <f t="shared" si="118"/>
        <v>0</v>
      </c>
      <c r="J105" s="273">
        <f t="shared" si="119"/>
        <v>0</v>
      </c>
      <c r="K105" s="273">
        <f t="shared" si="120"/>
        <v>0</v>
      </c>
      <c r="L105" s="273"/>
      <c r="M105" s="273"/>
      <c r="N105" s="273">
        <f t="shared" si="121"/>
        <v>0</v>
      </c>
      <c r="O105" s="273">
        <f t="shared" si="122"/>
        <v>0</v>
      </c>
      <c r="P105" s="273">
        <f t="shared" si="123"/>
        <v>0</v>
      </c>
      <c r="Q105" s="273"/>
      <c r="R105" s="273"/>
      <c r="S105" s="273">
        <f t="shared" si="124"/>
        <v>0</v>
      </c>
      <c r="T105" s="273">
        <f t="shared" si="125"/>
        <v>0</v>
      </c>
      <c r="U105" s="273">
        <f t="shared" si="126"/>
        <v>0</v>
      </c>
      <c r="V105" s="273"/>
      <c r="W105" s="273">
        <f t="shared" si="127"/>
        <v>0</v>
      </c>
      <c r="X105" s="273">
        <f t="shared" si="127"/>
        <v>0</v>
      </c>
      <c r="Y105" s="273">
        <f t="shared" si="127"/>
        <v>0</v>
      </c>
      <c r="Z105" s="273">
        <f t="shared" si="127"/>
        <v>0</v>
      </c>
      <c r="AA105" s="273"/>
      <c r="AB105" s="273"/>
      <c r="AC105" s="273"/>
      <c r="AD105" s="273"/>
      <c r="AE105" s="273"/>
      <c r="AF105" s="273"/>
      <c r="AG105" s="273"/>
      <c r="AH105" s="273"/>
    </row>
    <row r="106" spans="1:34">
      <c r="A106" s="41"/>
      <c r="B106" s="281" t="s">
        <v>954</v>
      </c>
      <c r="C106" s="233" t="s">
        <v>948</v>
      </c>
      <c r="D106" s="285" t="s">
        <v>1156</v>
      </c>
      <c r="E106" s="283">
        <v>258.23</v>
      </c>
      <c r="F106" s="278">
        <f t="shared" si="117"/>
        <v>0</v>
      </c>
      <c r="G106" s="273"/>
      <c r="H106" s="273"/>
      <c r="I106" s="273">
        <f t="shared" si="118"/>
        <v>0</v>
      </c>
      <c r="J106" s="273">
        <f t="shared" si="119"/>
        <v>0</v>
      </c>
      <c r="K106" s="273">
        <f t="shared" si="120"/>
        <v>0</v>
      </c>
      <c r="L106" s="273"/>
      <c r="M106" s="273"/>
      <c r="N106" s="273">
        <f t="shared" si="121"/>
        <v>0</v>
      </c>
      <c r="O106" s="273">
        <f t="shared" si="122"/>
        <v>0</v>
      </c>
      <c r="P106" s="273">
        <f t="shared" si="123"/>
        <v>0</v>
      </c>
      <c r="Q106" s="273"/>
      <c r="R106" s="273"/>
      <c r="S106" s="273">
        <f t="shared" si="124"/>
        <v>0</v>
      </c>
      <c r="T106" s="273">
        <f t="shared" si="125"/>
        <v>0</v>
      </c>
      <c r="U106" s="273">
        <f t="shared" si="126"/>
        <v>0</v>
      </c>
      <c r="V106" s="273"/>
      <c r="W106" s="273">
        <f t="shared" si="127"/>
        <v>0</v>
      </c>
      <c r="X106" s="273">
        <f t="shared" si="127"/>
        <v>0</v>
      </c>
      <c r="Y106" s="273">
        <f t="shared" si="127"/>
        <v>0</v>
      </c>
      <c r="Z106" s="273">
        <f t="shared" si="127"/>
        <v>0</v>
      </c>
      <c r="AA106" s="273"/>
      <c r="AB106" s="273"/>
      <c r="AC106" s="273"/>
      <c r="AD106" s="273"/>
      <c r="AE106" s="273"/>
      <c r="AF106" s="273"/>
      <c r="AG106" s="273"/>
      <c r="AH106" s="273"/>
    </row>
    <row r="107" spans="1:34">
      <c r="A107" s="41"/>
      <c r="B107" s="281" t="s">
        <v>955</v>
      </c>
      <c r="C107" s="233" t="s">
        <v>948</v>
      </c>
      <c r="D107" s="285" t="s">
        <v>1156</v>
      </c>
      <c r="E107" s="283">
        <v>1549.39</v>
      </c>
      <c r="F107" s="278">
        <f t="shared" si="117"/>
        <v>0</v>
      </c>
      <c r="G107" s="273"/>
      <c r="H107" s="273"/>
      <c r="I107" s="273">
        <f t="shared" si="118"/>
        <v>0</v>
      </c>
      <c r="J107" s="273">
        <f t="shared" si="119"/>
        <v>0</v>
      </c>
      <c r="K107" s="273">
        <f t="shared" si="120"/>
        <v>0</v>
      </c>
      <c r="L107" s="273"/>
      <c r="M107" s="273"/>
      <c r="N107" s="273">
        <f t="shared" si="121"/>
        <v>0</v>
      </c>
      <c r="O107" s="273">
        <f t="shared" si="122"/>
        <v>0</v>
      </c>
      <c r="P107" s="273">
        <f t="shared" si="123"/>
        <v>0</v>
      </c>
      <c r="Q107" s="273"/>
      <c r="R107" s="273"/>
      <c r="S107" s="273">
        <f t="shared" si="124"/>
        <v>0</v>
      </c>
      <c r="T107" s="273">
        <f t="shared" si="125"/>
        <v>0</v>
      </c>
      <c r="U107" s="273">
        <f t="shared" si="126"/>
        <v>0</v>
      </c>
      <c r="V107" s="273"/>
      <c r="W107" s="273">
        <f t="shared" si="127"/>
        <v>0</v>
      </c>
      <c r="X107" s="273">
        <f t="shared" si="127"/>
        <v>0</v>
      </c>
      <c r="Y107" s="273">
        <f t="shared" si="127"/>
        <v>0</v>
      </c>
      <c r="Z107" s="273">
        <f t="shared" si="127"/>
        <v>0</v>
      </c>
      <c r="AA107" s="273"/>
      <c r="AB107" s="273"/>
      <c r="AC107" s="273"/>
      <c r="AD107" s="273"/>
      <c r="AE107" s="273"/>
      <c r="AF107" s="273"/>
      <c r="AG107" s="273"/>
      <c r="AH107" s="273"/>
    </row>
    <row r="108" spans="1:34">
      <c r="A108" s="41"/>
      <c r="B108" s="281" t="s">
        <v>958</v>
      </c>
      <c r="C108" s="233" t="s">
        <v>948</v>
      </c>
      <c r="D108" s="285" t="s">
        <v>1156</v>
      </c>
      <c r="E108" s="283">
        <v>6076</v>
      </c>
      <c r="F108" s="278">
        <f t="shared" si="117"/>
        <v>0</v>
      </c>
      <c r="G108" s="273"/>
      <c r="H108" s="273"/>
      <c r="I108" s="273">
        <f t="shared" si="118"/>
        <v>0</v>
      </c>
      <c r="J108" s="273">
        <f t="shared" si="119"/>
        <v>0</v>
      </c>
      <c r="K108" s="273">
        <f t="shared" si="120"/>
        <v>0</v>
      </c>
      <c r="L108" s="273"/>
      <c r="M108" s="273"/>
      <c r="N108" s="273">
        <f t="shared" si="121"/>
        <v>0</v>
      </c>
      <c r="O108" s="273">
        <f t="shared" si="122"/>
        <v>0</v>
      </c>
      <c r="P108" s="273">
        <f t="shared" si="123"/>
        <v>0</v>
      </c>
      <c r="Q108" s="273"/>
      <c r="R108" s="273"/>
      <c r="S108" s="273">
        <f t="shared" si="124"/>
        <v>0</v>
      </c>
      <c r="T108" s="273">
        <f t="shared" si="125"/>
        <v>0</v>
      </c>
      <c r="U108" s="273">
        <f t="shared" si="126"/>
        <v>0</v>
      </c>
      <c r="V108" s="273"/>
      <c r="W108" s="273">
        <f t="shared" si="127"/>
        <v>0</v>
      </c>
      <c r="X108" s="273">
        <f t="shared" si="127"/>
        <v>0</v>
      </c>
      <c r="Y108" s="273">
        <f t="shared" si="127"/>
        <v>0</v>
      </c>
      <c r="Z108" s="273">
        <f t="shared" si="127"/>
        <v>0</v>
      </c>
      <c r="AA108" s="273"/>
      <c r="AB108" s="273"/>
      <c r="AC108" s="273"/>
      <c r="AD108" s="273"/>
      <c r="AE108" s="273"/>
      <c r="AF108" s="273"/>
      <c r="AG108" s="273"/>
      <c r="AH108" s="273"/>
    </row>
    <row r="109" spans="1:34">
      <c r="A109" s="41"/>
      <c r="B109" s="280" t="s">
        <v>956</v>
      </c>
      <c r="C109" s="233" t="s">
        <v>948</v>
      </c>
      <c r="D109" s="285" t="s">
        <v>1156</v>
      </c>
      <c r="E109" s="273">
        <v>600</v>
      </c>
      <c r="F109" s="278">
        <f t="shared" si="117"/>
        <v>0</v>
      </c>
      <c r="G109" s="273"/>
      <c r="H109" s="273"/>
      <c r="I109" s="273">
        <f t="shared" si="118"/>
        <v>0</v>
      </c>
      <c r="J109" s="273">
        <f t="shared" si="119"/>
        <v>0</v>
      </c>
      <c r="K109" s="273">
        <f t="shared" si="120"/>
        <v>0</v>
      </c>
      <c r="L109" s="273"/>
      <c r="M109" s="273"/>
      <c r="N109" s="273">
        <f t="shared" si="121"/>
        <v>0</v>
      </c>
      <c r="O109" s="273">
        <f t="shared" si="122"/>
        <v>0</v>
      </c>
      <c r="P109" s="273">
        <f t="shared" si="123"/>
        <v>0</v>
      </c>
      <c r="Q109" s="273"/>
      <c r="R109" s="273"/>
      <c r="S109" s="273">
        <f t="shared" si="124"/>
        <v>0</v>
      </c>
      <c r="T109" s="273">
        <f t="shared" si="125"/>
        <v>0</v>
      </c>
      <c r="U109" s="273">
        <f t="shared" si="126"/>
        <v>0</v>
      </c>
      <c r="V109" s="273"/>
      <c r="W109" s="273">
        <f t="shared" si="127"/>
        <v>0</v>
      </c>
      <c r="X109" s="273">
        <f t="shared" si="127"/>
        <v>0</v>
      </c>
      <c r="Y109" s="273">
        <f t="shared" si="127"/>
        <v>0</v>
      </c>
      <c r="Z109" s="273">
        <f t="shared" si="127"/>
        <v>0</v>
      </c>
      <c r="AA109" s="273"/>
      <c r="AB109" s="273"/>
      <c r="AC109" s="273"/>
      <c r="AD109" s="273"/>
      <c r="AE109" s="273"/>
      <c r="AF109" s="273"/>
      <c r="AG109" s="273"/>
      <c r="AH109" s="273"/>
    </row>
    <row r="110" spans="1:34">
      <c r="A110" s="41"/>
      <c r="B110" s="282" t="s">
        <v>957</v>
      </c>
      <c r="C110" s="233" t="s">
        <v>948</v>
      </c>
      <c r="D110" s="285" t="s">
        <v>1156</v>
      </c>
      <c r="E110" s="273">
        <v>3000</v>
      </c>
      <c r="F110" s="278">
        <f t="shared" si="117"/>
        <v>0</v>
      </c>
      <c r="G110" s="273"/>
      <c r="H110" s="273"/>
      <c r="I110" s="273">
        <f t="shared" si="118"/>
        <v>0</v>
      </c>
      <c r="J110" s="273">
        <f t="shared" si="119"/>
        <v>0</v>
      </c>
      <c r="K110" s="273">
        <f t="shared" si="120"/>
        <v>0</v>
      </c>
      <c r="L110" s="273"/>
      <c r="M110" s="273"/>
      <c r="N110" s="273">
        <f t="shared" si="121"/>
        <v>0</v>
      </c>
      <c r="O110" s="273">
        <f t="shared" si="122"/>
        <v>0</v>
      </c>
      <c r="P110" s="273">
        <f t="shared" si="123"/>
        <v>0</v>
      </c>
      <c r="Q110" s="273"/>
      <c r="R110" s="273"/>
      <c r="S110" s="273">
        <f t="shared" si="124"/>
        <v>0</v>
      </c>
      <c r="T110" s="273">
        <f t="shared" si="125"/>
        <v>0</v>
      </c>
      <c r="U110" s="273">
        <f t="shared" si="126"/>
        <v>0</v>
      </c>
      <c r="V110" s="273"/>
      <c r="W110" s="273">
        <f t="shared" si="127"/>
        <v>0</v>
      </c>
      <c r="X110" s="273">
        <f t="shared" si="127"/>
        <v>0</v>
      </c>
      <c r="Y110" s="273">
        <f t="shared" si="127"/>
        <v>0</v>
      </c>
      <c r="Z110" s="273">
        <f t="shared" si="127"/>
        <v>0</v>
      </c>
      <c r="AA110" s="273"/>
      <c r="AB110" s="273"/>
      <c r="AC110" s="273"/>
      <c r="AD110" s="273"/>
      <c r="AE110" s="273"/>
      <c r="AF110" s="273"/>
      <c r="AG110" s="273"/>
      <c r="AH110" s="273"/>
    </row>
    <row r="111" spans="1:34">
      <c r="A111" s="41"/>
      <c r="B111" s="282" t="s">
        <v>1158</v>
      </c>
      <c r="C111" s="233" t="s">
        <v>948</v>
      </c>
      <c r="D111" s="285" t="s">
        <v>1156</v>
      </c>
      <c r="E111" s="283">
        <f>14176/2</f>
        <v>7088</v>
      </c>
      <c r="F111" s="278">
        <f t="shared" si="117"/>
        <v>0</v>
      </c>
      <c r="G111" s="273"/>
      <c r="H111" s="273"/>
      <c r="I111" s="273">
        <f t="shared" si="118"/>
        <v>0</v>
      </c>
      <c r="J111" s="273">
        <f t="shared" si="119"/>
        <v>0</v>
      </c>
      <c r="K111" s="273">
        <f t="shared" si="120"/>
        <v>0</v>
      </c>
      <c r="L111" s="273"/>
      <c r="M111" s="273"/>
      <c r="N111" s="273">
        <f t="shared" si="121"/>
        <v>0</v>
      </c>
      <c r="O111" s="273">
        <f t="shared" si="122"/>
        <v>0</v>
      </c>
      <c r="P111" s="273">
        <f t="shared" si="123"/>
        <v>0</v>
      </c>
      <c r="Q111" s="273"/>
      <c r="R111" s="273"/>
      <c r="S111" s="273">
        <f t="shared" si="124"/>
        <v>0</v>
      </c>
      <c r="T111" s="273">
        <f t="shared" si="125"/>
        <v>0</v>
      </c>
      <c r="U111" s="273">
        <f t="shared" si="126"/>
        <v>0</v>
      </c>
      <c r="V111" s="273"/>
      <c r="W111" s="273">
        <f t="shared" ref="W111:Z111" si="128">H111+M111</f>
        <v>0</v>
      </c>
      <c r="X111" s="273">
        <f t="shared" si="128"/>
        <v>0</v>
      </c>
      <c r="Y111" s="273">
        <f t="shared" si="128"/>
        <v>0</v>
      </c>
      <c r="Z111" s="273">
        <f t="shared" si="128"/>
        <v>0</v>
      </c>
      <c r="AA111" s="273"/>
      <c r="AB111" s="273"/>
      <c r="AC111" s="273"/>
      <c r="AD111" s="273"/>
      <c r="AE111" s="273"/>
      <c r="AF111" s="273"/>
      <c r="AG111" s="273"/>
      <c r="AH111" s="273"/>
    </row>
    <row r="112" spans="1:34">
      <c r="A112" s="41"/>
      <c r="B112" s="234"/>
      <c r="C112" s="233"/>
      <c r="D112" s="233"/>
      <c r="E112" s="273"/>
      <c r="F112" s="278"/>
      <c r="G112" s="273"/>
      <c r="H112" s="273"/>
      <c r="I112" s="273"/>
      <c r="J112" s="273"/>
      <c r="K112" s="273"/>
      <c r="L112" s="273"/>
      <c r="M112" s="273"/>
      <c r="N112" s="273"/>
      <c r="O112" s="273"/>
      <c r="P112" s="273"/>
      <c r="Q112" s="274"/>
      <c r="R112" s="273"/>
      <c r="S112" s="273">
        <f t="shared" ref="S112" si="129">$E112*R112</f>
        <v>0</v>
      </c>
      <c r="T112" s="273">
        <f t="shared" ref="T112" si="130">(1-$F112)*S112</f>
        <v>0</v>
      </c>
      <c r="U112" s="273" t="e">
        <f t="shared" ref="U112" si="131">T112*VLOOKUP($D112,$C$2:$E$4,3,FALSE)</f>
        <v>#N/A</v>
      </c>
      <c r="V112" s="273"/>
      <c r="W112" s="273"/>
      <c r="X112" s="273"/>
      <c r="Y112" s="273"/>
      <c r="Z112" s="273"/>
      <c r="AA112" s="273"/>
      <c r="AB112" s="273"/>
      <c r="AC112" s="273"/>
      <c r="AD112" s="273"/>
      <c r="AE112" s="273"/>
      <c r="AF112" s="273"/>
      <c r="AG112" s="273"/>
      <c r="AH112" s="273"/>
    </row>
    <row r="113" spans="1:34" s="276" customFormat="1">
      <c r="A113" s="275"/>
      <c r="B113" s="275" t="s">
        <v>568</v>
      </c>
      <c r="C113" s="275"/>
      <c r="D113" s="275"/>
      <c r="E113" s="274"/>
      <c r="F113" s="291"/>
      <c r="G113" s="292"/>
      <c r="H113" s="274"/>
      <c r="I113" s="292">
        <f>SUM(I6:I112)</f>
        <v>0</v>
      </c>
      <c r="J113" s="292">
        <f>SUM(J6:J112)</f>
        <v>0</v>
      </c>
      <c r="K113" s="292">
        <f>SUM(K6:K112)</f>
        <v>0</v>
      </c>
      <c r="L113" s="292"/>
      <c r="M113" s="292"/>
      <c r="N113" s="292">
        <f>SUM(N6:N112)</f>
        <v>0</v>
      </c>
      <c r="O113" s="292">
        <f>SUM(O6:O112)</f>
        <v>0</v>
      </c>
      <c r="P113" s="292">
        <f>SUM(P6:P112)</f>
        <v>0</v>
      </c>
      <c r="Q113" s="273"/>
      <c r="R113" s="279"/>
      <c r="S113" s="279"/>
      <c r="T113" s="279"/>
      <c r="U113" s="279"/>
      <c r="V113" s="274"/>
      <c r="W113" s="292"/>
      <c r="X113" s="292">
        <f>SUM(X6:X112)</f>
        <v>0</v>
      </c>
      <c r="Y113" s="292">
        <f>SUM(Y6:Y112)</f>
        <v>0</v>
      </c>
      <c r="Z113" s="292">
        <f>SUM(Z6:Z112)</f>
        <v>0</v>
      </c>
      <c r="AA113" s="274"/>
      <c r="AB113" s="274"/>
      <c r="AC113" s="274"/>
      <c r="AD113" s="274"/>
      <c r="AE113" s="274"/>
      <c r="AF113" s="274"/>
      <c r="AG113" s="274"/>
      <c r="AH113" s="274"/>
    </row>
    <row r="114" spans="1:34" s="238" customFormat="1">
      <c r="A114" s="235"/>
      <c r="B114" s="237"/>
      <c r="C114" s="237"/>
      <c r="D114" s="237"/>
      <c r="E114" s="273"/>
      <c r="F114" s="278"/>
      <c r="G114" s="279"/>
      <c r="H114" s="273"/>
      <c r="I114" s="279"/>
      <c r="J114" s="279"/>
      <c r="K114" s="279"/>
      <c r="L114" s="279"/>
      <c r="M114" s="279"/>
      <c r="N114" s="279"/>
      <c r="O114" s="279"/>
      <c r="P114" s="279"/>
      <c r="Q114" s="273"/>
      <c r="R114" s="279"/>
      <c r="S114" s="279"/>
      <c r="T114" s="279"/>
      <c r="U114" s="279"/>
      <c r="V114" s="273"/>
      <c r="W114" s="273"/>
      <c r="X114" s="273"/>
      <c r="Y114" s="273"/>
      <c r="Z114" s="273"/>
      <c r="AA114" s="273"/>
      <c r="AB114" s="273"/>
      <c r="AC114" s="273"/>
      <c r="AD114" s="273"/>
      <c r="AE114" s="273"/>
      <c r="AF114" s="273"/>
      <c r="AG114" s="273"/>
      <c r="AH114" s="273"/>
    </row>
    <row r="115" spans="1:34">
      <c r="A115" s="41"/>
      <c r="B115" s="239" t="s">
        <v>960</v>
      </c>
      <c r="E115" s="273"/>
      <c r="F115" s="278"/>
      <c r="G115" s="279"/>
      <c r="H115" s="273"/>
      <c r="I115" s="279"/>
      <c r="J115" s="279"/>
      <c r="K115" s="279"/>
      <c r="L115" s="279"/>
      <c r="M115" s="279"/>
      <c r="N115" s="279"/>
      <c r="O115" s="279"/>
      <c r="P115" s="279"/>
      <c r="Q115" s="273"/>
      <c r="R115" s="279"/>
      <c r="S115" s="279">
        <f t="shared" ref="S115:U117" si="132">SUMIF($D$6:$D$111,$D115,S$6:S$111)</f>
        <v>0</v>
      </c>
      <c r="T115" s="279">
        <f t="shared" si="132"/>
        <v>0</v>
      </c>
      <c r="U115" s="279">
        <f t="shared" si="132"/>
        <v>0</v>
      </c>
      <c r="V115" s="273"/>
      <c r="W115" s="273"/>
      <c r="X115" s="273"/>
      <c r="Y115" s="273"/>
      <c r="Z115" s="273"/>
      <c r="AA115" s="273"/>
      <c r="AB115" s="273"/>
      <c r="AC115" s="273"/>
      <c r="AD115" s="273"/>
      <c r="AE115" s="273"/>
      <c r="AF115" s="273"/>
      <c r="AG115" s="273"/>
      <c r="AH115" s="273"/>
    </row>
    <row r="116" spans="1:34">
      <c r="A116" s="41"/>
      <c r="B116" s="293" t="s">
        <v>947</v>
      </c>
      <c r="D116" s="236" t="s">
        <v>959</v>
      </c>
      <c r="E116" s="273"/>
      <c r="F116" s="278"/>
      <c r="G116" s="279"/>
      <c r="H116" s="273"/>
      <c r="I116" s="279">
        <f t="shared" ref="I116:K118" si="133">SUMIF($D$6:$D$112,$D116,I$6:I$112)</f>
        <v>0</v>
      </c>
      <c r="J116" s="279">
        <f t="shared" si="133"/>
        <v>0</v>
      </c>
      <c r="K116" s="279">
        <f t="shared" si="133"/>
        <v>0</v>
      </c>
      <c r="L116" s="279"/>
      <c r="M116" s="279"/>
      <c r="N116" s="279">
        <f t="shared" ref="N116:P118" si="134">SUMIF($D$6:$D$112,$D116,N$6:N$112)</f>
        <v>0</v>
      </c>
      <c r="O116" s="279">
        <f t="shared" si="134"/>
        <v>0</v>
      </c>
      <c r="P116" s="279">
        <f t="shared" si="134"/>
        <v>0</v>
      </c>
      <c r="Q116" s="273"/>
      <c r="R116" s="279"/>
      <c r="S116" s="279">
        <f t="shared" si="132"/>
        <v>0</v>
      </c>
      <c r="T116" s="279">
        <f t="shared" si="132"/>
        <v>0</v>
      </c>
      <c r="U116" s="279">
        <f t="shared" si="132"/>
        <v>0</v>
      </c>
      <c r="V116" s="273"/>
      <c r="W116" s="273"/>
      <c r="X116" s="279">
        <f t="shared" ref="X116:Z118" si="135">SUMIF($D$6:$D$112,$D116,X$6:X$112)</f>
        <v>0</v>
      </c>
      <c r="Y116" s="279">
        <f t="shared" si="135"/>
        <v>0</v>
      </c>
      <c r="Z116" s="279">
        <f t="shared" si="135"/>
        <v>0</v>
      </c>
      <c r="AA116" s="273"/>
      <c r="AB116" s="273"/>
      <c r="AC116" s="273"/>
      <c r="AD116" s="273"/>
      <c r="AE116" s="273"/>
      <c r="AF116" s="273"/>
      <c r="AG116" s="273"/>
      <c r="AH116" s="273"/>
    </row>
    <row r="117" spans="1:34">
      <c r="A117" s="41"/>
      <c r="B117" s="293" t="s">
        <v>950</v>
      </c>
      <c r="D117" s="236" t="s">
        <v>1155</v>
      </c>
      <c r="E117" s="273"/>
      <c r="F117" s="278"/>
      <c r="G117" s="279"/>
      <c r="H117" s="273"/>
      <c r="I117" s="279">
        <f t="shared" si="133"/>
        <v>0</v>
      </c>
      <c r="J117" s="279">
        <f t="shared" si="133"/>
        <v>0</v>
      </c>
      <c r="K117" s="279">
        <f t="shared" si="133"/>
        <v>0</v>
      </c>
      <c r="L117" s="279"/>
      <c r="M117" s="279"/>
      <c r="N117" s="279">
        <f t="shared" si="134"/>
        <v>0</v>
      </c>
      <c r="O117" s="279">
        <f t="shared" si="134"/>
        <v>0</v>
      </c>
      <c r="P117" s="279">
        <f t="shared" si="134"/>
        <v>0</v>
      </c>
      <c r="Q117" s="273"/>
      <c r="R117" s="279"/>
      <c r="S117" s="279">
        <f t="shared" si="132"/>
        <v>0</v>
      </c>
      <c r="T117" s="279">
        <f t="shared" si="132"/>
        <v>0</v>
      </c>
      <c r="U117" s="279">
        <f t="shared" si="132"/>
        <v>0</v>
      </c>
      <c r="V117" s="273"/>
      <c r="W117" s="273"/>
      <c r="X117" s="279">
        <f t="shared" si="135"/>
        <v>0</v>
      </c>
      <c r="Y117" s="279">
        <f t="shared" si="135"/>
        <v>0</v>
      </c>
      <c r="Z117" s="279">
        <f t="shared" si="135"/>
        <v>0</v>
      </c>
      <c r="AA117" s="273"/>
      <c r="AB117" s="273"/>
      <c r="AC117" s="273"/>
      <c r="AD117" s="273"/>
      <c r="AE117" s="273"/>
      <c r="AF117" s="273"/>
      <c r="AG117" s="273"/>
      <c r="AH117" s="273"/>
    </row>
    <row r="118" spans="1:34">
      <c r="A118" s="41"/>
      <c r="B118" s="293" t="s">
        <v>951</v>
      </c>
      <c r="D118" s="236" t="s">
        <v>1156</v>
      </c>
      <c r="E118" s="273"/>
      <c r="F118" s="278"/>
      <c r="G118" s="279"/>
      <c r="H118" s="273"/>
      <c r="I118" s="279">
        <f t="shared" si="133"/>
        <v>0</v>
      </c>
      <c r="J118" s="279">
        <f t="shared" si="133"/>
        <v>0</v>
      </c>
      <c r="K118" s="279">
        <f t="shared" si="133"/>
        <v>0</v>
      </c>
      <c r="L118" s="279"/>
      <c r="M118" s="279"/>
      <c r="N118" s="279">
        <f t="shared" si="134"/>
        <v>0</v>
      </c>
      <c r="O118" s="279">
        <f t="shared" si="134"/>
        <v>0</v>
      </c>
      <c r="P118" s="279">
        <f t="shared" si="134"/>
        <v>0</v>
      </c>
      <c r="Q118" s="273"/>
      <c r="R118" s="279"/>
      <c r="S118" s="279"/>
      <c r="T118" s="279"/>
      <c r="U118" s="279"/>
      <c r="V118" s="273"/>
      <c r="W118" s="273"/>
      <c r="X118" s="279">
        <f t="shared" si="135"/>
        <v>0</v>
      </c>
      <c r="Y118" s="279">
        <f t="shared" si="135"/>
        <v>0</v>
      </c>
      <c r="Z118" s="279">
        <f t="shared" si="135"/>
        <v>0</v>
      </c>
      <c r="AA118" s="273"/>
      <c r="AB118" s="273"/>
      <c r="AC118" s="273"/>
      <c r="AD118" s="273"/>
      <c r="AE118" s="273"/>
      <c r="AF118" s="273"/>
      <c r="AG118" s="273"/>
      <c r="AH118" s="273"/>
    </row>
    <row r="119" spans="1:34">
      <c r="A119" s="41"/>
      <c r="E119" s="273"/>
      <c r="F119" s="278"/>
      <c r="G119" s="279"/>
      <c r="H119" s="273"/>
      <c r="I119" s="279"/>
      <c r="J119" s="279"/>
      <c r="K119" s="279"/>
      <c r="L119" s="279"/>
      <c r="M119" s="279"/>
      <c r="N119" s="279"/>
      <c r="O119" s="279"/>
      <c r="P119" s="279"/>
      <c r="Q119" s="273"/>
      <c r="R119" s="279"/>
      <c r="S119" s="279"/>
      <c r="T119" s="279"/>
      <c r="U119" s="279"/>
      <c r="V119" s="273"/>
      <c r="W119" s="273"/>
      <c r="X119" s="273"/>
      <c r="Y119" s="273"/>
      <c r="Z119" s="273"/>
      <c r="AA119" s="273"/>
      <c r="AB119" s="273"/>
      <c r="AC119" s="273"/>
      <c r="AD119" s="273"/>
      <c r="AE119" s="273"/>
      <c r="AF119" s="273"/>
      <c r="AG119" s="273"/>
      <c r="AH119" s="273"/>
    </row>
    <row r="120" spans="1:34">
      <c r="A120" s="41"/>
      <c r="B120" s="239"/>
      <c r="E120" s="273"/>
      <c r="F120" s="278"/>
      <c r="G120" s="279"/>
      <c r="H120" s="273"/>
      <c r="I120" s="279"/>
      <c r="J120" s="279"/>
      <c r="K120" s="279"/>
      <c r="L120" s="279"/>
      <c r="M120" s="279"/>
      <c r="N120" s="279"/>
      <c r="O120" s="279"/>
      <c r="P120" s="279"/>
      <c r="Q120" s="273"/>
      <c r="R120" s="279"/>
      <c r="S120" s="279"/>
      <c r="T120" s="279"/>
      <c r="U120" s="279"/>
      <c r="V120" s="273"/>
      <c r="W120" s="273"/>
      <c r="X120" s="273"/>
      <c r="Y120" s="273"/>
      <c r="Z120" s="273"/>
      <c r="AA120" s="273"/>
      <c r="AB120" s="273"/>
      <c r="AC120" s="273"/>
      <c r="AD120" s="273"/>
      <c r="AE120" s="273"/>
      <c r="AF120" s="273"/>
      <c r="AG120" s="273"/>
      <c r="AH120" s="273"/>
    </row>
    <row r="121" spans="1:34">
      <c r="A121" s="41"/>
      <c r="E121" s="273"/>
      <c r="F121" s="278"/>
      <c r="G121" s="279"/>
      <c r="H121" s="273"/>
      <c r="I121" s="279"/>
      <c r="J121" s="279"/>
      <c r="K121" s="279"/>
      <c r="L121" s="279"/>
      <c r="M121" s="279"/>
      <c r="N121" s="279"/>
      <c r="O121" s="279"/>
      <c r="P121" s="279"/>
      <c r="Q121" s="273"/>
      <c r="R121" s="279"/>
      <c r="S121" s="279"/>
      <c r="T121" s="279"/>
      <c r="U121" s="279"/>
      <c r="V121" s="273"/>
      <c r="W121" s="273"/>
      <c r="X121" s="273"/>
      <c r="Y121" s="273"/>
      <c r="Z121" s="273"/>
      <c r="AA121" s="273"/>
      <c r="AB121" s="273"/>
      <c r="AC121" s="273"/>
      <c r="AD121" s="273"/>
      <c r="AE121" s="273"/>
      <c r="AF121" s="273"/>
      <c r="AG121" s="273"/>
      <c r="AH121" s="273"/>
    </row>
    <row r="122" spans="1:34">
      <c r="A122" s="41"/>
      <c r="B122" s="239"/>
      <c r="E122" s="273"/>
      <c r="F122" s="278"/>
      <c r="G122" s="279"/>
      <c r="H122" s="273"/>
      <c r="I122" s="279"/>
      <c r="J122" s="279"/>
      <c r="K122" s="279"/>
      <c r="L122" s="279"/>
      <c r="M122" s="279"/>
      <c r="N122" s="279"/>
      <c r="O122" s="279"/>
      <c r="P122" s="279"/>
      <c r="Q122" s="273"/>
      <c r="R122" s="279"/>
      <c r="S122" s="279"/>
      <c r="T122" s="279"/>
      <c r="U122" s="279"/>
      <c r="V122" s="273"/>
      <c r="W122" s="273"/>
      <c r="X122" s="273"/>
      <c r="Y122" s="273"/>
      <c r="Z122" s="273"/>
      <c r="AA122" s="273"/>
      <c r="AB122" s="273"/>
      <c r="AC122" s="273"/>
      <c r="AD122" s="273"/>
      <c r="AE122" s="273"/>
      <c r="AF122" s="273"/>
      <c r="AG122" s="273"/>
      <c r="AH122" s="273"/>
    </row>
    <row r="123" spans="1:34">
      <c r="A123" s="41"/>
      <c r="E123" s="273"/>
      <c r="F123" s="278"/>
      <c r="G123" s="279"/>
      <c r="H123" s="273"/>
      <c r="I123" s="279"/>
      <c r="J123" s="279"/>
      <c r="K123" s="279"/>
      <c r="L123" s="279"/>
      <c r="M123" s="279"/>
      <c r="N123" s="279"/>
      <c r="O123" s="279"/>
      <c r="P123" s="279"/>
      <c r="Q123" s="273"/>
      <c r="R123" s="279"/>
      <c r="S123" s="279"/>
      <c r="T123" s="279"/>
      <c r="U123" s="279"/>
      <c r="V123" s="273"/>
      <c r="W123" s="273"/>
      <c r="X123" s="273"/>
      <c r="Y123" s="273"/>
      <c r="Z123" s="273"/>
      <c r="AA123" s="273"/>
      <c r="AB123" s="273"/>
      <c r="AC123" s="273"/>
      <c r="AD123" s="273"/>
      <c r="AE123" s="273"/>
      <c r="AF123" s="273"/>
      <c r="AG123" s="273"/>
      <c r="AH123" s="273"/>
    </row>
    <row r="124" spans="1:34">
      <c r="A124" s="41"/>
      <c r="E124" s="273"/>
      <c r="F124" s="278"/>
      <c r="G124" s="279"/>
      <c r="H124" s="273"/>
      <c r="I124" s="279"/>
      <c r="J124" s="279"/>
      <c r="K124" s="279"/>
      <c r="L124" s="279"/>
      <c r="M124" s="279"/>
      <c r="N124" s="279"/>
      <c r="O124" s="279"/>
      <c r="P124" s="279"/>
      <c r="Q124" s="273"/>
      <c r="R124" s="279"/>
      <c r="S124" s="279"/>
      <c r="T124" s="279"/>
      <c r="U124" s="279"/>
      <c r="V124" s="273"/>
      <c r="W124" s="273"/>
      <c r="X124" s="273"/>
      <c r="Y124" s="273"/>
      <c r="Z124" s="273"/>
      <c r="AA124" s="273"/>
      <c r="AB124" s="273"/>
      <c r="AC124" s="273"/>
      <c r="AD124" s="273"/>
      <c r="AE124" s="273"/>
      <c r="AF124" s="273"/>
      <c r="AG124" s="273"/>
      <c r="AH124" s="273"/>
    </row>
    <row r="125" spans="1:34">
      <c r="A125" s="41"/>
      <c r="E125" s="273"/>
      <c r="F125" s="278"/>
      <c r="G125" s="279"/>
      <c r="H125" s="273"/>
      <c r="I125" s="279"/>
      <c r="J125" s="279"/>
      <c r="K125" s="279"/>
      <c r="L125" s="279"/>
      <c r="M125" s="279"/>
      <c r="N125" s="279"/>
      <c r="O125" s="279"/>
      <c r="P125" s="279"/>
      <c r="Q125" s="273"/>
      <c r="R125" s="279"/>
      <c r="S125" s="279"/>
      <c r="T125" s="279"/>
      <c r="U125" s="279"/>
      <c r="V125" s="273"/>
      <c r="W125" s="273"/>
      <c r="X125" s="273"/>
      <c r="Y125" s="273"/>
      <c r="Z125" s="273"/>
      <c r="AA125" s="273"/>
      <c r="AB125" s="273"/>
      <c r="AC125" s="273"/>
      <c r="AD125" s="273"/>
      <c r="AE125" s="273"/>
      <c r="AF125" s="273"/>
      <c r="AG125" s="273"/>
      <c r="AH125" s="273"/>
    </row>
    <row r="126" spans="1:34">
      <c r="A126" s="41"/>
      <c r="E126" s="273"/>
      <c r="F126" s="278"/>
      <c r="G126" s="279"/>
      <c r="H126" s="273"/>
      <c r="I126" s="279"/>
      <c r="J126" s="279"/>
      <c r="K126" s="279"/>
      <c r="L126" s="279"/>
      <c r="M126" s="279"/>
      <c r="N126" s="279"/>
      <c r="O126" s="279"/>
      <c r="P126" s="279"/>
      <c r="Q126" s="273"/>
      <c r="R126" s="279"/>
      <c r="S126" s="279"/>
      <c r="T126" s="279"/>
      <c r="U126" s="279"/>
      <c r="V126" s="273"/>
      <c r="W126" s="273"/>
      <c r="X126" s="273"/>
      <c r="Y126" s="273"/>
      <c r="Z126" s="273"/>
      <c r="AA126" s="273"/>
      <c r="AB126" s="273"/>
      <c r="AC126" s="273"/>
      <c r="AD126" s="273"/>
      <c r="AE126" s="273"/>
      <c r="AF126" s="273"/>
      <c r="AG126" s="273"/>
      <c r="AH126" s="273"/>
    </row>
    <row r="127" spans="1:34">
      <c r="A127" s="41"/>
      <c r="B127" s="239"/>
      <c r="E127" s="273"/>
      <c r="F127" s="278"/>
      <c r="G127" s="279"/>
      <c r="H127" s="273"/>
      <c r="I127" s="279"/>
      <c r="J127" s="279"/>
      <c r="K127" s="279"/>
      <c r="L127" s="279"/>
      <c r="M127" s="279"/>
      <c r="N127" s="279"/>
      <c r="O127" s="279"/>
      <c r="P127" s="279"/>
      <c r="Q127" s="273"/>
      <c r="R127" s="273"/>
      <c r="S127" s="273"/>
      <c r="T127" s="273"/>
      <c r="U127" s="273"/>
      <c r="V127" s="273"/>
      <c r="W127" s="273"/>
      <c r="X127" s="273"/>
      <c r="Y127" s="273"/>
      <c r="Z127" s="273"/>
      <c r="AA127" s="273"/>
      <c r="AB127" s="273"/>
      <c r="AC127" s="273"/>
      <c r="AD127" s="273"/>
      <c r="AE127" s="273"/>
      <c r="AF127" s="273"/>
      <c r="AG127" s="273"/>
      <c r="AH127" s="273"/>
    </row>
    <row r="128" spans="1:34">
      <c r="A128" s="41"/>
      <c r="E128" s="273"/>
      <c r="F128" s="278"/>
      <c r="G128" s="273"/>
      <c r="H128" s="273"/>
      <c r="I128" s="273"/>
      <c r="J128" s="273"/>
      <c r="K128" s="273"/>
      <c r="L128" s="273"/>
      <c r="M128" s="273"/>
      <c r="N128" s="273"/>
      <c r="O128" s="273"/>
      <c r="P128" s="273"/>
      <c r="Q128" s="273"/>
      <c r="R128" s="273"/>
      <c r="S128" s="273"/>
      <c r="T128" s="273"/>
      <c r="U128" s="273"/>
      <c r="V128" s="273"/>
      <c r="W128" s="273"/>
      <c r="X128" s="273"/>
      <c r="Y128" s="273"/>
      <c r="Z128" s="273"/>
      <c r="AA128" s="273"/>
      <c r="AB128" s="273"/>
      <c r="AC128" s="273"/>
      <c r="AD128" s="273"/>
      <c r="AE128" s="273"/>
      <c r="AF128" s="273"/>
      <c r="AG128" s="273"/>
      <c r="AH128" s="273"/>
    </row>
    <row r="129" spans="1:34">
      <c r="A129" s="41"/>
      <c r="E129" s="273"/>
      <c r="F129" s="278"/>
      <c r="G129" s="273"/>
      <c r="H129" s="273"/>
      <c r="I129" s="273"/>
      <c r="J129" s="273"/>
      <c r="K129" s="273"/>
      <c r="L129" s="273"/>
      <c r="M129" s="273"/>
      <c r="N129" s="273"/>
      <c r="O129" s="273"/>
      <c r="P129" s="273"/>
      <c r="Q129" s="273"/>
      <c r="R129" s="273"/>
      <c r="S129" s="273"/>
      <c r="T129" s="273"/>
      <c r="U129" s="273"/>
      <c r="V129" s="273"/>
      <c r="W129" s="273"/>
      <c r="X129" s="273"/>
      <c r="Y129" s="273"/>
      <c r="Z129" s="273"/>
      <c r="AA129" s="273"/>
      <c r="AB129" s="273"/>
      <c r="AC129" s="273"/>
      <c r="AD129" s="273"/>
      <c r="AE129" s="273"/>
      <c r="AF129" s="273"/>
      <c r="AG129" s="273"/>
      <c r="AH129" s="273"/>
    </row>
    <row r="130" spans="1:34">
      <c r="A130" s="41"/>
      <c r="E130" s="273"/>
      <c r="F130" s="278"/>
      <c r="G130" s="273"/>
      <c r="H130" s="273"/>
      <c r="I130" s="273"/>
      <c r="J130" s="273"/>
      <c r="K130" s="273"/>
      <c r="L130" s="273"/>
      <c r="M130" s="273"/>
      <c r="N130" s="273"/>
      <c r="O130" s="273"/>
      <c r="P130" s="273"/>
      <c r="Q130" s="273"/>
      <c r="R130" s="273"/>
      <c r="S130" s="273"/>
      <c r="T130" s="273"/>
      <c r="U130" s="273"/>
      <c r="V130" s="273"/>
      <c r="W130" s="273"/>
      <c r="X130" s="273"/>
      <c r="Y130" s="273"/>
      <c r="Z130" s="273"/>
      <c r="AA130" s="273"/>
      <c r="AB130" s="273"/>
      <c r="AC130" s="273"/>
      <c r="AD130" s="273"/>
      <c r="AE130" s="273"/>
      <c r="AF130" s="273"/>
      <c r="AG130" s="273"/>
      <c r="AH130" s="273"/>
    </row>
    <row r="131" spans="1:34">
      <c r="A131" s="41"/>
      <c r="B131" t="s">
        <v>1736</v>
      </c>
      <c r="E131" s="273"/>
      <c r="F131" s="278"/>
      <c r="G131" s="273"/>
      <c r="H131" s="273"/>
      <c r="I131" s="273"/>
      <c r="J131" s="273"/>
      <c r="K131" s="273"/>
      <c r="L131" s="273"/>
      <c r="M131" s="273"/>
      <c r="N131" s="273"/>
      <c r="O131" s="273"/>
      <c r="P131" s="273"/>
      <c r="Q131" s="273"/>
      <c r="R131" s="273"/>
      <c r="S131" s="273"/>
      <c r="T131" s="273"/>
      <c r="U131" s="273"/>
      <c r="V131" s="273"/>
      <c r="W131" s="273"/>
      <c r="X131" s="273"/>
      <c r="Y131" s="273"/>
      <c r="Z131" s="273"/>
      <c r="AA131" s="273"/>
      <c r="AB131" s="273"/>
      <c r="AC131" s="273"/>
      <c r="AD131" s="273"/>
      <c r="AE131" s="273"/>
      <c r="AF131" s="273"/>
      <c r="AG131" s="273"/>
      <c r="AH131" s="273"/>
    </row>
    <row r="132" spans="1:34">
      <c r="A132" s="41"/>
      <c r="B132" t="s">
        <v>1737</v>
      </c>
      <c r="E132" s="273"/>
      <c r="F132" s="278"/>
      <c r="G132" s="273"/>
      <c r="H132" s="273"/>
      <c r="I132" s="273"/>
      <c r="J132" s="273"/>
      <c r="K132" s="273"/>
      <c r="L132" s="273"/>
      <c r="M132" s="273"/>
      <c r="N132" s="273"/>
      <c r="O132" s="273"/>
      <c r="P132" s="273"/>
      <c r="Q132" s="273"/>
      <c r="R132" s="273"/>
      <c r="S132" s="273"/>
      <c r="T132" s="273"/>
      <c r="U132" s="273"/>
      <c r="V132" s="273"/>
      <c r="W132" s="273"/>
      <c r="X132" s="273"/>
      <c r="Y132" s="273"/>
      <c r="Z132" s="273"/>
      <c r="AA132" s="273"/>
      <c r="AB132" s="273"/>
      <c r="AC132" s="273"/>
      <c r="AD132" s="273"/>
      <c r="AE132" s="273"/>
      <c r="AF132" s="273"/>
      <c r="AG132" s="273"/>
      <c r="AH132" s="273"/>
    </row>
    <row r="133" spans="1:34">
      <c r="A133" s="41"/>
      <c r="B133" t="s">
        <v>1738</v>
      </c>
      <c r="E133" s="273"/>
      <c r="F133" s="278"/>
      <c r="G133" s="273"/>
      <c r="H133" s="273"/>
      <c r="I133" s="273"/>
      <c r="J133" s="273"/>
      <c r="K133" s="273"/>
      <c r="L133" s="273"/>
      <c r="M133" s="273"/>
      <c r="N133" s="273"/>
      <c r="O133" s="273"/>
      <c r="P133" s="273"/>
      <c r="Q133" s="273"/>
      <c r="R133" s="273"/>
      <c r="S133" s="273"/>
      <c r="T133" s="273"/>
      <c r="U133" s="273"/>
      <c r="V133" s="273"/>
      <c r="W133" s="273"/>
      <c r="X133" s="273"/>
      <c r="Y133" s="273"/>
      <c r="Z133" s="273"/>
      <c r="AA133" s="273"/>
      <c r="AB133" s="273"/>
      <c r="AC133" s="273"/>
      <c r="AD133" s="273"/>
      <c r="AE133" s="273"/>
      <c r="AF133" s="273"/>
      <c r="AG133" s="273"/>
      <c r="AH133" s="273"/>
    </row>
    <row r="134" spans="1:34" s="238" customFormat="1">
      <c r="A134" s="235"/>
      <c r="B134" t="s">
        <v>1739</v>
      </c>
      <c r="C134" s="237"/>
      <c r="D134" s="237"/>
      <c r="E134" s="273"/>
      <c r="F134" s="278"/>
      <c r="G134" s="273"/>
      <c r="H134" s="273"/>
      <c r="I134" s="273"/>
      <c r="J134" s="273"/>
      <c r="K134" s="273"/>
      <c r="L134" s="273"/>
      <c r="M134" s="273"/>
      <c r="N134" s="273"/>
      <c r="O134" s="273"/>
      <c r="P134" s="273"/>
      <c r="Q134" s="273"/>
      <c r="R134" s="273"/>
      <c r="S134" s="273"/>
      <c r="T134" s="273"/>
      <c r="U134" s="273"/>
      <c r="V134" s="273"/>
      <c r="W134" s="273"/>
      <c r="X134" s="273"/>
      <c r="Y134" s="273"/>
      <c r="Z134" s="273"/>
      <c r="AA134" s="273"/>
      <c r="AB134" s="273"/>
      <c r="AC134" s="273"/>
      <c r="AD134" s="273"/>
      <c r="AE134" s="273"/>
      <c r="AF134" s="273"/>
      <c r="AG134" s="273"/>
      <c r="AH134" s="273"/>
    </row>
    <row r="135" spans="1:34">
      <c r="B135" t="s">
        <v>1740</v>
      </c>
      <c r="E135" s="273"/>
      <c r="F135" s="278"/>
      <c r="G135" s="273"/>
      <c r="H135" s="273"/>
      <c r="I135" s="273"/>
      <c r="J135" s="273"/>
      <c r="K135" s="273"/>
      <c r="L135" s="273"/>
      <c r="M135" s="273"/>
      <c r="N135" s="273"/>
      <c r="O135" s="273"/>
      <c r="P135" s="273"/>
      <c r="Q135" s="273"/>
      <c r="R135" s="273"/>
      <c r="S135" s="273"/>
      <c r="T135" s="273"/>
      <c r="U135" s="273"/>
      <c r="V135" s="273"/>
      <c r="W135" s="273"/>
      <c r="X135" s="273"/>
      <c r="Y135" s="273"/>
      <c r="Z135" s="273"/>
      <c r="AA135" s="273"/>
      <c r="AB135" s="273"/>
      <c r="AC135" s="273"/>
      <c r="AD135" s="273"/>
      <c r="AE135" s="273"/>
      <c r="AF135" s="273"/>
      <c r="AG135" s="273"/>
      <c r="AH135" s="273"/>
    </row>
    <row r="136" spans="1:34">
      <c r="B136" t="s">
        <v>1741</v>
      </c>
      <c r="E136" s="273"/>
      <c r="F136" s="278"/>
      <c r="G136" s="273"/>
      <c r="H136" s="273"/>
      <c r="I136" s="273"/>
      <c r="J136" s="273"/>
      <c r="K136" s="273"/>
      <c r="L136" s="273"/>
      <c r="M136" s="273"/>
      <c r="N136" s="273"/>
      <c r="O136" s="273"/>
      <c r="P136" s="273"/>
      <c r="Q136" s="273"/>
      <c r="R136" s="273"/>
      <c r="S136" s="273"/>
      <c r="T136" s="273"/>
      <c r="U136" s="273"/>
      <c r="V136" s="273"/>
      <c r="W136" s="273"/>
      <c r="X136" s="273"/>
      <c r="Y136" s="273"/>
      <c r="Z136" s="273"/>
      <c r="AA136" s="273"/>
      <c r="AB136" s="273"/>
      <c r="AC136" s="273"/>
      <c r="AD136" s="273"/>
      <c r="AE136" s="273"/>
      <c r="AF136" s="273"/>
      <c r="AG136" s="273"/>
      <c r="AH136" s="273"/>
    </row>
    <row r="137" spans="1:34">
      <c r="B137" t="s">
        <v>1742</v>
      </c>
      <c r="E137" s="273"/>
      <c r="F137" s="278"/>
      <c r="G137" s="273"/>
      <c r="H137" s="273"/>
      <c r="I137" s="273"/>
      <c r="J137" s="273"/>
      <c r="K137" s="273"/>
      <c r="L137" s="273"/>
      <c r="M137" s="273"/>
      <c r="N137" s="273"/>
      <c r="O137" s="273"/>
      <c r="P137" s="273"/>
      <c r="Q137" s="273"/>
      <c r="R137" s="273"/>
      <c r="S137" s="273"/>
      <c r="T137" s="273"/>
      <c r="U137" s="273"/>
      <c r="V137" s="273"/>
      <c r="W137" s="273"/>
      <c r="X137" s="273"/>
      <c r="Y137" s="273"/>
      <c r="Z137" s="273"/>
      <c r="AA137" s="273"/>
      <c r="AB137" s="273"/>
      <c r="AC137" s="273"/>
      <c r="AD137" s="273"/>
      <c r="AE137" s="273"/>
      <c r="AF137" s="273"/>
      <c r="AG137" s="273"/>
      <c r="AH137" s="273"/>
    </row>
    <row r="138" spans="1:34">
      <c r="B138" t="s">
        <v>1743</v>
      </c>
      <c r="E138" s="273"/>
      <c r="F138" s="278"/>
      <c r="G138" s="273"/>
      <c r="H138" s="273"/>
      <c r="I138" s="273"/>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row>
    <row r="139" spans="1:34">
      <c r="B139" t="s">
        <v>1744</v>
      </c>
      <c r="E139" s="273"/>
      <c r="F139" s="278"/>
      <c r="G139" s="273"/>
      <c r="H139" s="273"/>
      <c r="I139" s="273"/>
      <c r="J139" s="273"/>
      <c r="K139" s="273"/>
      <c r="L139" s="273"/>
      <c r="M139" s="273"/>
      <c r="N139" s="273"/>
      <c r="O139" s="273"/>
      <c r="P139" s="273"/>
      <c r="Q139" s="273"/>
      <c r="R139" s="273"/>
      <c r="S139" s="273"/>
      <c r="T139" s="273"/>
      <c r="U139" s="273"/>
      <c r="V139" s="273"/>
      <c r="W139" s="273"/>
      <c r="X139" s="273"/>
      <c r="Y139" s="273"/>
      <c r="Z139" s="273"/>
      <c r="AA139" s="273"/>
      <c r="AB139" s="273"/>
      <c r="AC139" s="273"/>
      <c r="AD139" s="273"/>
      <c r="AE139" s="273"/>
      <c r="AF139" s="273"/>
      <c r="AG139" s="273"/>
      <c r="AH139" s="273"/>
    </row>
    <row r="140" spans="1:34">
      <c r="B140" t="s">
        <v>1745</v>
      </c>
      <c r="E140" s="273"/>
      <c r="F140" s="278"/>
      <c r="G140" s="273"/>
      <c r="H140" s="273"/>
      <c r="I140" s="273"/>
      <c r="J140" s="273"/>
      <c r="K140" s="273"/>
      <c r="L140" s="273"/>
      <c r="M140" s="273"/>
      <c r="N140" s="273"/>
      <c r="O140" s="273"/>
      <c r="P140" s="273"/>
      <c r="Q140" s="273"/>
      <c r="R140" s="273"/>
      <c r="S140" s="273"/>
      <c r="T140" s="273"/>
      <c r="U140" s="273"/>
      <c r="V140" s="273"/>
      <c r="W140" s="273"/>
      <c r="X140" s="273"/>
      <c r="Y140" s="273"/>
      <c r="Z140" s="273"/>
      <c r="AA140" s="273"/>
      <c r="AB140" s="273"/>
      <c r="AC140" s="273"/>
      <c r="AD140" s="273"/>
      <c r="AE140" s="273"/>
      <c r="AF140" s="273"/>
      <c r="AG140" s="273"/>
      <c r="AH140" s="273"/>
    </row>
    <row r="141" spans="1:34">
      <c r="B141" t="s">
        <v>1746</v>
      </c>
      <c r="E141" s="273"/>
      <c r="F141" s="278"/>
      <c r="G141" s="273"/>
      <c r="H141" s="273"/>
      <c r="I141" s="273"/>
      <c r="J141" s="273"/>
      <c r="K141" s="273"/>
      <c r="L141" s="273"/>
      <c r="M141" s="273"/>
      <c r="N141" s="273"/>
      <c r="O141" s="273"/>
      <c r="P141" s="273"/>
      <c r="Q141" s="273"/>
      <c r="R141" s="273"/>
      <c r="S141" s="273"/>
      <c r="T141" s="273"/>
      <c r="U141" s="273"/>
      <c r="V141" s="273"/>
      <c r="W141" s="273"/>
      <c r="X141" s="273"/>
      <c r="Y141" s="273"/>
      <c r="Z141" s="273"/>
      <c r="AA141" s="273"/>
      <c r="AB141" s="273"/>
      <c r="AC141" s="273"/>
      <c r="AD141" s="273"/>
      <c r="AE141" s="273"/>
      <c r="AF141" s="273"/>
      <c r="AG141" s="273"/>
      <c r="AH141" s="273"/>
    </row>
    <row r="142" spans="1:34">
      <c r="B142" t="s">
        <v>1748</v>
      </c>
      <c r="E142" s="273"/>
      <c r="F142" s="278"/>
      <c r="G142" s="273"/>
      <c r="H142" s="273"/>
      <c r="I142" s="273"/>
      <c r="J142" s="273"/>
      <c r="K142" s="273"/>
      <c r="L142" s="273"/>
      <c r="M142" s="273"/>
      <c r="N142" s="273"/>
      <c r="O142" s="273"/>
      <c r="P142" s="273"/>
      <c r="Q142" s="273"/>
      <c r="R142" s="273"/>
      <c r="S142" s="273"/>
      <c r="T142" s="273"/>
      <c r="U142" s="273"/>
      <c r="V142" s="273"/>
      <c r="W142" s="273"/>
      <c r="X142" s="273"/>
      <c r="Y142" s="273"/>
      <c r="Z142" s="273"/>
      <c r="AA142" s="273"/>
      <c r="AB142" s="273"/>
      <c r="AC142" s="273"/>
      <c r="AD142" s="273"/>
      <c r="AE142" s="273"/>
      <c r="AF142" s="273"/>
      <c r="AG142" s="273"/>
      <c r="AH142" s="273"/>
    </row>
    <row r="143" spans="1:34">
      <c r="B143" t="s">
        <v>1749</v>
      </c>
      <c r="E143" s="273"/>
      <c r="F143" s="278"/>
      <c r="G143" s="273"/>
      <c r="H143" s="273"/>
      <c r="I143" s="273"/>
      <c r="J143" s="273"/>
      <c r="K143" s="273"/>
      <c r="L143" s="273"/>
      <c r="M143" s="273"/>
      <c r="N143" s="273"/>
      <c r="O143" s="273"/>
      <c r="P143" s="273"/>
      <c r="Q143" s="273"/>
      <c r="R143" s="273"/>
      <c r="S143" s="273"/>
      <c r="T143" s="273"/>
      <c r="U143" s="273"/>
      <c r="V143" s="273"/>
      <c r="W143" s="273"/>
      <c r="X143" s="273"/>
      <c r="Y143" s="273"/>
      <c r="Z143" s="273"/>
      <c r="AA143" s="273"/>
      <c r="AB143" s="273"/>
      <c r="AC143" s="273"/>
      <c r="AD143" s="273"/>
      <c r="AE143" s="273"/>
      <c r="AF143" s="273"/>
      <c r="AG143" s="273"/>
      <c r="AH143" s="273"/>
    </row>
    <row r="144" spans="1:34">
      <c r="B144" t="s">
        <v>1751</v>
      </c>
      <c r="E144" s="273"/>
      <c r="F144" s="278"/>
      <c r="G144" s="273"/>
      <c r="H144" s="273"/>
      <c r="I144" s="273"/>
      <c r="J144" s="273"/>
      <c r="K144" s="273"/>
      <c r="L144" s="273"/>
      <c r="M144" s="273"/>
      <c r="N144" s="273"/>
      <c r="O144" s="273"/>
      <c r="P144" s="273"/>
      <c r="Q144" s="273"/>
      <c r="R144" s="273"/>
      <c r="S144" s="273"/>
      <c r="T144" s="273"/>
      <c r="U144" s="273"/>
      <c r="V144" s="273"/>
      <c r="W144" s="273"/>
      <c r="X144" s="273"/>
      <c r="Y144" s="273"/>
      <c r="Z144" s="273"/>
      <c r="AA144" s="273"/>
      <c r="AB144" s="273"/>
      <c r="AC144" s="273"/>
      <c r="AD144" s="273"/>
      <c r="AE144" s="273"/>
      <c r="AF144" s="273"/>
      <c r="AG144" s="273"/>
      <c r="AH144" s="273"/>
    </row>
    <row r="145" spans="2:34">
      <c r="B145" t="s">
        <v>1752</v>
      </c>
      <c r="E145" s="273"/>
      <c r="F145" s="278"/>
      <c r="G145" s="273"/>
      <c r="H145" s="273"/>
      <c r="I145" s="273"/>
      <c r="J145" s="273"/>
      <c r="K145" s="273"/>
      <c r="L145" s="273"/>
      <c r="M145" s="273"/>
      <c r="N145" s="273"/>
      <c r="O145" s="273"/>
      <c r="P145" s="273"/>
      <c r="Q145" s="273"/>
      <c r="R145" s="273"/>
      <c r="S145" s="273"/>
      <c r="T145" s="273"/>
      <c r="U145" s="273"/>
      <c r="V145" s="273"/>
      <c r="W145" s="273"/>
      <c r="X145" s="273"/>
      <c r="Y145" s="273"/>
      <c r="Z145" s="273"/>
      <c r="AA145" s="273"/>
      <c r="AB145" s="273"/>
      <c r="AC145" s="273"/>
      <c r="AD145" s="273"/>
      <c r="AE145" s="273"/>
      <c r="AF145" s="273"/>
      <c r="AG145" s="273"/>
      <c r="AH145" s="273"/>
    </row>
    <row r="146" spans="2:34">
      <c r="B146" t="s">
        <v>1753</v>
      </c>
      <c r="E146" s="273"/>
      <c r="F146" s="278"/>
      <c r="G146" s="273"/>
      <c r="H146" s="273"/>
      <c r="I146" s="273"/>
      <c r="J146" s="273"/>
      <c r="K146" s="273"/>
      <c r="L146" s="273"/>
      <c r="M146" s="273"/>
      <c r="N146" s="273"/>
      <c r="O146" s="273"/>
      <c r="P146" s="273"/>
      <c r="Q146" s="273"/>
      <c r="R146" s="273"/>
      <c r="S146" s="273"/>
      <c r="T146" s="273"/>
      <c r="U146" s="273"/>
      <c r="V146" s="273"/>
      <c r="W146" s="273"/>
      <c r="X146" s="273"/>
      <c r="Y146" s="273"/>
      <c r="Z146" s="273"/>
      <c r="AA146" s="273"/>
      <c r="AB146" s="273"/>
      <c r="AC146" s="273"/>
      <c r="AD146" s="273"/>
      <c r="AE146" s="273"/>
      <c r="AF146" s="273"/>
      <c r="AG146" s="273"/>
      <c r="AH146" s="273"/>
    </row>
    <row r="147" spans="2:34">
      <c r="B147" t="s">
        <v>1754</v>
      </c>
      <c r="E147" s="273"/>
      <c r="F147" s="278"/>
      <c r="G147" s="273"/>
      <c r="H147" s="273"/>
      <c r="I147" s="273"/>
      <c r="J147" s="273"/>
      <c r="K147" s="273"/>
      <c r="L147" s="273"/>
      <c r="M147" s="273"/>
      <c r="N147" s="273"/>
      <c r="O147" s="273"/>
      <c r="P147" s="273"/>
      <c r="Q147" s="273"/>
      <c r="R147" s="273"/>
      <c r="S147" s="273"/>
      <c r="T147" s="273"/>
      <c r="U147" s="273"/>
      <c r="V147" s="273"/>
      <c r="W147" s="273"/>
      <c r="X147" s="273"/>
      <c r="Y147" s="273"/>
      <c r="Z147" s="273"/>
      <c r="AA147" s="273"/>
      <c r="AB147" s="273"/>
      <c r="AC147" s="273"/>
      <c r="AD147" s="273"/>
      <c r="AE147" s="273"/>
      <c r="AF147" s="273"/>
      <c r="AG147" s="273"/>
      <c r="AH147" s="273"/>
    </row>
    <row r="148" spans="2:34">
      <c r="B148" t="s">
        <v>1755</v>
      </c>
      <c r="E148" s="273"/>
      <c r="F148" s="278"/>
      <c r="G148" s="273"/>
      <c r="H148" s="273"/>
      <c r="I148" s="273"/>
      <c r="J148" s="273"/>
      <c r="K148" s="273"/>
      <c r="L148" s="273"/>
      <c r="M148" s="273"/>
      <c r="N148" s="273"/>
      <c r="O148" s="273"/>
      <c r="P148" s="273"/>
      <c r="Q148" s="273"/>
      <c r="R148" s="273"/>
      <c r="S148" s="273"/>
      <c r="T148" s="273"/>
      <c r="U148" s="273"/>
      <c r="V148" s="273"/>
      <c r="W148" s="273"/>
      <c r="X148" s="273"/>
      <c r="Y148" s="273"/>
      <c r="Z148" s="273"/>
      <c r="AA148" s="273"/>
      <c r="AB148" s="273"/>
      <c r="AC148" s="273"/>
      <c r="AD148" s="273"/>
      <c r="AE148" s="273"/>
      <c r="AF148" s="273"/>
      <c r="AG148" s="273"/>
      <c r="AH148" s="273"/>
    </row>
    <row r="149" spans="2:34">
      <c r="B149" t="s">
        <v>1756</v>
      </c>
      <c r="E149" s="273"/>
      <c r="F149" s="278"/>
      <c r="G149" s="273"/>
      <c r="H149" s="273"/>
      <c r="I149" s="273"/>
      <c r="J149" s="273"/>
      <c r="K149" s="273"/>
      <c r="L149" s="273"/>
      <c r="M149" s="273"/>
      <c r="N149" s="273"/>
      <c r="O149" s="273"/>
      <c r="P149" s="273"/>
      <c r="Q149" s="273"/>
      <c r="R149" s="273"/>
      <c r="S149" s="273"/>
      <c r="T149" s="273"/>
      <c r="U149" s="273"/>
      <c r="V149" s="273"/>
      <c r="W149" s="273"/>
      <c r="X149" s="273"/>
      <c r="Y149" s="273"/>
      <c r="Z149" s="273"/>
      <c r="AA149" s="273"/>
      <c r="AB149" s="273"/>
      <c r="AC149" s="273"/>
      <c r="AD149" s="273"/>
      <c r="AE149" s="273"/>
      <c r="AF149" s="273"/>
      <c r="AG149" s="273"/>
      <c r="AH149" s="273"/>
    </row>
    <row r="150" spans="2:34">
      <c r="B150" t="s">
        <v>1757</v>
      </c>
      <c r="E150" s="273"/>
      <c r="F150" s="278"/>
      <c r="G150" s="273"/>
      <c r="H150" s="273"/>
      <c r="I150" s="273"/>
      <c r="J150" s="273"/>
      <c r="K150" s="273"/>
      <c r="L150" s="273"/>
      <c r="M150" s="273"/>
      <c r="N150" s="273"/>
      <c r="O150" s="273"/>
      <c r="P150" s="273"/>
      <c r="Q150" s="273"/>
      <c r="R150" s="273"/>
      <c r="S150" s="273"/>
      <c r="T150" s="273"/>
      <c r="U150" s="273"/>
      <c r="V150" s="273"/>
      <c r="W150" s="273"/>
      <c r="X150" s="273"/>
      <c r="Y150" s="273"/>
      <c r="Z150" s="273"/>
      <c r="AA150" s="273"/>
      <c r="AB150" s="273"/>
      <c r="AC150" s="273"/>
      <c r="AD150" s="273"/>
      <c r="AE150" s="273"/>
      <c r="AF150" s="273"/>
      <c r="AG150" s="273"/>
      <c r="AH150" s="273"/>
    </row>
    <row r="151" spans="2:34">
      <c r="B151" t="s">
        <v>1758</v>
      </c>
      <c r="E151" s="273"/>
      <c r="F151" s="278"/>
      <c r="G151" s="273"/>
      <c r="H151" s="273"/>
      <c r="I151" s="273"/>
      <c r="J151" s="273"/>
      <c r="K151" s="273"/>
      <c r="L151" s="273"/>
      <c r="M151" s="273"/>
      <c r="N151" s="273"/>
      <c r="O151" s="273"/>
      <c r="P151" s="273"/>
      <c r="Q151" s="273"/>
      <c r="R151" s="273"/>
      <c r="S151" s="273"/>
      <c r="T151" s="273"/>
      <c r="U151" s="273"/>
      <c r="V151" s="273"/>
      <c r="W151" s="273"/>
      <c r="X151" s="273"/>
      <c r="Y151" s="273"/>
      <c r="Z151" s="273"/>
      <c r="AA151" s="273"/>
      <c r="AB151" s="273"/>
      <c r="AC151" s="273"/>
      <c r="AD151" s="273"/>
      <c r="AE151" s="273"/>
      <c r="AF151" s="273"/>
      <c r="AG151" s="273"/>
      <c r="AH151" s="273"/>
    </row>
    <row r="152" spans="2:34">
      <c r="B152" t="s">
        <v>1759</v>
      </c>
      <c r="E152" s="273"/>
      <c r="F152" s="278"/>
      <c r="G152" s="273"/>
      <c r="H152" s="273"/>
      <c r="I152" s="273"/>
      <c r="J152" s="273"/>
      <c r="K152" s="273"/>
      <c r="L152" s="273"/>
      <c r="M152" s="273"/>
      <c r="N152" s="273"/>
      <c r="O152" s="273"/>
      <c r="P152" s="273"/>
      <c r="Q152" s="273"/>
      <c r="R152" s="273"/>
      <c r="S152" s="273"/>
      <c r="T152" s="273"/>
      <c r="U152" s="273"/>
      <c r="V152" s="273"/>
      <c r="W152" s="273"/>
      <c r="X152" s="273"/>
      <c r="Y152" s="273"/>
      <c r="Z152" s="273"/>
      <c r="AA152" s="273"/>
      <c r="AB152" s="273"/>
      <c r="AC152" s="273"/>
      <c r="AD152" s="273"/>
      <c r="AE152" s="273"/>
      <c r="AF152" s="273"/>
      <c r="AG152" s="273"/>
      <c r="AH152" s="273"/>
    </row>
    <row r="153" spans="2:34">
      <c r="B153" t="s">
        <v>1760</v>
      </c>
      <c r="E153" s="273"/>
      <c r="F153" s="278"/>
      <c r="G153" s="273"/>
      <c r="H153" s="273"/>
      <c r="I153" s="273"/>
      <c r="J153" s="273"/>
      <c r="K153" s="273"/>
      <c r="L153" s="273"/>
      <c r="M153" s="273"/>
      <c r="N153" s="273"/>
      <c r="O153" s="273"/>
      <c r="P153" s="273"/>
      <c r="Q153" s="273"/>
      <c r="R153" s="273"/>
      <c r="S153" s="273"/>
      <c r="T153" s="273"/>
      <c r="U153" s="273"/>
      <c r="V153" s="273"/>
      <c r="W153" s="273"/>
      <c r="X153" s="273"/>
      <c r="Y153" s="273"/>
      <c r="Z153" s="273"/>
      <c r="AA153" s="273"/>
      <c r="AB153" s="273"/>
      <c r="AC153" s="273"/>
      <c r="AD153" s="273"/>
      <c r="AE153" s="273"/>
      <c r="AF153" s="273"/>
      <c r="AG153" s="273"/>
      <c r="AH153" s="273"/>
    </row>
    <row r="154" spans="2:34">
      <c r="B154" t="s">
        <v>1761</v>
      </c>
      <c r="E154" s="273"/>
      <c r="F154" s="278"/>
      <c r="G154" s="273"/>
      <c r="H154" s="273"/>
      <c r="I154" s="273"/>
      <c r="J154" s="273"/>
      <c r="K154" s="273"/>
      <c r="L154" s="273"/>
      <c r="M154" s="273"/>
      <c r="N154" s="273"/>
      <c r="O154" s="273"/>
      <c r="P154" s="273"/>
      <c r="Q154" s="273"/>
      <c r="R154" s="273"/>
      <c r="S154" s="273"/>
      <c r="T154" s="273"/>
      <c r="U154" s="273"/>
      <c r="V154" s="273"/>
      <c r="W154" s="273"/>
      <c r="X154" s="273"/>
      <c r="Y154" s="273"/>
      <c r="Z154" s="273"/>
      <c r="AA154" s="273"/>
      <c r="AB154" s="273"/>
      <c r="AC154" s="273"/>
      <c r="AD154" s="273"/>
      <c r="AE154" s="273"/>
      <c r="AF154" s="273"/>
      <c r="AG154" s="273"/>
      <c r="AH154" s="273"/>
    </row>
    <row r="155" spans="2:34">
      <c r="B155" t="s">
        <v>1762</v>
      </c>
      <c r="E155" s="273"/>
      <c r="F155" s="278"/>
      <c r="G155" s="273"/>
      <c r="H155" s="273"/>
      <c r="I155" s="273"/>
      <c r="J155" s="273"/>
      <c r="K155" s="273"/>
      <c r="L155" s="273"/>
      <c r="M155" s="273"/>
      <c r="N155" s="273"/>
      <c r="O155" s="273"/>
      <c r="P155" s="273"/>
      <c r="Q155" s="273"/>
      <c r="R155" s="273"/>
      <c r="S155" s="273"/>
      <c r="T155" s="273"/>
      <c r="U155" s="273"/>
      <c r="V155" s="273"/>
      <c r="W155" s="273"/>
      <c r="X155" s="273"/>
      <c r="Y155" s="273"/>
      <c r="Z155" s="273"/>
      <c r="AA155" s="273"/>
      <c r="AB155" s="273"/>
      <c r="AC155" s="273"/>
      <c r="AD155" s="273"/>
      <c r="AE155" s="273"/>
      <c r="AF155" s="273"/>
      <c r="AG155" s="273"/>
      <c r="AH155" s="273"/>
    </row>
    <row r="156" spans="2:34">
      <c r="B156" t="s">
        <v>2559</v>
      </c>
      <c r="E156" s="273"/>
      <c r="F156" s="278"/>
      <c r="G156" s="273"/>
      <c r="H156" s="273"/>
      <c r="I156" s="273"/>
      <c r="J156" s="273"/>
      <c r="K156" s="273"/>
      <c r="L156" s="273"/>
      <c r="M156" s="273"/>
      <c r="N156" s="273"/>
      <c r="O156" s="273"/>
      <c r="P156" s="273"/>
      <c r="Q156" s="273"/>
      <c r="R156" s="273"/>
      <c r="S156" s="273"/>
      <c r="T156" s="273"/>
      <c r="U156" s="273"/>
      <c r="V156" s="273"/>
      <c r="W156" s="273"/>
      <c r="X156" s="273"/>
      <c r="Y156" s="273"/>
      <c r="Z156" s="273"/>
      <c r="AA156" s="273"/>
      <c r="AB156" s="273"/>
      <c r="AC156" s="273"/>
      <c r="AD156" s="273"/>
      <c r="AE156" s="273"/>
      <c r="AF156" s="273"/>
      <c r="AG156" s="273"/>
      <c r="AH156" s="273"/>
    </row>
    <row r="157" spans="2:34">
      <c r="B157" t="s">
        <v>2560</v>
      </c>
      <c r="E157" s="273"/>
      <c r="F157" s="278"/>
      <c r="G157" s="273"/>
      <c r="H157" s="273"/>
      <c r="I157" s="273"/>
      <c r="J157" s="273"/>
      <c r="K157" s="273"/>
      <c r="L157" s="273"/>
      <c r="M157" s="273"/>
      <c r="N157" s="273"/>
      <c r="O157" s="273"/>
      <c r="P157" s="273"/>
      <c r="Q157" s="273"/>
      <c r="R157" s="273"/>
      <c r="S157" s="273"/>
      <c r="T157" s="273"/>
      <c r="U157" s="273"/>
      <c r="V157" s="273"/>
      <c r="W157" s="273"/>
      <c r="X157" s="273"/>
      <c r="Y157" s="273"/>
      <c r="Z157" s="273"/>
      <c r="AA157" s="273"/>
      <c r="AB157" s="273"/>
      <c r="AC157" s="273"/>
      <c r="AD157" s="273"/>
      <c r="AE157" s="273"/>
      <c r="AF157" s="273"/>
      <c r="AG157" s="273"/>
      <c r="AH157" s="273"/>
    </row>
    <row r="158" spans="2:34">
      <c r="B158" t="s">
        <v>1763</v>
      </c>
      <c r="E158" s="273"/>
      <c r="F158" s="278"/>
      <c r="G158" s="273"/>
      <c r="H158" s="273"/>
      <c r="I158" s="273"/>
      <c r="J158" s="273"/>
      <c r="K158" s="273"/>
      <c r="L158" s="273"/>
      <c r="M158" s="273"/>
      <c r="N158" s="273"/>
      <c r="O158" s="273"/>
      <c r="P158" s="273"/>
      <c r="Q158" s="273"/>
      <c r="R158" s="273"/>
      <c r="S158" s="273"/>
      <c r="T158" s="273"/>
      <c r="U158" s="273"/>
      <c r="V158" s="273"/>
      <c r="W158" s="273"/>
      <c r="X158" s="273"/>
      <c r="Y158" s="273"/>
      <c r="Z158" s="273"/>
      <c r="AA158" s="273"/>
      <c r="AB158" s="273"/>
      <c r="AC158" s="273"/>
      <c r="AD158" s="273"/>
      <c r="AE158" s="273"/>
      <c r="AF158" s="273"/>
      <c r="AG158" s="273"/>
      <c r="AH158" s="273"/>
    </row>
    <row r="159" spans="2:34">
      <c r="B159" t="s">
        <v>1764</v>
      </c>
      <c r="E159" s="273"/>
      <c r="F159" s="278"/>
      <c r="G159" s="273"/>
      <c r="H159" s="273"/>
      <c r="I159" s="273"/>
      <c r="J159" s="273"/>
      <c r="K159" s="273"/>
      <c r="L159" s="273"/>
      <c r="M159" s="273"/>
      <c r="N159" s="273"/>
      <c r="O159" s="273"/>
      <c r="P159" s="273"/>
      <c r="Q159" s="273"/>
      <c r="R159" s="273"/>
      <c r="S159" s="273"/>
      <c r="T159" s="273"/>
      <c r="U159" s="273"/>
      <c r="V159" s="273"/>
      <c r="W159" s="273"/>
      <c r="X159" s="273"/>
      <c r="Y159" s="273"/>
      <c r="Z159" s="273"/>
      <c r="AA159" s="273"/>
      <c r="AB159" s="273"/>
      <c r="AC159" s="273"/>
      <c r="AD159" s="273"/>
      <c r="AE159" s="273"/>
      <c r="AF159" s="273"/>
      <c r="AG159" s="273"/>
      <c r="AH159" s="273"/>
    </row>
    <row r="160" spans="2:34">
      <c r="B160" t="s">
        <v>1765</v>
      </c>
      <c r="E160" s="273"/>
      <c r="F160" s="278"/>
      <c r="G160" s="273"/>
      <c r="H160" s="273"/>
      <c r="I160" s="273"/>
      <c r="J160" s="273"/>
      <c r="K160" s="273"/>
      <c r="L160" s="273"/>
      <c r="M160" s="273"/>
      <c r="N160" s="273"/>
      <c r="O160" s="273"/>
      <c r="P160" s="273"/>
      <c r="Q160" s="273"/>
      <c r="R160" s="273"/>
      <c r="S160" s="273"/>
      <c r="T160" s="273"/>
      <c r="U160" s="273"/>
      <c r="V160" s="273"/>
      <c r="W160" s="273"/>
      <c r="X160" s="273"/>
      <c r="Y160" s="273"/>
      <c r="Z160" s="273"/>
      <c r="AA160" s="273"/>
      <c r="AB160" s="273"/>
      <c r="AC160" s="273"/>
      <c r="AD160" s="273"/>
      <c r="AE160" s="273"/>
      <c r="AF160" s="273"/>
      <c r="AG160" s="273"/>
      <c r="AH160" s="273"/>
    </row>
    <row r="161" spans="2:34">
      <c r="B161" t="s">
        <v>1766</v>
      </c>
      <c r="E161" s="273"/>
      <c r="F161" s="278"/>
      <c r="G161" s="273"/>
      <c r="H161" s="273"/>
      <c r="I161" s="273"/>
      <c r="J161" s="273"/>
      <c r="K161" s="273"/>
      <c r="L161" s="273"/>
      <c r="M161" s="273"/>
      <c r="N161" s="273"/>
      <c r="O161" s="273"/>
      <c r="P161" s="273"/>
      <c r="Q161" s="273"/>
      <c r="R161" s="273"/>
      <c r="S161" s="273"/>
      <c r="T161" s="273"/>
      <c r="U161" s="273"/>
      <c r="V161" s="273"/>
      <c r="W161" s="273"/>
      <c r="X161" s="273"/>
      <c r="Y161" s="273"/>
      <c r="Z161" s="273"/>
      <c r="AA161" s="273"/>
      <c r="AB161" s="273"/>
      <c r="AC161" s="273"/>
      <c r="AD161" s="273"/>
      <c r="AE161" s="273"/>
      <c r="AF161" s="273"/>
      <c r="AG161" s="273"/>
      <c r="AH161" s="273"/>
    </row>
    <row r="162" spans="2:34">
      <c r="B162" t="s">
        <v>1767</v>
      </c>
      <c r="E162" s="273"/>
      <c r="F162" s="278"/>
      <c r="G162" s="273"/>
      <c r="H162" s="273"/>
      <c r="I162" s="273"/>
      <c r="J162" s="273"/>
      <c r="K162" s="273"/>
      <c r="L162" s="273"/>
      <c r="M162" s="273"/>
      <c r="N162" s="273"/>
      <c r="O162" s="273"/>
      <c r="P162" s="273"/>
      <c r="Q162" s="273"/>
      <c r="R162" s="273"/>
      <c r="S162" s="273"/>
      <c r="T162" s="273"/>
      <c r="U162" s="273"/>
      <c r="V162" s="273"/>
      <c r="W162" s="273"/>
      <c r="X162" s="273"/>
      <c r="Y162" s="273"/>
      <c r="Z162" s="273"/>
      <c r="AA162" s="273"/>
      <c r="AB162" s="273"/>
      <c r="AC162" s="273"/>
      <c r="AD162" s="273"/>
      <c r="AE162" s="273"/>
      <c r="AF162" s="273"/>
      <c r="AG162" s="273"/>
      <c r="AH162" s="273"/>
    </row>
    <row r="163" spans="2:34">
      <c r="B163" t="s">
        <v>1768</v>
      </c>
      <c r="E163" s="273"/>
      <c r="F163" s="278"/>
      <c r="G163" s="273"/>
      <c r="H163" s="273"/>
      <c r="I163" s="273"/>
      <c r="J163" s="273"/>
      <c r="K163" s="273"/>
      <c r="L163" s="273"/>
      <c r="M163" s="273"/>
      <c r="N163" s="273"/>
      <c r="O163" s="273"/>
      <c r="P163" s="273"/>
      <c r="Q163" s="273"/>
      <c r="R163" s="273"/>
      <c r="S163" s="273"/>
      <c r="T163" s="273"/>
      <c r="U163" s="273"/>
      <c r="V163" s="273"/>
      <c r="W163" s="273"/>
      <c r="X163" s="273"/>
      <c r="Y163" s="273"/>
      <c r="Z163" s="273"/>
      <c r="AA163" s="273"/>
      <c r="AB163" s="273"/>
      <c r="AC163" s="273"/>
      <c r="AD163" s="273"/>
      <c r="AE163" s="273"/>
      <c r="AF163" s="273"/>
      <c r="AG163" s="273"/>
      <c r="AH163" s="273"/>
    </row>
    <row r="164" spans="2:34">
      <c r="B164" t="s">
        <v>1769</v>
      </c>
      <c r="E164" s="273"/>
      <c r="F164" s="278"/>
      <c r="G164" s="273"/>
      <c r="H164" s="273"/>
      <c r="I164" s="273"/>
      <c r="J164" s="273"/>
      <c r="K164" s="273"/>
      <c r="L164" s="273"/>
      <c r="M164" s="273"/>
      <c r="N164" s="273"/>
      <c r="O164" s="273"/>
      <c r="P164" s="273"/>
      <c r="Q164" s="273"/>
      <c r="R164" s="273"/>
      <c r="S164" s="273"/>
      <c r="T164" s="273"/>
      <c r="U164" s="273"/>
      <c r="V164" s="273"/>
      <c r="W164" s="273"/>
      <c r="X164" s="273"/>
      <c r="Y164" s="273"/>
      <c r="Z164" s="273"/>
      <c r="AA164" s="273"/>
      <c r="AB164" s="273"/>
      <c r="AC164" s="273"/>
      <c r="AD164" s="273"/>
      <c r="AE164" s="273"/>
      <c r="AF164" s="273"/>
      <c r="AG164" s="273"/>
      <c r="AH164" s="273"/>
    </row>
    <row r="165" spans="2:34">
      <c r="B165" t="s">
        <v>1770</v>
      </c>
      <c r="E165" s="273"/>
      <c r="F165" s="278"/>
      <c r="G165" s="273"/>
      <c r="H165" s="273"/>
      <c r="I165" s="273"/>
      <c r="J165" s="273"/>
      <c r="K165" s="273"/>
      <c r="L165" s="273"/>
      <c r="M165" s="273"/>
      <c r="N165" s="273"/>
      <c r="O165" s="273"/>
      <c r="P165" s="273"/>
      <c r="Q165" s="273"/>
      <c r="R165" s="273"/>
      <c r="S165" s="273"/>
      <c r="T165" s="273"/>
      <c r="U165" s="273"/>
      <c r="V165" s="273"/>
      <c r="W165" s="273"/>
      <c r="X165" s="273"/>
      <c r="Y165" s="273"/>
      <c r="Z165" s="273"/>
      <c r="AA165" s="273"/>
      <c r="AB165" s="273"/>
      <c r="AC165" s="273"/>
      <c r="AD165" s="273"/>
      <c r="AE165" s="273"/>
      <c r="AF165" s="273"/>
      <c r="AG165" s="273"/>
      <c r="AH165" s="273"/>
    </row>
    <row r="166" spans="2:34">
      <c r="B166" t="s">
        <v>2561</v>
      </c>
      <c r="E166" s="273"/>
      <c r="F166" s="278"/>
      <c r="G166" s="273"/>
      <c r="H166" s="273"/>
      <c r="I166" s="273"/>
      <c r="J166" s="273"/>
      <c r="K166" s="273"/>
      <c r="L166" s="273"/>
      <c r="M166" s="273"/>
      <c r="N166" s="273"/>
      <c r="O166" s="273"/>
      <c r="P166" s="273"/>
      <c r="Q166" s="273"/>
      <c r="R166" s="273"/>
      <c r="S166" s="273"/>
      <c r="T166" s="273"/>
      <c r="U166" s="273"/>
      <c r="V166" s="273"/>
      <c r="W166" s="273"/>
      <c r="X166" s="273"/>
      <c r="Y166" s="273"/>
      <c r="Z166" s="273"/>
      <c r="AA166" s="273"/>
      <c r="AB166" s="273"/>
      <c r="AC166" s="273"/>
      <c r="AD166" s="273"/>
      <c r="AE166" s="273"/>
      <c r="AF166" s="273"/>
      <c r="AG166" s="273"/>
      <c r="AH166" s="273"/>
    </row>
    <row r="167" spans="2:34">
      <c r="B167" t="s">
        <v>1771</v>
      </c>
      <c r="E167" s="273"/>
      <c r="F167" s="278"/>
      <c r="G167" s="273"/>
      <c r="H167" s="273"/>
      <c r="I167" s="273"/>
      <c r="J167" s="273"/>
      <c r="K167" s="273"/>
      <c r="L167" s="273"/>
      <c r="M167" s="273"/>
      <c r="N167" s="273"/>
      <c r="O167" s="273"/>
      <c r="P167" s="273"/>
      <c r="V167" s="273"/>
      <c r="W167" s="273"/>
      <c r="X167" s="273"/>
      <c r="Y167" s="273"/>
      <c r="Z167" s="273"/>
      <c r="AA167" s="273"/>
      <c r="AB167" s="273"/>
      <c r="AC167" s="273"/>
      <c r="AD167" s="273"/>
      <c r="AE167" s="273"/>
      <c r="AF167" s="273"/>
      <c r="AG167" s="273"/>
      <c r="AH167" s="273"/>
    </row>
    <row r="168" spans="2:34">
      <c r="B168" t="s">
        <v>1772</v>
      </c>
    </row>
    <row r="169" spans="2:34">
      <c r="B169" t="s">
        <v>1773</v>
      </c>
    </row>
    <row r="170" spans="2:34">
      <c r="B170" t="s">
        <v>1774</v>
      </c>
    </row>
    <row r="171" spans="2:34">
      <c r="B171" t="s">
        <v>2562</v>
      </c>
    </row>
    <row r="172" spans="2:34">
      <c r="B172" t="s">
        <v>1777</v>
      </c>
    </row>
    <row r="173" spans="2:34">
      <c r="B173" t="s">
        <v>1778</v>
      </c>
    </row>
    <row r="174" spans="2:34">
      <c r="B174" t="s">
        <v>1779</v>
      </c>
    </row>
    <row r="175" spans="2:34">
      <c r="B175" t="s">
        <v>1780</v>
      </c>
    </row>
    <row r="176" spans="2:34">
      <c r="B176" t="s">
        <v>1781</v>
      </c>
    </row>
    <row r="177" spans="2:2">
      <c r="B177" t="s">
        <v>1782</v>
      </c>
    </row>
    <row r="178" spans="2:2">
      <c r="B178" t="s">
        <v>2563</v>
      </c>
    </row>
    <row r="179" spans="2:2">
      <c r="B179" t="s">
        <v>2564</v>
      </c>
    </row>
    <row r="180" spans="2:2">
      <c r="B180" t="s">
        <v>2565</v>
      </c>
    </row>
    <row r="181" spans="2:2">
      <c r="B181" t="s">
        <v>2566</v>
      </c>
    </row>
    <row r="182" spans="2:2">
      <c r="B182" t="s">
        <v>1784</v>
      </c>
    </row>
    <row r="183" spans="2:2">
      <c r="B183" t="s">
        <v>1797</v>
      </c>
    </row>
    <row r="184" spans="2:2">
      <c r="B184" t="s">
        <v>1798</v>
      </c>
    </row>
    <row r="185" spans="2:2">
      <c r="B185" t="s">
        <v>1799</v>
      </c>
    </row>
    <row r="186" spans="2:2">
      <c r="B186" t="s">
        <v>1800</v>
      </c>
    </row>
    <row r="187" spans="2:2">
      <c r="B187" t="s">
        <v>1801</v>
      </c>
    </row>
    <row r="188" spans="2:2">
      <c r="B188" t="s">
        <v>1802</v>
      </c>
    </row>
    <row r="189" spans="2:2">
      <c r="B189" t="s">
        <v>1803</v>
      </c>
    </row>
    <row r="190" spans="2:2">
      <c r="B190" t="s">
        <v>1804</v>
      </c>
    </row>
    <row r="191" spans="2:2">
      <c r="B191" t="s">
        <v>2567</v>
      </c>
    </row>
    <row r="192" spans="2:2">
      <c r="B192" t="s">
        <v>2568</v>
      </c>
    </row>
    <row r="193" spans="2:2">
      <c r="B193" t="s">
        <v>1813</v>
      </c>
    </row>
    <row r="194" spans="2:2">
      <c r="B194" t="s">
        <v>1814</v>
      </c>
    </row>
    <row r="195" spans="2:2">
      <c r="B195" t="s">
        <v>1820</v>
      </c>
    </row>
    <row r="196" spans="2:2">
      <c r="B196" t="s">
        <v>1821</v>
      </c>
    </row>
    <row r="197" spans="2:2">
      <c r="B197" t="s">
        <v>1822</v>
      </c>
    </row>
    <row r="198" spans="2:2">
      <c r="B198" t="s">
        <v>1823</v>
      </c>
    </row>
    <row r="199" spans="2:2">
      <c r="B199" t="s">
        <v>1824</v>
      </c>
    </row>
  </sheetData>
  <autoFilter ref="W6:Z111" xr:uid="{C8F0291C-A2B3-438E-BE0A-C8590EBD44B0}"/>
  <sortState xmlns:xlrd2="http://schemas.microsoft.com/office/spreadsheetml/2017/richdata2" ref="A8:E15">
    <sortCondition ref="A8:A15"/>
    <sortCondition ref="B8:B15"/>
  </sortState>
  <pageMargins left="0.7" right="0.7" top="0.25" bottom="0.25" header="0.3" footer="0.3"/>
  <pageSetup scale="6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6370-A908-4532-8656-9BD852BB4ADD}">
  <dimension ref="A1:I17"/>
  <sheetViews>
    <sheetView workbookViewId="0">
      <selection activeCell="F6" sqref="F6"/>
    </sheetView>
  </sheetViews>
  <sheetFormatPr baseColWidth="10" defaultColWidth="8.83203125" defaultRowHeight="15"/>
  <cols>
    <col min="1" max="1" width="6.83203125" bestFit="1" customWidth="1"/>
    <col min="2" max="2" width="92.6640625" bestFit="1" customWidth="1"/>
    <col min="3" max="3" width="13.5" bestFit="1" customWidth="1"/>
    <col min="4" max="4" width="5.6640625" bestFit="1" customWidth="1"/>
    <col min="5" max="5" width="8.5" style="765" bestFit="1" customWidth="1"/>
    <col min="6" max="6" width="9.1640625" style="765"/>
    <col min="7" max="8" width="11.5" bestFit="1" customWidth="1"/>
    <col min="9" max="9" width="9.83203125" bestFit="1" customWidth="1"/>
  </cols>
  <sheetData>
    <row r="1" spans="1:9">
      <c r="B1" t="s">
        <v>2158</v>
      </c>
      <c r="C1" s="764"/>
    </row>
    <row r="2" spans="1:9">
      <c r="B2" t="s">
        <v>1338</v>
      </c>
      <c r="C2" s="764">
        <f>C1</f>
        <v>0</v>
      </c>
    </row>
    <row r="3" spans="1:9">
      <c r="B3" t="s">
        <v>2159</v>
      </c>
      <c r="C3" s="764"/>
    </row>
    <row r="5" spans="1:9" ht="32">
      <c r="A5" t="s">
        <v>2157</v>
      </c>
      <c r="B5" t="s">
        <v>498</v>
      </c>
      <c r="C5" t="s">
        <v>28</v>
      </c>
      <c r="D5" t="s">
        <v>2834</v>
      </c>
      <c r="E5" s="767" t="s">
        <v>1298</v>
      </c>
      <c r="F5" s="767" t="s">
        <v>2835</v>
      </c>
      <c r="G5" s="240" t="s">
        <v>2836</v>
      </c>
      <c r="H5" s="240" t="s">
        <v>2837</v>
      </c>
      <c r="I5" t="s">
        <v>2838</v>
      </c>
    </row>
    <row r="6" spans="1:9">
      <c r="A6" s="768" t="s">
        <v>38</v>
      </c>
      <c r="B6" s="249" t="str">
        <f>INDEX('Cloud Price List'!$B$3:$N$1491,MATCH($A6,'Cloud Price List'!$A$3:$A$1491,0),1)</f>
        <v>Oracle Cloud Infrastructure - Compute - Virtual Machine Standard - X7</v>
      </c>
      <c r="C6" s="249" t="str">
        <f>INDEX('Cloud Price List'!$B$3:$N$1491,MATCH($A6,'Cloud Price List'!$A$3:$A$1491,0),4)</f>
        <v>OCPU Per Hour</v>
      </c>
      <c r="D6" s="249" t="str">
        <f>INDEX('Cloud Price List'!$B$3:$N$1491,MATCH($A6,'Cloud Price List'!$A$3:$A$1491,0),9)</f>
        <v>IAAS</v>
      </c>
      <c r="E6" s="766">
        <f>INDEX('Cloud Price List'!$B$3:$N$1491,MATCH($A6,'Cloud Price List'!$A$3:$A$1491,0),3)</f>
        <v>6.3750000000000001E-2</v>
      </c>
      <c r="G6" s="758">
        <f>1-F6/E6</f>
        <v>1</v>
      </c>
      <c r="H6" s="759">
        <f>ROUND(G6,4)</f>
        <v>1</v>
      </c>
      <c r="I6" s="759">
        <f>ROUND(H6,3)</f>
        <v>1</v>
      </c>
    </row>
    <row r="7" spans="1:9">
      <c r="A7" s="768" t="s">
        <v>41</v>
      </c>
      <c r="B7" s="249" t="str">
        <f>INDEX('Cloud Price List'!$B$3:$N$1491,MATCH($A7,'Cloud Price List'!$A$3:$A$1491,0),1)</f>
        <v>Oracle Cloud Infrastructure - FastConnect 1 Gbps</v>
      </c>
      <c r="C7" s="249" t="str">
        <f>INDEX('Cloud Price List'!$B$3:$N$1491,MATCH($A7,'Cloud Price List'!$A$3:$A$1491,0),4)</f>
        <v>Port Hour</v>
      </c>
      <c r="D7" s="249" t="str">
        <f>INDEX('Cloud Price List'!$B$3:$N$1491,MATCH($A7,'Cloud Price List'!$A$3:$A$1491,0),9)</f>
        <v>IAAS</v>
      </c>
      <c r="E7" s="766">
        <f>INDEX('Cloud Price List'!$B$3:$N$1491,MATCH($A7,'Cloud Price List'!$A$3:$A$1491,0),3)</f>
        <v>0.21249999999999999</v>
      </c>
      <c r="G7" s="758">
        <f>1-F7/E7</f>
        <v>1</v>
      </c>
      <c r="H7" s="759">
        <f>ROUND(G7,4)</f>
        <v>1</v>
      </c>
      <c r="I7" s="759">
        <f>ROUND(H7,3)</f>
        <v>1</v>
      </c>
    </row>
    <row r="8" spans="1:9">
      <c r="A8" s="768" t="s">
        <v>97</v>
      </c>
      <c r="B8" s="249" t="str">
        <f>INDEX('Cloud Price List'!$B$3:$N$1491,MATCH($A8,'Cloud Price List'!$A$3:$A$1491,0),1)</f>
        <v>Oracle Cloud Infrastructure - FastConnect 10 Gbps</v>
      </c>
      <c r="C8" s="249" t="str">
        <f>INDEX('Cloud Price List'!$B$3:$N$1491,MATCH($A8,'Cloud Price List'!$A$3:$A$1491,0),4)</f>
        <v>Port Hour</v>
      </c>
      <c r="D8" s="249" t="str">
        <f>INDEX('Cloud Price List'!$B$3:$N$1491,MATCH($A8,'Cloud Price List'!$A$3:$A$1491,0),9)</f>
        <v>IAAS</v>
      </c>
      <c r="E8" s="766">
        <f>INDEX('Cloud Price List'!$B$3:$N$1491,MATCH($A8,'Cloud Price List'!$A$3:$A$1491,0),3)</f>
        <v>1.2749999999999999</v>
      </c>
      <c r="G8" s="758">
        <f>1-F8/E8</f>
        <v>1</v>
      </c>
      <c r="H8" s="759">
        <f>ROUND(G8,4)</f>
        <v>1</v>
      </c>
      <c r="I8" s="759">
        <f>ROUND(H8,3)</f>
        <v>1</v>
      </c>
    </row>
    <row r="9" spans="1:9">
      <c r="A9" s="768" t="s">
        <v>40</v>
      </c>
      <c r="B9" s="249" t="str">
        <f>INDEX('Cloud Price List'!$B$3:$N$1491,MATCH($A9,'Cloud Price List'!$A$3:$A$1491,0),1)</f>
        <v>Oracle Cloud Infrastructure - Compute - Windows OS</v>
      </c>
      <c r="C9" s="249" t="str">
        <f>INDEX('Cloud Price List'!$B$3:$N$1491,MATCH($A9,'Cloud Price List'!$A$3:$A$1491,0),4)</f>
        <v>OCPU Per Hour</v>
      </c>
      <c r="D9" s="249" t="str">
        <f>INDEX('Cloud Price List'!$B$3:$N$1491,MATCH($A9,'Cloud Price List'!$A$3:$A$1491,0),9)</f>
        <v>IAAS</v>
      </c>
      <c r="E9" s="766">
        <f>INDEX('Cloud Price List'!$B$3:$N$1491,MATCH($A9,'Cloud Price List'!$A$3:$A$1491,0),3)</f>
        <v>9.1999999999999998E-2</v>
      </c>
      <c r="G9" s="758">
        <f t="shared" ref="G9" si="0">1-F9/E9</f>
        <v>1</v>
      </c>
      <c r="H9" s="759">
        <f t="shared" ref="H9" si="1">ROUND(G9,4)</f>
        <v>1</v>
      </c>
      <c r="I9" s="759">
        <f t="shared" ref="I9" si="2">ROUND(H9,3)</f>
        <v>1</v>
      </c>
    </row>
    <row r="10" spans="1:9">
      <c r="A10" s="768" t="s">
        <v>979</v>
      </c>
      <c r="B10" s="249" t="str">
        <f>INDEX('Cloud Price List'!$B$3:$N$1491,MATCH($A10,'Cloud Price List'!$A$3:$A$1491,0),1)</f>
        <v>Oracle Cloud Infrastructure - File Storage</v>
      </c>
      <c r="C10" s="249" t="str">
        <f>INDEX('Cloud Price List'!$B$3:$N$1491,MATCH($A10,'Cloud Price List'!$A$3:$A$1491,0),4)</f>
        <v>Gigabyte Storage Capacity Per Month</v>
      </c>
      <c r="D10" s="249" t="str">
        <f>INDEX('Cloud Price List'!$B$3:$N$1491,MATCH($A10,'Cloud Price List'!$A$3:$A$1491,0),9)</f>
        <v>IAAS</v>
      </c>
      <c r="E10" s="766">
        <f>INDEX('Cloud Price List'!$B$3:$N$1491,MATCH($A10,'Cloud Price List'!$A$3:$A$1491,0),3)</f>
        <v>0.3</v>
      </c>
      <c r="G10" s="758">
        <f t="shared" ref="G10:G17" si="3">1-F10/E10</f>
        <v>1</v>
      </c>
      <c r="H10" s="759">
        <f t="shared" ref="H10:H17" si="4">ROUND(G10,4)</f>
        <v>1</v>
      </c>
      <c r="I10" s="759">
        <f t="shared" ref="I10:I17" si="5">ROUND(H10,3)</f>
        <v>1</v>
      </c>
    </row>
    <row r="11" spans="1:9">
      <c r="A11" s="768" t="s">
        <v>111</v>
      </c>
      <c r="B11" s="249" t="str">
        <f>INDEX('Cloud Price List'!$B$3:$N$1491,MATCH($A11,'Cloud Price List'!$A$3:$A$1491,0),1)</f>
        <v>Oracle Cloud Infrastructure - Database Exadata OCPU</v>
      </c>
      <c r="C11" s="249" t="str">
        <f>INDEX('Cloud Price List'!$B$3:$N$1491,MATCH($A11,'Cloud Price List'!$A$3:$A$1491,0),4)</f>
        <v>OCPU Per Hour</v>
      </c>
      <c r="D11" s="249" t="str">
        <f>INDEX('Cloud Price List'!$B$3:$N$1491,MATCH($A11,'Cloud Price List'!$A$3:$A$1491,0),9)</f>
        <v>PAAS</v>
      </c>
      <c r="E11" s="766">
        <f>INDEX('Cloud Price List'!$B$3:$N$1491,MATCH($A11,'Cloud Price List'!$A$3:$A$1491,0),3)</f>
        <v>1.3441000000000001</v>
      </c>
      <c r="G11" s="758">
        <f t="shared" si="3"/>
        <v>1</v>
      </c>
      <c r="H11" s="759">
        <f t="shared" si="4"/>
        <v>1</v>
      </c>
      <c r="I11" s="759">
        <f t="shared" si="5"/>
        <v>1</v>
      </c>
    </row>
    <row r="12" spans="1:9">
      <c r="A12" s="768" t="s">
        <v>81</v>
      </c>
      <c r="B12" s="249" t="str">
        <f>INDEX('Cloud Price List'!$B$3:$N$1491,MATCH($A12,'Cloud Price List'!$A$3:$A$1491,0),1)</f>
        <v>Oracle Cloud Infrastructure - Database Exadata OCPU - BYOL</v>
      </c>
      <c r="C12" s="249" t="str">
        <f>INDEX('Cloud Price List'!$B$3:$N$1491,MATCH($A12,'Cloud Price List'!$A$3:$A$1491,0),4)</f>
        <v>OCPU Per Hour</v>
      </c>
      <c r="D12" s="249" t="str">
        <f>INDEX('Cloud Price List'!$B$3:$N$1491,MATCH($A12,'Cloud Price List'!$A$3:$A$1491,0),9)</f>
        <v>BYOL</v>
      </c>
      <c r="E12" s="766">
        <f>INDEX('Cloud Price List'!$B$3:$N$1491,MATCH($A12,'Cloud Price List'!$A$3:$A$1491,0),3)</f>
        <v>0.3226</v>
      </c>
      <c r="G12" s="758">
        <f t="shared" si="3"/>
        <v>1</v>
      </c>
      <c r="H12" s="759">
        <f t="shared" si="4"/>
        <v>1</v>
      </c>
      <c r="I12" s="759">
        <f t="shared" si="5"/>
        <v>1</v>
      </c>
    </row>
    <row r="13" spans="1:9">
      <c r="A13" s="768" t="s">
        <v>591</v>
      </c>
      <c r="B13" s="249" t="str">
        <f>INDEX('Cloud Price List'!$B$3:$N$1491,MATCH($A13,'Cloud Price List'!$A$3:$A$1491,0),1)</f>
        <v>Oracle Autonomous Data Warehouse</v>
      </c>
      <c r="C13" s="249" t="str">
        <f>INDEX('Cloud Price List'!$B$3:$N$1491,MATCH($A13,'Cloud Price List'!$A$3:$A$1491,0),4)</f>
        <v>OCPU Per Hour</v>
      </c>
      <c r="D13" s="249" t="str">
        <f>INDEX('Cloud Price List'!$B$3:$N$1491,MATCH($A13,'Cloud Price List'!$A$3:$A$1491,0),9)</f>
        <v>PAAS</v>
      </c>
      <c r="E13" s="766">
        <f>INDEX('Cloud Price List'!$B$3:$N$1491,MATCH($A13,'Cloud Price List'!$A$3:$A$1491,0),3)</f>
        <v>1.3441000000000001</v>
      </c>
      <c r="G13" s="758">
        <f t="shared" si="3"/>
        <v>1</v>
      </c>
      <c r="H13" s="759">
        <f t="shared" si="4"/>
        <v>1</v>
      </c>
      <c r="I13" s="759">
        <f t="shared" si="5"/>
        <v>1</v>
      </c>
    </row>
    <row r="14" spans="1:9">
      <c r="A14" s="768" t="s">
        <v>590</v>
      </c>
      <c r="B14" s="249" t="str">
        <f>INDEX('Cloud Price List'!$B$3:$N$1491,MATCH($A14,'Cloud Price List'!$A$3:$A$1491,0),1)</f>
        <v>Oracle Autonomous Data Warehouse - BYOL</v>
      </c>
      <c r="C14" s="249" t="str">
        <f>INDEX('Cloud Price List'!$B$3:$N$1491,MATCH($A14,'Cloud Price List'!$A$3:$A$1491,0),4)</f>
        <v>OCPU Per Hour</v>
      </c>
      <c r="D14" s="249" t="str">
        <f>INDEX('Cloud Price List'!$B$3:$N$1491,MATCH($A14,'Cloud Price List'!$A$3:$A$1491,0),9)</f>
        <v>BYOL</v>
      </c>
      <c r="E14" s="766">
        <f>INDEX('Cloud Price List'!$B$3:$N$1491,MATCH($A14,'Cloud Price List'!$A$3:$A$1491,0),3)</f>
        <v>0.3226</v>
      </c>
      <c r="G14" s="758">
        <f t="shared" si="3"/>
        <v>1</v>
      </c>
      <c r="H14" s="759">
        <f t="shared" si="4"/>
        <v>1</v>
      </c>
      <c r="I14" s="759">
        <f t="shared" si="5"/>
        <v>1</v>
      </c>
    </row>
    <row r="15" spans="1:9">
      <c r="A15" s="768" t="s">
        <v>1189</v>
      </c>
      <c r="B15" s="249" t="str">
        <f>INDEX('Cloud Price List'!$B$3:$N$1491,MATCH($A15,'Cloud Price List'!$A$3:$A$1491,0),1)</f>
        <v>Oracle Cloud Infrastructure - Database Cloud Service - 
Enterprise Edition</v>
      </c>
      <c r="C15" s="249" t="str">
        <f>INDEX('Cloud Price List'!$B$3:$N$1491,MATCH($A15,'Cloud Price List'!$A$3:$A$1491,0),4)</f>
        <v>OCPU Per Hour</v>
      </c>
      <c r="D15" s="249" t="str">
        <f>INDEX('Cloud Price List'!$B$3:$N$1491,MATCH($A15,'Cloud Price List'!$A$3:$A$1491,0),9)</f>
        <v>PAAS</v>
      </c>
      <c r="E15" s="766">
        <f>INDEX('Cloud Price List'!$B$3:$N$1491,MATCH($A15,'Cloud Price List'!$A$3:$A$1491,0),3)</f>
        <v>0.43009999999999998</v>
      </c>
      <c r="G15" s="758">
        <f t="shared" si="3"/>
        <v>1</v>
      </c>
      <c r="H15" s="759">
        <f t="shared" si="4"/>
        <v>1</v>
      </c>
      <c r="I15" s="759">
        <f t="shared" si="5"/>
        <v>1</v>
      </c>
    </row>
    <row r="16" spans="1:9">
      <c r="A16" s="768" t="s">
        <v>1192</v>
      </c>
      <c r="B16" s="249" t="str">
        <f>INDEX('Cloud Price List'!$B$3:$N$1491,MATCH($A16,'Cloud Price List'!$A$3:$A$1491,0),1)</f>
        <v>Oracle Cloud Infrastructure - Database Cloud Service - All Editions - BYOL</v>
      </c>
      <c r="C16" s="249" t="str">
        <f>INDEX('Cloud Price List'!$B$3:$N$1491,MATCH($A16,'Cloud Price List'!$A$3:$A$1491,0),4)</f>
        <v>OCPU Per Hour</v>
      </c>
      <c r="D16" s="249" t="str">
        <f>INDEX('Cloud Price List'!$B$3:$N$1491,MATCH($A16,'Cloud Price List'!$A$3:$A$1491,0),9)</f>
        <v>BYOL</v>
      </c>
      <c r="E16" s="766">
        <f>INDEX('Cloud Price List'!$B$3:$N$1491,MATCH($A16,'Cloud Price List'!$A$3:$A$1491,0),3)</f>
        <v>0.19350000000000001</v>
      </c>
      <c r="G16" s="758">
        <f t="shared" si="3"/>
        <v>1</v>
      </c>
      <c r="H16" s="759">
        <f t="shared" si="4"/>
        <v>1</v>
      </c>
      <c r="I16" s="759">
        <f t="shared" si="5"/>
        <v>1</v>
      </c>
    </row>
    <row r="17" spans="1:9">
      <c r="A17" s="768" t="s">
        <v>1329</v>
      </c>
      <c r="B17" s="249" t="str">
        <f>INDEX('Cloud Price List'!$B$3:$N$1491,MATCH($A17,'Cloud Price List'!$A$3:$A$1491,0),1)</f>
        <v>Oracle Cloud Infrastructure - Database Exadata Infrastructure - Base System</v>
      </c>
      <c r="C17" s="249" t="str">
        <f>INDEX('Cloud Price List'!$B$3:$N$1491,MATCH($A17,'Cloud Price List'!$A$3:$A$1491,0),4)</f>
        <v>Hosted Environment Per Hour</v>
      </c>
      <c r="D17" s="249" t="str">
        <f>INDEX('Cloud Price List'!$B$3:$N$1491,MATCH($A17,'Cloud Price List'!$A$3:$A$1491,0),9)</f>
        <v>PAAS</v>
      </c>
      <c r="E17" s="766">
        <f>INDEX('Cloud Price List'!$B$3:$N$1491,MATCH($A17,'Cloud Price List'!$A$3:$A$1491,0),3)</f>
        <v>10.752700000000001</v>
      </c>
      <c r="G17" s="758">
        <f t="shared" si="3"/>
        <v>1</v>
      </c>
      <c r="H17" s="759">
        <f t="shared" si="4"/>
        <v>1</v>
      </c>
      <c r="I17" s="759">
        <f t="shared" si="5"/>
        <v>1</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A69F9-7D4C-4046-A2B2-C13BF49F18CA}">
  <sheetPr codeName="Sheet5">
    <tabColor theme="6"/>
  </sheetPr>
  <dimension ref="A1:Y69"/>
  <sheetViews>
    <sheetView zoomScale="110" zoomScaleNormal="110" workbookViewId="0">
      <selection activeCell="H7" sqref="A7:H7"/>
    </sheetView>
  </sheetViews>
  <sheetFormatPr baseColWidth="10" defaultColWidth="18.83203125" defaultRowHeight="15"/>
  <cols>
    <col min="1" max="1" width="13.1640625" style="7" customWidth="1"/>
    <col min="2" max="2" width="8.6640625" style="7" customWidth="1"/>
    <col min="3" max="3" width="11.1640625" style="7" customWidth="1"/>
    <col min="4" max="4" width="15.6640625" style="7" customWidth="1"/>
    <col min="5" max="5" width="13.6640625" style="427" customWidth="1"/>
    <col min="6" max="6" width="14.5" style="427" customWidth="1"/>
    <col min="7" max="7" width="13.83203125" customWidth="1"/>
    <col min="8" max="8" width="12.33203125" style="7" customWidth="1"/>
    <col min="9" max="9" width="14" style="7" customWidth="1"/>
    <col min="10" max="10" width="10.5" style="7" customWidth="1"/>
    <col min="11" max="11" width="13.1640625" style="7" customWidth="1"/>
    <col min="12" max="12" width="14.5" style="7" customWidth="1"/>
    <col min="13" max="13" width="15.6640625" style="7" customWidth="1"/>
    <col min="14" max="14" width="16.6640625" style="7" customWidth="1"/>
    <col min="15" max="15" width="16" style="26" customWidth="1"/>
    <col min="17" max="17" width="6.1640625" customWidth="1"/>
    <col min="19" max="19" width="15" style="7" hidden="1" customWidth="1"/>
    <col min="20" max="20" width="16" style="7" hidden="1" customWidth="1"/>
    <col min="21" max="21" width="6.1640625" style="26" customWidth="1"/>
    <col min="22" max="22" width="22.33203125" style="460" customWidth="1"/>
    <col min="23" max="23" width="16.1640625" style="7" hidden="1" customWidth="1"/>
    <col min="24" max="24" width="16" style="7" hidden="1" customWidth="1"/>
    <col min="25" max="25" width="6.1640625" style="26" customWidth="1"/>
    <col min="26" max="28" width="17.6640625" style="7" customWidth="1"/>
    <col min="29" max="29" width="8.5" style="7" customWidth="1"/>
    <col min="30" max="16384" width="18.83203125" style="7"/>
  </cols>
  <sheetData>
    <row r="1" spans="1:25">
      <c r="A1" s="416" t="s">
        <v>2040</v>
      </c>
      <c r="B1" s="416"/>
      <c r="C1" s="416"/>
      <c r="D1" s="416"/>
      <c r="E1" s="417"/>
      <c r="F1" s="417"/>
      <c r="G1" s="416"/>
      <c r="H1" s="416"/>
      <c r="I1" s="416"/>
      <c r="J1" s="416"/>
      <c r="K1" s="416"/>
      <c r="L1" s="416"/>
      <c r="M1" s="416"/>
      <c r="N1" s="416"/>
      <c r="O1" s="416"/>
      <c r="P1" s="7"/>
      <c r="Q1" s="461" t="s">
        <v>2078</v>
      </c>
      <c r="R1" s="462"/>
      <c r="S1" s="462"/>
      <c r="T1" s="463"/>
      <c r="U1" s="470" t="s">
        <v>2088</v>
      </c>
      <c r="V1" s="472"/>
      <c r="W1" s="471"/>
      <c r="X1" s="472"/>
      <c r="Y1" s="7"/>
    </row>
    <row r="2" spans="1:25" s="419" customFormat="1" ht="48">
      <c r="A2" s="418" t="s">
        <v>2041</v>
      </c>
      <c r="B2" s="418" t="s">
        <v>2042</v>
      </c>
      <c r="C2" s="418" t="s">
        <v>2043</v>
      </c>
      <c r="D2" s="418" t="s">
        <v>2044</v>
      </c>
      <c r="E2" s="418" t="s">
        <v>2057</v>
      </c>
      <c r="F2" s="418" t="s">
        <v>2045</v>
      </c>
      <c r="G2" s="418" t="s">
        <v>2046</v>
      </c>
      <c r="H2" s="418" t="s">
        <v>2299</v>
      </c>
      <c r="I2" s="418" t="s">
        <v>2050</v>
      </c>
      <c r="J2" s="418" t="s">
        <v>2051</v>
      </c>
      <c r="K2" s="418" t="s">
        <v>2047</v>
      </c>
      <c r="L2" s="418" t="s">
        <v>2298</v>
      </c>
      <c r="M2" s="418" t="s">
        <v>2048</v>
      </c>
      <c r="N2" s="418" t="s">
        <v>2049</v>
      </c>
      <c r="O2" s="418" t="s">
        <v>2297</v>
      </c>
      <c r="Q2" s="464" t="s">
        <v>2070</v>
      </c>
      <c r="R2" s="459" t="s">
        <v>2054</v>
      </c>
      <c r="S2" s="435" t="s">
        <v>2052</v>
      </c>
      <c r="T2" s="465" t="s">
        <v>2053</v>
      </c>
      <c r="U2" s="473" t="s">
        <v>2070</v>
      </c>
      <c r="V2" s="474" t="s">
        <v>2054</v>
      </c>
      <c r="W2" s="455" t="s">
        <v>2052</v>
      </c>
      <c r="X2" s="474" t="s">
        <v>2053</v>
      </c>
    </row>
    <row r="3" spans="1:25" ht="16">
      <c r="A3" s="428" t="s">
        <v>2055</v>
      </c>
      <c r="B3" s="429" t="s">
        <v>2056</v>
      </c>
      <c r="C3" s="428" t="s">
        <v>2057</v>
      </c>
      <c r="D3" s="429" t="s">
        <v>2058</v>
      </c>
      <c r="E3" s="428" t="s">
        <v>2301</v>
      </c>
      <c r="F3" s="428" t="s">
        <v>2059</v>
      </c>
      <c r="G3" s="428" t="s">
        <v>2060</v>
      </c>
      <c r="H3" s="430">
        <v>4</v>
      </c>
      <c r="I3" s="430">
        <v>8</v>
      </c>
      <c r="J3" s="430">
        <f>Servers[[#This Row],[CPU 
Sockets]]*Servers[[#This Row],[Cores per Socket]]</f>
        <v>32</v>
      </c>
      <c r="K3" s="431">
        <v>512</v>
      </c>
      <c r="L3" s="431">
        <v>8000</v>
      </c>
      <c r="M3" s="432" t="s">
        <v>2061</v>
      </c>
      <c r="N3" s="430" t="s">
        <v>2062</v>
      </c>
      <c r="O3" s="429" t="s">
        <v>2063</v>
      </c>
      <c r="P3" s="7"/>
      <c r="Q3" s="466">
        <f>INDEX(Shapes!$C$4:$C$10,(MATCH(R3,Shapes!$A$4:$A$10,0)))</f>
        <v>52</v>
      </c>
      <c r="R3" s="456"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BM.Standard2.52</v>
      </c>
      <c r="S3" s="456" t="str">
        <f>INDEX(Shapes!$A$3:$A$9,(MATCH(Servers[[#This Row],[Total 
Cores]]/2,Shapes!$C$3:$C$9,-1)))</f>
        <v>VM.Standard2.16</v>
      </c>
      <c r="T3" s="467" t="str">
        <f>INDEX(Shapes!$A$3:$A$9,(MATCH(Servers[[#This Row],[Memory (GB)]],Shapes!$D$3:$D$9,-1)))</f>
        <v>BM.Standard2.52</v>
      </c>
      <c r="U3" s="466">
        <f>INDEX(Shapes!$C$11:$C$75,(MATCH(V3,Shapes!$A$11:$A$75,0)))</f>
        <v>32</v>
      </c>
      <c r="V3" s="46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VM.Standard.E3.Flex.32</v>
      </c>
      <c r="W3" s="456" t="e">
        <f>INDEX(Shapes!$A$10:$A$14,(MATCH(Servers[[#This Row],[Total 
Cores]]/2,Shapes!$C$10:$C$14,-1)))</f>
        <v>#N/A</v>
      </c>
      <c r="X3" s="467" t="e">
        <f>INDEX(Shapes!$A$10:$A$14,(MATCH(Servers[[#This Row],[Memory (GB)]],Shapes!$D$10:$D$14,-1)))</f>
        <v>#N/A</v>
      </c>
      <c r="Y3" s="7" t="str">
        <f>IF(Q3&lt;&gt;U3,"variance","")</f>
        <v>variance</v>
      </c>
    </row>
    <row r="4" spans="1:25" ht="16">
      <c r="A4" s="428" t="s">
        <v>2064</v>
      </c>
      <c r="B4" s="429" t="s">
        <v>2056</v>
      </c>
      <c r="C4" s="428" t="s">
        <v>2044</v>
      </c>
      <c r="D4" s="429" t="s">
        <v>2058</v>
      </c>
      <c r="E4" s="428"/>
      <c r="F4" s="428" t="s">
        <v>2065</v>
      </c>
      <c r="G4" s="428" t="s">
        <v>2060</v>
      </c>
      <c r="H4" s="430">
        <v>4</v>
      </c>
      <c r="I4" s="430">
        <v>8</v>
      </c>
      <c r="J4" s="430">
        <f>Servers[[#This Row],[CPU 
Sockets]]*Servers[[#This Row],[Cores per Socket]]</f>
        <v>32</v>
      </c>
      <c r="K4" s="431">
        <v>512</v>
      </c>
      <c r="L4" s="431">
        <v>800</v>
      </c>
      <c r="M4" s="432" t="s">
        <v>2061</v>
      </c>
      <c r="N4" s="430" t="s">
        <v>2062</v>
      </c>
      <c r="O4" s="429" t="s">
        <v>2063</v>
      </c>
      <c r="P4" s="7"/>
      <c r="Q4" s="466">
        <f>INDEX(Shapes!$C$4:$C$10,(MATCH(R4,Shapes!$A$4:$A$10,0)))</f>
        <v>52</v>
      </c>
      <c r="R4" s="456"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BM.Standard2.52</v>
      </c>
      <c r="S4" s="456" t="str">
        <f>INDEX(Shapes!$A$3:$A$9,(MATCH(Servers[[#This Row],[Total 
Cores]]/2,Shapes!$C$3:$C$9,-1)))</f>
        <v>VM.Standard2.16</v>
      </c>
      <c r="T4" s="467" t="str">
        <f>INDEX(Shapes!$A$3:$A$9,(MATCH(Servers[[#This Row],[Memory (GB)]],Shapes!$D$3:$D$9,-1)))</f>
        <v>BM.Standard2.52</v>
      </c>
      <c r="U4" s="466">
        <f>INDEX(Shapes!$C$11:$C$75,(MATCH(V4,Shapes!$A$11:$A$75,0)))</f>
        <v>32</v>
      </c>
      <c r="V4" s="46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VM.Standard.E3.Flex.32</v>
      </c>
      <c r="W4" s="456" t="e">
        <f>INDEX(Shapes!$A$10:$A$14,(MATCH(Servers[[#This Row],[Total 
Cores]]/2,Shapes!$C$10:$C$14,-1)))</f>
        <v>#N/A</v>
      </c>
      <c r="X4" s="467" t="e">
        <f>INDEX(Shapes!$A$10:$A$14,(MATCH(Servers[[#This Row],[Memory (GB)]],Shapes!$D$10:$D$14,-1)))</f>
        <v>#N/A</v>
      </c>
      <c r="Y4" s="7" t="str">
        <f t="shared" ref="Y4:Y63" si="0">IF(Q4&lt;&gt;U4,"variance","")</f>
        <v>variance</v>
      </c>
    </row>
    <row r="5" spans="1:25" ht="16">
      <c r="A5" s="428" t="s">
        <v>2066</v>
      </c>
      <c r="B5" s="429" t="s">
        <v>2067</v>
      </c>
      <c r="C5" s="428" t="s">
        <v>2057</v>
      </c>
      <c r="D5" s="429" t="s">
        <v>2058</v>
      </c>
      <c r="E5" s="428" t="s">
        <v>2301</v>
      </c>
      <c r="F5" s="428" t="s">
        <v>2059</v>
      </c>
      <c r="G5" s="428" t="s">
        <v>2060</v>
      </c>
      <c r="H5" s="430">
        <v>4</v>
      </c>
      <c r="I5" s="430">
        <v>4</v>
      </c>
      <c r="J5" s="430">
        <f>Servers[[#This Row],[CPU 
Sockets]]*Servers[[#This Row],[Cores per Socket]]</f>
        <v>16</v>
      </c>
      <c r="K5" s="431">
        <v>32</v>
      </c>
      <c r="L5" s="431">
        <v>2300</v>
      </c>
      <c r="M5" s="432" t="s">
        <v>2061</v>
      </c>
      <c r="N5" s="430" t="s">
        <v>2068</v>
      </c>
      <c r="O5" s="429"/>
      <c r="P5" s="7"/>
      <c r="Q5" s="466">
        <f>INDEX(Shapes!$C$4:$C$10,(MATCH(R5,Shapes!$A$4:$A$10,0)))</f>
        <v>8</v>
      </c>
      <c r="R5" s="456"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VM.Standard2.8</v>
      </c>
      <c r="S5" s="456" t="str">
        <f>INDEX(Shapes!$A$3:$A$9,(MATCH(Servers[[#This Row],[Total 
Cores]]/2,Shapes!$C$3:$C$9,-1)))</f>
        <v>VM.Standard2.8</v>
      </c>
      <c r="T5" s="467" t="str">
        <f>INDEX(Shapes!$A$3:$A$9,(MATCH(Servers[[#This Row],[Memory (GB)]],Shapes!$D$3:$D$9,-1)))</f>
        <v>VM.Standard2.4</v>
      </c>
      <c r="U5" s="466">
        <f>INDEX(Shapes!$C$11:$C$75,(MATCH(V5,Shapes!$A$11:$A$75,0)))</f>
        <v>8</v>
      </c>
      <c r="V5" s="46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VM.Standard.E3.Flex.8</v>
      </c>
      <c r="W5" s="456" t="e">
        <f>INDEX(Shapes!$A$10:$A$14,(MATCH(Servers[[#This Row],[Total 
Cores]]/2,Shapes!$C$10:$C$14,-1)))</f>
        <v>#N/A</v>
      </c>
      <c r="X5" s="467" t="e">
        <f>INDEX(Shapes!$A$10:$A$14,(MATCH(Servers[[#This Row],[Memory (GB)]],Shapes!$D$10:$D$14,-1)))</f>
        <v>#N/A</v>
      </c>
      <c r="Y5" s="7" t="str">
        <f t="shared" si="0"/>
        <v/>
      </c>
    </row>
    <row r="6" spans="1:25" ht="16">
      <c r="A6" s="428" t="s">
        <v>2069</v>
      </c>
      <c r="B6" s="429" t="s">
        <v>2067</v>
      </c>
      <c r="C6" s="428" t="s">
        <v>2044</v>
      </c>
      <c r="D6" s="429" t="s">
        <v>2058</v>
      </c>
      <c r="E6" s="428"/>
      <c r="F6" s="428" t="s">
        <v>2065</v>
      </c>
      <c r="G6" s="428" t="s">
        <v>2060</v>
      </c>
      <c r="H6" s="430">
        <v>2</v>
      </c>
      <c r="I6" s="430">
        <v>53</v>
      </c>
      <c r="J6" s="430">
        <f>Servers[[#This Row],[CPU 
Sockets]]*Servers[[#This Row],[Cores per Socket]]</f>
        <v>106</v>
      </c>
      <c r="K6" s="431">
        <v>32</v>
      </c>
      <c r="L6" s="431">
        <v>200</v>
      </c>
      <c r="M6" s="432" t="s">
        <v>2061</v>
      </c>
      <c r="N6" s="430" t="s">
        <v>2068</v>
      </c>
      <c r="O6" s="429"/>
      <c r="P6" s="7"/>
      <c r="Q6" s="466" t="e">
        <f>INDEX(Shapes!$C$4:$C$10,(MATCH(R6,Shapes!$A$4:$A$10,0)))</f>
        <v>#N/A</v>
      </c>
      <c r="R6" s="456" t="e">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#N/A</v>
      </c>
      <c r="S6" s="456" t="e">
        <f>INDEX(Shapes!$A$3:$A$9,(MATCH(Servers[[#This Row],[Total 
Cores]]/2,Shapes!$C$3:$C$9,-1)))</f>
        <v>#N/A</v>
      </c>
      <c r="T6" s="467" t="str">
        <f>INDEX(Shapes!$A$3:$A$9,(MATCH(Servers[[#This Row],[Memory (GB)]],Shapes!$D$3:$D$9,-1)))</f>
        <v>VM.Standard2.4</v>
      </c>
      <c r="U6" s="466">
        <f>INDEX(Shapes!$C$11:$C$75,(MATCH(V6,Shapes!$A$11:$A$75,0)))</f>
        <v>53</v>
      </c>
      <c r="V6" s="46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VM.Standard.E3.Flex.53</v>
      </c>
      <c r="W6" s="456" t="e">
        <f>INDEX(Shapes!$A$10:$A$14,(MATCH(Servers[[#This Row],[Total 
Cores]]/2,Shapes!$C$10:$C$14,-1)))</f>
        <v>#N/A</v>
      </c>
      <c r="X6" s="467" t="e">
        <f>INDEX(Shapes!$A$10:$A$14,(MATCH(Servers[[#This Row],[Memory (GB)]],Shapes!$D$10:$D$14,-1)))</f>
        <v>#N/A</v>
      </c>
      <c r="Y6" s="7" t="e">
        <f t="shared" si="0"/>
        <v>#N/A</v>
      </c>
    </row>
    <row r="7" spans="1:25">
      <c r="A7" s="420"/>
      <c r="B7" s="421"/>
      <c r="C7" s="422"/>
      <c r="D7" s="421"/>
      <c r="E7" s="422"/>
      <c r="F7" s="422"/>
      <c r="G7" s="422"/>
      <c r="H7" s="434"/>
      <c r="I7" s="434"/>
      <c r="J7" s="426">
        <f>Servers[[#This Row],[CPU 
Sockets]]*Servers[[#This Row],[Cores per Socket]]</f>
        <v>0</v>
      </c>
      <c r="K7" s="424"/>
      <c r="L7" s="424"/>
      <c r="M7" s="425"/>
      <c r="N7" s="423"/>
      <c r="O7" s="433"/>
      <c r="P7" s="7"/>
      <c r="Q7" s="468">
        <f>INDEX(Shapes!$C$4:$C$10,(MATCH(R7,Shapes!$A$4:$A$10,0)))</f>
        <v>1</v>
      </c>
      <c r="R7"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7" s="458" t="str">
        <f>INDEX(Shapes!$A$3:$A$9,(MATCH(Servers[[#This Row],[Total 
Cores]]/2,Shapes!$C$3:$C$9,-1)))</f>
        <v>VM.Standard2.2</v>
      </c>
      <c r="T7" s="469" t="str">
        <f>INDEX(Shapes!$A$3:$A$9,(MATCH(Servers[[#This Row],[Memory (GB)]],Shapes!$D$3:$D$9,-1)))</f>
        <v>VM.Standard2.2</v>
      </c>
      <c r="U7" s="468">
        <f>INDEX(Shapes!$C$11:$C$75,(MATCH(V7,Shapes!$A$11:$A$75,0)))</f>
        <v>1</v>
      </c>
      <c r="V7"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7" s="458" t="str">
        <f>INDEX(Shapes!$A$10:$A$14,(MATCH(Servers[[#This Row],[Total 
Cores]]/2,Shapes!$C$10:$C$14,-1)))</f>
        <v>VM.Standard.E3.Flex.62</v>
      </c>
      <c r="X7" s="469" t="str">
        <f>INDEX(Shapes!$A$10:$A$14,(MATCH(Servers[[#This Row],[Memory (GB)]],Shapes!$D$10:$D$14,-1)))</f>
        <v>VM.Standard.E3.Flex.62</v>
      </c>
      <c r="Y7" s="7" t="str">
        <f t="shared" si="0"/>
        <v/>
      </c>
    </row>
    <row r="8" spans="1:25">
      <c r="A8" s="420"/>
      <c r="B8" s="421"/>
      <c r="C8" s="422"/>
      <c r="D8" s="421"/>
      <c r="E8" s="422"/>
      <c r="F8" s="422"/>
      <c r="G8" s="422"/>
      <c r="H8" s="434"/>
      <c r="I8" s="434"/>
      <c r="J8" s="426">
        <f>Servers[[#This Row],[CPU 
Sockets]]*Servers[[#This Row],[Cores per Socket]]</f>
        <v>0</v>
      </c>
      <c r="K8" s="424"/>
      <c r="L8" s="424"/>
      <c r="M8" s="425"/>
      <c r="N8" s="423"/>
      <c r="O8" s="433"/>
      <c r="P8" s="7"/>
      <c r="Q8" s="468">
        <f>INDEX(Shapes!$C$4:$C$10,(MATCH(R8,Shapes!$A$4:$A$10,0)))</f>
        <v>1</v>
      </c>
      <c r="R8"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8" s="458" t="str">
        <f>INDEX(Shapes!$A$3:$A$9,(MATCH(Servers[[#This Row],[Total 
Cores]]/2,Shapes!$C$3:$C$9,-1)))</f>
        <v>VM.Standard2.2</v>
      </c>
      <c r="T8" s="469" t="str">
        <f>INDEX(Shapes!$A$3:$A$9,(MATCH(Servers[[#This Row],[Memory (GB)]],Shapes!$D$3:$D$9,-1)))</f>
        <v>VM.Standard2.2</v>
      </c>
      <c r="U8" s="468">
        <f>INDEX(Shapes!$C$11:$C$75,(MATCH(V8,Shapes!$A$11:$A$75,0)))</f>
        <v>1</v>
      </c>
      <c r="V8"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8" s="458" t="str">
        <f>INDEX(Shapes!$A$10:$A$14,(MATCH(Servers[[#This Row],[Total 
Cores]]/2,Shapes!$C$10:$C$14,-1)))</f>
        <v>VM.Standard.E3.Flex.62</v>
      </c>
      <c r="X8" s="469" t="str">
        <f>INDEX(Shapes!$A$10:$A$14,(MATCH(Servers[[#This Row],[Memory (GB)]],Shapes!$D$10:$D$14,-1)))</f>
        <v>VM.Standard.E3.Flex.62</v>
      </c>
      <c r="Y8" s="7" t="str">
        <f t="shared" si="0"/>
        <v/>
      </c>
    </row>
    <row r="9" spans="1:25">
      <c r="A9" s="420"/>
      <c r="B9" s="421"/>
      <c r="C9" s="422"/>
      <c r="D9" s="421"/>
      <c r="E9" s="422"/>
      <c r="F9" s="422"/>
      <c r="G9" s="422"/>
      <c r="H9" s="434"/>
      <c r="I9" s="434"/>
      <c r="J9" s="426">
        <f>Servers[[#This Row],[CPU 
Sockets]]*Servers[[#This Row],[Cores per Socket]]</f>
        <v>0</v>
      </c>
      <c r="K9" s="424"/>
      <c r="L9" s="424"/>
      <c r="M9" s="425"/>
      <c r="N9" s="423"/>
      <c r="O9" s="433"/>
      <c r="P9" s="7"/>
      <c r="Q9" s="468">
        <f>INDEX(Shapes!$C$4:$C$10,(MATCH(R9,Shapes!$A$4:$A$10,0)))</f>
        <v>1</v>
      </c>
      <c r="R9"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9" s="458" t="str">
        <f>INDEX(Shapes!$A$3:$A$9,(MATCH(Servers[[#This Row],[Total 
Cores]]/2,Shapes!$C$3:$C$9,-1)))</f>
        <v>VM.Standard2.2</v>
      </c>
      <c r="T9" s="469" t="str">
        <f>INDEX(Shapes!$A$3:$A$9,(MATCH(Servers[[#This Row],[Memory (GB)]],Shapes!$D$3:$D$9,-1)))</f>
        <v>VM.Standard2.2</v>
      </c>
      <c r="U9" s="468">
        <f>INDEX(Shapes!$C$11:$C$75,(MATCH(V9,Shapes!$A$11:$A$75,0)))</f>
        <v>1</v>
      </c>
      <c r="V9"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9" s="458" t="str">
        <f>INDEX(Shapes!$A$10:$A$14,(MATCH(Servers[[#This Row],[Total 
Cores]]/2,Shapes!$C$10:$C$14,-1)))</f>
        <v>VM.Standard.E3.Flex.62</v>
      </c>
      <c r="X9" s="469" t="str">
        <f>INDEX(Shapes!$A$10:$A$14,(MATCH(Servers[[#This Row],[Memory (GB)]],Shapes!$D$10:$D$14,-1)))</f>
        <v>VM.Standard.E3.Flex.62</v>
      </c>
      <c r="Y9" s="7" t="str">
        <f t="shared" si="0"/>
        <v/>
      </c>
    </row>
    <row r="10" spans="1:25">
      <c r="A10" s="420"/>
      <c r="B10" s="421"/>
      <c r="C10" s="422"/>
      <c r="D10" s="421"/>
      <c r="E10" s="422"/>
      <c r="F10" s="422"/>
      <c r="G10" s="422"/>
      <c r="H10" s="434"/>
      <c r="I10" s="434"/>
      <c r="J10" s="426">
        <f>Servers[[#This Row],[CPU 
Sockets]]*Servers[[#This Row],[Cores per Socket]]</f>
        <v>0</v>
      </c>
      <c r="K10" s="424"/>
      <c r="L10" s="424"/>
      <c r="M10" s="425"/>
      <c r="N10" s="423"/>
      <c r="O10" s="433"/>
      <c r="P10" s="7"/>
      <c r="Q10" s="468">
        <f>INDEX(Shapes!$C$4:$C$10,(MATCH(R10,Shapes!$A$4:$A$10,0)))</f>
        <v>1</v>
      </c>
      <c r="R10"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0" s="458" t="str">
        <f>INDEX(Shapes!$A$3:$A$9,(MATCH(Servers[[#This Row],[Total 
Cores]]/2,Shapes!$C$3:$C$9,-1)))</f>
        <v>VM.Standard2.2</v>
      </c>
      <c r="T10" s="469" t="str">
        <f>INDEX(Shapes!$A$3:$A$9,(MATCH(Servers[[#This Row],[Memory (GB)]],Shapes!$D$3:$D$9,-1)))</f>
        <v>VM.Standard2.2</v>
      </c>
      <c r="U10" s="468">
        <f>INDEX(Shapes!$C$11:$C$75,(MATCH(V10,Shapes!$A$11:$A$75,0)))</f>
        <v>1</v>
      </c>
      <c r="V10"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0" s="458" t="str">
        <f>INDEX(Shapes!$A$10:$A$14,(MATCH(Servers[[#This Row],[Total 
Cores]]/2,Shapes!$C$10:$C$14,-1)))</f>
        <v>VM.Standard.E3.Flex.62</v>
      </c>
      <c r="X10" s="469" t="str">
        <f>INDEX(Shapes!$A$10:$A$14,(MATCH(Servers[[#This Row],[Memory (GB)]],Shapes!$D$10:$D$14,-1)))</f>
        <v>VM.Standard.E3.Flex.62</v>
      </c>
      <c r="Y10" s="7" t="str">
        <f t="shared" si="0"/>
        <v/>
      </c>
    </row>
    <row r="11" spans="1:25">
      <c r="A11" s="420"/>
      <c r="B11" s="421"/>
      <c r="C11" s="422"/>
      <c r="D11" s="421"/>
      <c r="E11" s="422"/>
      <c r="F11" s="422"/>
      <c r="G11" s="422"/>
      <c r="H11" s="434"/>
      <c r="I11" s="434"/>
      <c r="J11" s="426">
        <f>Servers[[#This Row],[CPU 
Sockets]]*Servers[[#This Row],[Cores per Socket]]</f>
        <v>0</v>
      </c>
      <c r="K11" s="424"/>
      <c r="L11" s="424"/>
      <c r="M11" s="425"/>
      <c r="N11" s="423"/>
      <c r="O11" s="433"/>
      <c r="P11" s="7"/>
      <c r="Q11" s="468">
        <f>INDEX(Shapes!$C$4:$C$10,(MATCH(R11,Shapes!$A$4:$A$10,0)))</f>
        <v>1</v>
      </c>
      <c r="R11"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1" s="458" t="str">
        <f>INDEX(Shapes!$A$3:$A$9,(MATCH(Servers[[#This Row],[Total 
Cores]]/2,Shapes!$C$3:$C$9,-1)))</f>
        <v>VM.Standard2.2</v>
      </c>
      <c r="T11" s="469" t="str">
        <f>INDEX(Shapes!$A$3:$A$9,(MATCH(Servers[[#This Row],[Memory (GB)]],Shapes!$D$3:$D$9,-1)))</f>
        <v>VM.Standard2.2</v>
      </c>
      <c r="U11" s="468">
        <f>INDEX(Shapes!$C$11:$C$75,(MATCH(V11,Shapes!$A$11:$A$75,0)))</f>
        <v>1</v>
      </c>
      <c r="V11"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1" s="458" t="str">
        <f>INDEX(Shapes!$A$10:$A$14,(MATCH(Servers[[#This Row],[Total 
Cores]]/2,Shapes!$C$10:$C$14,-1)))</f>
        <v>VM.Standard.E3.Flex.62</v>
      </c>
      <c r="X11" s="469" t="str">
        <f>INDEX(Shapes!$A$10:$A$14,(MATCH(Servers[[#This Row],[Memory (GB)]],Shapes!$D$10:$D$14,-1)))</f>
        <v>VM.Standard.E3.Flex.62</v>
      </c>
      <c r="Y11" s="7" t="str">
        <f t="shared" si="0"/>
        <v/>
      </c>
    </row>
    <row r="12" spans="1:25">
      <c r="A12" s="420"/>
      <c r="B12" s="421"/>
      <c r="C12" s="422"/>
      <c r="D12" s="421"/>
      <c r="E12" s="422"/>
      <c r="F12" s="422"/>
      <c r="G12" s="422"/>
      <c r="H12" s="434"/>
      <c r="I12" s="434"/>
      <c r="J12" s="426">
        <f>Servers[[#This Row],[CPU 
Sockets]]*Servers[[#This Row],[Cores per Socket]]</f>
        <v>0</v>
      </c>
      <c r="K12" s="424"/>
      <c r="L12" s="424"/>
      <c r="M12" s="425"/>
      <c r="N12" s="423"/>
      <c r="O12" s="433"/>
      <c r="P12" s="7"/>
      <c r="Q12" s="468">
        <f>INDEX(Shapes!$C$4:$C$10,(MATCH(R12,Shapes!$A$4:$A$10,0)))</f>
        <v>1</v>
      </c>
      <c r="R12"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2" s="458" t="str">
        <f>INDEX(Shapes!$A$3:$A$9,(MATCH(Servers[[#This Row],[Total 
Cores]]/2,Shapes!$C$3:$C$9,-1)))</f>
        <v>VM.Standard2.2</v>
      </c>
      <c r="T12" s="469" t="str">
        <f>INDEX(Shapes!$A$3:$A$9,(MATCH(Servers[[#This Row],[Memory (GB)]],Shapes!$D$3:$D$9,-1)))</f>
        <v>VM.Standard2.2</v>
      </c>
      <c r="U12" s="468">
        <f>INDEX(Shapes!$C$11:$C$75,(MATCH(V12,Shapes!$A$11:$A$75,0)))</f>
        <v>1</v>
      </c>
      <c r="V12"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2" s="458" t="str">
        <f>INDEX(Shapes!$A$10:$A$14,(MATCH(Servers[[#This Row],[Total 
Cores]]/2,Shapes!$C$10:$C$14,-1)))</f>
        <v>VM.Standard.E3.Flex.62</v>
      </c>
      <c r="X12" s="469" t="str">
        <f>INDEX(Shapes!$A$10:$A$14,(MATCH(Servers[[#This Row],[Memory (GB)]],Shapes!$D$10:$D$14,-1)))</f>
        <v>VM.Standard.E3.Flex.62</v>
      </c>
      <c r="Y12" s="7" t="str">
        <f t="shared" si="0"/>
        <v/>
      </c>
    </row>
    <row r="13" spans="1:25">
      <c r="A13" s="420"/>
      <c r="B13" s="421"/>
      <c r="C13" s="422"/>
      <c r="D13" s="421"/>
      <c r="E13" s="422"/>
      <c r="F13" s="422"/>
      <c r="G13" s="422"/>
      <c r="H13" s="434"/>
      <c r="I13" s="434"/>
      <c r="J13" s="426">
        <f>Servers[[#This Row],[CPU 
Sockets]]*Servers[[#This Row],[Cores per Socket]]</f>
        <v>0</v>
      </c>
      <c r="K13" s="424"/>
      <c r="L13" s="424"/>
      <c r="M13" s="425"/>
      <c r="N13" s="423"/>
      <c r="O13" s="433"/>
      <c r="P13" s="7"/>
      <c r="Q13" s="468">
        <f>INDEX(Shapes!$C$4:$C$10,(MATCH(R13,Shapes!$A$4:$A$10,0)))</f>
        <v>1</v>
      </c>
      <c r="R13"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3" s="458" t="str">
        <f>INDEX(Shapes!$A$3:$A$9,(MATCH(Servers[[#This Row],[Total 
Cores]]/2,Shapes!$C$3:$C$9,-1)))</f>
        <v>VM.Standard2.2</v>
      </c>
      <c r="T13" s="469" t="str">
        <f>INDEX(Shapes!$A$3:$A$9,(MATCH(Servers[[#This Row],[Memory (GB)]],Shapes!$D$3:$D$9,-1)))</f>
        <v>VM.Standard2.2</v>
      </c>
      <c r="U13" s="468">
        <f>INDEX(Shapes!$C$11:$C$75,(MATCH(V13,Shapes!$A$11:$A$75,0)))</f>
        <v>1</v>
      </c>
      <c r="V13"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3" s="458" t="str">
        <f>INDEX(Shapes!$A$10:$A$14,(MATCH(Servers[[#This Row],[Total 
Cores]]/2,Shapes!$C$10:$C$14,-1)))</f>
        <v>VM.Standard.E3.Flex.62</v>
      </c>
      <c r="X13" s="469" t="str">
        <f>INDEX(Shapes!$A$10:$A$14,(MATCH(Servers[[#This Row],[Memory (GB)]],Shapes!$D$10:$D$14,-1)))</f>
        <v>VM.Standard.E3.Flex.62</v>
      </c>
      <c r="Y13" s="7" t="str">
        <f t="shared" si="0"/>
        <v/>
      </c>
    </row>
    <row r="14" spans="1:25">
      <c r="A14" s="420"/>
      <c r="B14" s="421"/>
      <c r="C14" s="422"/>
      <c r="D14" s="421"/>
      <c r="E14" s="422"/>
      <c r="F14" s="422"/>
      <c r="G14" s="422"/>
      <c r="H14" s="434"/>
      <c r="I14" s="434"/>
      <c r="J14" s="426">
        <f>Servers[[#This Row],[CPU 
Sockets]]*Servers[[#This Row],[Cores per Socket]]</f>
        <v>0</v>
      </c>
      <c r="K14" s="424"/>
      <c r="L14" s="424"/>
      <c r="M14" s="425"/>
      <c r="N14" s="423"/>
      <c r="O14" s="433"/>
      <c r="P14" s="7"/>
      <c r="Q14" s="468">
        <f>INDEX(Shapes!$C$4:$C$10,(MATCH(R14,Shapes!$A$4:$A$10,0)))</f>
        <v>1</v>
      </c>
      <c r="R14"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4" s="458" t="str">
        <f>INDEX(Shapes!$A$3:$A$9,(MATCH(Servers[[#This Row],[Total 
Cores]]/2,Shapes!$C$3:$C$9,-1)))</f>
        <v>VM.Standard2.2</v>
      </c>
      <c r="T14" s="469" t="str">
        <f>INDEX(Shapes!$A$3:$A$9,(MATCH(Servers[[#This Row],[Memory (GB)]],Shapes!$D$3:$D$9,-1)))</f>
        <v>VM.Standard2.2</v>
      </c>
      <c r="U14" s="468">
        <f>INDEX(Shapes!$C$11:$C$75,(MATCH(V14,Shapes!$A$11:$A$75,0)))</f>
        <v>1</v>
      </c>
      <c r="V14"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4" s="458" t="str">
        <f>INDEX(Shapes!$A$10:$A$14,(MATCH(Servers[[#This Row],[Total 
Cores]]/2,Shapes!$C$10:$C$14,-1)))</f>
        <v>VM.Standard.E3.Flex.62</v>
      </c>
      <c r="X14" s="469" t="str">
        <f>INDEX(Shapes!$A$10:$A$14,(MATCH(Servers[[#This Row],[Memory (GB)]],Shapes!$D$10:$D$14,-1)))</f>
        <v>VM.Standard.E3.Flex.62</v>
      </c>
      <c r="Y14" s="7" t="str">
        <f t="shared" si="0"/>
        <v/>
      </c>
    </row>
    <row r="15" spans="1:25">
      <c r="A15" s="420"/>
      <c r="B15" s="421"/>
      <c r="C15" s="422"/>
      <c r="D15" s="421"/>
      <c r="E15" s="422"/>
      <c r="F15" s="422"/>
      <c r="G15" s="422"/>
      <c r="H15" s="434"/>
      <c r="I15" s="434"/>
      <c r="J15" s="426">
        <f>Servers[[#This Row],[CPU 
Sockets]]*Servers[[#This Row],[Cores per Socket]]</f>
        <v>0</v>
      </c>
      <c r="K15" s="424"/>
      <c r="L15" s="424"/>
      <c r="M15" s="425"/>
      <c r="N15" s="423"/>
      <c r="O15" s="433"/>
      <c r="P15" s="7"/>
      <c r="Q15" s="468">
        <f>INDEX(Shapes!$C$4:$C$10,(MATCH(R15,Shapes!$A$4:$A$10,0)))</f>
        <v>1</v>
      </c>
      <c r="R15"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5" s="458" t="str">
        <f>INDEX(Shapes!$A$3:$A$9,(MATCH(Servers[[#This Row],[Total 
Cores]]/2,Shapes!$C$3:$C$9,-1)))</f>
        <v>VM.Standard2.2</v>
      </c>
      <c r="T15" s="469" t="str">
        <f>INDEX(Shapes!$A$3:$A$9,(MATCH(Servers[[#This Row],[Memory (GB)]],Shapes!$D$3:$D$9,-1)))</f>
        <v>VM.Standard2.2</v>
      </c>
      <c r="U15" s="468">
        <f>INDEX(Shapes!$C$11:$C$75,(MATCH(V15,Shapes!$A$11:$A$75,0)))</f>
        <v>1</v>
      </c>
      <c r="V15"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5" s="458" t="str">
        <f>INDEX(Shapes!$A$10:$A$14,(MATCH(Servers[[#This Row],[Total 
Cores]]/2,Shapes!$C$10:$C$14,-1)))</f>
        <v>VM.Standard.E3.Flex.62</v>
      </c>
      <c r="X15" s="469" t="str">
        <f>INDEX(Shapes!$A$10:$A$14,(MATCH(Servers[[#This Row],[Memory (GB)]],Shapes!$D$10:$D$14,-1)))</f>
        <v>VM.Standard.E3.Flex.62</v>
      </c>
      <c r="Y15" s="7" t="str">
        <f t="shared" si="0"/>
        <v/>
      </c>
    </row>
    <row r="16" spans="1:25">
      <c r="A16" s="420"/>
      <c r="B16" s="421"/>
      <c r="C16" s="422"/>
      <c r="D16" s="421"/>
      <c r="E16" s="422"/>
      <c r="F16" s="422"/>
      <c r="G16" s="422"/>
      <c r="H16" s="434"/>
      <c r="I16" s="434"/>
      <c r="J16" s="426">
        <f>Servers[[#This Row],[CPU 
Sockets]]*Servers[[#This Row],[Cores per Socket]]</f>
        <v>0</v>
      </c>
      <c r="K16" s="424"/>
      <c r="L16" s="424"/>
      <c r="M16" s="425"/>
      <c r="N16" s="423"/>
      <c r="O16" s="433"/>
      <c r="P16" s="7"/>
      <c r="Q16" s="468">
        <f>INDEX(Shapes!$C$4:$C$10,(MATCH(R16,Shapes!$A$4:$A$10,0)))</f>
        <v>1</v>
      </c>
      <c r="R16"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6" s="458" t="str">
        <f>INDEX(Shapes!$A$3:$A$9,(MATCH(Servers[[#This Row],[Total 
Cores]]/2,Shapes!$C$3:$C$9,-1)))</f>
        <v>VM.Standard2.2</v>
      </c>
      <c r="T16" s="469" t="str">
        <f>INDEX(Shapes!$A$3:$A$9,(MATCH(Servers[[#This Row],[Memory (GB)]],Shapes!$D$3:$D$9,-1)))</f>
        <v>VM.Standard2.2</v>
      </c>
      <c r="U16" s="468">
        <f>INDEX(Shapes!$C$11:$C$75,(MATCH(V16,Shapes!$A$11:$A$75,0)))</f>
        <v>1</v>
      </c>
      <c r="V16"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6" s="458" t="str">
        <f>INDEX(Shapes!$A$10:$A$14,(MATCH(Servers[[#This Row],[Total 
Cores]]/2,Shapes!$C$10:$C$14,-1)))</f>
        <v>VM.Standard.E3.Flex.62</v>
      </c>
      <c r="X16" s="469" t="str">
        <f>INDEX(Shapes!$A$10:$A$14,(MATCH(Servers[[#This Row],[Memory (GB)]],Shapes!$D$10:$D$14,-1)))</f>
        <v>VM.Standard.E3.Flex.62</v>
      </c>
      <c r="Y16" s="7" t="str">
        <f t="shared" si="0"/>
        <v/>
      </c>
    </row>
    <row r="17" spans="1:25">
      <c r="A17" s="420"/>
      <c r="B17" s="421"/>
      <c r="C17" s="422"/>
      <c r="D17" s="421"/>
      <c r="E17" s="422"/>
      <c r="F17" s="422"/>
      <c r="G17" s="422"/>
      <c r="H17" s="434"/>
      <c r="I17" s="434"/>
      <c r="J17" s="426">
        <f>Servers[[#This Row],[CPU 
Sockets]]*Servers[[#This Row],[Cores per Socket]]</f>
        <v>0</v>
      </c>
      <c r="K17" s="424"/>
      <c r="L17" s="424"/>
      <c r="M17" s="425"/>
      <c r="N17" s="423"/>
      <c r="O17" s="433"/>
      <c r="P17" s="7"/>
      <c r="Q17" s="468">
        <f>INDEX(Shapes!$C$4:$C$10,(MATCH(R17,Shapes!$A$4:$A$10,0)))</f>
        <v>1</v>
      </c>
      <c r="R17"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7" s="458" t="str">
        <f>INDEX(Shapes!$A$3:$A$9,(MATCH(Servers[[#This Row],[Total 
Cores]]/2,Shapes!$C$3:$C$9,-1)))</f>
        <v>VM.Standard2.2</v>
      </c>
      <c r="T17" s="469" t="str">
        <f>INDEX(Shapes!$A$3:$A$9,(MATCH(Servers[[#This Row],[Memory (GB)]],Shapes!$D$3:$D$9,-1)))</f>
        <v>VM.Standard2.2</v>
      </c>
      <c r="U17" s="468">
        <f>INDEX(Shapes!$C$11:$C$75,(MATCH(V17,Shapes!$A$11:$A$75,0)))</f>
        <v>1</v>
      </c>
      <c r="V17"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7" s="458" t="str">
        <f>INDEX(Shapes!$A$10:$A$14,(MATCH(Servers[[#This Row],[Total 
Cores]]/2,Shapes!$C$10:$C$14,-1)))</f>
        <v>VM.Standard.E3.Flex.62</v>
      </c>
      <c r="X17" s="469" t="str">
        <f>INDEX(Shapes!$A$10:$A$14,(MATCH(Servers[[#This Row],[Memory (GB)]],Shapes!$D$10:$D$14,-1)))</f>
        <v>VM.Standard.E3.Flex.62</v>
      </c>
      <c r="Y17" s="7" t="str">
        <f t="shared" si="0"/>
        <v/>
      </c>
    </row>
    <row r="18" spans="1:25">
      <c r="A18" s="420"/>
      <c r="B18" s="421"/>
      <c r="C18" s="422"/>
      <c r="D18" s="421"/>
      <c r="E18" s="422"/>
      <c r="F18" s="422"/>
      <c r="G18" s="422"/>
      <c r="H18" s="434"/>
      <c r="I18" s="434"/>
      <c r="J18" s="426">
        <f>Servers[[#This Row],[CPU 
Sockets]]*Servers[[#This Row],[Cores per Socket]]</f>
        <v>0</v>
      </c>
      <c r="K18" s="424"/>
      <c r="L18" s="424"/>
      <c r="M18" s="425"/>
      <c r="N18" s="423"/>
      <c r="O18" s="433"/>
      <c r="P18" s="7"/>
      <c r="Q18" s="468">
        <f>INDEX(Shapes!$C$4:$C$10,(MATCH(R18,Shapes!$A$4:$A$10,0)))</f>
        <v>1</v>
      </c>
      <c r="R18"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8" s="458" t="str">
        <f>INDEX(Shapes!$A$3:$A$9,(MATCH(Servers[[#This Row],[Total 
Cores]]/2,Shapes!$C$3:$C$9,-1)))</f>
        <v>VM.Standard2.2</v>
      </c>
      <c r="T18" s="469" t="str">
        <f>INDEX(Shapes!$A$3:$A$9,(MATCH(Servers[[#This Row],[Memory (GB)]],Shapes!$D$3:$D$9,-1)))</f>
        <v>VM.Standard2.2</v>
      </c>
      <c r="U18" s="468">
        <f>INDEX(Shapes!$C$11:$C$75,(MATCH(V18,Shapes!$A$11:$A$75,0)))</f>
        <v>1</v>
      </c>
      <c r="V18"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8" s="458" t="str">
        <f>INDEX(Shapes!$A$10:$A$14,(MATCH(Servers[[#This Row],[Total 
Cores]]/2,Shapes!$C$10:$C$14,-1)))</f>
        <v>VM.Standard.E3.Flex.62</v>
      </c>
      <c r="X18" s="469" t="str">
        <f>INDEX(Shapes!$A$10:$A$14,(MATCH(Servers[[#This Row],[Memory (GB)]],Shapes!$D$10:$D$14,-1)))</f>
        <v>VM.Standard.E3.Flex.62</v>
      </c>
      <c r="Y18" s="7" t="str">
        <f t="shared" si="0"/>
        <v/>
      </c>
    </row>
    <row r="19" spans="1:25">
      <c r="A19" s="420"/>
      <c r="B19" s="421"/>
      <c r="C19" s="422"/>
      <c r="D19" s="421"/>
      <c r="E19" s="422"/>
      <c r="F19" s="422"/>
      <c r="G19" s="422"/>
      <c r="H19" s="434"/>
      <c r="I19" s="434"/>
      <c r="J19" s="426">
        <f>Servers[[#This Row],[CPU 
Sockets]]*Servers[[#This Row],[Cores per Socket]]</f>
        <v>0</v>
      </c>
      <c r="K19" s="424"/>
      <c r="L19" s="424"/>
      <c r="M19" s="425"/>
      <c r="N19" s="423"/>
      <c r="O19" s="433"/>
      <c r="P19" s="7"/>
      <c r="Q19" s="468">
        <f>INDEX(Shapes!$C$4:$C$10,(MATCH(R19,Shapes!$A$4:$A$10,0)))</f>
        <v>1</v>
      </c>
      <c r="R19"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19" s="458" t="str">
        <f>INDEX(Shapes!$A$3:$A$9,(MATCH(Servers[[#This Row],[Total 
Cores]]/2,Shapes!$C$3:$C$9,-1)))</f>
        <v>VM.Standard2.2</v>
      </c>
      <c r="T19" s="469" t="str">
        <f>INDEX(Shapes!$A$3:$A$9,(MATCH(Servers[[#This Row],[Memory (GB)]],Shapes!$D$3:$D$9,-1)))</f>
        <v>VM.Standard2.2</v>
      </c>
      <c r="U19" s="468">
        <f>INDEX(Shapes!$C$11:$C$75,(MATCH(V19,Shapes!$A$11:$A$75,0)))</f>
        <v>1</v>
      </c>
      <c r="V19"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19" s="458" t="str">
        <f>INDEX(Shapes!$A$10:$A$14,(MATCH(Servers[[#This Row],[Total 
Cores]]/2,Shapes!$C$10:$C$14,-1)))</f>
        <v>VM.Standard.E3.Flex.62</v>
      </c>
      <c r="X19" s="469" t="str">
        <f>INDEX(Shapes!$A$10:$A$14,(MATCH(Servers[[#This Row],[Memory (GB)]],Shapes!$D$10:$D$14,-1)))</f>
        <v>VM.Standard.E3.Flex.62</v>
      </c>
      <c r="Y19" s="7" t="str">
        <f t="shared" si="0"/>
        <v/>
      </c>
    </row>
    <row r="20" spans="1:25">
      <c r="A20" s="420"/>
      <c r="B20" s="421"/>
      <c r="C20" s="422"/>
      <c r="D20" s="421"/>
      <c r="E20" s="422"/>
      <c r="F20" s="422"/>
      <c r="G20" s="422"/>
      <c r="H20" s="434"/>
      <c r="I20" s="434"/>
      <c r="J20" s="426">
        <f>Servers[[#This Row],[CPU 
Sockets]]*Servers[[#This Row],[Cores per Socket]]</f>
        <v>0</v>
      </c>
      <c r="K20" s="424"/>
      <c r="L20" s="424"/>
      <c r="M20" s="425"/>
      <c r="N20" s="423"/>
      <c r="O20" s="433"/>
      <c r="P20" s="7"/>
      <c r="Q20" s="468">
        <f>INDEX(Shapes!$C$4:$C$10,(MATCH(R20,Shapes!$A$4:$A$10,0)))</f>
        <v>1</v>
      </c>
      <c r="R20"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0" s="458" t="str">
        <f>INDEX(Shapes!$A$3:$A$9,(MATCH(Servers[[#This Row],[Total 
Cores]]/2,Shapes!$C$3:$C$9,-1)))</f>
        <v>VM.Standard2.2</v>
      </c>
      <c r="T20" s="469" t="str">
        <f>INDEX(Shapes!$A$3:$A$9,(MATCH(Servers[[#This Row],[Memory (GB)]],Shapes!$D$3:$D$9,-1)))</f>
        <v>VM.Standard2.2</v>
      </c>
      <c r="U20" s="468">
        <f>INDEX(Shapes!$C$11:$C$75,(MATCH(V20,Shapes!$A$11:$A$75,0)))</f>
        <v>1</v>
      </c>
      <c r="V20"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0" s="458" t="str">
        <f>INDEX(Shapes!$A$10:$A$14,(MATCH(Servers[[#This Row],[Total 
Cores]]/2,Shapes!$C$10:$C$14,-1)))</f>
        <v>VM.Standard.E3.Flex.62</v>
      </c>
      <c r="X20" s="469" t="str">
        <f>INDEX(Shapes!$A$10:$A$14,(MATCH(Servers[[#This Row],[Memory (GB)]],Shapes!$D$10:$D$14,-1)))</f>
        <v>VM.Standard.E3.Flex.62</v>
      </c>
      <c r="Y20" s="7" t="str">
        <f t="shared" si="0"/>
        <v/>
      </c>
    </row>
    <row r="21" spans="1:25">
      <c r="A21" s="420"/>
      <c r="B21" s="421"/>
      <c r="C21" s="422"/>
      <c r="D21" s="421"/>
      <c r="E21" s="422"/>
      <c r="F21" s="422"/>
      <c r="G21" s="422"/>
      <c r="H21" s="434"/>
      <c r="I21" s="434"/>
      <c r="J21" s="426">
        <f>Servers[[#This Row],[CPU 
Sockets]]*Servers[[#This Row],[Cores per Socket]]</f>
        <v>0</v>
      </c>
      <c r="K21" s="424"/>
      <c r="L21" s="424"/>
      <c r="M21" s="425"/>
      <c r="N21" s="423"/>
      <c r="O21" s="433"/>
      <c r="P21" s="7"/>
      <c r="Q21" s="468">
        <f>INDEX(Shapes!$C$4:$C$10,(MATCH(R21,Shapes!$A$4:$A$10,0)))</f>
        <v>1</v>
      </c>
      <c r="R21"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1" s="458" t="str">
        <f>INDEX(Shapes!$A$3:$A$9,(MATCH(Servers[[#This Row],[Total 
Cores]]/2,Shapes!$C$3:$C$9,-1)))</f>
        <v>VM.Standard2.2</v>
      </c>
      <c r="T21" s="469" t="str">
        <f>INDEX(Shapes!$A$3:$A$9,(MATCH(Servers[[#This Row],[Memory (GB)]],Shapes!$D$3:$D$9,-1)))</f>
        <v>VM.Standard2.2</v>
      </c>
      <c r="U21" s="468">
        <f>INDEX(Shapes!$C$11:$C$75,(MATCH(V21,Shapes!$A$11:$A$75,0)))</f>
        <v>1</v>
      </c>
      <c r="V21"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1" s="458" t="str">
        <f>INDEX(Shapes!$A$10:$A$14,(MATCH(Servers[[#This Row],[Total 
Cores]]/2,Shapes!$C$10:$C$14,-1)))</f>
        <v>VM.Standard.E3.Flex.62</v>
      </c>
      <c r="X21" s="469" t="str">
        <f>INDEX(Shapes!$A$10:$A$14,(MATCH(Servers[[#This Row],[Memory (GB)]],Shapes!$D$10:$D$14,-1)))</f>
        <v>VM.Standard.E3.Flex.62</v>
      </c>
      <c r="Y21" s="7" t="str">
        <f t="shared" si="0"/>
        <v/>
      </c>
    </row>
    <row r="22" spans="1:25">
      <c r="A22" s="420"/>
      <c r="B22" s="421"/>
      <c r="C22" s="422"/>
      <c r="D22" s="421"/>
      <c r="E22" s="422"/>
      <c r="F22" s="422"/>
      <c r="G22" s="422"/>
      <c r="H22" s="434"/>
      <c r="I22" s="434"/>
      <c r="J22" s="426">
        <f>Servers[[#This Row],[CPU 
Sockets]]*Servers[[#This Row],[Cores per Socket]]</f>
        <v>0</v>
      </c>
      <c r="K22" s="424"/>
      <c r="L22" s="424"/>
      <c r="M22" s="425"/>
      <c r="N22" s="423"/>
      <c r="O22" s="433"/>
      <c r="P22" s="7"/>
      <c r="Q22" s="468">
        <f>INDEX(Shapes!$C$4:$C$10,(MATCH(R22,Shapes!$A$4:$A$10,0)))</f>
        <v>1</v>
      </c>
      <c r="R22"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2" s="458" t="str">
        <f>INDEX(Shapes!$A$3:$A$9,(MATCH(Servers[[#This Row],[Total 
Cores]]/2,Shapes!$C$3:$C$9,-1)))</f>
        <v>VM.Standard2.2</v>
      </c>
      <c r="T22" s="469" t="str">
        <f>INDEX(Shapes!$A$3:$A$9,(MATCH(Servers[[#This Row],[Memory (GB)]],Shapes!$D$3:$D$9,-1)))</f>
        <v>VM.Standard2.2</v>
      </c>
      <c r="U22" s="468">
        <f>INDEX(Shapes!$C$11:$C$75,(MATCH(V22,Shapes!$A$11:$A$75,0)))</f>
        <v>1</v>
      </c>
      <c r="V22"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2" s="458" t="str">
        <f>INDEX(Shapes!$A$10:$A$14,(MATCH(Servers[[#This Row],[Total 
Cores]]/2,Shapes!$C$10:$C$14,-1)))</f>
        <v>VM.Standard.E3.Flex.62</v>
      </c>
      <c r="X22" s="469" t="str">
        <f>INDEX(Shapes!$A$10:$A$14,(MATCH(Servers[[#This Row],[Memory (GB)]],Shapes!$D$10:$D$14,-1)))</f>
        <v>VM.Standard.E3.Flex.62</v>
      </c>
      <c r="Y22" s="7" t="str">
        <f t="shared" si="0"/>
        <v/>
      </c>
    </row>
    <row r="23" spans="1:25">
      <c r="A23" s="420"/>
      <c r="B23" s="421"/>
      <c r="C23" s="422"/>
      <c r="D23" s="421"/>
      <c r="E23" s="422"/>
      <c r="F23" s="422"/>
      <c r="G23" s="422"/>
      <c r="H23" s="434"/>
      <c r="I23" s="434"/>
      <c r="J23" s="426">
        <f>Servers[[#This Row],[CPU 
Sockets]]*Servers[[#This Row],[Cores per Socket]]</f>
        <v>0</v>
      </c>
      <c r="K23" s="424"/>
      <c r="L23" s="424"/>
      <c r="M23" s="425"/>
      <c r="N23" s="423"/>
      <c r="O23" s="433"/>
      <c r="P23" s="7"/>
      <c r="Q23" s="468">
        <f>INDEX(Shapes!$C$4:$C$10,(MATCH(R23,Shapes!$A$4:$A$10,0)))</f>
        <v>1</v>
      </c>
      <c r="R23"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3" s="458" t="str">
        <f>INDEX(Shapes!$A$3:$A$9,(MATCH(Servers[[#This Row],[Total 
Cores]]/2,Shapes!$C$3:$C$9,-1)))</f>
        <v>VM.Standard2.2</v>
      </c>
      <c r="T23" s="469" t="str">
        <f>INDEX(Shapes!$A$3:$A$9,(MATCH(Servers[[#This Row],[Memory (GB)]],Shapes!$D$3:$D$9,-1)))</f>
        <v>VM.Standard2.2</v>
      </c>
      <c r="U23" s="468">
        <f>INDEX(Shapes!$C$11:$C$75,(MATCH(V23,Shapes!$A$11:$A$75,0)))</f>
        <v>1</v>
      </c>
      <c r="V23"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3" s="458" t="str">
        <f>INDEX(Shapes!$A$10:$A$14,(MATCH(Servers[[#This Row],[Total 
Cores]]/2,Shapes!$C$10:$C$14,-1)))</f>
        <v>VM.Standard.E3.Flex.62</v>
      </c>
      <c r="X23" s="469" t="str">
        <f>INDEX(Shapes!$A$10:$A$14,(MATCH(Servers[[#This Row],[Memory (GB)]],Shapes!$D$10:$D$14,-1)))</f>
        <v>VM.Standard.E3.Flex.62</v>
      </c>
      <c r="Y23" s="7" t="str">
        <f t="shared" si="0"/>
        <v/>
      </c>
    </row>
    <row r="24" spans="1:25">
      <c r="A24" s="420"/>
      <c r="B24" s="421"/>
      <c r="C24" s="422"/>
      <c r="D24" s="421"/>
      <c r="E24" s="422"/>
      <c r="F24" s="422"/>
      <c r="G24" s="422"/>
      <c r="H24" s="434"/>
      <c r="I24" s="434"/>
      <c r="J24" s="426">
        <f>Servers[[#This Row],[CPU 
Sockets]]*Servers[[#This Row],[Cores per Socket]]</f>
        <v>0</v>
      </c>
      <c r="K24" s="424"/>
      <c r="L24" s="424"/>
      <c r="M24" s="425"/>
      <c r="N24" s="423"/>
      <c r="O24" s="433"/>
      <c r="P24" s="7"/>
      <c r="Q24" s="468">
        <f>INDEX(Shapes!$C$4:$C$10,(MATCH(R24,Shapes!$A$4:$A$10,0)))</f>
        <v>1</v>
      </c>
      <c r="R24"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4" s="458" t="str">
        <f>INDEX(Shapes!$A$3:$A$9,(MATCH(Servers[[#This Row],[Total 
Cores]]/2,Shapes!$C$3:$C$9,-1)))</f>
        <v>VM.Standard2.2</v>
      </c>
      <c r="T24" s="469" t="str">
        <f>INDEX(Shapes!$A$3:$A$9,(MATCH(Servers[[#This Row],[Memory (GB)]],Shapes!$D$3:$D$9,-1)))</f>
        <v>VM.Standard2.2</v>
      </c>
      <c r="U24" s="468">
        <f>INDEX(Shapes!$C$11:$C$75,(MATCH(V24,Shapes!$A$11:$A$75,0)))</f>
        <v>1</v>
      </c>
      <c r="V24"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4" s="458" t="str">
        <f>INDEX(Shapes!$A$10:$A$14,(MATCH(Servers[[#This Row],[Total 
Cores]]/2,Shapes!$C$10:$C$14,-1)))</f>
        <v>VM.Standard.E3.Flex.62</v>
      </c>
      <c r="X24" s="469" t="str">
        <f>INDEX(Shapes!$A$10:$A$14,(MATCH(Servers[[#This Row],[Memory (GB)]],Shapes!$D$10:$D$14,-1)))</f>
        <v>VM.Standard.E3.Flex.62</v>
      </c>
      <c r="Y24" s="7" t="str">
        <f t="shared" si="0"/>
        <v/>
      </c>
    </row>
    <row r="25" spans="1:25">
      <c r="A25" s="420"/>
      <c r="B25" s="421"/>
      <c r="C25" s="422"/>
      <c r="D25" s="421"/>
      <c r="E25" s="422"/>
      <c r="F25" s="422"/>
      <c r="G25" s="422"/>
      <c r="H25" s="434"/>
      <c r="I25" s="434"/>
      <c r="J25" s="426">
        <f>Servers[[#This Row],[CPU 
Sockets]]*Servers[[#This Row],[Cores per Socket]]</f>
        <v>0</v>
      </c>
      <c r="K25" s="424"/>
      <c r="L25" s="424"/>
      <c r="M25" s="425"/>
      <c r="N25" s="423"/>
      <c r="O25" s="433"/>
      <c r="P25" s="7"/>
      <c r="Q25" s="468">
        <f>INDEX(Shapes!$C$4:$C$10,(MATCH(R25,Shapes!$A$4:$A$10,0)))</f>
        <v>1</v>
      </c>
      <c r="R25"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5" s="458" t="str">
        <f>INDEX(Shapes!$A$3:$A$9,(MATCH(Servers[[#This Row],[Total 
Cores]]/2,Shapes!$C$3:$C$9,-1)))</f>
        <v>VM.Standard2.2</v>
      </c>
      <c r="T25" s="469" t="str">
        <f>INDEX(Shapes!$A$3:$A$9,(MATCH(Servers[[#This Row],[Memory (GB)]],Shapes!$D$3:$D$9,-1)))</f>
        <v>VM.Standard2.2</v>
      </c>
      <c r="U25" s="468">
        <f>INDEX(Shapes!$C$11:$C$75,(MATCH(V25,Shapes!$A$11:$A$75,0)))</f>
        <v>1</v>
      </c>
      <c r="V25"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5" s="458" t="str">
        <f>INDEX(Shapes!$A$10:$A$14,(MATCH(Servers[[#This Row],[Total 
Cores]]/2,Shapes!$C$10:$C$14,-1)))</f>
        <v>VM.Standard.E3.Flex.62</v>
      </c>
      <c r="X25" s="469" t="str">
        <f>INDEX(Shapes!$A$10:$A$14,(MATCH(Servers[[#This Row],[Memory (GB)]],Shapes!$D$10:$D$14,-1)))</f>
        <v>VM.Standard.E3.Flex.62</v>
      </c>
      <c r="Y25" s="7" t="str">
        <f t="shared" si="0"/>
        <v/>
      </c>
    </row>
    <row r="26" spans="1:25">
      <c r="A26" s="420"/>
      <c r="B26" s="421"/>
      <c r="C26" s="422"/>
      <c r="D26" s="421"/>
      <c r="E26" s="422"/>
      <c r="F26" s="422"/>
      <c r="G26" s="422"/>
      <c r="H26" s="434"/>
      <c r="I26" s="434"/>
      <c r="J26" s="426">
        <f>Servers[[#This Row],[CPU 
Sockets]]*Servers[[#This Row],[Cores per Socket]]</f>
        <v>0</v>
      </c>
      <c r="K26" s="424"/>
      <c r="L26" s="424"/>
      <c r="M26" s="425"/>
      <c r="N26" s="423"/>
      <c r="O26" s="433"/>
      <c r="P26" s="7"/>
      <c r="Q26" s="468">
        <f>INDEX(Shapes!$C$4:$C$10,(MATCH(R26,Shapes!$A$4:$A$10,0)))</f>
        <v>1</v>
      </c>
      <c r="R26"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6" s="458" t="str">
        <f>INDEX(Shapes!$A$3:$A$9,(MATCH(Servers[[#This Row],[Total 
Cores]]/2,Shapes!$C$3:$C$9,-1)))</f>
        <v>VM.Standard2.2</v>
      </c>
      <c r="T26" s="469" t="str">
        <f>INDEX(Shapes!$A$3:$A$9,(MATCH(Servers[[#This Row],[Memory (GB)]],Shapes!$D$3:$D$9,-1)))</f>
        <v>VM.Standard2.2</v>
      </c>
      <c r="U26" s="468">
        <f>INDEX(Shapes!$C$11:$C$75,(MATCH(V26,Shapes!$A$11:$A$75,0)))</f>
        <v>1</v>
      </c>
      <c r="V26"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6" s="458" t="str">
        <f>INDEX(Shapes!$A$10:$A$14,(MATCH(Servers[[#This Row],[Total 
Cores]]/2,Shapes!$C$10:$C$14,-1)))</f>
        <v>VM.Standard.E3.Flex.62</v>
      </c>
      <c r="X26" s="469" t="str">
        <f>INDEX(Shapes!$A$10:$A$14,(MATCH(Servers[[#This Row],[Memory (GB)]],Shapes!$D$10:$D$14,-1)))</f>
        <v>VM.Standard.E3.Flex.62</v>
      </c>
      <c r="Y26" s="7" t="str">
        <f t="shared" si="0"/>
        <v/>
      </c>
    </row>
    <row r="27" spans="1:25">
      <c r="A27" s="420"/>
      <c r="B27" s="421"/>
      <c r="C27" s="422"/>
      <c r="D27" s="421"/>
      <c r="E27" s="422"/>
      <c r="F27" s="422"/>
      <c r="G27" s="422"/>
      <c r="H27" s="434"/>
      <c r="I27" s="434"/>
      <c r="J27" s="426">
        <f>Servers[[#This Row],[CPU 
Sockets]]*Servers[[#This Row],[Cores per Socket]]</f>
        <v>0</v>
      </c>
      <c r="K27" s="424"/>
      <c r="L27" s="424"/>
      <c r="M27" s="425"/>
      <c r="N27" s="423"/>
      <c r="O27" s="433"/>
      <c r="P27" s="7"/>
      <c r="Q27" s="468">
        <f>INDEX(Shapes!$C$4:$C$10,(MATCH(R27,Shapes!$A$4:$A$10,0)))</f>
        <v>1</v>
      </c>
      <c r="R27"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7" s="458" t="str">
        <f>INDEX(Shapes!$A$3:$A$9,(MATCH(Servers[[#This Row],[Total 
Cores]]/2,Shapes!$C$3:$C$9,-1)))</f>
        <v>VM.Standard2.2</v>
      </c>
      <c r="T27" s="469" t="str">
        <f>INDEX(Shapes!$A$3:$A$9,(MATCH(Servers[[#This Row],[Memory (GB)]],Shapes!$D$3:$D$9,-1)))</f>
        <v>VM.Standard2.2</v>
      </c>
      <c r="U27" s="468">
        <f>INDEX(Shapes!$C$11:$C$75,(MATCH(V27,Shapes!$A$11:$A$75,0)))</f>
        <v>1</v>
      </c>
      <c r="V27"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7" s="458" t="str">
        <f>INDEX(Shapes!$A$10:$A$14,(MATCH(Servers[[#This Row],[Total 
Cores]]/2,Shapes!$C$10:$C$14,-1)))</f>
        <v>VM.Standard.E3.Flex.62</v>
      </c>
      <c r="X27" s="469" t="str">
        <f>INDEX(Shapes!$A$10:$A$14,(MATCH(Servers[[#This Row],[Memory (GB)]],Shapes!$D$10:$D$14,-1)))</f>
        <v>VM.Standard.E3.Flex.62</v>
      </c>
      <c r="Y27" s="7" t="str">
        <f t="shared" si="0"/>
        <v/>
      </c>
    </row>
    <row r="28" spans="1:25">
      <c r="A28" s="420"/>
      <c r="B28" s="421"/>
      <c r="C28" s="422"/>
      <c r="D28" s="421"/>
      <c r="E28" s="422"/>
      <c r="F28" s="422"/>
      <c r="G28" s="422"/>
      <c r="H28" s="434"/>
      <c r="I28" s="434"/>
      <c r="J28" s="426">
        <f>Servers[[#This Row],[CPU 
Sockets]]*Servers[[#This Row],[Cores per Socket]]</f>
        <v>0</v>
      </c>
      <c r="K28" s="424"/>
      <c r="L28" s="424"/>
      <c r="M28" s="425"/>
      <c r="N28" s="423"/>
      <c r="O28" s="433"/>
      <c r="P28" s="7"/>
      <c r="Q28" s="468">
        <f>INDEX(Shapes!$C$4:$C$10,(MATCH(R28,Shapes!$A$4:$A$10,0)))</f>
        <v>1</v>
      </c>
      <c r="R28"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8" s="458" t="str">
        <f>INDEX(Shapes!$A$3:$A$9,(MATCH(Servers[[#This Row],[Total 
Cores]]/2,Shapes!$C$3:$C$9,-1)))</f>
        <v>VM.Standard2.2</v>
      </c>
      <c r="T28" s="469" t="str">
        <f>INDEX(Shapes!$A$3:$A$9,(MATCH(Servers[[#This Row],[Memory (GB)]],Shapes!$D$3:$D$9,-1)))</f>
        <v>VM.Standard2.2</v>
      </c>
      <c r="U28" s="468">
        <f>INDEX(Shapes!$C$11:$C$75,(MATCH(V28,Shapes!$A$11:$A$75,0)))</f>
        <v>1</v>
      </c>
      <c r="V28"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8" s="458" t="str">
        <f>INDEX(Shapes!$A$10:$A$14,(MATCH(Servers[[#This Row],[Total 
Cores]]/2,Shapes!$C$10:$C$14,-1)))</f>
        <v>VM.Standard.E3.Flex.62</v>
      </c>
      <c r="X28" s="469" t="str">
        <f>INDEX(Shapes!$A$10:$A$14,(MATCH(Servers[[#This Row],[Memory (GB)]],Shapes!$D$10:$D$14,-1)))</f>
        <v>VM.Standard.E3.Flex.62</v>
      </c>
      <c r="Y28" s="7" t="str">
        <f t="shared" si="0"/>
        <v/>
      </c>
    </row>
    <row r="29" spans="1:25">
      <c r="A29" s="420"/>
      <c r="B29" s="421"/>
      <c r="C29" s="422"/>
      <c r="D29" s="421"/>
      <c r="E29" s="422"/>
      <c r="F29" s="422"/>
      <c r="G29" s="422"/>
      <c r="H29" s="434"/>
      <c r="I29" s="434"/>
      <c r="J29" s="426">
        <f>Servers[[#This Row],[CPU 
Sockets]]*Servers[[#This Row],[Cores per Socket]]</f>
        <v>0</v>
      </c>
      <c r="K29" s="424"/>
      <c r="L29" s="424"/>
      <c r="M29" s="425"/>
      <c r="N29" s="423"/>
      <c r="O29" s="433"/>
      <c r="P29" s="7"/>
      <c r="Q29" s="468">
        <f>INDEX(Shapes!$C$4:$C$10,(MATCH(R29,Shapes!$A$4:$A$10,0)))</f>
        <v>1</v>
      </c>
      <c r="R29"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29" s="458" t="str">
        <f>INDEX(Shapes!$A$3:$A$9,(MATCH(Servers[[#This Row],[Total 
Cores]]/2,Shapes!$C$3:$C$9,-1)))</f>
        <v>VM.Standard2.2</v>
      </c>
      <c r="T29" s="469" t="str">
        <f>INDEX(Shapes!$A$3:$A$9,(MATCH(Servers[[#This Row],[Memory (GB)]],Shapes!$D$3:$D$9,-1)))</f>
        <v>VM.Standard2.2</v>
      </c>
      <c r="U29" s="468">
        <f>INDEX(Shapes!$C$11:$C$75,(MATCH(V29,Shapes!$A$11:$A$75,0)))</f>
        <v>1</v>
      </c>
      <c r="V29"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29" s="458" t="str">
        <f>INDEX(Shapes!$A$10:$A$14,(MATCH(Servers[[#This Row],[Total 
Cores]]/2,Shapes!$C$10:$C$14,-1)))</f>
        <v>VM.Standard.E3.Flex.62</v>
      </c>
      <c r="X29" s="469" t="str">
        <f>INDEX(Shapes!$A$10:$A$14,(MATCH(Servers[[#This Row],[Memory (GB)]],Shapes!$D$10:$D$14,-1)))</f>
        <v>VM.Standard.E3.Flex.62</v>
      </c>
      <c r="Y29" s="7" t="str">
        <f t="shared" si="0"/>
        <v/>
      </c>
    </row>
    <row r="30" spans="1:25">
      <c r="A30" s="420"/>
      <c r="B30" s="421"/>
      <c r="C30" s="422"/>
      <c r="D30" s="421"/>
      <c r="E30" s="422"/>
      <c r="F30" s="422"/>
      <c r="G30" s="422"/>
      <c r="H30" s="434"/>
      <c r="I30" s="434"/>
      <c r="J30" s="426">
        <f>Servers[[#This Row],[CPU 
Sockets]]*Servers[[#This Row],[Cores per Socket]]</f>
        <v>0</v>
      </c>
      <c r="K30" s="424"/>
      <c r="L30" s="424"/>
      <c r="M30" s="425"/>
      <c r="N30" s="423"/>
      <c r="O30" s="433"/>
      <c r="P30" s="7"/>
      <c r="Q30" s="468">
        <f>INDEX(Shapes!$C$4:$C$10,(MATCH(R30,Shapes!$A$4:$A$10,0)))</f>
        <v>1</v>
      </c>
      <c r="R30"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0" s="458" t="str">
        <f>INDEX(Shapes!$A$3:$A$9,(MATCH(Servers[[#This Row],[Total 
Cores]]/2,Shapes!$C$3:$C$9,-1)))</f>
        <v>VM.Standard2.2</v>
      </c>
      <c r="T30" s="469" t="str">
        <f>INDEX(Shapes!$A$3:$A$9,(MATCH(Servers[[#This Row],[Memory (GB)]],Shapes!$D$3:$D$9,-1)))</f>
        <v>VM.Standard2.2</v>
      </c>
      <c r="U30" s="468">
        <f>INDEX(Shapes!$C$11:$C$75,(MATCH(V30,Shapes!$A$11:$A$75,0)))</f>
        <v>1</v>
      </c>
      <c r="V30"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0" s="458" t="str">
        <f>INDEX(Shapes!$A$10:$A$14,(MATCH(Servers[[#This Row],[Total 
Cores]]/2,Shapes!$C$10:$C$14,-1)))</f>
        <v>VM.Standard.E3.Flex.62</v>
      </c>
      <c r="X30" s="469" t="str">
        <f>INDEX(Shapes!$A$10:$A$14,(MATCH(Servers[[#This Row],[Memory (GB)]],Shapes!$D$10:$D$14,-1)))</f>
        <v>VM.Standard.E3.Flex.62</v>
      </c>
      <c r="Y30" s="7" t="str">
        <f t="shared" si="0"/>
        <v/>
      </c>
    </row>
    <row r="31" spans="1:25">
      <c r="A31" s="420"/>
      <c r="B31" s="421"/>
      <c r="C31" s="422"/>
      <c r="D31" s="421"/>
      <c r="E31" s="422"/>
      <c r="F31" s="422"/>
      <c r="G31" s="422"/>
      <c r="H31" s="434"/>
      <c r="I31" s="434"/>
      <c r="J31" s="426">
        <f>Servers[[#This Row],[CPU 
Sockets]]*Servers[[#This Row],[Cores per Socket]]</f>
        <v>0</v>
      </c>
      <c r="K31" s="424"/>
      <c r="L31" s="424"/>
      <c r="M31" s="425"/>
      <c r="N31" s="423"/>
      <c r="O31" s="433"/>
      <c r="P31" s="7"/>
      <c r="Q31" s="468">
        <f>INDEX(Shapes!$C$4:$C$10,(MATCH(R31,Shapes!$A$4:$A$10,0)))</f>
        <v>1</v>
      </c>
      <c r="R31"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1" s="458" t="str">
        <f>INDEX(Shapes!$A$3:$A$9,(MATCH(Servers[[#This Row],[Total 
Cores]]/2,Shapes!$C$3:$C$9,-1)))</f>
        <v>VM.Standard2.2</v>
      </c>
      <c r="T31" s="469" t="str">
        <f>INDEX(Shapes!$A$3:$A$9,(MATCH(Servers[[#This Row],[Memory (GB)]],Shapes!$D$3:$D$9,-1)))</f>
        <v>VM.Standard2.2</v>
      </c>
      <c r="U31" s="468">
        <f>INDEX(Shapes!$C$11:$C$75,(MATCH(V31,Shapes!$A$11:$A$75,0)))</f>
        <v>1</v>
      </c>
      <c r="V31"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1" s="458" t="str">
        <f>INDEX(Shapes!$A$10:$A$14,(MATCH(Servers[[#This Row],[Total 
Cores]]/2,Shapes!$C$10:$C$14,-1)))</f>
        <v>VM.Standard.E3.Flex.62</v>
      </c>
      <c r="X31" s="469" t="str">
        <f>INDEX(Shapes!$A$10:$A$14,(MATCH(Servers[[#This Row],[Memory (GB)]],Shapes!$D$10:$D$14,-1)))</f>
        <v>VM.Standard.E3.Flex.62</v>
      </c>
      <c r="Y31" s="7" t="str">
        <f t="shared" si="0"/>
        <v/>
      </c>
    </row>
    <row r="32" spans="1:25">
      <c r="A32" s="420"/>
      <c r="B32" s="421"/>
      <c r="C32" s="422"/>
      <c r="D32" s="421"/>
      <c r="E32" s="422"/>
      <c r="F32" s="422"/>
      <c r="G32" s="422"/>
      <c r="H32" s="434"/>
      <c r="I32" s="434"/>
      <c r="J32" s="426">
        <f>Servers[[#This Row],[CPU 
Sockets]]*Servers[[#This Row],[Cores per Socket]]</f>
        <v>0</v>
      </c>
      <c r="K32" s="424"/>
      <c r="L32" s="424"/>
      <c r="M32" s="425"/>
      <c r="N32" s="423"/>
      <c r="O32" s="433"/>
      <c r="P32" s="7"/>
      <c r="Q32" s="468">
        <f>INDEX(Shapes!$C$4:$C$10,(MATCH(R32,Shapes!$A$4:$A$10,0)))</f>
        <v>1</v>
      </c>
      <c r="R32"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2" s="458" t="str">
        <f>INDEX(Shapes!$A$3:$A$9,(MATCH(Servers[[#This Row],[Total 
Cores]]/2,Shapes!$C$3:$C$9,-1)))</f>
        <v>VM.Standard2.2</v>
      </c>
      <c r="T32" s="469" t="str">
        <f>INDEX(Shapes!$A$3:$A$9,(MATCH(Servers[[#This Row],[Memory (GB)]],Shapes!$D$3:$D$9,-1)))</f>
        <v>VM.Standard2.2</v>
      </c>
      <c r="U32" s="468">
        <f>INDEX(Shapes!$C$11:$C$75,(MATCH(V32,Shapes!$A$11:$A$75,0)))</f>
        <v>1</v>
      </c>
      <c r="V32"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2" s="458" t="str">
        <f>INDEX(Shapes!$A$10:$A$14,(MATCH(Servers[[#This Row],[Total 
Cores]]/2,Shapes!$C$10:$C$14,-1)))</f>
        <v>VM.Standard.E3.Flex.62</v>
      </c>
      <c r="X32" s="469" t="str">
        <f>INDEX(Shapes!$A$10:$A$14,(MATCH(Servers[[#This Row],[Memory (GB)]],Shapes!$D$10:$D$14,-1)))</f>
        <v>VM.Standard.E3.Flex.62</v>
      </c>
      <c r="Y32" s="7" t="str">
        <f t="shared" si="0"/>
        <v/>
      </c>
    </row>
    <row r="33" spans="1:25">
      <c r="A33" s="420"/>
      <c r="B33" s="421"/>
      <c r="C33" s="422"/>
      <c r="D33" s="421"/>
      <c r="E33" s="422"/>
      <c r="F33" s="422"/>
      <c r="G33" s="422"/>
      <c r="H33" s="434"/>
      <c r="I33" s="434"/>
      <c r="J33" s="426">
        <f>Servers[[#This Row],[CPU 
Sockets]]*Servers[[#This Row],[Cores per Socket]]</f>
        <v>0</v>
      </c>
      <c r="K33" s="424"/>
      <c r="L33" s="424"/>
      <c r="M33" s="425"/>
      <c r="N33" s="423"/>
      <c r="O33" s="433"/>
      <c r="P33" s="7"/>
      <c r="Q33" s="468">
        <f>INDEX(Shapes!$C$4:$C$10,(MATCH(R33,Shapes!$A$4:$A$10,0)))</f>
        <v>1</v>
      </c>
      <c r="R33"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3" s="458" t="str">
        <f>INDEX(Shapes!$A$3:$A$9,(MATCH(Servers[[#This Row],[Total 
Cores]]/2,Shapes!$C$3:$C$9,-1)))</f>
        <v>VM.Standard2.2</v>
      </c>
      <c r="T33" s="469" t="str">
        <f>INDEX(Shapes!$A$3:$A$9,(MATCH(Servers[[#This Row],[Memory (GB)]],Shapes!$D$3:$D$9,-1)))</f>
        <v>VM.Standard2.2</v>
      </c>
      <c r="U33" s="468">
        <f>INDEX(Shapes!$C$11:$C$75,(MATCH(V33,Shapes!$A$11:$A$75,0)))</f>
        <v>1</v>
      </c>
      <c r="V33"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3" s="458" t="str">
        <f>INDEX(Shapes!$A$10:$A$14,(MATCH(Servers[[#This Row],[Total 
Cores]]/2,Shapes!$C$10:$C$14,-1)))</f>
        <v>VM.Standard.E3.Flex.62</v>
      </c>
      <c r="X33" s="469" t="str">
        <f>INDEX(Shapes!$A$10:$A$14,(MATCH(Servers[[#This Row],[Memory (GB)]],Shapes!$D$10:$D$14,-1)))</f>
        <v>VM.Standard.E3.Flex.62</v>
      </c>
      <c r="Y33" s="7" t="str">
        <f t="shared" si="0"/>
        <v/>
      </c>
    </row>
    <row r="34" spans="1:25">
      <c r="A34" s="420"/>
      <c r="B34" s="421"/>
      <c r="C34" s="422"/>
      <c r="D34" s="421"/>
      <c r="E34" s="422"/>
      <c r="F34" s="422"/>
      <c r="G34" s="422"/>
      <c r="H34" s="434"/>
      <c r="I34" s="434"/>
      <c r="J34" s="426">
        <f>Servers[[#This Row],[CPU 
Sockets]]*Servers[[#This Row],[Cores per Socket]]</f>
        <v>0</v>
      </c>
      <c r="K34" s="424"/>
      <c r="L34" s="424"/>
      <c r="M34" s="425"/>
      <c r="N34" s="423"/>
      <c r="O34" s="433"/>
      <c r="P34" s="7"/>
      <c r="Q34" s="468">
        <f>INDEX(Shapes!$C$4:$C$10,(MATCH(R34,Shapes!$A$4:$A$10,0)))</f>
        <v>1</v>
      </c>
      <c r="R34"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4" s="458" t="str">
        <f>INDEX(Shapes!$A$3:$A$9,(MATCH(Servers[[#This Row],[Total 
Cores]]/2,Shapes!$C$3:$C$9,-1)))</f>
        <v>VM.Standard2.2</v>
      </c>
      <c r="T34" s="469" t="str">
        <f>INDEX(Shapes!$A$3:$A$9,(MATCH(Servers[[#This Row],[Memory (GB)]],Shapes!$D$3:$D$9,-1)))</f>
        <v>VM.Standard2.2</v>
      </c>
      <c r="U34" s="468">
        <f>INDEX(Shapes!$C$11:$C$75,(MATCH(V34,Shapes!$A$11:$A$75,0)))</f>
        <v>1</v>
      </c>
      <c r="V34"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4" s="458" t="str">
        <f>INDEX(Shapes!$A$10:$A$14,(MATCH(Servers[[#This Row],[Total 
Cores]]/2,Shapes!$C$10:$C$14,-1)))</f>
        <v>VM.Standard.E3.Flex.62</v>
      </c>
      <c r="X34" s="469" t="str">
        <f>INDEX(Shapes!$A$10:$A$14,(MATCH(Servers[[#This Row],[Memory (GB)]],Shapes!$D$10:$D$14,-1)))</f>
        <v>VM.Standard.E3.Flex.62</v>
      </c>
      <c r="Y34" s="7" t="str">
        <f t="shared" si="0"/>
        <v/>
      </c>
    </row>
    <row r="35" spans="1:25">
      <c r="A35" s="420"/>
      <c r="B35" s="421"/>
      <c r="C35" s="422"/>
      <c r="D35" s="421"/>
      <c r="E35" s="422"/>
      <c r="F35" s="422"/>
      <c r="G35" s="422"/>
      <c r="H35" s="434"/>
      <c r="I35" s="434"/>
      <c r="J35" s="426">
        <f>Servers[[#This Row],[CPU 
Sockets]]*Servers[[#This Row],[Cores per Socket]]</f>
        <v>0</v>
      </c>
      <c r="K35" s="424"/>
      <c r="L35" s="424"/>
      <c r="M35" s="425"/>
      <c r="N35" s="423"/>
      <c r="O35" s="433"/>
      <c r="P35" s="7"/>
      <c r="Q35" s="468">
        <f>INDEX(Shapes!$C$4:$C$10,(MATCH(R35,Shapes!$A$4:$A$10,0)))</f>
        <v>1</v>
      </c>
      <c r="R35"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5" s="458" t="str">
        <f>INDEX(Shapes!$A$3:$A$9,(MATCH(Servers[[#This Row],[Total 
Cores]]/2,Shapes!$C$3:$C$9,-1)))</f>
        <v>VM.Standard2.2</v>
      </c>
      <c r="T35" s="469" t="str">
        <f>INDEX(Shapes!$A$3:$A$9,(MATCH(Servers[[#This Row],[Memory (GB)]],Shapes!$D$3:$D$9,-1)))</f>
        <v>VM.Standard2.2</v>
      </c>
      <c r="U35" s="468">
        <f>INDEX(Shapes!$C$11:$C$75,(MATCH(V35,Shapes!$A$11:$A$75,0)))</f>
        <v>1</v>
      </c>
      <c r="V35"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5" s="458" t="str">
        <f>INDEX(Shapes!$A$10:$A$14,(MATCH(Servers[[#This Row],[Total 
Cores]]/2,Shapes!$C$10:$C$14,-1)))</f>
        <v>VM.Standard.E3.Flex.62</v>
      </c>
      <c r="X35" s="469" t="str">
        <f>INDEX(Shapes!$A$10:$A$14,(MATCH(Servers[[#This Row],[Memory (GB)]],Shapes!$D$10:$D$14,-1)))</f>
        <v>VM.Standard.E3.Flex.62</v>
      </c>
      <c r="Y35" s="7" t="str">
        <f t="shared" si="0"/>
        <v/>
      </c>
    </row>
    <row r="36" spans="1:25">
      <c r="A36" s="420"/>
      <c r="B36" s="421"/>
      <c r="C36" s="422"/>
      <c r="D36" s="421"/>
      <c r="E36" s="422"/>
      <c r="F36" s="422"/>
      <c r="G36" s="422"/>
      <c r="H36" s="434"/>
      <c r="I36" s="434"/>
      <c r="J36" s="426">
        <f>Servers[[#This Row],[CPU 
Sockets]]*Servers[[#This Row],[Cores per Socket]]</f>
        <v>0</v>
      </c>
      <c r="K36" s="424"/>
      <c r="L36" s="424"/>
      <c r="M36" s="425"/>
      <c r="N36" s="423"/>
      <c r="O36" s="433"/>
      <c r="P36" s="7"/>
      <c r="Q36" s="468">
        <f>INDEX(Shapes!$C$4:$C$10,(MATCH(R36,Shapes!$A$4:$A$10,0)))</f>
        <v>1</v>
      </c>
      <c r="R36"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6" s="458" t="str">
        <f>INDEX(Shapes!$A$3:$A$9,(MATCH(Servers[[#This Row],[Total 
Cores]]/2,Shapes!$C$3:$C$9,-1)))</f>
        <v>VM.Standard2.2</v>
      </c>
      <c r="T36" s="469" t="str">
        <f>INDEX(Shapes!$A$3:$A$9,(MATCH(Servers[[#This Row],[Memory (GB)]],Shapes!$D$3:$D$9,-1)))</f>
        <v>VM.Standard2.2</v>
      </c>
      <c r="U36" s="468">
        <f>INDEX(Shapes!$C$11:$C$75,(MATCH(V36,Shapes!$A$11:$A$75,0)))</f>
        <v>1</v>
      </c>
      <c r="V36"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6" s="458" t="str">
        <f>INDEX(Shapes!$A$10:$A$14,(MATCH(Servers[[#This Row],[Total 
Cores]]/2,Shapes!$C$10:$C$14,-1)))</f>
        <v>VM.Standard.E3.Flex.62</v>
      </c>
      <c r="X36" s="469" t="str">
        <f>INDEX(Shapes!$A$10:$A$14,(MATCH(Servers[[#This Row],[Memory (GB)]],Shapes!$D$10:$D$14,-1)))</f>
        <v>VM.Standard.E3.Flex.62</v>
      </c>
      <c r="Y36" s="7" t="str">
        <f t="shared" si="0"/>
        <v/>
      </c>
    </row>
    <row r="37" spans="1:25">
      <c r="A37" s="420"/>
      <c r="B37" s="421"/>
      <c r="C37" s="422"/>
      <c r="D37" s="421"/>
      <c r="E37" s="422"/>
      <c r="F37" s="422"/>
      <c r="G37" s="422"/>
      <c r="H37" s="434"/>
      <c r="I37" s="434"/>
      <c r="J37" s="426">
        <f>Servers[[#This Row],[CPU 
Sockets]]*Servers[[#This Row],[Cores per Socket]]</f>
        <v>0</v>
      </c>
      <c r="K37" s="424"/>
      <c r="L37" s="424"/>
      <c r="M37" s="425"/>
      <c r="N37" s="423"/>
      <c r="O37" s="433"/>
      <c r="P37" s="7"/>
      <c r="Q37" s="468">
        <f>INDEX(Shapes!$C$4:$C$10,(MATCH(R37,Shapes!$A$4:$A$10,0)))</f>
        <v>1</v>
      </c>
      <c r="R37"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7" s="458" t="str">
        <f>INDEX(Shapes!$A$3:$A$9,(MATCH(Servers[[#This Row],[Total 
Cores]]/2,Shapes!$C$3:$C$9,-1)))</f>
        <v>VM.Standard2.2</v>
      </c>
      <c r="T37" s="469" t="str">
        <f>INDEX(Shapes!$A$3:$A$9,(MATCH(Servers[[#This Row],[Memory (GB)]],Shapes!$D$3:$D$9,-1)))</f>
        <v>VM.Standard2.2</v>
      </c>
      <c r="U37" s="468">
        <f>INDEX(Shapes!$C$11:$C$75,(MATCH(V37,Shapes!$A$11:$A$75,0)))</f>
        <v>1</v>
      </c>
      <c r="V37"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7" s="458" t="str">
        <f>INDEX(Shapes!$A$10:$A$14,(MATCH(Servers[[#This Row],[Total 
Cores]]/2,Shapes!$C$10:$C$14,-1)))</f>
        <v>VM.Standard.E3.Flex.62</v>
      </c>
      <c r="X37" s="469" t="str">
        <f>INDEX(Shapes!$A$10:$A$14,(MATCH(Servers[[#This Row],[Memory (GB)]],Shapes!$D$10:$D$14,-1)))</f>
        <v>VM.Standard.E3.Flex.62</v>
      </c>
      <c r="Y37" s="7" t="str">
        <f t="shared" si="0"/>
        <v/>
      </c>
    </row>
    <row r="38" spans="1:25">
      <c r="A38" s="420"/>
      <c r="B38" s="421"/>
      <c r="C38" s="422"/>
      <c r="D38" s="421"/>
      <c r="E38" s="422"/>
      <c r="F38" s="422"/>
      <c r="G38" s="422"/>
      <c r="H38" s="434"/>
      <c r="I38" s="434"/>
      <c r="J38" s="426">
        <f>Servers[[#This Row],[CPU 
Sockets]]*Servers[[#This Row],[Cores per Socket]]</f>
        <v>0</v>
      </c>
      <c r="K38" s="424"/>
      <c r="L38" s="424"/>
      <c r="M38" s="425"/>
      <c r="N38" s="423"/>
      <c r="O38" s="433"/>
      <c r="P38" s="7"/>
      <c r="Q38" s="468">
        <f>INDEX(Shapes!$C$4:$C$10,(MATCH(R38,Shapes!$A$4:$A$10,0)))</f>
        <v>1</v>
      </c>
      <c r="R38"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8" s="458" t="str">
        <f>INDEX(Shapes!$A$3:$A$9,(MATCH(Servers[[#This Row],[Total 
Cores]]/2,Shapes!$C$3:$C$9,-1)))</f>
        <v>VM.Standard2.2</v>
      </c>
      <c r="T38" s="469" t="str">
        <f>INDEX(Shapes!$A$3:$A$9,(MATCH(Servers[[#This Row],[Memory (GB)]],Shapes!$D$3:$D$9,-1)))</f>
        <v>VM.Standard2.2</v>
      </c>
      <c r="U38" s="468">
        <f>INDEX(Shapes!$C$11:$C$75,(MATCH(V38,Shapes!$A$11:$A$75,0)))</f>
        <v>1</v>
      </c>
      <c r="V38"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8" s="458" t="str">
        <f>INDEX(Shapes!$A$10:$A$14,(MATCH(Servers[[#This Row],[Total 
Cores]]/2,Shapes!$C$10:$C$14,-1)))</f>
        <v>VM.Standard.E3.Flex.62</v>
      </c>
      <c r="X38" s="469" t="str">
        <f>INDEX(Shapes!$A$10:$A$14,(MATCH(Servers[[#This Row],[Memory (GB)]],Shapes!$D$10:$D$14,-1)))</f>
        <v>VM.Standard.E3.Flex.62</v>
      </c>
      <c r="Y38" s="7" t="str">
        <f t="shared" si="0"/>
        <v/>
      </c>
    </row>
    <row r="39" spans="1:25">
      <c r="A39" s="420"/>
      <c r="B39" s="421"/>
      <c r="C39" s="422"/>
      <c r="D39" s="421"/>
      <c r="E39" s="422"/>
      <c r="F39" s="422"/>
      <c r="G39" s="422"/>
      <c r="H39" s="434"/>
      <c r="I39" s="434"/>
      <c r="J39" s="426">
        <f>Servers[[#This Row],[CPU 
Sockets]]*Servers[[#This Row],[Cores per Socket]]</f>
        <v>0</v>
      </c>
      <c r="K39" s="424"/>
      <c r="L39" s="424"/>
      <c r="M39" s="425"/>
      <c r="N39" s="423"/>
      <c r="O39" s="433"/>
      <c r="P39" s="7"/>
      <c r="Q39" s="468">
        <f>INDEX(Shapes!$C$4:$C$10,(MATCH(R39,Shapes!$A$4:$A$10,0)))</f>
        <v>1</v>
      </c>
      <c r="R39"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39" s="458" t="str">
        <f>INDEX(Shapes!$A$3:$A$9,(MATCH(Servers[[#This Row],[Total 
Cores]]/2,Shapes!$C$3:$C$9,-1)))</f>
        <v>VM.Standard2.2</v>
      </c>
      <c r="T39" s="469" t="str">
        <f>INDEX(Shapes!$A$3:$A$9,(MATCH(Servers[[#This Row],[Memory (GB)]],Shapes!$D$3:$D$9,-1)))</f>
        <v>VM.Standard2.2</v>
      </c>
      <c r="U39" s="468">
        <f>INDEX(Shapes!$C$11:$C$75,(MATCH(V39,Shapes!$A$11:$A$75,0)))</f>
        <v>1</v>
      </c>
      <c r="V39"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39" s="458" t="str">
        <f>INDEX(Shapes!$A$10:$A$14,(MATCH(Servers[[#This Row],[Total 
Cores]]/2,Shapes!$C$10:$C$14,-1)))</f>
        <v>VM.Standard.E3.Flex.62</v>
      </c>
      <c r="X39" s="469" t="str">
        <f>INDEX(Shapes!$A$10:$A$14,(MATCH(Servers[[#This Row],[Memory (GB)]],Shapes!$D$10:$D$14,-1)))</f>
        <v>VM.Standard.E3.Flex.62</v>
      </c>
      <c r="Y39" s="7" t="str">
        <f t="shared" si="0"/>
        <v/>
      </c>
    </row>
    <row r="40" spans="1:25">
      <c r="A40" s="420"/>
      <c r="B40" s="421"/>
      <c r="C40" s="422"/>
      <c r="D40" s="421"/>
      <c r="E40" s="422"/>
      <c r="F40" s="422"/>
      <c r="G40" s="422"/>
      <c r="H40" s="434"/>
      <c r="I40" s="434"/>
      <c r="J40" s="426">
        <f>Servers[[#This Row],[CPU 
Sockets]]*Servers[[#This Row],[Cores per Socket]]</f>
        <v>0</v>
      </c>
      <c r="K40" s="424"/>
      <c r="L40" s="424"/>
      <c r="M40" s="425"/>
      <c r="N40" s="423"/>
      <c r="O40" s="433"/>
      <c r="P40" s="7"/>
      <c r="Q40" s="468">
        <f>INDEX(Shapes!$C$4:$C$10,(MATCH(R40,Shapes!$A$4:$A$10,0)))</f>
        <v>1</v>
      </c>
      <c r="R40"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0" s="458" t="str">
        <f>INDEX(Shapes!$A$3:$A$9,(MATCH(Servers[[#This Row],[Total 
Cores]]/2,Shapes!$C$3:$C$9,-1)))</f>
        <v>VM.Standard2.2</v>
      </c>
      <c r="T40" s="469" t="str">
        <f>INDEX(Shapes!$A$3:$A$9,(MATCH(Servers[[#This Row],[Memory (GB)]],Shapes!$D$3:$D$9,-1)))</f>
        <v>VM.Standard2.2</v>
      </c>
      <c r="U40" s="468">
        <f>INDEX(Shapes!$C$11:$C$75,(MATCH(V40,Shapes!$A$11:$A$75,0)))</f>
        <v>1</v>
      </c>
      <c r="V40"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0" s="458" t="str">
        <f>INDEX(Shapes!$A$10:$A$14,(MATCH(Servers[[#This Row],[Total 
Cores]]/2,Shapes!$C$10:$C$14,-1)))</f>
        <v>VM.Standard.E3.Flex.62</v>
      </c>
      <c r="X40" s="469" t="str">
        <f>INDEX(Shapes!$A$10:$A$14,(MATCH(Servers[[#This Row],[Memory (GB)]],Shapes!$D$10:$D$14,-1)))</f>
        <v>VM.Standard.E3.Flex.62</v>
      </c>
      <c r="Y40" s="7" t="str">
        <f t="shared" si="0"/>
        <v/>
      </c>
    </row>
    <row r="41" spans="1:25">
      <c r="A41" s="420"/>
      <c r="B41" s="421"/>
      <c r="C41" s="422"/>
      <c r="D41" s="421"/>
      <c r="E41" s="422"/>
      <c r="F41" s="422"/>
      <c r="G41" s="422"/>
      <c r="H41" s="434"/>
      <c r="I41" s="434"/>
      <c r="J41" s="426">
        <f>Servers[[#This Row],[CPU 
Sockets]]*Servers[[#This Row],[Cores per Socket]]</f>
        <v>0</v>
      </c>
      <c r="K41" s="424"/>
      <c r="L41" s="424"/>
      <c r="M41" s="425"/>
      <c r="N41" s="423"/>
      <c r="O41" s="433"/>
      <c r="P41" s="7"/>
      <c r="Q41" s="468">
        <f>INDEX(Shapes!$C$4:$C$10,(MATCH(R41,Shapes!$A$4:$A$10,0)))</f>
        <v>1</v>
      </c>
      <c r="R41"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1" s="458" t="str">
        <f>INDEX(Shapes!$A$3:$A$9,(MATCH(Servers[[#This Row],[Total 
Cores]]/2,Shapes!$C$3:$C$9,-1)))</f>
        <v>VM.Standard2.2</v>
      </c>
      <c r="T41" s="469" t="str">
        <f>INDEX(Shapes!$A$3:$A$9,(MATCH(Servers[[#This Row],[Memory (GB)]],Shapes!$D$3:$D$9,-1)))</f>
        <v>VM.Standard2.2</v>
      </c>
      <c r="U41" s="468">
        <f>INDEX(Shapes!$C$11:$C$75,(MATCH(V41,Shapes!$A$11:$A$75,0)))</f>
        <v>1</v>
      </c>
      <c r="V41"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1" s="458" t="str">
        <f>INDEX(Shapes!$A$10:$A$14,(MATCH(Servers[[#This Row],[Total 
Cores]]/2,Shapes!$C$10:$C$14,-1)))</f>
        <v>VM.Standard.E3.Flex.62</v>
      </c>
      <c r="X41" s="469" t="str">
        <f>INDEX(Shapes!$A$10:$A$14,(MATCH(Servers[[#This Row],[Memory (GB)]],Shapes!$D$10:$D$14,-1)))</f>
        <v>VM.Standard.E3.Flex.62</v>
      </c>
      <c r="Y41" s="7" t="str">
        <f t="shared" si="0"/>
        <v/>
      </c>
    </row>
    <row r="42" spans="1:25">
      <c r="A42" s="420"/>
      <c r="B42" s="421"/>
      <c r="C42" s="422"/>
      <c r="D42" s="421"/>
      <c r="E42" s="422"/>
      <c r="F42" s="422"/>
      <c r="G42" s="422"/>
      <c r="H42" s="434"/>
      <c r="I42" s="434"/>
      <c r="J42" s="426">
        <f>Servers[[#This Row],[CPU 
Sockets]]*Servers[[#This Row],[Cores per Socket]]</f>
        <v>0</v>
      </c>
      <c r="K42" s="424"/>
      <c r="L42" s="424"/>
      <c r="M42" s="425"/>
      <c r="N42" s="423"/>
      <c r="O42" s="433"/>
      <c r="P42" s="7"/>
      <c r="Q42" s="468">
        <f>INDEX(Shapes!$C$4:$C$10,(MATCH(R42,Shapes!$A$4:$A$10,0)))</f>
        <v>1</v>
      </c>
      <c r="R42"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2" s="458" t="str">
        <f>INDEX(Shapes!$A$3:$A$9,(MATCH(Servers[[#This Row],[Total 
Cores]]/2,Shapes!$C$3:$C$9,-1)))</f>
        <v>VM.Standard2.2</v>
      </c>
      <c r="T42" s="469" t="str">
        <f>INDEX(Shapes!$A$3:$A$9,(MATCH(Servers[[#This Row],[Memory (GB)]],Shapes!$D$3:$D$9,-1)))</f>
        <v>VM.Standard2.2</v>
      </c>
      <c r="U42" s="468">
        <f>INDEX(Shapes!$C$11:$C$75,(MATCH(V42,Shapes!$A$11:$A$75,0)))</f>
        <v>1</v>
      </c>
      <c r="V42"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2" s="458" t="str">
        <f>INDEX(Shapes!$A$10:$A$14,(MATCH(Servers[[#This Row],[Total 
Cores]]/2,Shapes!$C$10:$C$14,-1)))</f>
        <v>VM.Standard.E3.Flex.62</v>
      </c>
      <c r="X42" s="469" t="str">
        <f>INDEX(Shapes!$A$10:$A$14,(MATCH(Servers[[#This Row],[Memory (GB)]],Shapes!$D$10:$D$14,-1)))</f>
        <v>VM.Standard.E3.Flex.62</v>
      </c>
      <c r="Y42" s="7" t="str">
        <f t="shared" si="0"/>
        <v/>
      </c>
    </row>
    <row r="43" spans="1:25">
      <c r="A43" s="420"/>
      <c r="B43" s="421"/>
      <c r="C43" s="422"/>
      <c r="D43" s="421"/>
      <c r="E43" s="422"/>
      <c r="F43" s="422"/>
      <c r="G43" s="422"/>
      <c r="H43" s="434"/>
      <c r="I43" s="434"/>
      <c r="J43" s="426">
        <f>Servers[[#This Row],[CPU 
Sockets]]*Servers[[#This Row],[Cores per Socket]]</f>
        <v>0</v>
      </c>
      <c r="K43" s="424"/>
      <c r="L43" s="424"/>
      <c r="M43" s="425"/>
      <c r="N43" s="423"/>
      <c r="O43" s="433"/>
      <c r="P43" s="7"/>
      <c r="Q43" s="468">
        <f>INDEX(Shapes!$C$4:$C$10,(MATCH(R43,Shapes!$A$4:$A$10,0)))</f>
        <v>1</v>
      </c>
      <c r="R43"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3" s="458" t="str">
        <f>INDEX(Shapes!$A$3:$A$9,(MATCH(Servers[[#This Row],[Total 
Cores]]/2,Shapes!$C$3:$C$9,-1)))</f>
        <v>VM.Standard2.2</v>
      </c>
      <c r="T43" s="469" t="str">
        <f>INDEX(Shapes!$A$3:$A$9,(MATCH(Servers[[#This Row],[Memory (GB)]],Shapes!$D$3:$D$9,-1)))</f>
        <v>VM.Standard2.2</v>
      </c>
      <c r="U43" s="468">
        <f>INDEX(Shapes!$C$11:$C$75,(MATCH(V43,Shapes!$A$11:$A$75,0)))</f>
        <v>1</v>
      </c>
      <c r="V43"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3" s="458" t="str">
        <f>INDEX(Shapes!$A$10:$A$14,(MATCH(Servers[[#This Row],[Total 
Cores]]/2,Shapes!$C$10:$C$14,-1)))</f>
        <v>VM.Standard.E3.Flex.62</v>
      </c>
      <c r="X43" s="469" t="str">
        <f>INDEX(Shapes!$A$10:$A$14,(MATCH(Servers[[#This Row],[Memory (GB)]],Shapes!$D$10:$D$14,-1)))</f>
        <v>VM.Standard.E3.Flex.62</v>
      </c>
      <c r="Y43" s="7" t="str">
        <f t="shared" si="0"/>
        <v/>
      </c>
    </row>
    <row r="44" spans="1:25">
      <c r="A44" s="420"/>
      <c r="B44" s="421"/>
      <c r="C44" s="422"/>
      <c r="D44" s="421"/>
      <c r="E44" s="422"/>
      <c r="F44" s="422"/>
      <c r="G44" s="422"/>
      <c r="H44" s="434"/>
      <c r="I44" s="434"/>
      <c r="J44" s="426">
        <f>Servers[[#This Row],[CPU 
Sockets]]*Servers[[#This Row],[Cores per Socket]]</f>
        <v>0</v>
      </c>
      <c r="K44" s="424"/>
      <c r="L44" s="424"/>
      <c r="M44" s="425"/>
      <c r="N44" s="423"/>
      <c r="O44" s="433"/>
      <c r="P44" s="7"/>
      <c r="Q44" s="468">
        <f>INDEX(Shapes!$C$4:$C$10,(MATCH(R44,Shapes!$A$4:$A$10,0)))</f>
        <v>1</v>
      </c>
      <c r="R44"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4" s="458" t="str">
        <f>INDEX(Shapes!$A$3:$A$9,(MATCH(Servers[[#This Row],[Total 
Cores]]/2,Shapes!$C$3:$C$9,-1)))</f>
        <v>VM.Standard2.2</v>
      </c>
      <c r="T44" s="469" t="str">
        <f>INDEX(Shapes!$A$3:$A$9,(MATCH(Servers[[#This Row],[Memory (GB)]],Shapes!$D$3:$D$9,-1)))</f>
        <v>VM.Standard2.2</v>
      </c>
      <c r="U44" s="468">
        <f>INDEX(Shapes!$C$11:$C$75,(MATCH(V44,Shapes!$A$11:$A$75,0)))</f>
        <v>1</v>
      </c>
      <c r="V44"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4" s="458" t="str">
        <f>INDEX(Shapes!$A$10:$A$14,(MATCH(Servers[[#This Row],[Total 
Cores]]/2,Shapes!$C$10:$C$14,-1)))</f>
        <v>VM.Standard.E3.Flex.62</v>
      </c>
      <c r="X44" s="469" t="str">
        <f>INDEX(Shapes!$A$10:$A$14,(MATCH(Servers[[#This Row],[Memory (GB)]],Shapes!$D$10:$D$14,-1)))</f>
        <v>VM.Standard.E3.Flex.62</v>
      </c>
      <c r="Y44" s="7" t="str">
        <f t="shared" si="0"/>
        <v/>
      </c>
    </row>
    <row r="45" spans="1:25">
      <c r="A45" s="420"/>
      <c r="B45" s="421"/>
      <c r="C45" s="422"/>
      <c r="D45" s="421"/>
      <c r="E45" s="422"/>
      <c r="F45" s="422"/>
      <c r="G45" s="422"/>
      <c r="H45" s="434"/>
      <c r="I45" s="434"/>
      <c r="J45" s="426">
        <f>Servers[[#This Row],[CPU 
Sockets]]*Servers[[#This Row],[Cores per Socket]]</f>
        <v>0</v>
      </c>
      <c r="K45" s="424"/>
      <c r="L45" s="424"/>
      <c r="M45" s="425"/>
      <c r="N45" s="423"/>
      <c r="O45" s="433"/>
      <c r="P45" s="7"/>
      <c r="Q45" s="468">
        <f>INDEX(Shapes!$C$4:$C$10,(MATCH(R45,Shapes!$A$4:$A$10,0)))</f>
        <v>1</v>
      </c>
      <c r="R45"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5" s="458" t="str">
        <f>INDEX(Shapes!$A$3:$A$9,(MATCH(Servers[[#This Row],[Total 
Cores]]/2,Shapes!$C$3:$C$9,-1)))</f>
        <v>VM.Standard2.2</v>
      </c>
      <c r="T45" s="469" t="str">
        <f>INDEX(Shapes!$A$3:$A$9,(MATCH(Servers[[#This Row],[Memory (GB)]],Shapes!$D$3:$D$9,-1)))</f>
        <v>VM.Standard2.2</v>
      </c>
      <c r="U45" s="468">
        <f>INDEX(Shapes!$C$11:$C$75,(MATCH(V45,Shapes!$A$11:$A$75,0)))</f>
        <v>1</v>
      </c>
      <c r="V45"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5" s="458" t="str">
        <f>INDEX(Shapes!$A$10:$A$14,(MATCH(Servers[[#This Row],[Total 
Cores]]/2,Shapes!$C$10:$C$14,-1)))</f>
        <v>VM.Standard.E3.Flex.62</v>
      </c>
      <c r="X45" s="469" t="str">
        <f>INDEX(Shapes!$A$10:$A$14,(MATCH(Servers[[#This Row],[Memory (GB)]],Shapes!$D$10:$D$14,-1)))</f>
        <v>VM.Standard.E3.Flex.62</v>
      </c>
      <c r="Y45" s="7" t="str">
        <f t="shared" si="0"/>
        <v/>
      </c>
    </row>
    <row r="46" spans="1:25">
      <c r="A46" s="420"/>
      <c r="B46" s="421"/>
      <c r="C46" s="422"/>
      <c r="D46" s="421"/>
      <c r="E46" s="422"/>
      <c r="F46" s="422"/>
      <c r="G46" s="422"/>
      <c r="H46" s="434"/>
      <c r="I46" s="434"/>
      <c r="J46" s="426">
        <f>Servers[[#This Row],[CPU 
Sockets]]*Servers[[#This Row],[Cores per Socket]]</f>
        <v>0</v>
      </c>
      <c r="K46" s="424"/>
      <c r="L46" s="424"/>
      <c r="M46" s="425"/>
      <c r="N46" s="423"/>
      <c r="O46" s="433"/>
      <c r="P46" s="7"/>
      <c r="Q46" s="468">
        <f>INDEX(Shapes!$C$4:$C$10,(MATCH(R46,Shapes!$A$4:$A$10,0)))</f>
        <v>1</v>
      </c>
      <c r="R46"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6" s="458" t="str">
        <f>INDEX(Shapes!$A$3:$A$9,(MATCH(Servers[[#This Row],[Total 
Cores]]/2,Shapes!$C$3:$C$9,-1)))</f>
        <v>VM.Standard2.2</v>
      </c>
      <c r="T46" s="469" t="str">
        <f>INDEX(Shapes!$A$3:$A$9,(MATCH(Servers[[#This Row],[Memory (GB)]],Shapes!$D$3:$D$9,-1)))</f>
        <v>VM.Standard2.2</v>
      </c>
      <c r="U46" s="468">
        <f>INDEX(Shapes!$C$11:$C$75,(MATCH(V46,Shapes!$A$11:$A$75,0)))</f>
        <v>1</v>
      </c>
      <c r="V46"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6" s="458" t="str">
        <f>INDEX(Shapes!$A$10:$A$14,(MATCH(Servers[[#This Row],[Total 
Cores]]/2,Shapes!$C$10:$C$14,-1)))</f>
        <v>VM.Standard.E3.Flex.62</v>
      </c>
      <c r="X46" s="469" t="str">
        <f>INDEX(Shapes!$A$10:$A$14,(MATCH(Servers[[#This Row],[Memory (GB)]],Shapes!$D$10:$D$14,-1)))</f>
        <v>VM.Standard.E3.Flex.62</v>
      </c>
      <c r="Y46" s="7" t="str">
        <f t="shared" si="0"/>
        <v/>
      </c>
    </row>
    <row r="47" spans="1:25">
      <c r="A47" s="420"/>
      <c r="B47" s="421"/>
      <c r="C47" s="422"/>
      <c r="D47" s="421"/>
      <c r="E47" s="422"/>
      <c r="F47" s="422"/>
      <c r="G47" s="422"/>
      <c r="H47" s="434"/>
      <c r="I47" s="434"/>
      <c r="J47" s="426">
        <f>Servers[[#This Row],[CPU 
Sockets]]*Servers[[#This Row],[Cores per Socket]]</f>
        <v>0</v>
      </c>
      <c r="K47" s="424"/>
      <c r="L47" s="424"/>
      <c r="M47" s="425"/>
      <c r="N47" s="423"/>
      <c r="O47" s="433"/>
      <c r="P47" s="7"/>
      <c r="Q47" s="468">
        <f>INDEX(Shapes!$C$4:$C$10,(MATCH(R47,Shapes!$A$4:$A$10,0)))</f>
        <v>1</v>
      </c>
      <c r="R47"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7" s="458" t="str">
        <f>INDEX(Shapes!$A$3:$A$9,(MATCH(Servers[[#This Row],[Total 
Cores]]/2,Shapes!$C$3:$C$9,-1)))</f>
        <v>VM.Standard2.2</v>
      </c>
      <c r="T47" s="469" t="str">
        <f>INDEX(Shapes!$A$3:$A$9,(MATCH(Servers[[#This Row],[Memory (GB)]],Shapes!$D$3:$D$9,-1)))</f>
        <v>VM.Standard2.2</v>
      </c>
      <c r="U47" s="468">
        <f>INDEX(Shapes!$C$11:$C$75,(MATCH(V47,Shapes!$A$11:$A$75,0)))</f>
        <v>1</v>
      </c>
      <c r="V47"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7" s="458" t="str">
        <f>INDEX(Shapes!$A$10:$A$14,(MATCH(Servers[[#This Row],[Total 
Cores]]/2,Shapes!$C$10:$C$14,-1)))</f>
        <v>VM.Standard.E3.Flex.62</v>
      </c>
      <c r="X47" s="469" t="str">
        <f>INDEX(Shapes!$A$10:$A$14,(MATCH(Servers[[#This Row],[Memory (GB)]],Shapes!$D$10:$D$14,-1)))</f>
        <v>VM.Standard.E3.Flex.62</v>
      </c>
      <c r="Y47" s="7" t="str">
        <f t="shared" si="0"/>
        <v/>
      </c>
    </row>
    <row r="48" spans="1:25">
      <c r="A48" s="420"/>
      <c r="B48" s="421"/>
      <c r="C48" s="422"/>
      <c r="D48" s="421"/>
      <c r="E48" s="422"/>
      <c r="F48" s="422"/>
      <c r="G48" s="422"/>
      <c r="H48" s="434"/>
      <c r="I48" s="434"/>
      <c r="J48" s="426">
        <f>Servers[[#This Row],[CPU 
Sockets]]*Servers[[#This Row],[Cores per Socket]]</f>
        <v>0</v>
      </c>
      <c r="K48" s="424"/>
      <c r="L48" s="424"/>
      <c r="M48" s="425"/>
      <c r="N48" s="423"/>
      <c r="O48" s="433"/>
      <c r="P48" s="7"/>
      <c r="Q48" s="468">
        <f>INDEX(Shapes!$C$4:$C$10,(MATCH(R48,Shapes!$A$4:$A$10,0)))</f>
        <v>1</v>
      </c>
      <c r="R48"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8" s="458" t="str">
        <f>INDEX(Shapes!$A$3:$A$9,(MATCH(Servers[[#This Row],[Total 
Cores]]/2,Shapes!$C$3:$C$9,-1)))</f>
        <v>VM.Standard2.2</v>
      </c>
      <c r="T48" s="469" t="str">
        <f>INDEX(Shapes!$A$3:$A$9,(MATCH(Servers[[#This Row],[Memory (GB)]],Shapes!$D$3:$D$9,-1)))</f>
        <v>VM.Standard2.2</v>
      </c>
      <c r="U48" s="468">
        <f>INDEX(Shapes!$C$11:$C$75,(MATCH(V48,Shapes!$A$11:$A$75,0)))</f>
        <v>1</v>
      </c>
      <c r="V48"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8" s="458" t="str">
        <f>INDEX(Shapes!$A$10:$A$14,(MATCH(Servers[[#This Row],[Total 
Cores]]/2,Shapes!$C$10:$C$14,-1)))</f>
        <v>VM.Standard.E3.Flex.62</v>
      </c>
      <c r="X48" s="469" t="str">
        <f>INDEX(Shapes!$A$10:$A$14,(MATCH(Servers[[#This Row],[Memory (GB)]],Shapes!$D$10:$D$14,-1)))</f>
        <v>VM.Standard.E3.Flex.62</v>
      </c>
      <c r="Y48" s="7" t="str">
        <f t="shared" si="0"/>
        <v/>
      </c>
    </row>
    <row r="49" spans="1:25">
      <c r="A49" s="420"/>
      <c r="B49" s="421"/>
      <c r="C49" s="422"/>
      <c r="D49" s="421"/>
      <c r="E49" s="422"/>
      <c r="F49" s="422"/>
      <c r="G49" s="422"/>
      <c r="H49" s="434"/>
      <c r="I49" s="434"/>
      <c r="J49" s="426">
        <f>Servers[[#This Row],[CPU 
Sockets]]*Servers[[#This Row],[Cores per Socket]]</f>
        <v>0</v>
      </c>
      <c r="K49" s="424"/>
      <c r="L49" s="424"/>
      <c r="M49" s="425"/>
      <c r="N49" s="423"/>
      <c r="O49" s="433"/>
      <c r="P49" s="7"/>
      <c r="Q49" s="468">
        <f>INDEX(Shapes!$C$4:$C$10,(MATCH(R49,Shapes!$A$4:$A$10,0)))</f>
        <v>1</v>
      </c>
      <c r="R49"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49" s="458" t="str">
        <f>INDEX(Shapes!$A$3:$A$9,(MATCH(Servers[[#This Row],[Total 
Cores]]/2,Shapes!$C$3:$C$9,-1)))</f>
        <v>VM.Standard2.2</v>
      </c>
      <c r="T49" s="469" t="str">
        <f>INDEX(Shapes!$A$3:$A$9,(MATCH(Servers[[#This Row],[Memory (GB)]],Shapes!$D$3:$D$9,-1)))</f>
        <v>VM.Standard2.2</v>
      </c>
      <c r="U49" s="468">
        <f>INDEX(Shapes!$C$11:$C$75,(MATCH(V49,Shapes!$A$11:$A$75,0)))</f>
        <v>1</v>
      </c>
      <c r="V49"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49" s="458" t="str">
        <f>INDEX(Shapes!$A$10:$A$14,(MATCH(Servers[[#This Row],[Total 
Cores]]/2,Shapes!$C$10:$C$14,-1)))</f>
        <v>VM.Standard.E3.Flex.62</v>
      </c>
      <c r="X49" s="469" t="str">
        <f>INDEX(Shapes!$A$10:$A$14,(MATCH(Servers[[#This Row],[Memory (GB)]],Shapes!$D$10:$D$14,-1)))</f>
        <v>VM.Standard.E3.Flex.62</v>
      </c>
      <c r="Y49" s="7" t="str">
        <f t="shared" si="0"/>
        <v/>
      </c>
    </row>
    <row r="50" spans="1:25">
      <c r="A50" s="420"/>
      <c r="B50" s="421"/>
      <c r="C50" s="422"/>
      <c r="D50" s="421"/>
      <c r="E50" s="422"/>
      <c r="F50" s="422"/>
      <c r="G50" s="422"/>
      <c r="H50" s="434"/>
      <c r="I50" s="434"/>
      <c r="J50" s="426">
        <f>Servers[[#This Row],[CPU 
Sockets]]*Servers[[#This Row],[Cores per Socket]]</f>
        <v>0</v>
      </c>
      <c r="K50" s="424"/>
      <c r="L50" s="424"/>
      <c r="M50" s="425"/>
      <c r="N50" s="423"/>
      <c r="O50" s="433"/>
      <c r="P50" s="7"/>
      <c r="Q50" s="468">
        <f>INDEX(Shapes!$C$4:$C$10,(MATCH(R50,Shapes!$A$4:$A$10,0)))</f>
        <v>1</v>
      </c>
      <c r="R50"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0" s="458" t="str">
        <f>INDEX(Shapes!$A$3:$A$9,(MATCH(Servers[[#This Row],[Total 
Cores]]/2,Shapes!$C$3:$C$9,-1)))</f>
        <v>VM.Standard2.2</v>
      </c>
      <c r="T50" s="469" t="str">
        <f>INDEX(Shapes!$A$3:$A$9,(MATCH(Servers[[#This Row],[Memory (GB)]],Shapes!$D$3:$D$9,-1)))</f>
        <v>VM.Standard2.2</v>
      </c>
      <c r="U50" s="468">
        <f>INDEX(Shapes!$C$11:$C$75,(MATCH(V50,Shapes!$A$11:$A$75,0)))</f>
        <v>1</v>
      </c>
      <c r="V50"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0" s="458" t="str">
        <f>INDEX(Shapes!$A$10:$A$14,(MATCH(Servers[[#This Row],[Total 
Cores]]/2,Shapes!$C$10:$C$14,-1)))</f>
        <v>VM.Standard.E3.Flex.62</v>
      </c>
      <c r="X50" s="469" t="str">
        <f>INDEX(Shapes!$A$10:$A$14,(MATCH(Servers[[#This Row],[Memory (GB)]],Shapes!$D$10:$D$14,-1)))</f>
        <v>VM.Standard.E3.Flex.62</v>
      </c>
      <c r="Y50" s="7" t="str">
        <f t="shared" si="0"/>
        <v/>
      </c>
    </row>
    <row r="51" spans="1:25">
      <c r="A51" s="420"/>
      <c r="B51" s="421"/>
      <c r="C51" s="422"/>
      <c r="D51" s="421"/>
      <c r="E51" s="422"/>
      <c r="F51" s="422"/>
      <c r="G51" s="422"/>
      <c r="H51" s="434"/>
      <c r="I51" s="434"/>
      <c r="J51" s="426">
        <f>Servers[[#This Row],[CPU 
Sockets]]*Servers[[#This Row],[Cores per Socket]]</f>
        <v>0</v>
      </c>
      <c r="K51" s="424"/>
      <c r="L51" s="424"/>
      <c r="M51" s="425"/>
      <c r="N51" s="423"/>
      <c r="O51" s="433"/>
      <c r="P51" s="7"/>
      <c r="Q51" s="468">
        <f>INDEX(Shapes!$C$4:$C$10,(MATCH(R51,Shapes!$A$4:$A$10,0)))</f>
        <v>1</v>
      </c>
      <c r="R51"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1" s="458" t="str">
        <f>INDEX(Shapes!$A$3:$A$9,(MATCH(Servers[[#This Row],[Total 
Cores]]/2,Shapes!$C$3:$C$9,-1)))</f>
        <v>VM.Standard2.2</v>
      </c>
      <c r="T51" s="469" t="str">
        <f>INDEX(Shapes!$A$3:$A$9,(MATCH(Servers[[#This Row],[Memory (GB)]],Shapes!$D$3:$D$9,-1)))</f>
        <v>VM.Standard2.2</v>
      </c>
      <c r="U51" s="468">
        <f>INDEX(Shapes!$C$11:$C$75,(MATCH(V51,Shapes!$A$11:$A$75,0)))</f>
        <v>1</v>
      </c>
      <c r="V51"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1" s="458" t="str">
        <f>INDEX(Shapes!$A$10:$A$14,(MATCH(Servers[[#This Row],[Total 
Cores]]/2,Shapes!$C$10:$C$14,-1)))</f>
        <v>VM.Standard.E3.Flex.62</v>
      </c>
      <c r="X51" s="469" t="str">
        <f>INDEX(Shapes!$A$10:$A$14,(MATCH(Servers[[#This Row],[Memory (GB)]],Shapes!$D$10:$D$14,-1)))</f>
        <v>VM.Standard.E3.Flex.62</v>
      </c>
      <c r="Y51" s="7" t="str">
        <f t="shared" si="0"/>
        <v/>
      </c>
    </row>
    <row r="52" spans="1:25">
      <c r="A52" s="420"/>
      <c r="B52" s="421"/>
      <c r="C52" s="422"/>
      <c r="D52" s="421"/>
      <c r="E52" s="422"/>
      <c r="F52" s="422"/>
      <c r="G52" s="422"/>
      <c r="H52" s="434"/>
      <c r="I52" s="434"/>
      <c r="J52" s="426">
        <f>Servers[[#This Row],[CPU 
Sockets]]*Servers[[#This Row],[Cores per Socket]]</f>
        <v>0</v>
      </c>
      <c r="K52" s="424"/>
      <c r="L52" s="424"/>
      <c r="M52" s="425"/>
      <c r="N52" s="423"/>
      <c r="O52" s="433"/>
      <c r="P52" s="7"/>
      <c r="Q52" s="468">
        <f>INDEX(Shapes!$C$4:$C$10,(MATCH(R52,Shapes!$A$4:$A$10,0)))</f>
        <v>1</v>
      </c>
      <c r="R52"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2" s="458" t="str">
        <f>INDEX(Shapes!$A$3:$A$9,(MATCH(Servers[[#This Row],[Total 
Cores]]/2,Shapes!$C$3:$C$9,-1)))</f>
        <v>VM.Standard2.2</v>
      </c>
      <c r="T52" s="469" t="str">
        <f>INDEX(Shapes!$A$3:$A$9,(MATCH(Servers[[#This Row],[Memory (GB)]],Shapes!$D$3:$D$9,-1)))</f>
        <v>VM.Standard2.2</v>
      </c>
      <c r="U52" s="468">
        <f>INDEX(Shapes!$C$11:$C$75,(MATCH(V52,Shapes!$A$11:$A$75,0)))</f>
        <v>1</v>
      </c>
      <c r="V52"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2" s="458" t="str">
        <f>INDEX(Shapes!$A$10:$A$14,(MATCH(Servers[[#This Row],[Total 
Cores]]/2,Shapes!$C$10:$C$14,-1)))</f>
        <v>VM.Standard.E3.Flex.62</v>
      </c>
      <c r="X52" s="469" t="str">
        <f>INDEX(Shapes!$A$10:$A$14,(MATCH(Servers[[#This Row],[Memory (GB)]],Shapes!$D$10:$D$14,-1)))</f>
        <v>VM.Standard.E3.Flex.62</v>
      </c>
      <c r="Y52" s="7" t="str">
        <f t="shared" si="0"/>
        <v/>
      </c>
    </row>
    <row r="53" spans="1:25">
      <c r="A53" s="420"/>
      <c r="B53" s="421"/>
      <c r="C53" s="422"/>
      <c r="D53" s="421"/>
      <c r="E53" s="422"/>
      <c r="F53" s="422"/>
      <c r="G53" s="422"/>
      <c r="H53" s="434"/>
      <c r="I53" s="434"/>
      <c r="J53" s="426">
        <f>Servers[[#This Row],[CPU 
Sockets]]*Servers[[#This Row],[Cores per Socket]]</f>
        <v>0</v>
      </c>
      <c r="K53" s="424"/>
      <c r="L53" s="424"/>
      <c r="M53" s="425"/>
      <c r="N53" s="423"/>
      <c r="O53" s="433"/>
      <c r="P53" s="7"/>
      <c r="Q53" s="468">
        <f>INDEX(Shapes!$C$4:$C$10,(MATCH(R53,Shapes!$A$4:$A$10,0)))</f>
        <v>1</v>
      </c>
      <c r="R53"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3" s="458" t="str">
        <f>INDEX(Shapes!$A$3:$A$9,(MATCH(Servers[[#This Row],[Total 
Cores]]/2,Shapes!$C$3:$C$9,-1)))</f>
        <v>VM.Standard2.2</v>
      </c>
      <c r="T53" s="469" t="str">
        <f>INDEX(Shapes!$A$3:$A$9,(MATCH(Servers[[#This Row],[Memory (GB)]],Shapes!$D$3:$D$9,-1)))</f>
        <v>VM.Standard2.2</v>
      </c>
      <c r="U53" s="468">
        <f>INDEX(Shapes!$C$11:$C$75,(MATCH(V53,Shapes!$A$11:$A$75,0)))</f>
        <v>1</v>
      </c>
      <c r="V53"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3" s="458" t="str">
        <f>INDEX(Shapes!$A$10:$A$14,(MATCH(Servers[[#This Row],[Total 
Cores]]/2,Shapes!$C$10:$C$14,-1)))</f>
        <v>VM.Standard.E3.Flex.62</v>
      </c>
      <c r="X53" s="469" t="str">
        <f>INDEX(Shapes!$A$10:$A$14,(MATCH(Servers[[#This Row],[Memory (GB)]],Shapes!$D$10:$D$14,-1)))</f>
        <v>VM.Standard.E3.Flex.62</v>
      </c>
      <c r="Y53" s="7" t="str">
        <f t="shared" si="0"/>
        <v/>
      </c>
    </row>
    <row r="54" spans="1:25">
      <c r="A54" s="420"/>
      <c r="B54" s="421"/>
      <c r="C54" s="422"/>
      <c r="D54" s="421"/>
      <c r="E54" s="422"/>
      <c r="F54" s="422"/>
      <c r="G54" s="422"/>
      <c r="H54" s="434"/>
      <c r="I54" s="434"/>
      <c r="J54" s="426">
        <f>Servers[[#This Row],[CPU 
Sockets]]*Servers[[#This Row],[Cores per Socket]]</f>
        <v>0</v>
      </c>
      <c r="K54" s="424"/>
      <c r="L54" s="424"/>
      <c r="M54" s="425"/>
      <c r="N54" s="423"/>
      <c r="O54" s="433"/>
      <c r="P54" s="7"/>
      <c r="Q54" s="468">
        <f>INDEX(Shapes!$C$4:$C$10,(MATCH(R54,Shapes!$A$4:$A$10,0)))</f>
        <v>1</v>
      </c>
      <c r="R54"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4" s="458" t="str">
        <f>INDEX(Shapes!$A$3:$A$9,(MATCH(Servers[[#This Row],[Total 
Cores]]/2,Shapes!$C$3:$C$9,-1)))</f>
        <v>VM.Standard2.2</v>
      </c>
      <c r="T54" s="469" t="str">
        <f>INDEX(Shapes!$A$3:$A$9,(MATCH(Servers[[#This Row],[Memory (GB)]],Shapes!$D$3:$D$9,-1)))</f>
        <v>VM.Standard2.2</v>
      </c>
      <c r="U54" s="468">
        <f>INDEX(Shapes!$C$11:$C$75,(MATCH(V54,Shapes!$A$11:$A$75,0)))</f>
        <v>1</v>
      </c>
      <c r="V54"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4" s="458" t="str">
        <f>INDEX(Shapes!$A$10:$A$14,(MATCH(Servers[[#This Row],[Total 
Cores]]/2,Shapes!$C$10:$C$14,-1)))</f>
        <v>VM.Standard.E3.Flex.62</v>
      </c>
      <c r="X54" s="469" t="str">
        <f>INDEX(Shapes!$A$10:$A$14,(MATCH(Servers[[#This Row],[Memory (GB)]],Shapes!$D$10:$D$14,-1)))</f>
        <v>VM.Standard.E3.Flex.62</v>
      </c>
      <c r="Y54" s="7" t="str">
        <f t="shared" si="0"/>
        <v/>
      </c>
    </row>
    <row r="55" spans="1:25">
      <c r="A55" s="420"/>
      <c r="B55" s="421"/>
      <c r="C55" s="422"/>
      <c r="D55" s="421"/>
      <c r="E55" s="422"/>
      <c r="F55" s="422"/>
      <c r="G55" s="422"/>
      <c r="H55" s="434"/>
      <c r="I55" s="434"/>
      <c r="J55" s="426">
        <f>Servers[[#This Row],[CPU 
Sockets]]*Servers[[#This Row],[Cores per Socket]]</f>
        <v>0</v>
      </c>
      <c r="K55" s="424"/>
      <c r="L55" s="424"/>
      <c r="M55" s="425"/>
      <c r="N55" s="423"/>
      <c r="O55" s="433"/>
      <c r="P55" s="7"/>
      <c r="Q55" s="468">
        <f>INDEX(Shapes!$C$4:$C$10,(MATCH(R55,Shapes!$A$4:$A$10,0)))</f>
        <v>1</v>
      </c>
      <c r="R55"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5" s="458" t="str">
        <f>INDEX(Shapes!$A$3:$A$9,(MATCH(Servers[[#This Row],[Total 
Cores]]/2,Shapes!$C$3:$C$9,-1)))</f>
        <v>VM.Standard2.2</v>
      </c>
      <c r="T55" s="469" t="str">
        <f>INDEX(Shapes!$A$3:$A$9,(MATCH(Servers[[#This Row],[Memory (GB)]],Shapes!$D$3:$D$9,-1)))</f>
        <v>VM.Standard2.2</v>
      </c>
      <c r="U55" s="468">
        <f>INDEX(Shapes!$C$11:$C$75,(MATCH(V55,Shapes!$A$11:$A$75,0)))</f>
        <v>1</v>
      </c>
      <c r="V55"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5" s="458" t="str">
        <f>INDEX(Shapes!$A$10:$A$14,(MATCH(Servers[[#This Row],[Total 
Cores]]/2,Shapes!$C$10:$C$14,-1)))</f>
        <v>VM.Standard.E3.Flex.62</v>
      </c>
      <c r="X55" s="469" t="str">
        <f>INDEX(Shapes!$A$10:$A$14,(MATCH(Servers[[#This Row],[Memory (GB)]],Shapes!$D$10:$D$14,-1)))</f>
        <v>VM.Standard.E3.Flex.62</v>
      </c>
      <c r="Y55" s="7" t="str">
        <f t="shared" si="0"/>
        <v/>
      </c>
    </row>
    <row r="56" spans="1:25">
      <c r="A56" s="420"/>
      <c r="B56" s="421"/>
      <c r="C56" s="422"/>
      <c r="D56" s="421"/>
      <c r="E56" s="422"/>
      <c r="F56" s="422"/>
      <c r="G56" s="422"/>
      <c r="H56" s="434"/>
      <c r="I56" s="434"/>
      <c r="J56" s="426">
        <f>Servers[[#This Row],[CPU 
Sockets]]*Servers[[#This Row],[Cores per Socket]]</f>
        <v>0</v>
      </c>
      <c r="K56" s="424"/>
      <c r="L56" s="424"/>
      <c r="M56" s="425"/>
      <c r="N56" s="423"/>
      <c r="O56" s="433"/>
      <c r="P56" s="7"/>
      <c r="Q56" s="468">
        <f>INDEX(Shapes!$C$4:$C$10,(MATCH(R56,Shapes!$A$4:$A$10,0)))</f>
        <v>1</v>
      </c>
      <c r="R56"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6" s="458" t="str">
        <f>INDEX(Shapes!$A$3:$A$9,(MATCH(Servers[[#This Row],[Total 
Cores]]/2,Shapes!$C$3:$C$9,-1)))</f>
        <v>VM.Standard2.2</v>
      </c>
      <c r="T56" s="469" t="str">
        <f>INDEX(Shapes!$A$3:$A$9,(MATCH(Servers[[#This Row],[Memory (GB)]],Shapes!$D$3:$D$9,-1)))</f>
        <v>VM.Standard2.2</v>
      </c>
      <c r="U56" s="468">
        <f>INDEX(Shapes!$C$11:$C$75,(MATCH(V56,Shapes!$A$11:$A$75,0)))</f>
        <v>1</v>
      </c>
      <c r="V56"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6" s="458" t="str">
        <f>INDEX(Shapes!$A$10:$A$14,(MATCH(Servers[[#This Row],[Total 
Cores]]/2,Shapes!$C$10:$C$14,-1)))</f>
        <v>VM.Standard.E3.Flex.62</v>
      </c>
      <c r="X56" s="469" t="str">
        <f>INDEX(Shapes!$A$10:$A$14,(MATCH(Servers[[#This Row],[Memory (GB)]],Shapes!$D$10:$D$14,-1)))</f>
        <v>VM.Standard.E3.Flex.62</v>
      </c>
      <c r="Y56" s="7" t="str">
        <f t="shared" si="0"/>
        <v/>
      </c>
    </row>
    <row r="57" spans="1:25">
      <c r="A57" s="420"/>
      <c r="B57" s="421"/>
      <c r="C57" s="422"/>
      <c r="D57" s="421"/>
      <c r="E57" s="422"/>
      <c r="F57" s="422"/>
      <c r="G57" s="422"/>
      <c r="H57" s="434"/>
      <c r="I57" s="434"/>
      <c r="J57" s="426">
        <f>Servers[[#This Row],[CPU 
Sockets]]*Servers[[#This Row],[Cores per Socket]]</f>
        <v>0</v>
      </c>
      <c r="K57" s="424"/>
      <c r="L57" s="424"/>
      <c r="M57" s="425"/>
      <c r="N57" s="423"/>
      <c r="O57" s="433"/>
      <c r="P57" s="7"/>
      <c r="Q57" s="468">
        <f>INDEX(Shapes!$C$4:$C$10,(MATCH(R57,Shapes!$A$4:$A$10,0)))</f>
        <v>1</v>
      </c>
      <c r="R57"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7" s="458" t="str">
        <f>INDEX(Shapes!$A$3:$A$9,(MATCH(Servers[[#This Row],[Total 
Cores]]/2,Shapes!$C$3:$C$9,-1)))</f>
        <v>VM.Standard2.2</v>
      </c>
      <c r="T57" s="469" t="str">
        <f>INDEX(Shapes!$A$3:$A$9,(MATCH(Servers[[#This Row],[Memory (GB)]],Shapes!$D$3:$D$9,-1)))</f>
        <v>VM.Standard2.2</v>
      </c>
      <c r="U57" s="468">
        <f>INDEX(Shapes!$C$11:$C$75,(MATCH(V57,Shapes!$A$11:$A$75,0)))</f>
        <v>1</v>
      </c>
      <c r="V57"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7" s="458" t="str">
        <f>INDEX(Shapes!$A$10:$A$14,(MATCH(Servers[[#This Row],[Total 
Cores]]/2,Shapes!$C$10:$C$14,-1)))</f>
        <v>VM.Standard.E3.Flex.62</v>
      </c>
      <c r="X57" s="469" t="str">
        <f>INDEX(Shapes!$A$10:$A$14,(MATCH(Servers[[#This Row],[Memory (GB)]],Shapes!$D$10:$D$14,-1)))</f>
        <v>VM.Standard.E3.Flex.62</v>
      </c>
      <c r="Y57" s="7" t="str">
        <f t="shared" si="0"/>
        <v/>
      </c>
    </row>
    <row r="58" spans="1:25">
      <c r="A58" s="420"/>
      <c r="B58" s="421"/>
      <c r="C58" s="422"/>
      <c r="D58" s="421"/>
      <c r="E58" s="422"/>
      <c r="F58" s="422"/>
      <c r="G58" s="422"/>
      <c r="H58" s="434"/>
      <c r="I58" s="434"/>
      <c r="J58" s="426">
        <f>Servers[[#This Row],[CPU 
Sockets]]*Servers[[#This Row],[Cores per Socket]]</f>
        <v>0</v>
      </c>
      <c r="K58" s="424"/>
      <c r="L58" s="424"/>
      <c r="M58" s="425"/>
      <c r="N58" s="423"/>
      <c r="O58" s="433"/>
      <c r="P58" s="7"/>
      <c r="Q58" s="468">
        <f>INDEX(Shapes!$C$4:$C$10,(MATCH(R58,Shapes!$A$4:$A$10,0)))</f>
        <v>1</v>
      </c>
      <c r="R58"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8" s="458" t="str">
        <f>INDEX(Shapes!$A$3:$A$9,(MATCH(Servers[[#This Row],[Total 
Cores]]/2,Shapes!$C$3:$C$9,-1)))</f>
        <v>VM.Standard2.2</v>
      </c>
      <c r="T58" s="469" t="str">
        <f>INDEX(Shapes!$A$3:$A$9,(MATCH(Servers[[#This Row],[Memory (GB)]],Shapes!$D$3:$D$9,-1)))</f>
        <v>VM.Standard2.2</v>
      </c>
      <c r="U58" s="468">
        <f>INDEX(Shapes!$C$11:$C$75,(MATCH(V58,Shapes!$A$11:$A$75,0)))</f>
        <v>1</v>
      </c>
      <c r="V58"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8" s="458" t="str">
        <f>INDEX(Shapes!$A$10:$A$14,(MATCH(Servers[[#This Row],[Total 
Cores]]/2,Shapes!$C$10:$C$14,-1)))</f>
        <v>VM.Standard.E3.Flex.62</v>
      </c>
      <c r="X58" s="469" t="str">
        <f>INDEX(Shapes!$A$10:$A$14,(MATCH(Servers[[#This Row],[Memory (GB)]],Shapes!$D$10:$D$14,-1)))</f>
        <v>VM.Standard.E3.Flex.62</v>
      </c>
      <c r="Y58" s="7" t="str">
        <f t="shared" si="0"/>
        <v/>
      </c>
    </row>
    <row r="59" spans="1:25">
      <c r="A59" s="420"/>
      <c r="B59" s="421"/>
      <c r="C59" s="422"/>
      <c r="D59" s="421"/>
      <c r="E59" s="422"/>
      <c r="F59" s="422"/>
      <c r="G59" s="422"/>
      <c r="H59" s="434"/>
      <c r="I59" s="434"/>
      <c r="J59" s="426">
        <f>Servers[[#This Row],[CPU 
Sockets]]*Servers[[#This Row],[Cores per Socket]]</f>
        <v>0</v>
      </c>
      <c r="K59" s="424"/>
      <c r="L59" s="424"/>
      <c r="M59" s="425"/>
      <c r="N59" s="423"/>
      <c r="O59" s="433"/>
      <c r="P59" s="7"/>
      <c r="Q59" s="468">
        <f>INDEX(Shapes!$C$4:$C$10,(MATCH(R59,Shapes!$A$4:$A$10,0)))</f>
        <v>1</v>
      </c>
      <c r="R59"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59" s="458" t="str">
        <f>INDEX(Shapes!$A$3:$A$9,(MATCH(Servers[[#This Row],[Total 
Cores]]/2,Shapes!$C$3:$C$9,-1)))</f>
        <v>VM.Standard2.2</v>
      </c>
      <c r="T59" s="469" t="str">
        <f>INDEX(Shapes!$A$3:$A$9,(MATCH(Servers[[#This Row],[Memory (GB)]],Shapes!$D$3:$D$9,-1)))</f>
        <v>VM.Standard2.2</v>
      </c>
      <c r="U59" s="468">
        <f>INDEX(Shapes!$C$11:$C$75,(MATCH(V59,Shapes!$A$11:$A$75,0)))</f>
        <v>1</v>
      </c>
      <c r="V59"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59" s="458" t="str">
        <f>INDEX(Shapes!$A$10:$A$14,(MATCH(Servers[[#This Row],[Total 
Cores]]/2,Shapes!$C$10:$C$14,-1)))</f>
        <v>VM.Standard.E3.Flex.62</v>
      </c>
      <c r="X59" s="469" t="str">
        <f>INDEX(Shapes!$A$10:$A$14,(MATCH(Servers[[#This Row],[Memory (GB)]],Shapes!$D$10:$D$14,-1)))</f>
        <v>VM.Standard.E3.Flex.62</v>
      </c>
      <c r="Y59" s="7" t="str">
        <f t="shared" si="0"/>
        <v/>
      </c>
    </row>
    <row r="60" spans="1:25">
      <c r="A60" s="420"/>
      <c r="B60" s="421"/>
      <c r="C60" s="422"/>
      <c r="D60" s="421"/>
      <c r="E60" s="422"/>
      <c r="F60" s="422"/>
      <c r="G60" s="422"/>
      <c r="H60" s="434"/>
      <c r="I60" s="434"/>
      <c r="J60" s="426">
        <f>Servers[[#This Row],[CPU 
Sockets]]*Servers[[#This Row],[Cores per Socket]]</f>
        <v>0</v>
      </c>
      <c r="K60" s="424"/>
      <c r="L60" s="424"/>
      <c r="M60" s="425"/>
      <c r="N60" s="423"/>
      <c r="O60" s="433"/>
      <c r="P60" s="7"/>
      <c r="Q60" s="468">
        <f>INDEX(Shapes!$C$4:$C$10,(MATCH(R60,Shapes!$A$4:$A$10,0)))</f>
        <v>1</v>
      </c>
      <c r="R60"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60" s="458" t="str">
        <f>INDEX(Shapes!$A$3:$A$9,(MATCH(Servers[[#This Row],[Total 
Cores]]/2,Shapes!$C$3:$C$9,-1)))</f>
        <v>VM.Standard2.2</v>
      </c>
      <c r="T60" s="469" t="str">
        <f>INDEX(Shapes!$A$3:$A$9,(MATCH(Servers[[#This Row],[Memory (GB)]],Shapes!$D$3:$D$9,-1)))</f>
        <v>VM.Standard2.2</v>
      </c>
      <c r="U60" s="468">
        <f>INDEX(Shapes!$C$11:$C$75,(MATCH(V60,Shapes!$A$11:$A$75,0)))</f>
        <v>1</v>
      </c>
      <c r="V60"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60" s="458" t="str">
        <f>INDEX(Shapes!$A$10:$A$14,(MATCH(Servers[[#This Row],[Total 
Cores]]/2,Shapes!$C$10:$C$14,-1)))</f>
        <v>VM.Standard.E3.Flex.62</v>
      </c>
      <c r="X60" s="469" t="str">
        <f>INDEX(Shapes!$A$10:$A$14,(MATCH(Servers[[#This Row],[Memory (GB)]],Shapes!$D$10:$D$14,-1)))</f>
        <v>VM.Standard.E3.Flex.62</v>
      </c>
      <c r="Y60" s="7" t="str">
        <f t="shared" si="0"/>
        <v/>
      </c>
    </row>
    <row r="61" spans="1:25">
      <c r="A61" s="420"/>
      <c r="B61" s="421"/>
      <c r="C61" s="422"/>
      <c r="D61" s="421"/>
      <c r="E61" s="422"/>
      <c r="F61" s="422"/>
      <c r="G61" s="422"/>
      <c r="H61" s="434"/>
      <c r="I61" s="434"/>
      <c r="J61" s="426">
        <f>Servers[[#This Row],[CPU 
Sockets]]*Servers[[#This Row],[Cores per Socket]]</f>
        <v>0</v>
      </c>
      <c r="K61" s="424"/>
      <c r="L61" s="424"/>
      <c r="M61" s="425"/>
      <c r="N61" s="423"/>
      <c r="O61" s="433"/>
      <c r="P61" s="7"/>
      <c r="Q61" s="468">
        <f>INDEX(Shapes!$C$4:$C$10,(MATCH(R61,Shapes!$A$4:$A$10,0)))</f>
        <v>1</v>
      </c>
      <c r="R61"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61" s="458" t="str">
        <f>INDEX(Shapes!$A$3:$A$9,(MATCH(Servers[[#This Row],[Total 
Cores]]/2,Shapes!$C$3:$C$9,-1)))</f>
        <v>VM.Standard2.2</v>
      </c>
      <c r="T61" s="469" t="str">
        <f>INDEX(Shapes!$A$3:$A$9,(MATCH(Servers[[#This Row],[Memory (GB)]],Shapes!$D$3:$D$9,-1)))</f>
        <v>VM.Standard2.2</v>
      </c>
      <c r="U61" s="468">
        <f>INDEX(Shapes!$C$11:$C$75,(MATCH(V61,Shapes!$A$11:$A$75,0)))</f>
        <v>1</v>
      </c>
      <c r="V61"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61" s="458" t="str">
        <f>INDEX(Shapes!$A$10:$A$14,(MATCH(Servers[[#This Row],[Total 
Cores]]/2,Shapes!$C$10:$C$14,-1)))</f>
        <v>VM.Standard.E3.Flex.62</v>
      </c>
      <c r="X61" s="469" t="str">
        <f>INDEX(Shapes!$A$10:$A$14,(MATCH(Servers[[#This Row],[Memory (GB)]],Shapes!$D$10:$D$14,-1)))</f>
        <v>VM.Standard.E3.Flex.62</v>
      </c>
      <c r="Y61" s="7" t="str">
        <f t="shared" si="0"/>
        <v/>
      </c>
    </row>
    <row r="62" spans="1:25">
      <c r="A62" s="420"/>
      <c r="B62" s="421"/>
      <c r="C62" s="422"/>
      <c r="D62" s="421"/>
      <c r="E62" s="422"/>
      <c r="F62" s="422"/>
      <c r="G62" s="422"/>
      <c r="H62" s="434"/>
      <c r="I62" s="434"/>
      <c r="J62" s="426">
        <f>Servers[[#This Row],[CPU 
Sockets]]*Servers[[#This Row],[Cores per Socket]]</f>
        <v>0</v>
      </c>
      <c r="K62" s="424"/>
      <c r="L62" s="424"/>
      <c r="M62" s="425"/>
      <c r="N62" s="423"/>
      <c r="O62" s="433"/>
      <c r="P62" s="7"/>
      <c r="Q62" s="468">
        <f>INDEX(Shapes!$C$4:$C$10,(MATCH(R62,Shapes!$A$4:$A$10,0)))</f>
        <v>1</v>
      </c>
      <c r="R62"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62" s="458" t="str">
        <f>INDEX(Shapes!$A$3:$A$9,(MATCH(Servers[[#This Row],[Total 
Cores]]/2,Shapes!$C$3:$C$9,-1)))</f>
        <v>VM.Standard2.2</v>
      </c>
      <c r="T62" s="469" t="str">
        <f>INDEX(Shapes!$A$3:$A$9,(MATCH(Servers[[#This Row],[Memory (GB)]],Shapes!$D$3:$D$9,-1)))</f>
        <v>VM.Standard2.2</v>
      </c>
      <c r="U62" s="468">
        <f>INDEX(Shapes!$C$11:$C$75,(MATCH(V62,Shapes!$A$11:$A$75,0)))</f>
        <v>1</v>
      </c>
      <c r="V62"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62" s="458" t="str">
        <f>INDEX(Shapes!$A$10:$A$14,(MATCH(Servers[[#This Row],[Total 
Cores]]/2,Shapes!$C$10:$C$14,-1)))</f>
        <v>VM.Standard.E3.Flex.62</v>
      </c>
      <c r="X62" s="469" t="str">
        <f>INDEX(Shapes!$A$10:$A$14,(MATCH(Servers[[#This Row],[Memory (GB)]],Shapes!$D$10:$D$14,-1)))</f>
        <v>VM.Standard.E3.Flex.62</v>
      </c>
      <c r="Y62" s="7" t="str">
        <f t="shared" si="0"/>
        <v/>
      </c>
    </row>
    <row r="63" spans="1:25" ht="16" thickBot="1">
      <c r="A63" s="420"/>
      <c r="B63" s="421"/>
      <c r="C63" s="422"/>
      <c r="D63" s="421"/>
      <c r="E63" s="422"/>
      <c r="F63" s="422"/>
      <c r="G63" s="422"/>
      <c r="H63" s="434"/>
      <c r="I63" s="434"/>
      <c r="J63" s="426">
        <f>Servers[[#This Row],[CPU 
Sockets]]*Servers[[#This Row],[Cores per Socket]]</f>
        <v>0</v>
      </c>
      <c r="K63" s="424"/>
      <c r="L63" s="424"/>
      <c r="M63" s="425"/>
      <c r="N63" s="423"/>
      <c r="O63" s="433"/>
      <c r="P63" s="7"/>
      <c r="Q63" s="468">
        <f>INDEX(Shapes!$C$4:$C$10,(MATCH(R63,Shapes!$A$4:$A$10,0)))</f>
        <v>1</v>
      </c>
      <c r="R63" s="457" t="str">
        <f>IF(ISBLANK(Servers[[#This Row],[Total 
Cores]]),"",IF(INDEX(Shapes!$C$4:$C$10,MATCH(Servers[[#This Row],[Total 
Cores]]/2,Shapes!$C$4:$C$10,-1))&gt;=INDEX(Shapes!$C$4:$C$10,MATCH(Servers[[#This Row],[Memory (GB)]],Shapes!$D$4:$D$10,-1)),
INDEX(Shapes!$A$4:$A$10,MATCH(Servers[[#This Row],[Total 
Cores]]/2,Shapes!$C$4:$C$10,-1)),
INDEX(Shapes!$A$4:$A$10,MATCH(Servers[[#This Row],[Memory (GB)]],Shapes!$D$4:$D$10,-1))))</f>
        <v>VM.Standard2.1</v>
      </c>
      <c r="S63" s="458" t="str">
        <f>INDEX(Shapes!$A$3:$A$9,(MATCH(Servers[[#This Row],[Total 
Cores]]/2,Shapes!$C$3:$C$9,-1)))</f>
        <v>VM.Standard2.2</v>
      </c>
      <c r="T63" s="469" t="str">
        <f>INDEX(Shapes!$A$3:$A$9,(MATCH(Servers[[#This Row],[Memory (GB)]],Shapes!$D$3:$D$9,-1)))</f>
        <v>VM.Standard2.2</v>
      </c>
      <c r="U63" s="468">
        <f>INDEX(Shapes!$C$11:$C$75,(MATCH(V63,Shapes!$A$11:$A$75,0)))</f>
        <v>1</v>
      </c>
      <c r="V63" s="477" t="str">
        <f>IF(ISBLANK(Servers[[#This Row],[Total 
Cores]]),"",IF(INDEX(Shapes!$C$11:$C$75,MATCH(Servers[[#This Row],[Total 
Cores]]/2,Shapes!$C$11:$C$75,-1))&gt;=INDEX(Shapes!$C$11:$C$75,MATCH(Servers[[#This Row],[Memory (GB)]],Shapes!$D$11:$D$75,-1)),
INDEX(Shapes!$A$11:$A$75,MATCH(Servers[[#This Row],[Total 
Cores]]/2,Shapes!$C$11:$C$75,-1)),
INDEX(Shapes!$A$11:$A$75,MATCH(Servers[[#This Row],[Memory (GB)]],Shapes!$D$11:$D$75,-1))))</f>
        <v>VM.Standard.E3.Flex</v>
      </c>
      <c r="W63" s="475" t="str">
        <f>INDEX(Shapes!$A$10:$A$14,(MATCH(Servers[[#This Row],[Total 
Cores]]/2,Shapes!$C$10:$C$14,-1)))</f>
        <v>VM.Standard.E3.Flex.62</v>
      </c>
      <c r="X63" s="476" t="str">
        <f>INDEX(Shapes!$A$10:$A$14,(MATCH(Servers[[#This Row],[Memory (GB)]],Shapes!$D$10:$D$14,-1)))</f>
        <v>VM.Standard.E3.Flex.62</v>
      </c>
      <c r="Y63" s="7" t="str">
        <f t="shared" si="0"/>
        <v/>
      </c>
    </row>
    <row r="65" spans="3:22" s="436" customFormat="1">
      <c r="D65" s="436" t="s">
        <v>2131</v>
      </c>
      <c r="E65" s="437"/>
      <c r="F65" s="437"/>
      <c r="J65" s="436" t="s">
        <v>2300</v>
      </c>
      <c r="L65" s="436" t="s">
        <v>1840</v>
      </c>
      <c r="Q65" s="436" t="s">
        <v>2070</v>
      </c>
      <c r="U65" s="436" t="s">
        <v>2070</v>
      </c>
      <c r="V65" s="460"/>
    </row>
    <row r="66" spans="3:22">
      <c r="C66" s="7" t="s">
        <v>2044</v>
      </c>
      <c r="D66" s="7">
        <f>SUMIF($C7:$C63,$C66,D7:D63)</f>
        <v>0</v>
      </c>
      <c r="J66" s="7">
        <f>SUMIF($C7:$C63,$C66,J7:J63)</f>
        <v>0</v>
      </c>
      <c r="L66" s="7">
        <f>SUMIF($C7:$C63,$C66,L7:L63)</f>
        <v>0</v>
      </c>
      <c r="Q66" s="7">
        <f>SUMIF($C7:$C63,$C66,Q7:Q63)</f>
        <v>0</v>
      </c>
      <c r="U66" s="7">
        <f>SUMIF($C7:$C63,$C66,U7:U63)</f>
        <v>0</v>
      </c>
    </row>
    <row r="67" spans="3:22">
      <c r="C67" s="7" t="s">
        <v>2057</v>
      </c>
      <c r="D67" s="7">
        <f>SUMIF($C7:$C63,$C67,D7:D63)</f>
        <v>0</v>
      </c>
      <c r="J67" s="7">
        <f>SUMIF($C7:$C63,$C67,J7:J63)</f>
        <v>0</v>
      </c>
      <c r="L67" s="7">
        <f>SUMIF($C7:$C63,$C67,L7:L63)</f>
        <v>0</v>
      </c>
      <c r="Q67" s="7">
        <f>SUMIF($C7:$C63,$C67,Q7:Q63)</f>
        <v>0</v>
      </c>
      <c r="U67" s="7">
        <f>SUMIF($C7:$C63,$C67,U7:U63)</f>
        <v>0</v>
      </c>
    </row>
    <row r="68" spans="3:22">
      <c r="Q68" s="7"/>
      <c r="U68" s="7"/>
    </row>
    <row r="69" spans="3:22">
      <c r="C69" s="7" t="s">
        <v>943</v>
      </c>
      <c r="D69" s="436">
        <f>SUMIF(D7:D63,"&gt;0")</f>
        <v>0</v>
      </c>
      <c r="J69" s="436">
        <f>SUMIF(J7:J63,"&gt;0")</f>
        <v>0</v>
      </c>
      <c r="K69" s="436"/>
      <c r="L69" s="436">
        <f>SUMIF(L7:L63,"&gt;0")</f>
        <v>0</v>
      </c>
      <c r="Q69" s="436">
        <f>SUMIF(Q7:Q63,"&gt;0")</f>
        <v>57</v>
      </c>
      <c r="U69" s="436">
        <f>SUMIF(U7:U63,"&gt;0")</f>
        <v>57</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3F993C91-6A58-4075-8918-DC26233064A5}">
          <x14:formula1>
            <xm:f>Shapes!$A$3:$A$51</xm:f>
          </x14:formula1>
          <xm:sqref>Q3:X3 U4:V63 V3:X63 Q4:Q63 R3:T63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AC60-9DF7-48FB-86E7-89C12F27E319}">
  <sheetPr>
    <tabColor theme="1" tint="-0.499984740745262"/>
  </sheetPr>
  <dimension ref="A1:M143"/>
  <sheetViews>
    <sheetView workbookViewId="0">
      <selection activeCell="D1" sqref="D1"/>
    </sheetView>
  </sheetViews>
  <sheetFormatPr baseColWidth="10" defaultColWidth="8.83203125" defaultRowHeight="15"/>
  <cols>
    <col min="1" max="1" width="43.6640625" customWidth="1"/>
    <col min="2" max="2" width="15.5" style="508" bestFit="1" customWidth="1"/>
    <col min="3" max="3" width="1.6640625" customWidth="1"/>
    <col min="4" max="4" width="18.5" customWidth="1"/>
    <col min="5" max="5" width="11.33203125" bestFit="1" customWidth="1"/>
    <col min="6" max="6" width="1.6640625" customWidth="1"/>
    <col min="7" max="7" width="95.33203125" bestFit="1" customWidth="1"/>
  </cols>
  <sheetData>
    <row r="1" spans="1:7" ht="40">
      <c r="A1" s="711" t="s">
        <v>2786</v>
      </c>
      <c r="B1" s="711" t="s">
        <v>2787</v>
      </c>
      <c r="C1" s="712"/>
      <c r="D1" s="713" t="s">
        <v>2822</v>
      </c>
      <c r="E1" s="714" t="s">
        <v>2788</v>
      </c>
      <c r="F1" s="712"/>
      <c r="G1" s="711" t="s">
        <v>498</v>
      </c>
    </row>
    <row r="2" spans="1:7" ht="17">
      <c r="A2" s="715" t="s">
        <v>2792</v>
      </c>
      <c r="B2" s="715"/>
      <c r="C2" s="716"/>
      <c r="D2" s="723"/>
      <c r="E2" s="718">
        <v>5</v>
      </c>
      <c r="F2" s="716"/>
      <c r="G2" s="716"/>
    </row>
    <row r="3" spans="1:7" ht="17">
      <c r="A3" s="715" t="s">
        <v>2701</v>
      </c>
      <c r="B3" s="715"/>
      <c r="C3" s="716"/>
      <c r="D3" s="717"/>
      <c r="E3" s="718">
        <v>16</v>
      </c>
      <c r="F3" s="716"/>
      <c r="G3" s="716"/>
    </row>
    <row r="4" spans="1:7" ht="17">
      <c r="A4" s="715" t="s">
        <v>2823</v>
      </c>
      <c r="B4" s="715" t="s">
        <v>2790</v>
      </c>
      <c r="C4" s="716"/>
      <c r="D4" s="721"/>
      <c r="E4" s="722">
        <v>12000</v>
      </c>
      <c r="F4" s="716"/>
      <c r="G4" s="716"/>
    </row>
    <row r="5" spans="1:7" ht="17">
      <c r="A5" s="715" t="s">
        <v>2699</v>
      </c>
      <c r="B5" s="715" t="s">
        <v>2791</v>
      </c>
      <c r="C5" s="716"/>
      <c r="D5" s="723"/>
      <c r="E5" s="720">
        <v>0.12</v>
      </c>
      <c r="F5" s="716"/>
      <c r="G5" s="716"/>
    </row>
    <row r="6" spans="1:7" ht="16">
      <c r="A6" s="716" t="s">
        <v>2789</v>
      </c>
      <c r="B6" s="716"/>
      <c r="C6" s="716"/>
      <c r="D6" s="719"/>
      <c r="E6" s="720">
        <v>0.5</v>
      </c>
      <c r="F6" s="716"/>
      <c r="G6" s="716"/>
    </row>
    <row r="7" spans="1:7" ht="17">
      <c r="A7" s="715" t="s">
        <v>2826</v>
      </c>
      <c r="B7" s="715"/>
      <c r="C7" s="716"/>
      <c r="D7" s="721"/>
      <c r="E7" s="730">
        <f>(E4+E4*E5*E2)/E3/E2</f>
        <v>240</v>
      </c>
      <c r="F7" s="716"/>
      <c r="G7" s="716"/>
    </row>
    <row r="8" spans="1:7" ht="17">
      <c r="A8" s="715" t="s">
        <v>2793</v>
      </c>
      <c r="B8" s="715" t="s">
        <v>2794</v>
      </c>
      <c r="C8" s="716"/>
      <c r="D8" s="721"/>
      <c r="E8" s="722">
        <f>239*12</f>
        <v>2868</v>
      </c>
      <c r="F8" s="716"/>
      <c r="G8" s="716"/>
    </row>
    <row r="9" spans="1:7" ht="17">
      <c r="A9" s="715" t="s">
        <v>2795</v>
      </c>
      <c r="B9" s="715" t="s">
        <v>2794</v>
      </c>
      <c r="C9" s="716"/>
      <c r="D9" s="721"/>
      <c r="E9" s="722">
        <v>2500</v>
      </c>
      <c r="F9" s="716"/>
      <c r="G9" s="716" t="s">
        <v>2824</v>
      </c>
    </row>
    <row r="10" spans="1:7" ht="17">
      <c r="A10" s="724" t="s">
        <v>2796</v>
      </c>
      <c r="B10" s="715" t="s">
        <v>2794</v>
      </c>
      <c r="C10" s="716"/>
      <c r="D10" s="721"/>
      <c r="E10" s="722">
        <f>(6153+(1539*5))/5</f>
        <v>2769.6</v>
      </c>
      <c r="F10" s="716"/>
      <c r="G10" s="716" t="s">
        <v>2825</v>
      </c>
    </row>
    <row r="11" spans="1:7" ht="17">
      <c r="A11" s="715" t="s">
        <v>2797</v>
      </c>
      <c r="B11" s="715" t="s">
        <v>2794</v>
      </c>
      <c r="C11" s="716"/>
      <c r="D11" s="725"/>
      <c r="E11" s="726">
        <v>2.5</v>
      </c>
      <c r="F11" s="716"/>
      <c r="G11" s="716"/>
    </row>
    <row r="12" spans="1:7" ht="17">
      <c r="A12" s="715" t="s">
        <v>2798</v>
      </c>
      <c r="B12" s="715" t="s">
        <v>2794</v>
      </c>
      <c r="C12" s="716"/>
      <c r="D12" s="725"/>
      <c r="E12" s="726">
        <v>1</v>
      </c>
      <c r="F12" s="716"/>
      <c r="G12" s="716"/>
    </row>
    <row r="13" spans="1:7" ht="17">
      <c r="A13" s="715" t="s">
        <v>2708</v>
      </c>
      <c r="B13" s="715" t="s">
        <v>2794</v>
      </c>
      <c r="C13" s="716"/>
      <c r="D13" s="721"/>
      <c r="E13" s="722">
        <v>21960</v>
      </c>
      <c r="F13" s="716"/>
      <c r="G13" s="716"/>
    </row>
    <row r="14" spans="1:7" ht="17">
      <c r="A14" s="715" t="s">
        <v>2707</v>
      </c>
      <c r="B14" s="715" t="s">
        <v>2794</v>
      </c>
      <c r="C14" s="716"/>
      <c r="D14" s="721"/>
      <c r="E14" s="722">
        <v>18717</v>
      </c>
      <c r="F14" s="716"/>
      <c r="G14" s="716"/>
    </row>
    <row r="15" spans="1:7" ht="17">
      <c r="A15" s="715" t="s">
        <v>2700</v>
      </c>
      <c r="B15" s="715" t="s">
        <v>2794</v>
      </c>
      <c r="C15" s="716"/>
      <c r="D15" s="721"/>
      <c r="E15" s="722">
        <v>18000</v>
      </c>
      <c r="F15" s="716"/>
      <c r="G15" s="716" t="s">
        <v>2799</v>
      </c>
    </row>
    <row r="16" spans="1:7" ht="17">
      <c r="A16" s="715" t="s">
        <v>2800</v>
      </c>
      <c r="B16" s="715"/>
      <c r="C16" s="716"/>
      <c r="D16" s="721"/>
      <c r="E16" s="722"/>
      <c r="F16" s="716"/>
      <c r="G16" s="716" t="s">
        <v>2801</v>
      </c>
    </row>
    <row r="17" spans="1:7" ht="17">
      <c r="A17" s="715" t="s">
        <v>2802</v>
      </c>
      <c r="B17" s="715"/>
      <c r="C17" s="716"/>
      <c r="D17" s="721"/>
      <c r="E17" s="722"/>
      <c r="F17" s="716"/>
      <c r="G17" s="716" t="s">
        <v>2803</v>
      </c>
    </row>
    <row r="18" spans="1:7" ht="16">
      <c r="A18" s="716" t="s">
        <v>2804</v>
      </c>
      <c r="B18" s="716"/>
      <c r="C18" s="716"/>
      <c r="D18" s="719"/>
      <c r="E18" s="716"/>
      <c r="F18" s="716"/>
      <c r="G18" s="716"/>
    </row>
    <row r="19" spans="1:7" ht="17">
      <c r="A19" s="715" t="s">
        <v>2805</v>
      </c>
      <c r="B19" s="715"/>
      <c r="C19" s="716"/>
      <c r="D19" s="721"/>
      <c r="E19" s="722">
        <v>130000</v>
      </c>
      <c r="F19" s="716"/>
      <c r="G19" s="716" t="s">
        <v>2806</v>
      </c>
    </row>
    <row r="20" spans="1:7" ht="17">
      <c r="A20" s="727" t="s">
        <v>2807</v>
      </c>
      <c r="B20" s="715" t="s">
        <v>2791</v>
      </c>
      <c r="C20" s="716"/>
      <c r="D20" s="719"/>
      <c r="E20" s="716"/>
      <c r="F20" s="716"/>
      <c r="G20" s="716" t="s">
        <v>2808</v>
      </c>
    </row>
    <row r="21" spans="1:7" ht="16">
      <c r="A21" s="727"/>
      <c r="B21" s="715"/>
      <c r="C21" s="716"/>
      <c r="D21" s="719"/>
      <c r="E21" s="716"/>
      <c r="F21" s="716"/>
      <c r="G21" s="716"/>
    </row>
    <row r="22" spans="1:7" ht="20">
      <c r="A22" s="711" t="s">
        <v>2809</v>
      </c>
      <c r="B22" s="715"/>
      <c r="C22" s="716"/>
      <c r="D22" s="719"/>
      <c r="E22" s="716"/>
      <c r="F22" s="716"/>
      <c r="G22" s="716"/>
    </row>
    <row r="23" spans="1:7" ht="17">
      <c r="A23" s="715" t="s">
        <v>2810</v>
      </c>
      <c r="B23" s="715"/>
      <c r="C23" s="716"/>
      <c r="D23" s="721"/>
      <c r="E23" s="722"/>
      <c r="F23" s="716"/>
      <c r="G23" s="716"/>
    </row>
    <row r="24" spans="1:7" ht="17">
      <c r="A24" s="715" t="s">
        <v>2811</v>
      </c>
      <c r="B24" s="715"/>
      <c r="C24" s="716"/>
      <c r="D24" s="721"/>
      <c r="E24" s="722"/>
      <c r="F24" s="716"/>
      <c r="G24" s="716"/>
    </row>
    <row r="25" spans="1:7" ht="17">
      <c r="A25" s="715" t="s">
        <v>2812</v>
      </c>
      <c r="B25" s="715"/>
      <c r="C25" s="716"/>
      <c r="D25" s="721"/>
      <c r="E25" s="722"/>
      <c r="F25" s="716"/>
      <c r="G25" s="716"/>
    </row>
    <row r="26" spans="1:7" ht="17">
      <c r="A26" s="715" t="s">
        <v>2813</v>
      </c>
      <c r="B26" s="715"/>
      <c r="C26" s="716"/>
      <c r="D26" s="721"/>
      <c r="E26" s="722"/>
      <c r="F26" s="716"/>
      <c r="G26" s="716"/>
    </row>
    <row r="27" spans="1:7" ht="17">
      <c r="A27" s="715" t="s">
        <v>2814</v>
      </c>
      <c r="B27" s="715"/>
      <c r="C27" s="716"/>
      <c r="D27" s="721"/>
      <c r="E27" s="722"/>
      <c r="F27" s="716"/>
      <c r="G27" s="716"/>
    </row>
    <row r="28" spans="1:7" ht="17">
      <c r="A28" s="715" t="s">
        <v>2815</v>
      </c>
      <c r="B28" s="715"/>
      <c r="C28" s="716"/>
      <c r="D28" s="721"/>
      <c r="E28" s="718"/>
      <c r="F28" s="716"/>
      <c r="G28" s="716"/>
    </row>
    <row r="29" spans="1:7" ht="16">
      <c r="A29" s="716"/>
      <c r="B29" s="716"/>
      <c r="C29" s="716"/>
      <c r="D29" s="719"/>
      <c r="E29" s="716"/>
      <c r="F29" s="716"/>
      <c r="G29" s="716"/>
    </row>
    <row r="30" spans="1:7" ht="16">
      <c r="A30" s="716" t="s">
        <v>2816</v>
      </c>
      <c r="B30" s="716"/>
      <c r="C30" s="716"/>
      <c r="D30" s="719"/>
      <c r="E30" s="716"/>
      <c r="F30" s="716"/>
      <c r="G30" s="716"/>
    </row>
    <row r="31" spans="1:7" ht="16">
      <c r="A31" s="728" t="s">
        <v>2817</v>
      </c>
      <c r="B31" s="716"/>
      <c r="C31" s="716"/>
      <c r="D31" s="719"/>
      <c r="E31" s="729">
        <v>0.25</v>
      </c>
      <c r="F31" s="716"/>
      <c r="G31" s="716"/>
    </row>
    <row r="32" spans="1:7" ht="16">
      <c r="A32" s="728" t="s">
        <v>2818</v>
      </c>
      <c r="B32" s="716"/>
      <c r="C32" s="716"/>
      <c r="D32" s="719"/>
      <c r="E32" s="729">
        <v>0.25</v>
      </c>
      <c r="F32" s="716"/>
      <c r="G32" s="716"/>
    </row>
    <row r="33" spans="1:7" ht="16">
      <c r="A33" s="728" t="s">
        <v>2819</v>
      </c>
      <c r="B33" s="716"/>
      <c r="C33" s="716"/>
      <c r="D33" s="719"/>
      <c r="E33" s="729">
        <v>2</v>
      </c>
      <c r="F33" s="716"/>
      <c r="G33" s="716"/>
    </row>
    <row r="34" spans="1:7" ht="16">
      <c r="A34" s="728" t="s">
        <v>2820</v>
      </c>
      <c r="B34" s="716"/>
      <c r="C34" s="716"/>
      <c r="D34" s="719"/>
      <c r="E34" s="729">
        <v>1</v>
      </c>
      <c r="F34" s="716"/>
      <c r="G34" s="716"/>
    </row>
    <row r="35" spans="1:7" ht="16">
      <c r="A35" s="728" t="s">
        <v>2821</v>
      </c>
      <c r="B35" s="716"/>
      <c r="C35" s="716"/>
      <c r="D35" s="719"/>
      <c r="E35" s="729">
        <v>1</v>
      </c>
      <c r="F35" s="716"/>
      <c r="G35" s="716"/>
    </row>
    <row r="36" spans="1:7" ht="16">
      <c r="A36" s="728" t="s">
        <v>2507</v>
      </c>
      <c r="B36" s="716"/>
      <c r="C36" s="716"/>
      <c r="D36" s="719"/>
      <c r="E36" s="729">
        <v>1</v>
      </c>
      <c r="F36" s="716"/>
      <c r="G36" s="716"/>
    </row>
    <row r="78" spans="1:1">
      <c r="A78" t="s">
        <v>2702</v>
      </c>
    </row>
    <row r="125" spans="1:1">
      <c r="A125" t="s">
        <v>2703</v>
      </c>
    </row>
    <row r="142" spans="1:13">
      <c r="C142" t="s">
        <v>2705</v>
      </c>
      <c r="M142" t="s">
        <v>2706</v>
      </c>
    </row>
    <row r="143" spans="1:13">
      <c r="A143" t="s">
        <v>2704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FFD0-A980-46FB-B3FB-BF81C40E336C}">
  <sheetPr codeName="Sheet21">
    <tabColor rgb="FF000000"/>
  </sheetPr>
  <dimension ref="A1:L108"/>
  <sheetViews>
    <sheetView workbookViewId="0">
      <pane xSplit="1" ySplit="2" topLeftCell="B3" activePane="bottomRight" state="frozen"/>
      <selection activeCell="B52" sqref="B52"/>
      <selection pane="topRight" activeCell="B52" sqref="B52"/>
      <selection pane="bottomLeft" activeCell="B52" sqref="B52"/>
      <selection pane="bottomRight" activeCell="B52" sqref="B52"/>
    </sheetView>
  </sheetViews>
  <sheetFormatPr baseColWidth="10" defaultColWidth="9.1640625" defaultRowHeight="15"/>
  <cols>
    <col min="1" max="1" width="21.1640625" style="438" customWidth="1"/>
    <col min="2" max="2" width="9.1640625" style="438" customWidth="1"/>
    <col min="3" max="3" width="8.33203125" style="438" customWidth="1"/>
    <col min="4" max="4" width="15" style="438" customWidth="1"/>
    <col min="5" max="5" width="19" style="438" customWidth="1"/>
    <col min="6" max="6" width="6.83203125" style="438" customWidth="1"/>
    <col min="7" max="7" width="7.1640625" style="438" customWidth="1"/>
    <col min="8" max="9" width="34.6640625" style="438" customWidth="1"/>
    <col min="10" max="10" width="7" style="438" customWidth="1"/>
    <col min="11" max="11" width="20.1640625" style="438" customWidth="1"/>
    <col min="12" max="16384" width="9.1640625" style="438"/>
  </cols>
  <sheetData>
    <row r="1" spans="1:12">
      <c r="C1" s="82" t="s">
        <v>2569</v>
      </c>
    </row>
    <row r="2" spans="1:12">
      <c r="A2" s="438" t="s">
        <v>2054</v>
      </c>
      <c r="B2" s="438" t="s">
        <v>14</v>
      </c>
      <c r="C2" s="438" t="s">
        <v>2070</v>
      </c>
      <c r="D2" s="438" t="s">
        <v>2047</v>
      </c>
      <c r="E2" s="438" t="s">
        <v>2071</v>
      </c>
      <c r="F2" s="438" t="s">
        <v>2072</v>
      </c>
      <c r="G2" s="438" t="s">
        <v>2073</v>
      </c>
      <c r="H2" s="438" t="s">
        <v>241</v>
      </c>
      <c r="I2" s="438" t="s">
        <v>2313</v>
      </c>
      <c r="J2" s="438" t="s">
        <v>2074</v>
      </c>
      <c r="K2" s="438" t="s">
        <v>2075</v>
      </c>
      <c r="L2" s="438" t="s">
        <v>2076</v>
      </c>
    </row>
    <row r="3" spans="1:12">
      <c r="A3" s="541" t="s">
        <v>2618</v>
      </c>
    </row>
    <row r="4" spans="1:12">
      <c r="A4" s="438" t="s">
        <v>2077</v>
      </c>
      <c r="B4" s="438" t="s">
        <v>2080</v>
      </c>
      <c r="C4" s="438">
        <v>52</v>
      </c>
      <c r="D4" s="438">
        <v>768</v>
      </c>
      <c r="F4" s="438" t="s">
        <v>2619</v>
      </c>
      <c r="G4" s="438" t="s">
        <v>2078</v>
      </c>
      <c r="H4" s="438" t="s">
        <v>2081</v>
      </c>
    </row>
    <row r="5" spans="1:12">
      <c r="A5" s="438" t="s">
        <v>2079</v>
      </c>
      <c r="B5" s="438" t="s">
        <v>2080</v>
      </c>
      <c r="C5" s="438">
        <v>24</v>
      </c>
      <c r="D5" s="438">
        <v>320</v>
      </c>
      <c r="F5" s="438" t="s">
        <v>2619</v>
      </c>
      <c r="G5" s="438" t="s">
        <v>2078</v>
      </c>
      <c r="H5" s="438" t="s">
        <v>2081</v>
      </c>
    </row>
    <row r="6" spans="1:12">
      <c r="A6" s="438" t="s">
        <v>2082</v>
      </c>
      <c r="B6" s="438" t="s">
        <v>2080</v>
      </c>
      <c r="C6" s="438">
        <v>16</v>
      </c>
      <c r="D6" s="438">
        <v>240</v>
      </c>
      <c r="F6" s="438" t="s">
        <v>2619</v>
      </c>
      <c r="G6" s="438" t="s">
        <v>2078</v>
      </c>
      <c r="H6" s="438" t="s">
        <v>2081</v>
      </c>
    </row>
    <row r="7" spans="1:12">
      <c r="A7" s="438" t="s">
        <v>2083</v>
      </c>
      <c r="B7" s="438" t="s">
        <v>2080</v>
      </c>
      <c r="C7" s="438">
        <v>8</v>
      </c>
      <c r="D7" s="438">
        <v>120</v>
      </c>
      <c r="F7" s="438" t="s">
        <v>2619</v>
      </c>
      <c r="G7" s="438" t="s">
        <v>2078</v>
      </c>
      <c r="H7" s="438" t="s">
        <v>2081</v>
      </c>
    </row>
    <row r="8" spans="1:12">
      <c r="A8" s="438" t="s">
        <v>2084</v>
      </c>
      <c r="B8" s="438" t="s">
        <v>2080</v>
      </c>
      <c r="C8" s="438">
        <v>4</v>
      </c>
      <c r="D8" s="438">
        <v>60</v>
      </c>
      <c r="F8" s="438" t="s">
        <v>2619</v>
      </c>
      <c r="G8" s="438" t="s">
        <v>2078</v>
      </c>
      <c r="H8" s="438" t="s">
        <v>2081</v>
      </c>
    </row>
    <row r="9" spans="1:12">
      <c r="A9" s="438" t="s">
        <v>2085</v>
      </c>
      <c r="B9" s="438" t="s">
        <v>2080</v>
      </c>
      <c r="C9" s="438">
        <v>2</v>
      </c>
      <c r="D9" s="438">
        <v>30</v>
      </c>
      <c r="F9" s="438" t="s">
        <v>2619</v>
      </c>
      <c r="G9" s="438" t="s">
        <v>2078</v>
      </c>
      <c r="H9" s="438" t="s">
        <v>2081</v>
      </c>
    </row>
    <row r="10" spans="1:12">
      <c r="A10" s="438" t="s">
        <v>2086</v>
      </c>
      <c r="B10" s="438" t="s">
        <v>2080</v>
      </c>
      <c r="C10" s="438">
        <v>1</v>
      </c>
      <c r="D10" s="438">
        <v>15</v>
      </c>
      <c r="F10" s="438" t="s">
        <v>2619</v>
      </c>
      <c r="G10" s="438" t="s">
        <v>2078</v>
      </c>
      <c r="H10" s="438" t="s">
        <v>2081</v>
      </c>
    </row>
    <row r="11" spans="1:12">
      <c r="A11" s="438" t="s">
        <v>2620</v>
      </c>
      <c r="B11" s="438" t="s">
        <v>2080</v>
      </c>
      <c r="C11" s="438">
        <v>128</v>
      </c>
      <c r="D11" s="438">
        <v>2048</v>
      </c>
      <c r="F11" s="438" t="s">
        <v>2323</v>
      </c>
      <c r="G11" s="438" t="s">
        <v>2088</v>
      </c>
      <c r="H11" s="438" t="s">
        <v>2312</v>
      </c>
    </row>
    <row r="12" spans="1:12">
      <c r="A12" s="438" t="str">
        <f t="shared" ref="A12:A73" si="0">$A$75&amp;"."&amp;C12</f>
        <v>VM.Standard.E3.Flex.64</v>
      </c>
      <c r="B12" s="438" t="s">
        <v>2080</v>
      </c>
      <c r="C12" s="438">
        <v>64</v>
      </c>
      <c r="D12" s="438">
        <f>C12*16</f>
        <v>1024</v>
      </c>
      <c r="F12" s="438" t="s">
        <v>2323</v>
      </c>
      <c r="G12" s="438" t="s">
        <v>2088</v>
      </c>
      <c r="H12" s="438" t="s">
        <v>2312</v>
      </c>
      <c r="I12" s="438" t="s">
        <v>2314</v>
      </c>
    </row>
    <row r="13" spans="1:12">
      <c r="A13" s="438" t="str">
        <f t="shared" si="0"/>
        <v>VM.Standard.E3.Flex.63</v>
      </c>
      <c r="B13" s="438" t="s">
        <v>2080</v>
      </c>
      <c r="C13" s="438">
        <f t="shared" ref="C13:C73" si="1">C14+1</f>
        <v>63</v>
      </c>
      <c r="D13" s="438">
        <f t="shared" ref="D13:D74" si="2">C13*16</f>
        <v>1008</v>
      </c>
      <c r="F13" s="438" t="s">
        <v>2323</v>
      </c>
      <c r="G13" s="438" t="s">
        <v>2088</v>
      </c>
      <c r="H13" s="438" t="s">
        <v>2312</v>
      </c>
      <c r="I13" s="438" t="s">
        <v>2314</v>
      </c>
    </row>
    <row r="14" spans="1:12">
      <c r="A14" s="438" t="str">
        <f t="shared" si="0"/>
        <v>VM.Standard.E3.Flex.62</v>
      </c>
      <c r="B14" s="438" t="s">
        <v>2080</v>
      </c>
      <c r="C14" s="438">
        <f t="shared" si="1"/>
        <v>62</v>
      </c>
      <c r="D14" s="438">
        <f t="shared" si="2"/>
        <v>992</v>
      </c>
      <c r="F14" s="438" t="s">
        <v>2323</v>
      </c>
      <c r="G14" s="438" t="s">
        <v>2088</v>
      </c>
      <c r="H14" s="438" t="s">
        <v>2312</v>
      </c>
      <c r="I14" s="438" t="s">
        <v>2314</v>
      </c>
    </row>
    <row r="15" spans="1:12">
      <c r="A15" s="438" t="str">
        <f t="shared" si="0"/>
        <v>VM.Standard.E3.Flex.61</v>
      </c>
      <c r="B15" s="438" t="s">
        <v>2080</v>
      </c>
      <c r="C15" s="438">
        <f t="shared" si="1"/>
        <v>61</v>
      </c>
      <c r="D15" s="438">
        <f t="shared" si="2"/>
        <v>976</v>
      </c>
      <c r="F15" s="438" t="s">
        <v>2323</v>
      </c>
      <c r="G15" s="438" t="s">
        <v>2088</v>
      </c>
      <c r="H15" s="438" t="s">
        <v>2312</v>
      </c>
      <c r="I15" s="438" t="s">
        <v>2314</v>
      </c>
    </row>
    <row r="16" spans="1:12">
      <c r="A16" s="438" t="str">
        <f t="shared" si="0"/>
        <v>VM.Standard.E3.Flex.60</v>
      </c>
      <c r="B16" s="438" t="s">
        <v>2080</v>
      </c>
      <c r="C16" s="438">
        <f t="shared" si="1"/>
        <v>60</v>
      </c>
      <c r="D16" s="438">
        <f t="shared" si="2"/>
        <v>960</v>
      </c>
      <c r="F16" s="438" t="s">
        <v>2323</v>
      </c>
      <c r="G16" s="438" t="s">
        <v>2088</v>
      </c>
      <c r="H16" s="438" t="s">
        <v>2312</v>
      </c>
      <c r="I16" s="438" t="s">
        <v>2314</v>
      </c>
    </row>
    <row r="17" spans="1:9">
      <c r="A17" s="438" t="str">
        <f t="shared" si="0"/>
        <v>VM.Standard.E3.Flex.59</v>
      </c>
      <c r="B17" s="438" t="s">
        <v>2080</v>
      </c>
      <c r="C17" s="438">
        <f t="shared" si="1"/>
        <v>59</v>
      </c>
      <c r="D17" s="438">
        <f t="shared" si="2"/>
        <v>944</v>
      </c>
      <c r="F17" s="438" t="s">
        <v>2323</v>
      </c>
      <c r="G17" s="438" t="s">
        <v>2088</v>
      </c>
      <c r="H17" s="438" t="s">
        <v>2312</v>
      </c>
      <c r="I17" s="438" t="s">
        <v>2314</v>
      </c>
    </row>
    <row r="18" spans="1:9">
      <c r="A18" s="438" t="str">
        <f t="shared" si="0"/>
        <v>VM.Standard.E3.Flex.58</v>
      </c>
      <c r="B18" s="438" t="s">
        <v>2080</v>
      </c>
      <c r="C18" s="438">
        <f t="shared" si="1"/>
        <v>58</v>
      </c>
      <c r="D18" s="438">
        <f t="shared" si="2"/>
        <v>928</v>
      </c>
      <c r="F18" s="438" t="s">
        <v>2323</v>
      </c>
      <c r="G18" s="438" t="s">
        <v>2088</v>
      </c>
      <c r="H18" s="438" t="s">
        <v>2312</v>
      </c>
      <c r="I18" s="438" t="s">
        <v>2314</v>
      </c>
    </row>
    <row r="19" spans="1:9">
      <c r="A19" s="438" t="str">
        <f t="shared" si="0"/>
        <v>VM.Standard.E3.Flex.57</v>
      </c>
      <c r="B19" s="438" t="s">
        <v>2080</v>
      </c>
      <c r="C19" s="438">
        <f t="shared" si="1"/>
        <v>57</v>
      </c>
      <c r="D19" s="438">
        <f t="shared" si="2"/>
        <v>912</v>
      </c>
      <c r="F19" s="438" t="s">
        <v>2323</v>
      </c>
      <c r="G19" s="438" t="s">
        <v>2088</v>
      </c>
      <c r="H19" s="438" t="s">
        <v>2312</v>
      </c>
      <c r="I19" s="438" t="s">
        <v>2314</v>
      </c>
    </row>
    <row r="20" spans="1:9">
      <c r="A20" s="438" t="str">
        <f t="shared" si="0"/>
        <v>VM.Standard.E3.Flex.56</v>
      </c>
      <c r="B20" s="438" t="s">
        <v>2080</v>
      </c>
      <c r="C20" s="438">
        <f t="shared" si="1"/>
        <v>56</v>
      </c>
      <c r="D20" s="438">
        <f t="shared" si="2"/>
        <v>896</v>
      </c>
      <c r="F20" s="438" t="s">
        <v>2323</v>
      </c>
      <c r="G20" s="438" t="s">
        <v>2088</v>
      </c>
      <c r="H20" s="438" t="s">
        <v>2312</v>
      </c>
      <c r="I20" s="438" t="s">
        <v>2314</v>
      </c>
    </row>
    <row r="21" spans="1:9">
      <c r="A21" s="438" t="str">
        <f t="shared" si="0"/>
        <v>VM.Standard.E3.Flex.55</v>
      </c>
      <c r="B21" s="438" t="s">
        <v>2080</v>
      </c>
      <c r="C21" s="438">
        <f t="shared" si="1"/>
        <v>55</v>
      </c>
      <c r="D21" s="438">
        <f t="shared" si="2"/>
        <v>880</v>
      </c>
      <c r="F21" s="438" t="s">
        <v>2323</v>
      </c>
      <c r="G21" s="438" t="s">
        <v>2088</v>
      </c>
      <c r="H21" s="438" t="s">
        <v>2312</v>
      </c>
      <c r="I21" s="438" t="s">
        <v>2314</v>
      </c>
    </row>
    <row r="22" spans="1:9">
      <c r="A22" s="438" t="str">
        <f t="shared" si="0"/>
        <v>VM.Standard.E3.Flex.54</v>
      </c>
      <c r="B22" s="438" t="s">
        <v>2080</v>
      </c>
      <c r="C22" s="438">
        <f t="shared" si="1"/>
        <v>54</v>
      </c>
      <c r="D22" s="438">
        <f t="shared" si="2"/>
        <v>864</v>
      </c>
      <c r="F22" s="438" t="s">
        <v>2323</v>
      </c>
      <c r="G22" s="438" t="s">
        <v>2088</v>
      </c>
      <c r="H22" s="438" t="s">
        <v>2312</v>
      </c>
      <c r="I22" s="438" t="s">
        <v>2314</v>
      </c>
    </row>
    <row r="23" spans="1:9">
      <c r="A23" s="438" t="str">
        <f t="shared" si="0"/>
        <v>VM.Standard.E3.Flex.53</v>
      </c>
      <c r="B23" s="438" t="s">
        <v>2080</v>
      </c>
      <c r="C23" s="438">
        <f t="shared" si="1"/>
        <v>53</v>
      </c>
      <c r="D23" s="438">
        <f t="shared" si="2"/>
        <v>848</v>
      </c>
      <c r="F23" s="438" t="s">
        <v>2323</v>
      </c>
      <c r="G23" s="438" t="s">
        <v>2088</v>
      </c>
      <c r="H23" s="438" t="s">
        <v>2312</v>
      </c>
      <c r="I23" s="438" t="s">
        <v>2314</v>
      </c>
    </row>
    <row r="24" spans="1:9">
      <c r="A24" s="438" t="str">
        <f t="shared" si="0"/>
        <v>VM.Standard.E3.Flex.52</v>
      </c>
      <c r="B24" s="438" t="s">
        <v>2080</v>
      </c>
      <c r="C24" s="438">
        <f t="shared" si="1"/>
        <v>52</v>
      </c>
      <c r="D24" s="438">
        <f t="shared" si="2"/>
        <v>832</v>
      </c>
      <c r="F24" s="438" t="s">
        <v>2323</v>
      </c>
      <c r="G24" s="438" t="s">
        <v>2088</v>
      </c>
      <c r="H24" s="438" t="s">
        <v>2312</v>
      </c>
      <c r="I24" s="438" t="s">
        <v>2314</v>
      </c>
    </row>
    <row r="25" spans="1:9">
      <c r="A25" s="438" t="str">
        <f t="shared" si="0"/>
        <v>VM.Standard.E3.Flex.51</v>
      </c>
      <c r="B25" s="438" t="s">
        <v>2080</v>
      </c>
      <c r="C25" s="438">
        <f t="shared" si="1"/>
        <v>51</v>
      </c>
      <c r="D25" s="438">
        <f t="shared" si="2"/>
        <v>816</v>
      </c>
      <c r="F25" s="438" t="s">
        <v>2323</v>
      </c>
      <c r="G25" s="438" t="s">
        <v>2088</v>
      </c>
      <c r="H25" s="438" t="s">
        <v>2312</v>
      </c>
      <c r="I25" s="438" t="s">
        <v>2314</v>
      </c>
    </row>
    <row r="26" spans="1:9">
      <c r="A26" s="438" t="str">
        <f t="shared" si="0"/>
        <v>VM.Standard.E3.Flex.50</v>
      </c>
      <c r="B26" s="438" t="s">
        <v>2080</v>
      </c>
      <c r="C26" s="438">
        <f t="shared" si="1"/>
        <v>50</v>
      </c>
      <c r="D26" s="438">
        <f t="shared" si="2"/>
        <v>800</v>
      </c>
      <c r="F26" s="438" t="s">
        <v>2323</v>
      </c>
      <c r="G26" s="438" t="s">
        <v>2088</v>
      </c>
      <c r="H26" s="438" t="s">
        <v>2312</v>
      </c>
      <c r="I26" s="438" t="s">
        <v>2314</v>
      </c>
    </row>
    <row r="27" spans="1:9">
      <c r="A27" s="438" t="str">
        <f t="shared" si="0"/>
        <v>VM.Standard.E3.Flex.49</v>
      </c>
      <c r="B27" s="438" t="s">
        <v>2080</v>
      </c>
      <c r="C27" s="438">
        <f t="shared" si="1"/>
        <v>49</v>
      </c>
      <c r="D27" s="438">
        <f t="shared" si="2"/>
        <v>784</v>
      </c>
      <c r="F27" s="438" t="s">
        <v>2323</v>
      </c>
      <c r="G27" s="438" t="s">
        <v>2088</v>
      </c>
      <c r="H27" s="438" t="s">
        <v>2312</v>
      </c>
      <c r="I27" s="438" t="s">
        <v>2314</v>
      </c>
    </row>
    <row r="28" spans="1:9">
      <c r="A28" s="438" t="str">
        <f t="shared" si="0"/>
        <v>VM.Standard.E3.Flex.48</v>
      </c>
      <c r="B28" s="438" t="s">
        <v>2080</v>
      </c>
      <c r="C28" s="438">
        <f t="shared" si="1"/>
        <v>48</v>
      </c>
      <c r="D28" s="438">
        <f t="shared" si="2"/>
        <v>768</v>
      </c>
      <c r="F28" s="438" t="s">
        <v>2323</v>
      </c>
      <c r="G28" s="438" t="s">
        <v>2088</v>
      </c>
      <c r="H28" s="438" t="s">
        <v>2312</v>
      </c>
      <c r="I28" s="438" t="s">
        <v>2314</v>
      </c>
    </row>
    <row r="29" spans="1:9">
      <c r="A29" s="438" t="str">
        <f t="shared" si="0"/>
        <v>VM.Standard.E3.Flex.47</v>
      </c>
      <c r="B29" s="438" t="s">
        <v>2080</v>
      </c>
      <c r="C29" s="438">
        <f t="shared" si="1"/>
        <v>47</v>
      </c>
      <c r="D29" s="438">
        <f t="shared" si="2"/>
        <v>752</v>
      </c>
      <c r="F29" s="438" t="s">
        <v>2323</v>
      </c>
      <c r="G29" s="438" t="s">
        <v>2088</v>
      </c>
      <c r="H29" s="438" t="s">
        <v>2312</v>
      </c>
      <c r="I29" s="438" t="s">
        <v>2314</v>
      </c>
    </row>
    <row r="30" spans="1:9">
      <c r="A30" s="438" t="str">
        <f t="shared" si="0"/>
        <v>VM.Standard.E3.Flex.46</v>
      </c>
      <c r="B30" s="438" t="s">
        <v>2080</v>
      </c>
      <c r="C30" s="438">
        <f t="shared" si="1"/>
        <v>46</v>
      </c>
      <c r="D30" s="438">
        <f t="shared" si="2"/>
        <v>736</v>
      </c>
      <c r="F30" s="438" t="s">
        <v>2323</v>
      </c>
      <c r="G30" s="438" t="s">
        <v>2088</v>
      </c>
      <c r="H30" s="438" t="s">
        <v>2312</v>
      </c>
      <c r="I30" s="438" t="s">
        <v>2314</v>
      </c>
    </row>
    <row r="31" spans="1:9">
      <c r="A31" s="438" t="str">
        <f t="shared" si="0"/>
        <v>VM.Standard.E3.Flex.45</v>
      </c>
      <c r="B31" s="438" t="s">
        <v>2080</v>
      </c>
      <c r="C31" s="438">
        <f t="shared" si="1"/>
        <v>45</v>
      </c>
      <c r="D31" s="438">
        <f t="shared" si="2"/>
        <v>720</v>
      </c>
      <c r="F31" s="438" t="s">
        <v>2323</v>
      </c>
      <c r="G31" s="438" t="s">
        <v>2088</v>
      </c>
      <c r="H31" s="438" t="s">
        <v>2312</v>
      </c>
      <c r="I31" s="438" t="s">
        <v>2314</v>
      </c>
    </row>
    <row r="32" spans="1:9">
      <c r="A32" s="438" t="str">
        <f t="shared" si="0"/>
        <v>VM.Standard.E3.Flex.44</v>
      </c>
      <c r="B32" s="438" t="s">
        <v>2080</v>
      </c>
      <c r="C32" s="438">
        <f t="shared" si="1"/>
        <v>44</v>
      </c>
      <c r="D32" s="438">
        <f t="shared" si="2"/>
        <v>704</v>
      </c>
      <c r="F32" s="438" t="s">
        <v>2323</v>
      </c>
      <c r="G32" s="438" t="s">
        <v>2088</v>
      </c>
      <c r="H32" s="438" t="s">
        <v>2312</v>
      </c>
      <c r="I32" s="438" t="s">
        <v>2314</v>
      </c>
    </row>
    <row r="33" spans="1:9">
      <c r="A33" s="438" t="str">
        <f t="shared" si="0"/>
        <v>VM.Standard.E3.Flex.43</v>
      </c>
      <c r="B33" s="438" t="s">
        <v>2080</v>
      </c>
      <c r="C33" s="438">
        <f t="shared" si="1"/>
        <v>43</v>
      </c>
      <c r="D33" s="438">
        <f t="shared" si="2"/>
        <v>688</v>
      </c>
      <c r="F33" s="438" t="s">
        <v>2323</v>
      </c>
      <c r="G33" s="438" t="s">
        <v>2088</v>
      </c>
      <c r="H33" s="438" t="s">
        <v>2312</v>
      </c>
      <c r="I33" s="438" t="s">
        <v>2314</v>
      </c>
    </row>
    <row r="34" spans="1:9">
      <c r="A34" s="438" t="str">
        <f t="shared" si="0"/>
        <v>VM.Standard.E3.Flex.42</v>
      </c>
      <c r="B34" s="438" t="s">
        <v>2080</v>
      </c>
      <c r="C34" s="438">
        <f t="shared" si="1"/>
        <v>42</v>
      </c>
      <c r="D34" s="438">
        <f t="shared" si="2"/>
        <v>672</v>
      </c>
      <c r="F34" s="438" t="s">
        <v>2323</v>
      </c>
      <c r="G34" s="438" t="s">
        <v>2088</v>
      </c>
      <c r="H34" s="438" t="s">
        <v>2312</v>
      </c>
      <c r="I34" s="438" t="s">
        <v>2314</v>
      </c>
    </row>
    <row r="35" spans="1:9">
      <c r="A35" s="438" t="str">
        <f t="shared" si="0"/>
        <v>VM.Standard.E3.Flex.41</v>
      </c>
      <c r="B35" s="438" t="s">
        <v>2080</v>
      </c>
      <c r="C35" s="438">
        <f t="shared" si="1"/>
        <v>41</v>
      </c>
      <c r="D35" s="438">
        <f t="shared" si="2"/>
        <v>656</v>
      </c>
      <c r="F35" s="438" t="s">
        <v>2323</v>
      </c>
      <c r="G35" s="438" t="s">
        <v>2088</v>
      </c>
      <c r="H35" s="438" t="s">
        <v>2312</v>
      </c>
      <c r="I35" s="438" t="s">
        <v>2314</v>
      </c>
    </row>
    <row r="36" spans="1:9">
      <c r="A36" s="438" t="str">
        <f t="shared" si="0"/>
        <v>VM.Standard.E3.Flex.40</v>
      </c>
      <c r="B36" s="438" t="s">
        <v>2080</v>
      </c>
      <c r="C36" s="438">
        <f t="shared" si="1"/>
        <v>40</v>
      </c>
      <c r="D36" s="438">
        <f t="shared" si="2"/>
        <v>640</v>
      </c>
      <c r="F36" s="438" t="s">
        <v>2323</v>
      </c>
      <c r="G36" s="438" t="s">
        <v>2088</v>
      </c>
      <c r="H36" s="438" t="s">
        <v>2312</v>
      </c>
      <c r="I36" s="438" t="s">
        <v>2314</v>
      </c>
    </row>
    <row r="37" spans="1:9">
      <c r="A37" s="438" t="str">
        <f t="shared" si="0"/>
        <v>VM.Standard.E3.Flex.39</v>
      </c>
      <c r="B37" s="438" t="s">
        <v>2080</v>
      </c>
      <c r="C37" s="438">
        <f t="shared" si="1"/>
        <v>39</v>
      </c>
      <c r="D37" s="438">
        <f t="shared" si="2"/>
        <v>624</v>
      </c>
      <c r="F37" s="438" t="s">
        <v>2323</v>
      </c>
      <c r="G37" s="438" t="s">
        <v>2088</v>
      </c>
      <c r="H37" s="438" t="s">
        <v>2312</v>
      </c>
      <c r="I37" s="438" t="s">
        <v>2314</v>
      </c>
    </row>
    <row r="38" spans="1:9">
      <c r="A38" s="438" t="str">
        <f t="shared" si="0"/>
        <v>VM.Standard.E3.Flex.38</v>
      </c>
      <c r="B38" s="438" t="s">
        <v>2080</v>
      </c>
      <c r="C38" s="438">
        <f t="shared" si="1"/>
        <v>38</v>
      </c>
      <c r="D38" s="438">
        <f t="shared" si="2"/>
        <v>608</v>
      </c>
      <c r="F38" s="438" t="s">
        <v>2323</v>
      </c>
      <c r="G38" s="438" t="s">
        <v>2088</v>
      </c>
      <c r="H38" s="438" t="s">
        <v>2312</v>
      </c>
      <c r="I38" s="438" t="s">
        <v>2314</v>
      </c>
    </row>
    <row r="39" spans="1:9">
      <c r="A39" s="438" t="str">
        <f t="shared" si="0"/>
        <v>VM.Standard.E3.Flex.37</v>
      </c>
      <c r="B39" s="438" t="s">
        <v>2080</v>
      </c>
      <c r="C39" s="438">
        <f t="shared" si="1"/>
        <v>37</v>
      </c>
      <c r="D39" s="438">
        <f t="shared" si="2"/>
        <v>592</v>
      </c>
      <c r="F39" s="438" t="s">
        <v>2323</v>
      </c>
      <c r="G39" s="438" t="s">
        <v>2088</v>
      </c>
      <c r="H39" s="438" t="s">
        <v>2312</v>
      </c>
      <c r="I39" s="438" t="s">
        <v>2314</v>
      </c>
    </row>
    <row r="40" spans="1:9">
      <c r="A40" s="438" t="str">
        <f t="shared" si="0"/>
        <v>VM.Standard.E3.Flex.36</v>
      </c>
      <c r="B40" s="438" t="s">
        <v>2080</v>
      </c>
      <c r="C40" s="438">
        <f t="shared" si="1"/>
        <v>36</v>
      </c>
      <c r="D40" s="438">
        <f t="shared" si="2"/>
        <v>576</v>
      </c>
      <c r="F40" s="438" t="s">
        <v>2323</v>
      </c>
      <c r="G40" s="438" t="s">
        <v>2088</v>
      </c>
      <c r="H40" s="438" t="s">
        <v>2312</v>
      </c>
      <c r="I40" s="438" t="s">
        <v>2314</v>
      </c>
    </row>
    <row r="41" spans="1:9">
      <c r="A41" s="438" t="str">
        <f t="shared" si="0"/>
        <v>VM.Standard.E3.Flex.35</v>
      </c>
      <c r="B41" s="438" t="s">
        <v>2080</v>
      </c>
      <c r="C41" s="438">
        <f t="shared" si="1"/>
        <v>35</v>
      </c>
      <c r="D41" s="438">
        <f t="shared" si="2"/>
        <v>560</v>
      </c>
      <c r="F41" s="438" t="s">
        <v>2323</v>
      </c>
      <c r="G41" s="438" t="s">
        <v>2088</v>
      </c>
      <c r="H41" s="438" t="s">
        <v>2312</v>
      </c>
      <c r="I41" s="438" t="s">
        <v>2314</v>
      </c>
    </row>
    <row r="42" spans="1:9">
      <c r="A42" s="438" t="str">
        <f t="shared" si="0"/>
        <v>VM.Standard.E3.Flex.34</v>
      </c>
      <c r="B42" s="438" t="s">
        <v>2080</v>
      </c>
      <c r="C42" s="438">
        <f t="shared" si="1"/>
        <v>34</v>
      </c>
      <c r="D42" s="438">
        <f t="shared" si="2"/>
        <v>544</v>
      </c>
      <c r="F42" s="438" t="s">
        <v>2323</v>
      </c>
      <c r="G42" s="438" t="s">
        <v>2088</v>
      </c>
      <c r="H42" s="438" t="s">
        <v>2312</v>
      </c>
      <c r="I42" s="438" t="s">
        <v>2314</v>
      </c>
    </row>
    <row r="43" spans="1:9">
      <c r="A43" s="438" t="str">
        <f t="shared" si="0"/>
        <v>VM.Standard.E3.Flex.33</v>
      </c>
      <c r="B43" s="438" t="s">
        <v>2080</v>
      </c>
      <c r="C43" s="438">
        <f t="shared" si="1"/>
        <v>33</v>
      </c>
      <c r="D43" s="438">
        <f t="shared" si="2"/>
        <v>528</v>
      </c>
      <c r="F43" s="438" t="s">
        <v>2323</v>
      </c>
      <c r="G43" s="438" t="s">
        <v>2088</v>
      </c>
      <c r="H43" s="438" t="s">
        <v>2312</v>
      </c>
      <c r="I43" s="438" t="s">
        <v>2314</v>
      </c>
    </row>
    <row r="44" spans="1:9">
      <c r="A44" s="438" t="str">
        <f t="shared" si="0"/>
        <v>VM.Standard.E3.Flex.32</v>
      </c>
      <c r="B44" s="438" t="s">
        <v>2080</v>
      </c>
      <c r="C44" s="438">
        <f t="shared" si="1"/>
        <v>32</v>
      </c>
      <c r="D44" s="438">
        <f t="shared" si="2"/>
        <v>512</v>
      </c>
      <c r="F44" s="438" t="s">
        <v>2323</v>
      </c>
      <c r="G44" s="438" t="s">
        <v>2088</v>
      </c>
      <c r="H44" s="438" t="s">
        <v>2312</v>
      </c>
      <c r="I44" s="438" t="s">
        <v>2314</v>
      </c>
    </row>
    <row r="45" spans="1:9">
      <c r="A45" s="438" t="str">
        <f t="shared" si="0"/>
        <v>VM.Standard.E3.Flex.31</v>
      </c>
      <c r="B45" s="438" t="s">
        <v>2080</v>
      </c>
      <c r="C45" s="438">
        <f t="shared" si="1"/>
        <v>31</v>
      </c>
      <c r="D45" s="438">
        <f t="shared" si="2"/>
        <v>496</v>
      </c>
      <c r="F45" s="438" t="s">
        <v>2323</v>
      </c>
      <c r="G45" s="438" t="s">
        <v>2088</v>
      </c>
      <c r="H45" s="438" t="s">
        <v>2312</v>
      </c>
      <c r="I45" s="438" t="s">
        <v>2314</v>
      </c>
    </row>
    <row r="46" spans="1:9">
      <c r="A46" s="438" t="str">
        <f t="shared" si="0"/>
        <v>VM.Standard.E3.Flex.30</v>
      </c>
      <c r="B46" s="438" t="s">
        <v>2080</v>
      </c>
      <c r="C46" s="438">
        <f t="shared" si="1"/>
        <v>30</v>
      </c>
      <c r="D46" s="438">
        <f t="shared" si="2"/>
        <v>480</v>
      </c>
      <c r="F46" s="438" t="s">
        <v>2323</v>
      </c>
      <c r="G46" s="438" t="s">
        <v>2088</v>
      </c>
      <c r="H46" s="438" t="s">
        <v>2312</v>
      </c>
      <c r="I46" s="438" t="s">
        <v>2314</v>
      </c>
    </row>
    <row r="47" spans="1:9">
      <c r="A47" s="438" t="str">
        <f t="shared" si="0"/>
        <v>VM.Standard.E3.Flex.29</v>
      </c>
      <c r="B47" s="438" t="s">
        <v>2080</v>
      </c>
      <c r="C47" s="438">
        <f t="shared" si="1"/>
        <v>29</v>
      </c>
      <c r="D47" s="438">
        <f t="shared" si="2"/>
        <v>464</v>
      </c>
      <c r="F47" s="438" t="s">
        <v>2323</v>
      </c>
      <c r="G47" s="438" t="s">
        <v>2088</v>
      </c>
      <c r="H47" s="438" t="s">
        <v>2312</v>
      </c>
      <c r="I47" s="438" t="s">
        <v>2314</v>
      </c>
    </row>
    <row r="48" spans="1:9">
      <c r="A48" s="438" t="str">
        <f t="shared" si="0"/>
        <v>VM.Standard.E3.Flex.28</v>
      </c>
      <c r="B48" s="438" t="s">
        <v>2080</v>
      </c>
      <c r="C48" s="438">
        <f t="shared" si="1"/>
        <v>28</v>
      </c>
      <c r="D48" s="438">
        <f t="shared" si="2"/>
        <v>448</v>
      </c>
      <c r="F48" s="438" t="s">
        <v>2323</v>
      </c>
      <c r="G48" s="438" t="s">
        <v>2088</v>
      </c>
      <c r="H48" s="438" t="s">
        <v>2312</v>
      </c>
      <c r="I48" s="438" t="s">
        <v>2314</v>
      </c>
    </row>
    <row r="49" spans="1:9">
      <c r="A49" s="438" t="str">
        <f t="shared" si="0"/>
        <v>VM.Standard.E3.Flex.27</v>
      </c>
      <c r="B49" s="438" t="s">
        <v>2080</v>
      </c>
      <c r="C49" s="438">
        <f t="shared" si="1"/>
        <v>27</v>
      </c>
      <c r="D49" s="438">
        <f t="shared" si="2"/>
        <v>432</v>
      </c>
      <c r="F49" s="438" t="s">
        <v>2323</v>
      </c>
      <c r="G49" s="438" t="s">
        <v>2088</v>
      </c>
      <c r="H49" s="438" t="s">
        <v>2312</v>
      </c>
      <c r="I49" s="438" t="s">
        <v>2314</v>
      </c>
    </row>
    <row r="50" spans="1:9">
      <c r="A50" s="438" t="str">
        <f t="shared" si="0"/>
        <v>VM.Standard.E3.Flex.26</v>
      </c>
      <c r="B50" s="438" t="s">
        <v>2080</v>
      </c>
      <c r="C50" s="438">
        <f t="shared" si="1"/>
        <v>26</v>
      </c>
      <c r="D50" s="438">
        <f t="shared" si="2"/>
        <v>416</v>
      </c>
      <c r="F50" s="438" t="s">
        <v>2323</v>
      </c>
      <c r="G50" s="438" t="s">
        <v>2088</v>
      </c>
      <c r="H50" s="438" t="s">
        <v>2312</v>
      </c>
      <c r="I50" s="438" t="s">
        <v>2314</v>
      </c>
    </row>
    <row r="51" spans="1:9">
      <c r="A51" s="438" t="str">
        <f t="shared" si="0"/>
        <v>VM.Standard.E3.Flex.25</v>
      </c>
      <c r="B51" s="438" t="s">
        <v>2080</v>
      </c>
      <c r="C51" s="438">
        <f t="shared" si="1"/>
        <v>25</v>
      </c>
      <c r="D51" s="438">
        <f t="shared" si="2"/>
        <v>400</v>
      </c>
      <c r="F51" s="438" t="s">
        <v>2323</v>
      </c>
      <c r="G51" s="438" t="s">
        <v>2088</v>
      </c>
      <c r="H51" s="438" t="s">
        <v>2312</v>
      </c>
      <c r="I51" s="438" t="s">
        <v>2314</v>
      </c>
    </row>
    <row r="52" spans="1:9">
      <c r="A52" s="438" t="str">
        <f t="shared" si="0"/>
        <v>VM.Standard.E3.Flex.24</v>
      </c>
      <c r="B52" s="438" t="s">
        <v>2080</v>
      </c>
      <c r="C52" s="438">
        <f t="shared" si="1"/>
        <v>24</v>
      </c>
      <c r="D52" s="438">
        <f t="shared" si="2"/>
        <v>384</v>
      </c>
      <c r="F52" s="438" t="s">
        <v>2323</v>
      </c>
      <c r="G52" s="438" t="s">
        <v>2088</v>
      </c>
      <c r="H52" s="438" t="s">
        <v>2312</v>
      </c>
      <c r="I52" s="438" t="s">
        <v>2314</v>
      </c>
    </row>
    <row r="53" spans="1:9">
      <c r="A53" s="438" t="str">
        <f t="shared" si="0"/>
        <v>VM.Standard.E3.Flex.23</v>
      </c>
      <c r="B53" s="438" t="s">
        <v>2080</v>
      </c>
      <c r="C53" s="438">
        <f t="shared" si="1"/>
        <v>23</v>
      </c>
      <c r="D53" s="438">
        <f t="shared" si="2"/>
        <v>368</v>
      </c>
      <c r="F53" s="438" t="s">
        <v>2323</v>
      </c>
      <c r="G53" s="438" t="s">
        <v>2088</v>
      </c>
      <c r="H53" s="438" t="s">
        <v>2312</v>
      </c>
      <c r="I53" s="438" t="s">
        <v>2314</v>
      </c>
    </row>
    <row r="54" spans="1:9">
      <c r="A54" s="438" t="str">
        <f t="shared" si="0"/>
        <v>VM.Standard.E3.Flex.22</v>
      </c>
      <c r="B54" s="438" t="s">
        <v>2080</v>
      </c>
      <c r="C54" s="438">
        <f t="shared" si="1"/>
        <v>22</v>
      </c>
      <c r="D54" s="438">
        <f t="shared" si="2"/>
        <v>352</v>
      </c>
      <c r="F54" s="438" t="s">
        <v>2323</v>
      </c>
      <c r="G54" s="438" t="s">
        <v>2088</v>
      </c>
      <c r="H54" s="438" t="s">
        <v>2312</v>
      </c>
      <c r="I54" s="438" t="s">
        <v>2314</v>
      </c>
    </row>
    <row r="55" spans="1:9">
      <c r="A55" s="438" t="str">
        <f t="shared" si="0"/>
        <v>VM.Standard.E3.Flex.21</v>
      </c>
      <c r="B55" s="438" t="s">
        <v>2080</v>
      </c>
      <c r="C55" s="438">
        <f t="shared" si="1"/>
        <v>21</v>
      </c>
      <c r="D55" s="438">
        <f t="shared" si="2"/>
        <v>336</v>
      </c>
      <c r="F55" s="438" t="s">
        <v>2323</v>
      </c>
      <c r="G55" s="438" t="s">
        <v>2088</v>
      </c>
      <c r="H55" s="438" t="s">
        <v>2312</v>
      </c>
      <c r="I55" s="438" t="s">
        <v>2314</v>
      </c>
    </row>
    <row r="56" spans="1:9">
      <c r="A56" s="438" t="str">
        <f t="shared" si="0"/>
        <v>VM.Standard.E3.Flex.20</v>
      </c>
      <c r="B56" s="438" t="s">
        <v>2080</v>
      </c>
      <c r="C56" s="438">
        <f t="shared" si="1"/>
        <v>20</v>
      </c>
      <c r="D56" s="438">
        <f t="shared" si="2"/>
        <v>320</v>
      </c>
      <c r="F56" s="438" t="s">
        <v>2323</v>
      </c>
      <c r="G56" s="438" t="s">
        <v>2088</v>
      </c>
      <c r="H56" s="438" t="s">
        <v>2312</v>
      </c>
      <c r="I56" s="438" t="s">
        <v>2314</v>
      </c>
    </row>
    <row r="57" spans="1:9">
      <c r="A57" s="438" t="str">
        <f t="shared" si="0"/>
        <v>VM.Standard.E3.Flex.19</v>
      </c>
      <c r="B57" s="438" t="s">
        <v>2080</v>
      </c>
      <c r="C57" s="438">
        <f t="shared" si="1"/>
        <v>19</v>
      </c>
      <c r="D57" s="438">
        <f t="shared" si="2"/>
        <v>304</v>
      </c>
      <c r="F57" s="438" t="s">
        <v>2323</v>
      </c>
      <c r="G57" s="438" t="s">
        <v>2088</v>
      </c>
      <c r="H57" s="438" t="s">
        <v>2312</v>
      </c>
      <c r="I57" s="438" t="s">
        <v>2314</v>
      </c>
    </row>
    <row r="58" spans="1:9">
      <c r="A58" s="438" t="str">
        <f t="shared" si="0"/>
        <v>VM.Standard.E3.Flex.18</v>
      </c>
      <c r="B58" s="438" t="s">
        <v>2080</v>
      </c>
      <c r="C58" s="438">
        <f t="shared" si="1"/>
        <v>18</v>
      </c>
      <c r="D58" s="438">
        <f t="shared" si="2"/>
        <v>288</v>
      </c>
      <c r="F58" s="438" t="s">
        <v>2323</v>
      </c>
      <c r="G58" s="438" t="s">
        <v>2088</v>
      </c>
      <c r="H58" s="438" t="s">
        <v>2312</v>
      </c>
      <c r="I58" s="438" t="s">
        <v>2314</v>
      </c>
    </row>
    <row r="59" spans="1:9">
      <c r="A59" s="438" t="str">
        <f t="shared" si="0"/>
        <v>VM.Standard.E3.Flex.17</v>
      </c>
      <c r="B59" s="438" t="s">
        <v>2080</v>
      </c>
      <c r="C59" s="438">
        <f t="shared" si="1"/>
        <v>17</v>
      </c>
      <c r="D59" s="438">
        <f t="shared" si="2"/>
        <v>272</v>
      </c>
      <c r="F59" s="438" t="s">
        <v>2323</v>
      </c>
      <c r="G59" s="438" t="s">
        <v>2088</v>
      </c>
      <c r="H59" s="438" t="s">
        <v>2312</v>
      </c>
      <c r="I59" s="438" t="s">
        <v>2314</v>
      </c>
    </row>
    <row r="60" spans="1:9">
      <c r="A60" s="438" t="str">
        <f t="shared" si="0"/>
        <v>VM.Standard.E3.Flex.16</v>
      </c>
      <c r="B60" s="438" t="s">
        <v>2080</v>
      </c>
      <c r="C60" s="438">
        <f t="shared" si="1"/>
        <v>16</v>
      </c>
      <c r="D60" s="438">
        <f t="shared" si="2"/>
        <v>256</v>
      </c>
      <c r="F60" s="438" t="s">
        <v>2323</v>
      </c>
      <c r="G60" s="438" t="s">
        <v>2088</v>
      </c>
      <c r="H60" s="438" t="s">
        <v>2312</v>
      </c>
      <c r="I60" s="438" t="s">
        <v>2314</v>
      </c>
    </row>
    <row r="61" spans="1:9">
      <c r="A61" s="438" t="str">
        <f t="shared" si="0"/>
        <v>VM.Standard.E3.Flex.15</v>
      </c>
      <c r="B61" s="438" t="s">
        <v>2080</v>
      </c>
      <c r="C61" s="438">
        <f t="shared" si="1"/>
        <v>15</v>
      </c>
      <c r="D61" s="438">
        <f t="shared" si="2"/>
        <v>240</v>
      </c>
      <c r="F61" s="438" t="s">
        <v>2323</v>
      </c>
      <c r="G61" s="438" t="s">
        <v>2088</v>
      </c>
      <c r="H61" s="438" t="s">
        <v>2312</v>
      </c>
      <c r="I61" s="438" t="s">
        <v>2314</v>
      </c>
    </row>
    <row r="62" spans="1:9">
      <c r="A62" s="438" t="str">
        <f t="shared" si="0"/>
        <v>VM.Standard.E3.Flex.14</v>
      </c>
      <c r="B62" s="438" t="s">
        <v>2080</v>
      </c>
      <c r="C62" s="438">
        <f t="shared" si="1"/>
        <v>14</v>
      </c>
      <c r="D62" s="438">
        <f t="shared" si="2"/>
        <v>224</v>
      </c>
      <c r="F62" s="438" t="s">
        <v>2323</v>
      </c>
      <c r="G62" s="438" t="s">
        <v>2088</v>
      </c>
      <c r="H62" s="438" t="s">
        <v>2312</v>
      </c>
      <c r="I62" s="438" t="s">
        <v>2314</v>
      </c>
    </row>
    <row r="63" spans="1:9">
      <c r="A63" s="438" t="str">
        <f t="shared" si="0"/>
        <v>VM.Standard.E3.Flex.13</v>
      </c>
      <c r="B63" s="438" t="s">
        <v>2080</v>
      </c>
      <c r="C63" s="438">
        <f t="shared" si="1"/>
        <v>13</v>
      </c>
      <c r="D63" s="438">
        <f t="shared" si="2"/>
        <v>208</v>
      </c>
      <c r="F63" s="438" t="s">
        <v>2323</v>
      </c>
      <c r="G63" s="438" t="s">
        <v>2088</v>
      </c>
      <c r="H63" s="438" t="s">
        <v>2312</v>
      </c>
      <c r="I63" s="438" t="s">
        <v>2314</v>
      </c>
    </row>
    <row r="64" spans="1:9">
      <c r="A64" s="438" t="str">
        <f t="shared" si="0"/>
        <v>VM.Standard.E3.Flex.12</v>
      </c>
      <c r="B64" s="438" t="s">
        <v>2080</v>
      </c>
      <c r="C64" s="438">
        <f t="shared" si="1"/>
        <v>12</v>
      </c>
      <c r="D64" s="438">
        <f t="shared" si="2"/>
        <v>192</v>
      </c>
      <c r="F64" s="438" t="s">
        <v>2323</v>
      </c>
      <c r="G64" s="438" t="s">
        <v>2088</v>
      </c>
      <c r="H64" s="438" t="s">
        <v>2312</v>
      </c>
      <c r="I64" s="438" t="s">
        <v>2314</v>
      </c>
    </row>
    <row r="65" spans="1:9">
      <c r="A65" s="438" t="str">
        <f t="shared" si="0"/>
        <v>VM.Standard.E3.Flex.11</v>
      </c>
      <c r="B65" s="438" t="s">
        <v>2080</v>
      </c>
      <c r="C65" s="438">
        <f t="shared" si="1"/>
        <v>11</v>
      </c>
      <c r="D65" s="438">
        <f t="shared" si="2"/>
        <v>176</v>
      </c>
      <c r="F65" s="438" t="s">
        <v>2323</v>
      </c>
      <c r="G65" s="438" t="s">
        <v>2088</v>
      </c>
      <c r="H65" s="438" t="s">
        <v>2312</v>
      </c>
      <c r="I65" s="438" t="s">
        <v>2314</v>
      </c>
    </row>
    <row r="66" spans="1:9">
      <c r="A66" s="438" t="str">
        <f t="shared" si="0"/>
        <v>VM.Standard.E3.Flex.10</v>
      </c>
      <c r="B66" s="438" t="s">
        <v>2080</v>
      </c>
      <c r="C66" s="438">
        <f t="shared" si="1"/>
        <v>10</v>
      </c>
      <c r="D66" s="438">
        <f t="shared" si="2"/>
        <v>160</v>
      </c>
      <c r="F66" s="438" t="s">
        <v>2323</v>
      </c>
      <c r="G66" s="438" t="s">
        <v>2088</v>
      </c>
      <c r="H66" s="438" t="s">
        <v>2312</v>
      </c>
      <c r="I66" s="438" t="s">
        <v>2314</v>
      </c>
    </row>
    <row r="67" spans="1:9">
      <c r="A67" s="438" t="str">
        <f t="shared" si="0"/>
        <v>VM.Standard.E3.Flex.9</v>
      </c>
      <c r="B67" s="438" t="s">
        <v>2080</v>
      </c>
      <c r="C67" s="438">
        <f t="shared" si="1"/>
        <v>9</v>
      </c>
      <c r="D67" s="438">
        <f t="shared" si="2"/>
        <v>144</v>
      </c>
      <c r="F67" s="438" t="s">
        <v>2323</v>
      </c>
      <c r="G67" s="438" t="s">
        <v>2088</v>
      </c>
      <c r="H67" s="438" t="s">
        <v>2312</v>
      </c>
      <c r="I67" s="438" t="s">
        <v>2314</v>
      </c>
    </row>
    <row r="68" spans="1:9">
      <c r="A68" s="438" t="str">
        <f t="shared" si="0"/>
        <v>VM.Standard.E3.Flex.8</v>
      </c>
      <c r="B68" s="438" t="s">
        <v>2080</v>
      </c>
      <c r="C68" s="438">
        <f t="shared" si="1"/>
        <v>8</v>
      </c>
      <c r="D68" s="438">
        <f t="shared" si="2"/>
        <v>128</v>
      </c>
      <c r="F68" s="438" t="s">
        <v>2323</v>
      </c>
      <c r="G68" s="438" t="s">
        <v>2088</v>
      </c>
      <c r="H68" s="438" t="s">
        <v>2312</v>
      </c>
      <c r="I68" s="438" t="s">
        <v>2314</v>
      </c>
    </row>
    <row r="69" spans="1:9">
      <c r="A69" s="438" t="str">
        <f t="shared" si="0"/>
        <v>VM.Standard.E3.Flex.7</v>
      </c>
      <c r="B69" s="438" t="s">
        <v>2080</v>
      </c>
      <c r="C69" s="438">
        <f t="shared" si="1"/>
        <v>7</v>
      </c>
      <c r="D69" s="438">
        <f t="shared" si="2"/>
        <v>112</v>
      </c>
      <c r="F69" s="438" t="s">
        <v>2323</v>
      </c>
      <c r="G69" s="438" t="s">
        <v>2088</v>
      </c>
      <c r="H69" s="438" t="s">
        <v>2312</v>
      </c>
      <c r="I69" s="438" t="s">
        <v>2314</v>
      </c>
    </row>
    <row r="70" spans="1:9">
      <c r="A70" s="438" t="str">
        <f t="shared" si="0"/>
        <v>VM.Standard.E3.Flex.6</v>
      </c>
      <c r="B70" s="438" t="s">
        <v>2080</v>
      </c>
      <c r="C70" s="438">
        <f t="shared" si="1"/>
        <v>6</v>
      </c>
      <c r="D70" s="438">
        <f t="shared" si="2"/>
        <v>96</v>
      </c>
      <c r="F70" s="438" t="s">
        <v>2323</v>
      </c>
      <c r="G70" s="438" t="s">
        <v>2088</v>
      </c>
      <c r="H70" s="438" t="s">
        <v>2312</v>
      </c>
      <c r="I70" s="438" t="s">
        <v>2314</v>
      </c>
    </row>
    <row r="71" spans="1:9">
      <c r="A71" s="438" t="str">
        <f t="shared" si="0"/>
        <v>VM.Standard.E3.Flex.5</v>
      </c>
      <c r="B71" s="438" t="s">
        <v>2080</v>
      </c>
      <c r="C71" s="438">
        <f t="shared" si="1"/>
        <v>5</v>
      </c>
      <c r="D71" s="438">
        <f t="shared" si="2"/>
        <v>80</v>
      </c>
      <c r="F71" s="438" t="s">
        <v>2323</v>
      </c>
      <c r="G71" s="438" t="s">
        <v>2088</v>
      </c>
      <c r="H71" s="438" t="s">
        <v>2312</v>
      </c>
      <c r="I71" s="438" t="s">
        <v>2314</v>
      </c>
    </row>
    <row r="72" spans="1:9">
      <c r="A72" s="438" t="str">
        <f t="shared" si="0"/>
        <v>VM.Standard.E3.Flex.4</v>
      </c>
      <c r="B72" s="438" t="s">
        <v>2080</v>
      </c>
      <c r="C72" s="438">
        <f t="shared" si="1"/>
        <v>4</v>
      </c>
      <c r="D72" s="438">
        <f t="shared" si="2"/>
        <v>64</v>
      </c>
      <c r="F72" s="438" t="s">
        <v>2323</v>
      </c>
      <c r="G72" s="438" t="s">
        <v>2088</v>
      </c>
      <c r="H72" s="438" t="s">
        <v>2312</v>
      </c>
      <c r="I72" s="438" t="s">
        <v>2314</v>
      </c>
    </row>
    <row r="73" spans="1:9">
      <c r="A73" s="438" t="str">
        <f t="shared" si="0"/>
        <v>VM.Standard.E3.Flex.3</v>
      </c>
      <c r="B73" s="438" t="s">
        <v>2080</v>
      </c>
      <c r="C73" s="438">
        <f t="shared" si="1"/>
        <v>3</v>
      </c>
      <c r="D73" s="438">
        <f t="shared" si="2"/>
        <v>48</v>
      </c>
      <c r="F73" s="438" t="s">
        <v>2323</v>
      </c>
      <c r="G73" s="438" t="s">
        <v>2088</v>
      </c>
      <c r="H73" s="438" t="s">
        <v>2312</v>
      </c>
      <c r="I73" s="438" t="s">
        <v>2314</v>
      </c>
    </row>
    <row r="74" spans="1:9">
      <c r="A74" s="438" t="str">
        <f>$A$75&amp;"."&amp;C74</f>
        <v>VM.Standard.E3.Flex.2</v>
      </c>
      <c r="B74" s="438" t="s">
        <v>2080</v>
      </c>
      <c r="C74" s="438">
        <f>C75+1</f>
        <v>2</v>
      </c>
      <c r="D74" s="438">
        <f t="shared" si="2"/>
        <v>32</v>
      </c>
      <c r="F74" s="438" t="s">
        <v>2323</v>
      </c>
      <c r="G74" s="438" t="s">
        <v>2088</v>
      </c>
      <c r="H74" s="438" t="s">
        <v>2312</v>
      </c>
      <c r="I74" s="438" t="s">
        <v>2314</v>
      </c>
    </row>
    <row r="75" spans="1:9">
      <c r="A75" s="438" t="s">
        <v>2311</v>
      </c>
      <c r="B75" s="438" t="s">
        <v>2080</v>
      </c>
      <c r="C75" s="438">
        <v>1</v>
      </c>
      <c r="D75" s="438">
        <f>C75*16</f>
        <v>16</v>
      </c>
      <c r="F75" s="438" t="s">
        <v>2323</v>
      </c>
      <c r="G75" s="438" t="s">
        <v>2088</v>
      </c>
      <c r="H75" s="438" t="s">
        <v>2312</v>
      </c>
      <c r="I75" s="438" t="s">
        <v>2314</v>
      </c>
    </row>
    <row r="76" spans="1:9">
      <c r="A76" s="541" t="s">
        <v>586</v>
      </c>
    </row>
    <row r="77" spans="1:9">
      <c r="A77" s="438" t="s">
        <v>2094</v>
      </c>
      <c r="B77" s="438" t="s">
        <v>2096</v>
      </c>
      <c r="C77" s="438">
        <v>52</v>
      </c>
      <c r="D77" s="438">
        <v>768</v>
      </c>
      <c r="E77" s="438">
        <v>51.2</v>
      </c>
      <c r="F77" s="438" t="s">
        <v>2619</v>
      </c>
      <c r="G77" s="438" t="s">
        <v>2078</v>
      </c>
      <c r="H77" s="438" t="s">
        <v>2081</v>
      </c>
    </row>
    <row r="78" spans="1:9">
      <c r="A78" s="438" t="s">
        <v>2095</v>
      </c>
      <c r="B78" s="438" t="s">
        <v>2096</v>
      </c>
      <c r="C78" s="438">
        <v>24</v>
      </c>
      <c r="D78" s="438">
        <v>320</v>
      </c>
      <c r="E78" s="438">
        <v>25.6</v>
      </c>
      <c r="F78" s="438" t="s">
        <v>2619</v>
      </c>
      <c r="G78" s="438" t="s">
        <v>2078</v>
      </c>
      <c r="H78" s="438" t="s">
        <v>2081</v>
      </c>
    </row>
    <row r="79" spans="1:9">
      <c r="A79" s="438" t="s">
        <v>2097</v>
      </c>
      <c r="B79" s="438" t="s">
        <v>2096</v>
      </c>
      <c r="C79" s="438">
        <v>16</v>
      </c>
      <c r="D79" s="438">
        <v>240</v>
      </c>
      <c r="E79" s="438">
        <v>12.8</v>
      </c>
      <c r="F79" s="438" t="s">
        <v>2619</v>
      </c>
      <c r="G79" s="438" t="s">
        <v>2078</v>
      </c>
      <c r="H79" s="438" t="s">
        <v>2081</v>
      </c>
    </row>
    <row r="80" spans="1:9">
      <c r="A80" s="438" t="s">
        <v>2098</v>
      </c>
      <c r="B80" s="438" t="s">
        <v>2096</v>
      </c>
      <c r="C80" s="438">
        <v>8</v>
      </c>
      <c r="D80" s="438">
        <v>120</v>
      </c>
      <c r="E80" s="438">
        <v>6.4</v>
      </c>
      <c r="F80" s="438" t="s">
        <v>2619</v>
      </c>
      <c r="G80" s="438" t="s">
        <v>2078</v>
      </c>
      <c r="H80" s="438" t="s">
        <v>2081</v>
      </c>
    </row>
    <row r="81" spans="1:11">
      <c r="A81" s="438" t="s">
        <v>2112</v>
      </c>
      <c r="B81" s="438" t="s">
        <v>2096</v>
      </c>
      <c r="C81" s="438">
        <v>36</v>
      </c>
      <c r="D81" s="438">
        <v>512</v>
      </c>
      <c r="E81" s="438">
        <v>28.8</v>
      </c>
      <c r="F81" s="438" t="s">
        <v>2621</v>
      </c>
      <c r="G81" s="438" t="s">
        <v>2078</v>
      </c>
      <c r="H81" s="438" t="s">
        <v>2113</v>
      </c>
    </row>
    <row r="82" spans="1:11">
      <c r="A82" s="438" t="s">
        <v>2116</v>
      </c>
      <c r="B82" s="438" t="s">
        <v>2096</v>
      </c>
      <c r="C82" s="438">
        <v>16</v>
      </c>
      <c r="D82" s="438">
        <v>240</v>
      </c>
      <c r="E82" s="438">
        <v>12.8</v>
      </c>
      <c r="F82" s="438" t="s">
        <v>2621</v>
      </c>
      <c r="G82" s="438" t="s">
        <v>2078</v>
      </c>
      <c r="H82" s="438" t="s">
        <v>2113</v>
      </c>
    </row>
    <row r="83" spans="1:11">
      <c r="A83" s="438" t="s">
        <v>2121</v>
      </c>
      <c r="B83" s="438" t="s">
        <v>2096</v>
      </c>
      <c r="C83" s="438">
        <v>8</v>
      </c>
      <c r="D83" s="438">
        <v>120</v>
      </c>
      <c r="E83" s="438">
        <v>6.4</v>
      </c>
      <c r="F83" s="438" t="s">
        <v>2621</v>
      </c>
      <c r="G83" s="438" t="s">
        <v>2078</v>
      </c>
      <c r="H83" s="438" t="s">
        <v>2113</v>
      </c>
    </row>
    <row r="84" spans="1:11">
      <c r="A84" s="438" t="s">
        <v>2124</v>
      </c>
      <c r="B84" s="438" t="s">
        <v>2096</v>
      </c>
      <c r="C84" s="438">
        <v>4</v>
      </c>
      <c r="D84" s="438">
        <v>60</v>
      </c>
      <c r="E84" s="438">
        <v>3.2</v>
      </c>
      <c r="F84" s="438" t="s">
        <v>2621</v>
      </c>
      <c r="G84" s="438" t="s">
        <v>2078</v>
      </c>
      <c r="H84" s="438" t="s">
        <v>2113</v>
      </c>
    </row>
    <row r="85" spans="1:11">
      <c r="A85" s="438" t="s">
        <v>2099</v>
      </c>
      <c r="B85" s="438" t="s">
        <v>2074</v>
      </c>
      <c r="C85" s="438">
        <v>52</v>
      </c>
      <c r="D85" s="438">
        <v>768</v>
      </c>
      <c r="F85" s="438" t="s">
        <v>2619</v>
      </c>
      <c r="G85" s="438" t="s">
        <v>2078</v>
      </c>
      <c r="H85" s="438" t="s">
        <v>2081</v>
      </c>
      <c r="J85" s="438">
        <v>8</v>
      </c>
      <c r="K85" s="438" t="s">
        <v>2100</v>
      </c>
    </row>
    <row r="86" spans="1:11">
      <c r="A86" s="438" t="s">
        <v>2101</v>
      </c>
      <c r="B86" s="438" t="s">
        <v>2074</v>
      </c>
      <c r="C86" s="438">
        <v>28</v>
      </c>
      <c r="D86" s="438">
        <v>192</v>
      </c>
      <c r="F86" s="438" t="s">
        <v>2619</v>
      </c>
      <c r="G86" s="438" t="s">
        <v>2078</v>
      </c>
      <c r="H86" s="438" t="s">
        <v>2081</v>
      </c>
      <c r="J86" s="438">
        <v>2</v>
      </c>
      <c r="K86" s="438" t="s">
        <v>2102</v>
      </c>
    </row>
    <row r="87" spans="1:11">
      <c r="A87" s="438" t="s">
        <v>2103</v>
      </c>
      <c r="B87" s="438" t="s">
        <v>2074</v>
      </c>
      <c r="C87" s="438">
        <v>24</v>
      </c>
      <c r="D87" s="438">
        <v>360</v>
      </c>
      <c r="F87" s="438" t="s">
        <v>2619</v>
      </c>
      <c r="G87" s="438" t="s">
        <v>2078</v>
      </c>
      <c r="H87" s="438" t="s">
        <v>2081</v>
      </c>
      <c r="J87" s="438">
        <v>4</v>
      </c>
      <c r="K87" s="438" t="s">
        <v>2100</v>
      </c>
    </row>
    <row r="88" spans="1:11">
      <c r="A88" s="438" t="s">
        <v>2104</v>
      </c>
      <c r="B88" s="438" t="s">
        <v>2074</v>
      </c>
      <c r="C88" s="438">
        <v>12</v>
      </c>
      <c r="D88" s="438">
        <v>180</v>
      </c>
      <c r="F88" s="438" t="s">
        <v>2619</v>
      </c>
      <c r="G88" s="438" t="s">
        <v>2078</v>
      </c>
      <c r="H88" s="438" t="s">
        <v>2081</v>
      </c>
      <c r="J88" s="438">
        <v>2</v>
      </c>
      <c r="K88" s="438" t="s">
        <v>2100</v>
      </c>
    </row>
    <row r="89" spans="1:11">
      <c r="A89" s="438" t="s">
        <v>2105</v>
      </c>
      <c r="B89" s="438" t="s">
        <v>2074</v>
      </c>
      <c r="C89" s="438">
        <v>12</v>
      </c>
      <c r="D89" s="438">
        <v>104</v>
      </c>
      <c r="F89" s="438" t="s">
        <v>2619</v>
      </c>
      <c r="G89" s="438" t="s">
        <v>2078</v>
      </c>
      <c r="H89" s="438" t="s">
        <v>2081</v>
      </c>
      <c r="J89" s="438">
        <v>1</v>
      </c>
      <c r="K89" s="438" t="s">
        <v>2102</v>
      </c>
    </row>
    <row r="90" spans="1:11">
      <c r="A90" s="438" t="s">
        <v>2106</v>
      </c>
      <c r="B90" s="438" t="s">
        <v>2074</v>
      </c>
      <c r="C90" s="438">
        <v>6</v>
      </c>
      <c r="D90" s="438">
        <v>90</v>
      </c>
      <c r="F90" s="438" t="s">
        <v>2619</v>
      </c>
      <c r="G90" s="438" t="s">
        <v>2078</v>
      </c>
      <c r="H90" s="438" t="s">
        <v>2081</v>
      </c>
      <c r="J90" s="438">
        <v>1</v>
      </c>
      <c r="K90" s="438" t="s">
        <v>2100</v>
      </c>
    </row>
    <row r="91" spans="1:11">
      <c r="A91" s="438" t="s">
        <v>2107</v>
      </c>
      <c r="B91" s="438" t="s">
        <v>2108</v>
      </c>
      <c r="C91" s="438">
        <v>36</v>
      </c>
      <c r="D91" s="438">
        <v>384</v>
      </c>
      <c r="E91" s="438">
        <v>6.7</v>
      </c>
      <c r="F91" s="438" t="s">
        <v>2619</v>
      </c>
      <c r="G91" s="438" t="s">
        <v>2078</v>
      </c>
      <c r="H91" s="438" t="s">
        <v>2109</v>
      </c>
    </row>
    <row r="92" spans="1:11">
      <c r="A92" s="438" t="s">
        <v>2110</v>
      </c>
      <c r="B92" s="438" t="s">
        <v>2080</v>
      </c>
      <c r="C92" s="438">
        <v>44</v>
      </c>
      <c r="D92" s="438">
        <v>256</v>
      </c>
      <c r="F92" s="438" t="s">
        <v>2622</v>
      </c>
      <c r="G92" s="438" t="s">
        <v>2078</v>
      </c>
      <c r="H92" s="438" t="s">
        <v>2111</v>
      </c>
    </row>
    <row r="93" spans="1:11">
      <c r="A93" s="438" t="s">
        <v>2117</v>
      </c>
      <c r="B93" s="438" t="s">
        <v>2080</v>
      </c>
      <c r="C93" s="438">
        <v>16</v>
      </c>
      <c r="D93" s="438">
        <v>188.8</v>
      </c>
      <c r="F93" s="438" t="s">
        <v>2622</v>
      </c>
      <c r="G93" s="438" t="s">
        <v>2078</v>
      </c>
      <c r="H93" s="438" t="s">
        <v>2118</v>
      </c>
    </row>
    <row r="94" spans="1:11">
      <c r="A94" s="438" t="s">
        <v>2122</v>
      </c>
      <c r="B94" s="438" t="s">
        <v>2080</v>
      </c>
      <c r="C94" s="438">
        <v>8</v>
      </c>
      <c r="D94" s="438">
        <v>94.4</v>
      </c>
      <c r="F94" s="438" t="s">
        <v>2622</v>
      </c>
      <c r="G94" s="438" t="s">
        <v>2078</v>
      </c>
      <c r="H94" s="438" t="s">
        <v>2118</v>
      </c>
    </row>
    <row r="95" spans="1:11">
      <c r="A95" s="438" t="s">
        <v>2125</v>
      </c>
      <c r="B95" s="438" t="s">
        <v>2080</v>
      </c>
      <c r="C95" s="438">
        <v>4</v>
      </c>
      <c r="D95" s="438">
        <v>47.2</v>
      </c>
      <c r="F95" s="438" t="s">
        <v>2622</v>
      </c>
      <c r="G95" s="438" t="s">
        <v>2078</v>
      </c>
      <c r="H95" s="438" t="s">
        <v>2118</v>
      </c>
    </row>
    <row r="96" spans="1:11">
      <c r="A96" s="438" t="s">
        <v>2127</v>
      </c>
      <c r="B96" s="438" t="s">
        <v>2080</v>
      </c>
      <c r="C96" s="438">
        <v>2</v>
      </c>
      <c r="D96" s="438">
        <v>23.6</v>
      </c>
      <c r="F96" s="438" t="s">
        <v>2622</v>
      </c>
      <c r="G96" s="438" t="s">
        <v>2078</v>
      </c>
      <c r="H96" s="438" t="s">
        <v>2118</v>
      </c>
    </row>
    <row r="97" spans="1:8">
      <c r="A97" s="438" t="s">
        <v>2129</v>
      </c>
      <c r="B97" s="438" t="s">
        <v>2080</v>
      </c>
      <c r="C97" s="438">
        <v>1</v>
      </c>
      <c r="D97" s="438">
        <v>11.8</v>
      </c>
      <c r="F97" s="438" t="s">
        <v>2622</v>
      </c>
      <c r="G97" s="438" t="s">
        <v>2078</v>
      </c>
      <c r="H97" s="438" t="s">
        <v>2118</v>
      </c>
    </row>
    <row r="98" spans="1:8">
      <c r="A98" s="438" t="s">
        <v>2114</v>
      </c>
      <c r="B98" s="438" t="s">
        <v>2080</v>
      </c>
      <c r="C98" s="438">
        <v>36</v>
      </c>
      <c r="D98" s="438">
        <v>256</v>
      </c>
      <c r="F98" s="438" t="s">
        <v>2621</v>
      </c>
      <c r="G98" s="438" t="s">
        <v>2078</v>
      </c>
      <c r="H98" s="438" t="s">
        <v>2115</v>
      </c>
    </row>
    <row r="99" spans="1:8">
      <c r="A99" s="438" t="s">
        <v>2119</v>
      </c>
      <c r="B99" s="438" t="s">
        <v>2080</v>
      </c>
      <c r="C99" s="438">
        <v>16</v>
      </c>
      <c r="D99" s="438">
        <v>112</v>
      </c>
      <c r="F99" s="438" t="s">
        <v>2621</v>
      </c>
      <c r="G99" s="438" t="s">
        <v>2078</v>
      </c>
      <c r="H99" s="438" t="s">
        <v>2120</v>
      </c>
    </row>
    <row r="100" spans="1:8">
      <c r="A100" s="438" t="s">
        <v>2123</v>
      </c>
      <c r="B100" s="438" t="s">
        <v>2080</v>
      </c>
      <c r="C100" s="438">
        <v>8</v>
      </c>
      <c r="D100" s="438">
        <v>56</v>
      </c>
      <c r="F100" s="438" t="s">
        <v>2621</v>
      </c>
      <c r="G100" s="438" t="s">
        <v>2078</v>
      </c>
      <c r="H100" s="438" t="s">
        <v>2120</v>
      </c>
    </row>
    <row r="101" spans="1:8">
      <c r="A101" s="438" t="s">
        <v>2126</v>
      </c>
      <c r="B101" s="438" t="s">
        <v>2080</v>
      </c>
      <c r="C101" s="438">
        <v>4</v>
      </c>
      <c r="D101" s="438">
        <v>28</v>
      </c>
      <c r="F101" s="438" t="s">
        <v>2621</v>
      </c>
      <c r="G101" s="438" t="s">
        <v>2078</v>
      </c>
      <c r="H101" s="438" t="s">
        <v>2120</v>
      </c>
    </row>
    <row r="102" spans="1:8">
      <c r="A102" s="438" t="s">
        <v>2128</v>
      </c>
      <c r="B102" s="438" t="s">
        <v>2080</v>
      </c>
      <c r="C102" s="438">
        <v>2</v>
      </c>
      <c r="D102" s="438">
        <v>14</v>
      </c>
      <c r="F102" s="438" t="s">
        <v>2621</v>
      </c>
      <c r="G102" s="438" t="s">
        <v>2078</v>
      </c>
      <c r="H102" s="438" t="s">
        <v>2120</v>
      </c>
    </row>
    <row r="103" spans="1:8">
      <c r="A103" s="438" t="s">
        <v>2130</v>
      </c>
      <c r="B103" s="438" t="s">
        <v>2080</v>
      </c>
      <c r="C103" s="438">
        <v>1</v>
      </c>
      <c r="D103" s="438">
        <v>7</v>
      </c>
      <c r="F103" s="438" t="s">
        <v>2621</v>
      </c>
      <c r="G103" s="438" t="s">
        <v>2078</v>
      </c>
      <c r="H103" s="438" t="s">
        <v>2120</v>
      </c>
    </row>
    <row r="104" spans="1:8">
      <c r="A104" s="438" t="s">
        <v>2087</v>
      </c>
      <c r="B104" s="438" t="s">
        <v>2080</v>
      </c>
      <c r="C104" s="438">
        <v>64</v>
      </c>
      <c r="D104" s="438">
        <v>512</v>
      </c>
      <c r="F104" s="438" t="s">
        <v>2322</v>
      </c>
      <c r="G104" s="438" t="s">
        <v>2088</v>
      </c>
      <c r="H104" s="438" t="s">
        <v>2089</v>
      </c>
    </row>
    <row r="105" spans="1:8">
      <c r="A105" s="438" t="s">
        <v>2090</v>
      </c>
      <c r="B105" s="438" t="s">
        <v>2080</v>
      </c>
      <c r="C105" s="438">
        <v>8</v>
      </c>
      <c r="D105" s="438">
        <v>64</v>
      </c>
      <c r="F105" s="438" t="s">
        <v>2322</v>
      </c>
      <c r="G105" s="438" t="s">
        <v>2088</v>
      </c>
      <c r="H105" s="438" t="s">
        <v>2089</v>
      </c>
    </row>
    <row r="106" spans="1:8">
      <c r="A106" s="438" t="s">
        <v>2091</v>
      </c>
      <c r="B106" s="438" t="s">
        <v>2080</v>
      </c>
      <c r="C106" s="438">
        <v>4</v>
      </c>
      <c r="D106" s="438">
        <v>32</v>
      </c>
      <c r="F106" s="438" t="s">
        <v>2322</v>
      </c>
      <c r="G106" s="438" t="s">
        <v>2088</v>
      </c>
      <c r="H106" s="438" t="s">
        <v>2089</v>
      </c>
    </row>
    <row r="107" spans="1:8">
      <c r="A107" s="438" t="s">
        <v>2092</v>
      </c>
      <c r="B107" s="438" t="s">
        <v>2080</v>
      </c>
      <c r="C107" s="438">
        <v>2</v>
      </c>
      <c r="D107" s="438">
        <v>16</v>
      </c>
      <c r="F107" s="438" t="s">
        <v>2322</v>
      </c>
      <c r="G107" s="438" t="s">
        <v>2088</v>
      </c>
      <c r="H107" s="438" t="s">
        <v>2089</v>
      </c>
    </row>
    <row r="108" spans="1:8">
      <c r="A108" s="438" t="s">
        <v>2093</v>
      </c>
      <c r="B108" s="438" t="s">
        <v>2080</v>
      </c>
      <c r="C108" s="438">
        <v>1</v>
      </c>
      <c r="D108" s="438">
        <v>8</v>
      </c>
      <c r="F108" s="438" t="s">
        <v>2322</v>
      </c>
      <c r="G108" s="438" t="s">
        <v>2088</v>
      </c>
      <c r="H108" s="438" t="s">
        <v>2089</v>
      </c>
    </row>
  </sheetData>
  <autoFilter ref="C2:L41" xr:uid="{49698DF9-4969-45D7-AF67-7C2E187DD162}">
    <sortState xmlns:xlrd2="http://schemas.microsoft.com/office/spreadsheetml/2017/richdata2" ref="C3:L41">
      <sortCondition ref="L3:L41"/>
      <sortCondition ref="C3:C41"/>
    </sortState>
  </autoFilter>
  <hyperlinks>
    <hyperlink ref="C1" r:id="rId1" xr:uid="{04930B60-03EB-4A26-8F1F-591482D2EBF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6"/>
    <pageSetUpPr fitToPage="1"/>
  </sheetPr>
  <dimension ref="A1:AM67"/>
  <sheetViews>
    <sheetView showZeros="0" zoomScaleNormal="100" workbookViewId="0">
      <pane xSplit="6" ySplit="6" topLeftCell="G7" activePane="bottomRight" state="frozen"/>
      <selection activeCell="A48" sqref="A48"/>
      <selection pane="topRight" activeCell="A48" sqref="A48"/>
      <selection pane="bottomLeft" activeCell="A48" sqref="A48"/>
      <selection pane="bottomRight" activeCell="B1" sqref="B1"/>
    </sheetView>
  </sheetViews>
  <sheetFormatPr baseColWidth="10" defaultColWidth="8.6640625" defaultRowHeight="15"/>
  <cols>
    <col min="1" max="1" width="7.1640625" customWidth="1"/>
    <col min="2" max="2" width="92.6640625" customWidth="1"/>
    <col min="3" max="3" width="40.1640625" style="478" customWidth="1"/>
    <col min="4" max="4" width="5.33203125" style="478" bestFit="1" customWidth="1"/>
    <col min="5" max="5" width="11.83203125" style="508" customWidth="1"/>
    <col min="6" max="6" width="1.6640625" customWidth="1"/>
    <col min="7" max="7" width="8.33203125" bestFit="1" customWidth="1"/>
    <col min="8" max="8" width="4.6640625" customWidth="1"/>
    <col min="9" max="9" width="10.83203125" customWidth="1"/>
    <col min="10" max="10" width="1.6640625" customWidth="1"/>
    <col min="11" max="11" width="8.33203125" bestFit="1" customWidth="1"/>
    <col min="12" max="12" width="4.6640625" customWidth="1"/>
    <col min="13" max="13" width="10.83203125" customWidth="1"/>
    <col min="14" max="14" width="1.6640625" customWidth="1"/>
    <col min="15" max="15" width="7.33203125" customWidth="1"/>
    <col min="16" max="16" width="4.6640625" customWidth="1"/>
    <col min="17" max="17" width="10.83203125" customWidth="1"/>
    <col min="18" max="18" width="1.6640625" customWidth="1"/>
    <col min="19" max="19" width="7.33203125" customWidth="1"/>
    <col min="20" max="20" width="4.6640625" customWidth="1"/>
    <col min="21" max="21" width="10.83203125" customWidth="1"/>
    <col min="22" max="22" width="1.6640625" customWidth="1"/>
    <col min="23" max="23" width="7.33203125" customWidth="1"/>
    <col min="24" max="24" width="4.6640625" customWidth="1"/>
    <col min="25" max="25" width="10.83203125" customWidth="1"/>
    <col min="26" max="26" width="1.6640625" customWidth="1"/>
    <col min="27" max="27" width="8.6640625" customWidth="1"/>
    <col min="28" max="28" width="11.83203125" style="6" customWidth="1"/>
    <col min="29" max="30" width="2.6640625" customWidth="1"/>
    <col min="31" max="37" width="8.6640625" style="602"/>
    <col min="38" max="38" width="12.83203125" style="602" customWidth="1"/>
    <col min="39" max="39" width="12.5" style="602" customWidth="1"/>
    <col min="40" max="16384" width="8.6640625" style="602"/>
  </cols>
  <sheetData>
    <row r="1" spans="1:39" s="601" customFormat="1">
      <c r="A1" s="665"/>
      <c r="B1" s="272" t="s">
        <v>3038</v>
      </c>
      <c r="C1" s="666"/>
      <c r="D1" s="666"/>
      <c r="E1" s="835"/>
      <c r="F1" s="598"/>
      <c r="G1" s="598" t="s">
        <v>587</v>
      </c>
      <c r="H1" s="598"/>
      <c r="I1" s="599" t="str">
        <f>BOM!L8</f>
        <v>y</v>
      </c>
      <c r="J1" s="598"/>
      <c r="K1" s="598"/>
      <c r="L1" s="598"/>
      <c r="M1" s="599" t="str">
        <f>BOM!Q8</f>
        <v>y</v>
      </c>
      <c r="N1" s="598"/>
      <c r="O1" s="598"/>
      <c r="P1" s="598"/>
      <c r="Q1" s="599" t="str">
        <f>BOM!V8</f>
        <v>y</v>
      </c>
      <c r="R1" s="598"/>
      <c r="S1" s="598"/>
      <c r="T1" s="598"/>
      <c r="U1" s="599" t="str">
        <f>BOM!AA8</f>
        <v>Y</v>
      </c>
      <c r="V1" s="598"/>
      <c r="W1" s="598"/>
      <c r="X1" s="598"/>
      <c r="Y1" s="599" t="str">
        <f>BOM!AF8</f>
        <v>Y</v>
      </c>
      <c r="Z1" s="598"/>
      <c r="AA1" s="598"/>
      <c r="AB1" s="600"/>
      <c r="AC1" s="598"/>
      <c r="AD1" s="598"/>
    </row>
    <row r="2" spans="1:39" s="601" customFormat="1">
      <c r="A2" s="667">
        <f>BOM!A4</f>
        <v>1</v>
      </c>
      <c r="B2" s="677" t="s">
        <v>563</v>
      </c>
      <c r="C2" s="666"/>
      <c r="D2" s="666"/>
      <c r="E2" s="836"/>
      <c r="F2" s="598"/>
      <c r="G2" s="598"/>
      <c r="H2" s="598"/>
      <c r="I2" s="599"/>
      <c r="J2" s="598"/>
      <c r="K2" s="598"/>
      <c r="L2" s="598"/>
      <c r="M2" s="599"/>
      <c r="N2" s="598"/>
      <c r="O2" s="598"/>
      <c r="P2" s="598"/>
      <c r="Q2" s="599"/>
      <c r="R2" s="598"/>
      <c r="S2" s="598"/>
      <c r="T2" s="598"/>
      <c r="U2" s="599"/>
      <c r="V2" s="598"/>
      <c r="W2" s="598"/>
      <c r="X2" s="598"/>
      <c r="Y2" s="599"/>
      <c r="Z2" s="598"/>
      <c r="AA2" s="598"/>
      <c r="AB2" s="600"/>
      <c r="AC2" s="598"/>
      <c r="AD2" s="598"/>
    </row>
    <row r="3" spans="1:39" s="601" customFormat="1">
      <c r="A3" s="667">
        <f>BOM!A5</f>
        <v>12</v>
      </c>
      <c r="B3" s="677" t="s">
        <v>564</v>
      </c>
      <c r="C3" s="666"/>
      <c r="D3" s="666"/>
      <c r="E3" s="836"/>
      <c r="F3" s="598"/>
      <c r="G3" s="598"/>
      <c r="H3" s="598"/>
      <c r="I3" s="599"/>
      <c r="J3" s="598"/>
      <c r="K3" s="598"/>
      <c r="L3" s="598"/>
      <c r="M3" s="599"/>
      <c r="N3" s="598"/>
      <c r="O3" s="598"/>
      <c r="P3" s="598"/>
      <c r="Q3" s="599"/>
      <c r="R3" s="598"/>
      <c r="S3" s="598"/>
      <c r="T3" s="598"/>
      <c r="U3" s="599"/>
      <c r="V3" s="598"/>
      <c r="W3" s="598"/>
      <c r="X3" s="598"/>
      <c r="Y3" s="599"/>
      <c r="Z3" s="598"/>
      <c r="AA3" s="598"/>
      <c r="AB3" s="600"/>
      <c r="AC3" s="598"/>
      <c r="AD3" s="598"/>
    </row>
    <row r="4" spans="1:39" s="601" customFormat="1">
      <c r="A4" s="667">
        <f>BOM!A6</f>
        <v>730</v>
      </c>
      <c r="B4" s="677" t="s">
        <v>482</v>
      </c>
      <c r="C4" s="666"/>
      <c r="D4" s="666"/>
      <c r="E4" s="836"/>
      <c r="F4" s="598"/>
      <c r="G4" s="598"/>
      <c r="H4" s="598"/>
      <c r="I4" s="599"/>
      <c r="J4" s="598"/>
      <c r="K4" s="598"/>
      <c r="L4" s="598"/>
      <c r="M4" s="599"/>
      <c r="N4" s="598"/>
      <c r="O4" s="598"/>
      <c r="P4" s="598"/>
      <c r="Q4" s="599"/>
      <c r="R4" s="598"/>
      <c r="S4" s="598"/>
      <c r="T4" s="598"/>
      <c r="U4" s="599"/>
      <c r="V4" s="598"/>
      <c r="W4" s="598"/>
      <c r="X4" s="598"/>
      <c r="Y4" s="599"/>
      <c r="Z4" s="598"/>
      <c r="AA4" s="598"/>
      <c r="AB4" s="600"/>
      <c r="AC4" s="598"/>
      <c r="AD4" s="598"/>
    </row>
    <row r="5" spans="1:39">
      <c r="A5" s="594"/>
      <c r="B5" s="594"/>
      <c r="C5" s="570"/>
      <c r="D5" s="570"/>
      <c r="E5" s="594"/>
      <c r="F5" s="594"/>
      <c r="G5" s="543" t="str">
        <f>BOM!I9</f>
        <v>Prod</v>
      </c>
      <c r="H5" s="482"/>
      <c r="I5" s="483"/>
      <c r="J5" s="572"/>
      <c r="K5" s="731" t="str">
        <f>BOM!N9</f>
        <v>Non-Prod</v>
      </c>
      <c r="L5" s="732"/>
      <c r="M5" s="733"/>
      <c r="N5" s="572"/>
      <c r="O5" s="674" t="str">
        <f>BOM!S9</f>
        <v>DR</v>
      </c>
      <c r="P5" s="670"/>
      <c r="Q5" s="671"/>
      <c r="R5" s="572"/>
      <c r="S5" s="64" t="str">
        <f>BOM!X9</f>
        <v>Dev</v>
      </c>
      <c r="T5" s="65"/>
      <c r="U5" s="66"/>
      <c r="V5" s="572"/>
      <c r="W5" s="241" t="str">
        <f>BOM!AC9</f>
        <v>Other - CM and Asserter</v>
      </c>
      <c r="X5" s="332"/>
      <c r="Y5" s="242"/>
      <c r="Z5" s="572"/>
      <c r="AA5" s="684" t="s">
        <v>34</v>
      </c>
      <c r="AB5" s="685"/>
      <c r="AC5" s="574"/>
      <c r="AD5" s="574"/>
    </row>
    <row r="6" spans="1:39" ht="16">
      <c r="A6" s="744" t="s">
        <v>13</v>
      </c>
      <c r="B6" s="744" t="s">
        <v>938</v>
      </c>
      <c r="C6" s="745" t="s">
        <v>28</v>
      </c>
      <c r="D6" s="745" t="s">
        <v>14</v>
      </c>
      <c r="E6" s="837" t="s">
        <v>12</v>
      </c>
      <c r="F6" s="596"/>
      <c r="G6" s="595" t="s">
        <v>0</v>
      </c>
      <c r="H6" s="588" t="s">
        <v>24</v>
      </c>
      <c r="I6" s="589" t="s">
        <v>485</v>
      </c>
      <c r="J6" s="597"/>
      <c r="K6" s="734" t="s">
        <v>0</v>
      </c>
      <c r="L6" s="734" t="s">
        <v>24</v>
      </c>
      <c r="M6" s="735" t="s">
        <v>485</v>
      </c>
      <c r="N6" s="597"/>
      <c r="O6" s="675" t="s">
        <v>0</v>
      </c>
      <c r="P6" s="675" t="s">
        <v>24</v>
      </c>
      <c r="Q6" s="676" t="s">
        <v>485</v>
      </c>
      <c r="R6" s="597"/>
      <c r="S6" s="590" t="s">
        <v>0</v>
      </c>
      <c r="T6" s="590" t="s">
        <v>24</v>
      </c>
      <c r="U6" s="591" t="s">
        <v>485</v>
      </c>
      <c r="V6" s="597"/>
      <c r="W6" s="592" t="s">
        <v>0</v>
      </c>
      <c r="X6" s="592" t="s">
        <v>24</v>
      </c>
      <c r="Y6" s="593" t="s">
        <v>485</v>
      </c>
      <c r="Z6" s="597"/>
      <c r="AA6" s="686" t="s">
        <v>0</v>
      </c>
      <c r="AB6" s="686" t="s">
        <v>485</v>
      </c>
      <c r="AC6" s="574"/>
      <c r="AD6" s="574"/>
    </row>
    <row r="7" spans="1:39" s="12" customFormat="1">
      <c r="A7" s="586" t="str">
        <f>BOM!A12</f>
        <v>B94176</v>
      </c>
      <c r="B7" s="586" t="str">
        <f>INDEX('Cloud Price List'!$B$3:$N$1491,MATCH($A7,'Cloud Price List'!$A$3:$A$1491,0),1)</f>
        <v xml:space="preserve">Oracle Cloud Infrastructure - Compute - Standard - X9 </v>
      </c>
      <c r="C7" s="586" t="str">
        <f>INDEX('Cloud Price List'!$B$3:$N$1491,MATCH($A7,'Cloud Price List'!$A$3:$A$1491,0),4)</f>
        <v>OCPU Per Hour</v>
      </c>
      <c r="D7" s="586" t="str">
        <f>IF(BOM!D12="SRV","S",IF(BOM!D12="CC","C",""))</f>
        <v/>
      </c>
      <c r="E7" s="839">
        <f>INDEX('Cloud Price List'!$B$3:$N$1491,MATCH($A7,'Cloud Price List'!$A$3:$A$1491,0),3)*(1-BOM!$G12)</f>
        <v>3.7999999999999999E-2</v>
      </c>
      <c r="F7" s="587"/>
      <c r="G7" s="840">
        <f>BOM!I12</f>
        <v>0</v>
      </c>
      <c r="H7" s="840">
        <f>BOM!J12</f>
        <v>0</v>
      </c>
      <c r="I7" s="840">
        <f>IF(ISNUMBER(SEARCH("Hour",$C7)),IF(H7=0,$A$3*$A$4*$E7*G7,$A$3*H7*$E7*G7),IF($D7="S",$E7*G7,$A$3*$E7*G7))</f>
        <v>0</v>
      </c>
      <c r="J7" s="594"/>
      <c r="K7" s="840">
        <f>BOM!N12</f>
        <v>0</v>
      </c>
      <c r="L7" s="840">
        <f>BOM!O12</f>
        <v>0</v>
      </c>
      <c r="M7" s="840">
        <f>IF(ISNUMBER(SEARCH("Hour",$C7)),IF(L7=0,$A$3*$A$4*$E7*K7,$A$3*L7*$E7*K7),IF($D7="S",$E7*K7,$A$3*$E7*K7))</f>
        <v>0</v>
      </c>
      <c r="N7" s="594"/>
      <c r="O7" s="840">
        <f>BOM!S12</f>
        <v>0</v>
      </c>
      <c r="P7" s="840">
        <f>BOM!T12</f>
        <v>0</v>
      </c>
      <c r="Q7" s="840">
        <f>IF(ISNUMBER(SEARCH("Hour",$C7)),IF(P7=0,$A$3*$A$4*$E7*O7,$A$3*P7*$E7*O7),IF($D7="S",$E7*O7,$A$3*$E7*O7))</f>
        <v>0</v>
      </c>
      <c r="R7" s="594"/>
      <c r="S7" s="840">
        <f>BOM!X12</f>
        <v>0</v>
      </c>
      <c r="T7" s="840">
        <f>BOM!Y12</f>
        <v>0</v>
      </c>
      <c r="U7" s="840">
        <f>IF(ISNUMBER(SEARCH("Hour",$C7)),IF(T7=0,$A$3*$A$4*$E7*S7,$A$3*T7*$E7*S7),IF($D7="S",$E7*S7,$A$3*$E7*S7))</f>
        <v>0</v>
      </c>
      <c r="V7" s="594"/>
      <c r="W7" s="840">
        <f>BOM!AC12</f>
        <v>0</v>
      </c>
      <c r="X7" s="840">
        <f>BOM!AD12</f>
        <v>0</v>
      </c>
      <c r="Y7" s="840">
        <f>IF(ISNUMBER(SEARCH("Hour",$C7)),IF(X7=0,$A$3*$A$4*$E7*W7,$A$3*X7*$E7*W7),IF($D7="S",$E7*W7,$A$3*$E7*W7))</f>
        <v>0</v>
      </c>
      <c r="Z7" s="594"/>
      <c r="AA7" s="840">
        <f t="shared" ref="AA7:AB50" si="0">SUMIF($G$6:$Z$6,AA$6,$G7:$Z7)</f>
        <v>0</v>
      </c>
      <c r="AB7" s="840">
        <f t="shared" si="0"/>
        <v>0</v>
      </c>
      <c r="AC7" s="572"/>
      <c r="AD7" s="572"/>
    </row>
    <row r="8" spans="1:39" s="12" customFormat="1">
      <c r="A8" s="586" t="str">
        <f>BOM!A14</f>
        <v>B93311</v>
      </c>
      <c r="B8" s="586" t="str">
        <f>BOM!B14</f>
        <v>Oracle Cloud Infrastructure - Compute - Optimized - X9</v>
      </c>
      <c r="C8" s="586" t="str">
        <f>BOM!C14</f>
        <v>OCPU Per Hour</v>
      </c>
      <c r="D8" s="586" t="str">
        <f>IF(BOM!D14="SRV","S",IF(BOM!D14="CC","C",""))</f>
        <v/>
      </c>
      <c r="E8" s="839">
        <f>BOM!F14*(1-BOM!$G14)</f>
        <v>5.1299999999999998E-2</v>
      </c>
      <c r="F8" s="587"/>
      <c r="G8" s="840">
        <f>BOM!I14</f>
        <v>0</v>
      </c>
      <c r="H8" s="840">
        <f>BOM!J14</f>
        <v>0</v>
      </c>
      <c r="I8" s="840">
        <f t="shared" ref="I8:I15" si="1">IF(ISNUMBER(SEARCH("Hour",$C8)),IF(H8=0,$A$3*$A$4*$E8*G8,$A$3*H8*$E8*G8),IF($D8="S",$E8*G8,$A$3*$E8*G8))</f>
        <v>0</v>
      </c>
      <c r="J8" s="594"/>
      <c r="K8" s="840">
        <f>BOM!N14</f>
        <v>0</v>
      </c>
      <c r="L8" s="840">
        <f>BOM!O14</f>
        <v>0</v>
      </c>
      <c r="M8" s="840">
        <f t="shared" ref="M8:M15" si="2">IF(ISNUMBER(SEARCH("Hour",$C8)),IF(L8=0,$A$3*$A$4*$E8*K8,$A$3*L8*$E8*K8),IF($D8="S",$E8*K8,$A$3*$E8*K8))</f>
        <v>0</v>
      </c>
      <c r="N8" s="594"/>
      <c r="O8" s="840">
        <f>BOM!S14</f>
        <v>0</v>
      </c>
      <c r="P8" s="840">
        <f>BOM!T14</f>
        <v>0</v>
      </c>
      <c r="Q8" s="840">
        <f t="shared" ref="Q8:Q15" si="3">IF(ISNUMBER(SEARCH("Hour",$C8)),IF(P8=0,$A$3*$A$4*$E8*O8,$A$3*P8*$E8*O8),IF($D8="S",$E8*O8,$A$3*$E8*O8))</f>
        <v>0</v>
      </c>
      <c r="R8" s="594"/>
      <c r="S8" s="840">
        <f>BOM!X14</f>
        <v>0</v>
      </c>
      <c r="T8" s="840">
        <f>BOM!Y14</f>
        <v>0</v>
      </c>
      <c r="U8" s="840">
        <f t="shared" ref="U8:U15" si="4">IF(ISNUMBER(SEARCH("Hour",$C8)),IF(T8=0,$A$3*$A$4*$E8*S8,$A$3*T8*$E8*S8),IF($D8="S",$E8*S8,$A$3*$E8*S8))</f>
        <v>0</v>
      </c>
      <c r="V8" s="594"/>
      <c r="W8" s="840">
        <f>BOM!AC14</f>
        <v>0</v>
      </c>
      <c r="X8" s="840">
        <f>BOM!AD14</f>
        <v>0</v>
      </c>
      <c r="Y8" s="840">
        <f t="shared" ref="Y8:Y15" si="5">IF(ISNUMBER(SEARCH("Hour",$C8)),IF(X8=0,$A$3*$A$4*$E8*W8,$A$3*X8*$E8*W8),IF($D8="S",$E8*W8,$A$3*$E8*W8))</f>
        <v>0</v>
      </c>
      <c r="Z8" s="594"/>
      <c r="AA8" s="840">
        <f t="shared" si="0"/>
        <v>0</v>
      </c>
      <c r="AB8" s="840">
        <f t="shared" si="0"/>
        <v>0</v>
      </c>
      <c r="AC8" s="572"/>
      <c r="AD8" s="572"/>
    </row>
    <row r="9" spans="1:39" s="12" customFormat="1">
      <c r="A9" s="586" t="str">
        <f>BOM!A15</f>
        <v>B93312</v>
      </c>
      <c r="B9" s="586" t="str">
        <f>BOM!B15</f>
        <v>Oracle Cloud Infrastructure - Compute - Optimized - X9 - Memory</v>
      </c>
      <c r="C9" s="586" t="str">
        <f>BOM!C15</f>
        <v>Gigabyte Per Hour</v>
      </c>
      <c r="D9" s="586" t="str">
        <f>IF(BOM!D15="SRV","S",IF(BOM!D15="CC","C",""))</f>
        <v/>
      </c>
      <c r="E9" s="839">
        <f>BOM!F15*(1-BOM!$G15)</f>
        <v>1.4250000000000001E-3</v>
      </c>
      <c r="F9" s="587"/>
      <c r="G9" s="840">
        <f>BOM!I15</f>
        <v>0</v>
      </c>
      <c r="H9" s="840">
        <f>BOM!J15</f>
        <v>0</v>
      </c>
      <c r="I9" s="840">
        <f t="shared" si="1"/>
        <v>0</v>
      </c>
      <c r="J9" s="594"/>
      <c r="K9" s="840">
        <f>BOM!N15</f>
        <v>0</v>
      </c>
      <c r="L9" s="840">
        <f>BOM!O15</f>
        <v>0</v>
      </c>
      <c r="M9" s="840">
        <f t="shared" si="2"/>
        <v>0</v>
      </c>
      <c r="N9" s="594"/>
      <c r="O9" s="840">
        <f>BOM!S15</f>
        <v>0</v>
      </c>
      <c r="P9" s="840">
        <f>BOM!T15</f>
        <v>0</v>
      </c>
      <c r="Q9" s="840">
        <f t="shared" si="3"/>
        <v>0</v>
      </c>
      <c r="R9" s="594"/>
      <c r="S9" s="840">
        <f>BOM!X15</f>
        <v>0</v>
      </c>
      <c r="T9" s="840">
        <f>BOM!Y15</f>
        <v>0</v>
      </c>
      <c r="U9" s="840">
        <f t="shared" si="4"/>
        <v>0</v>
      </c>
      <c r="V9" s="594"/>
      <c r="W9" s="840">
        <f>BOM!AC15</f>
        <v>0</v>
      </c>
      <c r="X9" s="840">
        <f>BOM!AD15</f>
        <v>0</v>
      </c>
      <c r="Y9" s="840">
        <f t="shared" si="5"/>
        <v>0</v>
      </c>
      <c r="Z9" s="594"/>
      <c r="AA9" s="840">
        <f t="shared" si="0"/>
        <v>0</v>
      </c>
      <c r="AB9" s="840">
        <f t="shared" si="0"/>
        <v>0</v>
      </c>
      <c r="AC9" s="572"/>
      <c r="AD9" s="572"/>
    </row>
    <row r="10" spans="1:39" s="12" customFormat="1">
      <c r="A10" s="586" t="str">
        <f>BOM!A16</f>
        <v>B93113</v>
      </c>
      <c r="B10" s="586" t="str">
        <f>BOM!B16</f>
        <v>Oracle Cloud Infrastructure - Compute - Standard - E4</v>
      </c>
      <c r="C10" s="586" t="str">
        <f>BOM!C16</f>
        <v>OCPU Per Hour</v>
      </c>
      <c r="D10" s="586" t="str">
        <f>IF(BOM!D16="SRV","S",IF(BOM!D16="CC","C",""))</f>
        <v/>
      </c>
      <c r="E10" s="839">
        <f>BOM!F16*(1-BOM!$G16)</f>
        <v>2.375E-2</v>
      </c>
      <c r="F10" s="587"/>
      <c r="G10" s="840">
        <f>BOM!I16</f>
        <v>6</v>
      </c>
      <c r="H10" s="840">
        <f>BOM!J16</f>
        <v>0</v>
      </c>
      <c r="I10" s="840">
        <f t="shared" si="1"/>
        <v>1248.3000000000002</v>
      </c>
      <c r="J10" s="594"/>
      <c r="K10" s="840">
        <f>BOM!N16</f>
        <v>3</v>
      </c>
      <c r="L10" s="840">
        <f>BOM!O16</f>
        <v>0</v>
      </c>
      <c r="M10" s="840">
        <f t="shared" si="2"/>
        <v>624.15000000000009</v>
      </c>
      <c r="N10" s="594"/>
      <c r="O10" s="840">
        <f>BOM!S16</f>
        <v>0</v>
      </c>
      <c r="P10" s="840">
        <f>BOM!T16</f>
        <v>0</v>
      </c>
      <c r="Q10" s="840">
        <f t="shared" si="3"/>
        <v>0</v>
      </c>
      <c r="R10" s="594"/>
      <c r="S10" s="840">
        <f>BOM!X16</f>
        <v>0</v>
      </c>
      <c r="T10" s="840">
        <f>BOM!Y16</f>
        <v>0</v>
      </c>
      <c r="U10" s="840">
        <f t="shared" si="4"/>
        <v>0</v>
      </c>
      <c r="V10" s="594"/>
      <c r="W10" s="840">
        <f>BOM!AC16</f>
        <v>4</v>
      </c>
      <c r="X10" s="840">
        <f>BOM!AD16</f>
        <v>0</v>
      </c>
      <c r="Y10" s="840">
        <f t="shared" si="5"/>
        <v>832.2</v>
      </c>
      <c r="Z10" s="594"/>
      <c r="AA10" s="840">
        <f t="shared" si="0"/>
        <v>13</v>
      </c>
      <c r="AB10" s="840">
        <f t="shared" si="0"/>
        <v>2704.6500000000005</v>
      </c>
      <c r="AC10" s="572"/>
      <c r="AD10" s="572"/>
    </row>
    <row r="11" spans="1:39" s="12" customFormat="1">
      <c r="A11" s="586" t="str">
        <f>BOM!A17</f>
        <v>B93114</v>
      </c>
      <c r="B11" s="586" t="str">
        <f>BOM!B17</f>
        <v>Oracle Cloud Infrastructure - Compute - Standard - E4  - Memory</v>
      </c>
      <c r="C11" s="586" t="str">
        <f>BOM!C17</f>
        <v>Gigabyte Per Hour</v>
      </c>
      <c r="D11" s="586" t="str">
        <f>IF(BOM!D17="SRV","S",IF(BOM!D17="CC","C",""))</f>
        <v/>
      </c>
      <c r="E11" s="839">
        <f>BOM!F17*(1-BOM!$G17)</f>
        <v>1.4250000000000001E-3</v>
      </c>
      <c r="F11" s="587"/>
      <c r="G11" s="840">
        <f>BOM!I17</f>
        <v>96</v>
      </c>
      <c r="H11" s="840">
        <f>BOM!J17</f>
        <v>0</v>
      </c>
      <c r="I11" s="840">
        <f t="shared" si="1"/>
        <v>1198.3679999999999</v>
      </c>
      <c r="J11" s="594"/>
      <c r="K11" s="840">
        <f>BOM!N17</f>
        <v>48</v>
      </c>
      <c r="L11" s="840">
        <f>BOM!O17</f>
        <v>0</v>
      </c>
      <c r="M11" s="840">
        <f t="shared" si="2"/>
        <v>599.18399999999997</v>
      </c>
      <c r="N11" s="594"/>
      <c r="O11" s="840">
        <f>BOM!S17</f>
        <v>0</v>
      </c>
      <c r="P11" s="840">
        <f>BOM!T17</f>
        <v>0</v>
      </c>
      <c r="Q11" s="840">
        <f t="shared" si="3"/>
        <v>0</v>
      </c>
      <c r="R11" s="594"/>
      <c r="S11" s="840">
        <f>BOM!X17</f>
        <v>0</v>
      </c>
      <c r="T11" s="840">
        <f>BOM!Y17</f>
        <v>0</v>
      </c>
      <c r="U11" s="840">
        <f t="shared" si="4"/>
        <v>0</v>
      </c>
      <c r="V11" s="594"/>
      <c r="W11" s="840">
        <f>BOM!AC17</f>
        <v>64</v>
      </c>
      <c r="X11" s="840">
        <f>BOM!AD17</f>
        <v>0</v>
      </c>
      <c r="Y11" s="840">
        <f t="shared" si="5"/>
        <v>798.91200000000003</v>
      </c>
      <c r="Z11" s="594"/>
      <c r="AA11" s="840">
        <f t="shared" si="0"/>
        <v>208</v>
      </c>
      <c r="AB11" s="840">
        <f t="shared" si="0"/>
        <v>2596.4639999999999</v>
      </c>
      <c r="AC11" s="572"/>
      <c r="AD11" s="572"/>
      <c r="AL11" s="602"/>
      <c r="AM11" s="602"/>
    </row>
    <row r="12" spans="1:39" s="12" customFormat="1">
      <c r="A12" s="586" t="str">
        <f>BOM!A18</f>
        <v>B88318</v>
      </c>
      <c r="B12" s="586" t="str">
        <f>BOM!B18</f>
        <v>Oracle Cloud Infrastructure - Compute - Windows OS</v>
      </c>
      <c r="C12" s="586" t="str">
        <f>BOM!C18</f>
        <v>OCPU Per Hour</v>
      </c>
      <c r="D12" s="586" t="str">
        <f>IF(BOM!D18="SRV","S",IF(BOM!D18="CC","C",""))</f>
        <v/>
      </c>
      <c r="E12" s="839">
        <f>BOM!F18*(1-BOM!$G18)</f>
        <v>9.1999999999999998E-2</v>
      </c>
      <c r="F12" s="587"/>
      <c r="G12" s="840">
        <f>BOM!I18</f>
        <v>0</v>
      </c>
      <c r="H12" s="840">
        <f>BOM!J18</f>
        <v>0</v>
      </c>
      <c r="I12" s="840">
        <f t="shared" si="1"/>
        <v>0</v>
      </c>
      <c r="J12" s="594"/>
      <c r="K12" s="840">
        <f>BOM!N18</f>
        <v>0</v>
      </c>
      <c r="L12" s="840">
        <f>BOM!O18</f>
        <v>0</v>
      </c>
      <c r="M12" s="840">
        <f t="shared" si="2"/>
        <v>0</v>
      </c>
      <c r="N12" s="594"/>
      <c r="O12" s="840">
        <f>BOM!S18</f>
        <v>0</v>
      </c>
      <c r="P12" s="840">
        <f>BOM!T18</f>
        <v>0</v>
      </c>
      <c r="Q12" s="840">
        <f t="shared" si="3"/>
        <v>0</v>
      </c>
      <c r="R12" s="594"/>
      <c r="S12" s="840">
        <f>BOM!X18</f>
        <v>0</v>
      </c>
      <c r="T12" s="840">
        <f>BOM!Y18</f>
        <v>0</v>
      </c>
      <c r="U12" s="840">
        <f t="shared" si="4"/>
        <v>0</v>
      </c>
      <c r="V12" s="594"/>
      <c r="W12" s="840">
        <f>BOM!AC18</f>
        <v>0</v>
      </c>
      <c r="X12" s="840">
        <f>BOM!AD18</f>
        <v>0</v>
      </c>
      <c r="Y12" s="840">
        <f t="shared" si="5"/>
        <v>0</v>
      </c>
      <c r="Z12" s="594"/>
      <c r="AA12" s="840">
        <f t="shared" si="0"/>
        <v>0</v>
      </c>
      <c r="AB12" s="840">
        <f t="shared" si="0"/>
        <v>0</v>
      </c>
      <c r="AC12" s="572"/>
      <c r="AD12" s="572"/>
      <c r="AL12" s="602"/>
      <c r="AM12" s="602"/>
    </row>
    <row r="13" spans="1:39" s="12" customFormat="1">
      <c r="A13" s="586" t="str">
        <f>BOM!A19</f>
        <v>B91961</v>
      </c>
      <c r="B13" s="586" t="str">
        <f>BOM!B19</f>
        <v xml:space="preserve">Oracle Cloud Infrastructure - Block Volume Storage </v>
      </c>
      <c r="C13" s="586" t="str">
        <f>BOM!C19</f>
        <v>Gigabyte Storage Capacity Per Month</v>
      </c>
      <c r="D13" s="586" t="str">
        <f>IF(BOM!D19="SRV","S",IF(BOM!D19="CC","C",""))</f>
        <v/>
      </c>
      <c r="E13" s="839">
        <f>BOM!F19*(1-BOM!$G19)</f>
        <v>2.4224999999999997E-2</v>
      </c>
      <c r="F13" s="587"/>
      <c r="G13" s="840">
        <f>BOM!I19</f>
        <v>200</v>
      </c>
      <c r="H13" s="840">
        <f>BOM!J19</f>
        <v>0</v>
      </c>
      <c r="I13" s="840">
        <f t="shared" si="1"/>
        <v>58.139999999999993</v>
      </c>
      <c r="J13" s="594"/>
      <c r="K13" s="840">
        <f>BOM!N19</f>
        <v>750</v>
      </c>
      <c r="L13" s="840">
        <f>BOM!O19</f>
        <v>0</v>
      </c>
      <c r="M13" s="840">
        <f t="shared" si="2"/>
        <v>218.02499999999998</v>
      </c>
      <c r="N13" s="594"/>
      <c r="O13" s="840">
        <f>BOM!S19</f>
        <v>0</v>
      </c>
      <c r="P13" s="840">
        <f>BOM!T19</f>
        <v>0</v>
      </c>
      <c r="Q13" s="840">
        <f t="shared" si="3"/>
        <v>0</v>
      </c>
      <c r="R13" s="594"/>
      <c r="S13" s="840">
        <f>BOM!X19</f>
        <v>0</v>
      </c>
      <c r="T13" s="840">
        <f>BOM!Y19</f>
        <v>0</v>
      </c>
      <c r="U13" s="840">
        <f t="shared" si="4"/>
        <v>0</v>
      </c>
      <c r="V13" s="594"/>
      <c r="W13" s="840">
        <f>BOM!AC19</f>
        <v>500</v>
      </c>
      <c r="X13" s="840">
        <f>BOM!AD19</f>
        <v>0</v>
      </c>
      <c r="Y13" s="840">
        <f t="shared" si="5"/>
        <v>145.34999999999997</v>
      </c>
      <c r="Z13" s="594"/>
      <c r="AA13" s="840">
        <f t="shared" si="0"/>
        <v>1450</v>
      </c>
      <c r="AB13" s="840">
        <f t="shared" si="0"/>
        <v>421.51499999999993</v>
      </c>
      <c r="AC13" s="572"/>
      <c r="AD13" s="572"/>
      <c r="AL13" s="602"/>
      <c r="AM13" s="602"/>
    </row>
    <row r="14" spans="1:39" s="12" customFormat="1">
      <c r="A14" s="586" t="str">
        <f>BOM!A20</f>
        <v>B91962</v>
      </c>
      <c r="B14" s="586" t="str">
        <f>BOM!B20</f>
        <v>Oracle Cloud Infrastructure - Block Volume Performance</v>
      </c>
      <c r="C14" s="586" t="str">
        <f>BOM!C20</f>
        <v>Performance Units Per Gigabyte Per Month</v>
      </c>
      <c r="D14" s="586" t="str">
        <f>IF(BOM!D20="SRV","S",IF(BOM!D20="CC","C",""))</f>
        <v/>
      </c>
      <c r="E14" s="839">
        <f>BOM!F20*(1-BOM!$G20)</f>
        <v>1.6149999999999999E-3</v>
      </c>
      <c r="F14" s="587"/>
      <c r="G14" s="840">
        <f>BOM!I20</f>
        <v>2000</v>
      </c>
      <c r="H14" s="840">
        <f>BOM!J20</f>
        <v>0</v>
      </c>
      <c r="I14" s="840">
        <f t="shared" si="1"/>
        <v>38.76</v>
      </c>
      <c r="J14" s="594"/>
      <c r="K14" s="840">
        <f>BOM!N20</f>
        <v>7500</v>
      </c>
      <c r="L14" s="840">
        <f>BOM!O20</f>
        <v>0</v>
      </c>
      <c r="M14" s="840">
        <f t="shared" si="2"/>
        <v>145.35</v>
      </c>
      <c r="N14" s="594"/>
      <c r="O14" s="840">
        <f>BOM!S20</f>
        <v>0</v>
      </c>
      <c r="P14" s="840">
        <f>BOM!T20</f>
        <v>0</v>
      </c>
      <c r="Q14" s="840">
        <f t="shared" si="3"/>
        <v>0</v>
      </c>
      <c r="R14" s="594"/>
      <c r="S14" s="840">
        <f>BOM!X20</f>
        <v>0</v>
      </c>
      <c r="T14" s="840">
        <f>BOM!Y20</f>
        <v>0</v>
      </c>
      <c r="U14" s="840">
        <f t="shared" si="4"/>
        <v>0</v>
      </c>
      <c r="V14" s="594"/>
      <c r="W14" s="840">
        <f>BOM!AC20</f>
        <v>5000</v>
      </c>
      <c r="X14" s="840">
        <f>BOM!AD20</f>
        <v>0</v>
      </c>
      <c r="Y14" s="840">
        <f t="shared" si="5"/>
        <v>96.899999999999991</v>
      </c>
      <c r="Z14" s="594"/>
      <c r="AA14" s="840">
        <f t="shared" si="0"/>
        <v>14500</v>
      </c>
      <c r="AB14" s="840">
        <f t="shared" si="0"/>
        <v>281.01</v>
      </c>
      <c r="AC14" s="572"/>
      <c r="AD14" s="572"/>
      <c r="AL14" s="602"/>
      <c r="AM14" s="602"/>
    </row>
    <row r="15" spans="1:39" s="12" customFormat="1">
      <c r="A15" s="586" t="str">
        <f>BOM!A21</f>
        <v>B91628</v>
      </c>
      <c r="B15" s="586" t="str">
        <f>BOM!B21</f>
        <v>Oracle Cloud Infrastructure - Object Storage - Storage - Over 10 Gigabytes Storage Capacity Per Month</v>
      </c>
      <c r="C15" s="586" t="str">
        <f>BOM!C21</f>
        <v>Gigabyte Storage Capacity Per Month</v>
      </c>
      <c r="D15" s="586" t="str">
        <f>IF(BOM!D21="SRV","S",IF(BOM!D21="CC","C",""))</f>
        <v/>
      </c>
      <c r="E15" s="839">
        <f>BOM!F21*(1-BOM!$G21)</f>
        <v>2.4224999999999997E-2</v>
      </c>
      <c r="F15" s="587"/>
      <c r="G15" s="840">
        <f>BOM!I21</f>
        <v>0</v>
      </c>
      <c r="H15" s="840">
        <f>BOM!J21</f>
        <v>0</v>
      </c>
      <c r="I15" s="840">
        <f t="shared" si="1"/>
        <v>0</v>
      </c>
      <c r="J15" s="594"/>
      <c r="K15" s="840">
        <f>BOM!N21</f>
        <v>0</v>
      </c>
      <c r="L15" s="840">
        <f>BOM!O21</f>
        <v>0</v>
      </c>
      <c r="M15" s="840">
        <f t="shared" si="2"/>
        <v>0</v>
      </c>
      <c r="N15" s="594"/>
      <c r="O15" s="840">
        <f>BOM!S21</f>
        <v>0</v>
      </c>
      <c r="P15" s="840">
        <f>BOM!T21</f>
        <v>0</v>
      </c>
      <c r="Q15" s="840">
        <f t="shared" si="3"/>
        <v>0</v>
      </c>
      <c r="R15" s="594"/>
      <c r="S15" s="840">
        <f>BOM!X21</f>
        <v>0</v>
      </c>
      <c r="T15" s="840">
        <f>BOM!Y21</f>
        <v>0</v>
      </c>
      <c r="U15" s="840">
        <f t="shared" si="4"/>
        <v>0</v>
      </c>
      <c r="V15" s="594"/>
      <c r="W15" s="840">
        <f>BOM!AC21</f>
        <v>0</v>
      </c>
      <c r="X15" s="840">
        <f>BOM!AD21</f>
        <v>0</v>
      </c>
      <c r="Y15" s="840">
        <f t="shared" si="5"/>
        <v>0</v>
      </c>
      <c r="Z15" s="594"/>
      <c r="AA15" s="840">
        <f t="shared" si="0"/>
        <v>0</v>
      </c>
      <c r="AB15" s="840">
        <f t="shared" si="0"/>
        <v>0</v>
      </c>
      <c r="AC15" s="572"/>
      <c r="AD15" s="572"/>
      <c r="AL15" s="602"/>
      <c r="AM15" s="602"/>
    </row>
    <row r="16" spans="1:39" s="12" customFormat="1">
      <c r="A16" s="586" t="str">
        <f>BOM!A22</f>
        <v>B91633</v>
      </c>
      <c r="B16" s="586" t="str">
        <f>BOM!B22</f>
        <v>Oracle Cloud Infrastructure - Archive Storage - Over 10 Gigabytes Storage Capacity Per Month</v>
      </c>
      <c r="C16" s="586" t="str">
        <f>BOM!C22</f>
        <v>Gigabyte Storage Capacity Per Month</v>
      </c>
      <c r="D16" s="586" t="str">
        <f>IF(BOM!D22="SRV","S",IF(BOM!D22="CC","C",""))</f>
        <v/>
      </c>
      <c r="E16" s="839">
        <f>BOM!F22*(1-BOM!$G22)</f>
        <v>2.47E-3</v>
      </c>
      <c r="F16" s="587"/>
      <c r="G16" s="840">
        <f>BOM!I22</f>
        <v>0</v>
      </c>
      <c r="H16" s="840">
        <f>BOM!J22</f>
        <v>0</v>
      </c>
      <c r="I16" s="840">
        <f t="shared" ref="I16:I41" si="6">IF(ISNUMBER(SEARCH("Hour",$C16)),IF(H16=0,$A$3*$A$4*$E16*G16,$A$3*H16*$E16*G16),IF($D16="S",$E16*G16,$A$3*$E16*G16))</f>
        <v>0</v>
      </c>
      <c r="J16" s="594"/>
      <c r="K16" s="840">
        <f>BOM!N22</f>
        <v>0</v>
      </c>
      <c r="L16" s="840">
        <f>BOM!O22</f>
        <v>0</v>
      </c>
      <c r="M16" s="840">
        <f t="shared" ref="M16:M41" si="7">IF(ISNUMBER(SEARCH("Hour",$C16)),IF(L16=0,$A$3*$A$4*$E16*K16,$A$3*L16*$E16*K16),IF($D16="S",$E16*K16,$A$3*$E16*K16))</f>
        <v>0</v>
      </c>
      <c r="N16" s="594"/>
      <c r="O16" s="840">
        <f>BOM!S22</f>
        <v>0</v>
      </c>
      <c r="P16" s="840">
        <f>BOM!T22</f>
        <v>0</v>
      </c>
      <c r="Q16" s="840">
        <f t="shared" ref="Q16:Q41" si="8">IF(ISNUMBER(SEARCH("Hour",$C16)),IF(P16=0,$A$3*$A$4*$E16*O16,$A$3*P16*$E16*O16),IF($D16="S",$E16*O16,$A$3*$E16*O16))</f>
        <v>0</v>
      </c>
      <c r="R16" s="594"/>
      <c r="S16" s="840">
        <f>BOM!X22</f>
        <v>0</v>
      </c>
      <c r="T16" s="840">
        <f>BOM!Y22</f>
        <v>0</v>
      </c>
      <c r="U16" s="840">
        <f t="shared" ref="U16:U41" si="9">IF(ISNUMBER(SEARCH("Hour",$C16)),IF(T16=0,$A$3*$A$4*$E16*S16,$A$3*T16*$E16*S16),IF($D16="S",$E16*S16,$A$3*$E16*S16))</f>
        <v>0</v>
      </c>
      <c r="V16" s="594"/>
      <c r="W16" s="840">
        <f>BOM!AC22</f>
        <v>0</v>
      </c>
      <c r="X16" s="840">
        <f>BOM!AD22</f>
        <v>0</v>
      </c>
      <c r="Y16" s="840">
        <f t="shared" ref="Y16:Y41" si="10">IF(ISNUMBER(SEARCH("Hour",$C16)),IF(X16=0,$A$3*$A$4*$E16*W16,$A$3*X16*$E16*W16),IF($D16="S",$E16*W16,$A$3*$E16*W16))</f>
        <v>0</v>
      </c>
      <c r="Z16" s="594"/>
      <c r="AA16" s="840">
        <f t="shared" si="0"/>
        <v>0</v>
      </c>
      <c r="AB16" s="840">
        <f t="shared" si="0"/>
        <v>0</v>
      </c>
      <c r="AC16" s="572"/>
      <c r="AD16" s="572"/>
      <c r="AL16" s="602"/>
      <c r="AM16" s="602"/>
    </row>
    <row r="17" spans="1:39" s="12" customFormat="1">
      <c r="A17" s="586" t="str">
        <f>BOM!A23</f>
        <v>B89057</v>
      </c>
      <c r="B17" s="586" t="str">
        <f>BOM!B23</f>
        <v>Oracle Cloud Infrastructure - File Storage</v>
      </c>
      <c r="C17" s="586" t="str">
        <f>BOM!C23</f>
        <v>Gigabyte Storage Capacity Per Month</v>
      </c>
      <c r="D17" s="586" t="str">
        <f>IF(BOM!D23="SRV","S",IF(BOM!D23="CC","C",""))</f>
        <v/>
      </c>
      <c r="E17" s="839">
        <f>BOM!F23*(1-BOM!$G23)</f>
        <v>0.28499999999999998</v>
      </c>
      <c r="F17" s="587"/>
      <c r="G17" s="840">
        <f>BOM!I23</f>
        <v>1024</v>
      </c>
      <c r="H17" s="840">
        <f>BOM!J23</f>
        <v>0</v>
      </c>
      <c r="I17" s="840">
        <f t="shared" si="6"/>
        <v>3502.08</v>
      </c>
      <c r="J17" s="594"/>
      <c r="K17" s="840">
        <f>BOM!N23</f>
        <v>1024</v>
      </c>
      <c r="L17" s="840">
        <f>BOM!O23</f>
        <v>0</v>
      </c>
      <c r="M17" s="840">
        <f t="shared" si="7"/>
        <v>3502.08</v>
      </c>
      <c r="N17" s="594"/>
      <c r="O17" s="840">
        <f>BOM!S23</f>
        <v>0</v>
      </c>
      <c r="P17" s="840">
        <f>BOM!T23</f>
        <v>0</v>
      </c>
      <c r="Q17" s="840">
        <f t="shared" si="8"/>
        <v>0</v>
      </c>
      <c r="R17" s="594"/>
      <c r="S17" s="840">
        <f>BOM!X23</f>
        <v>0</v>
      </c>
      <c r="T17" s="840">
        <f>BOM!Y23</f>
        <v>0</v>
      </c>
      <c r="U17" s="840">
        <f t="shared" si="9"/>
        <v>0</v>
      </c>
      <c r="V17" s="594"/>
      <c r="W17" s="840">
        <f>BOM!AC23</f>
        <v>0</v>
      </c>
      <c r="X17" s="840">
        <f>BOM!AD23</f>
        <v>0</v>
      </c>
      <c r="Y17" s="840">
        <f t="shared" si="10"/>
        <v>0</v>
      </c>
      <c r="Z17" s="594"/>
      <c r="AA17" s="840">
        <f t="shared" si="0"/>
        <v>2048</v>
      </c>
      <c r="AB17" s="840">
        <f t="shared" si="0"/>
        <v>7004.16</v>
      </c>
      <c r="AC17" s="572"/>
      <c r="AD17" s="572"/>
      <c r="AL17" s="602"/>
      <c r="AM17" s="602"/>
    </row>
    <row r="18" spans="1:39" s="12" customFormat="1">
      <c r="A18" s="586" t="str">
        <f>BOM!A25</f>
        <v>B90573</v>
      </c>
      <c r="B18" s="586" t="str">
        <f>BOM!B25</f>
        <v>Oracle Cloud Infrastructure - Database Cloud Service - All Editions - BYOL</v>
      </c>
      <c r="C18" s="586" t="str">
        <f>BOM!C25</f>
        <v>OCPU Per Hour</v>
      </c>
      <c r="D18" s="586" t="str">
        <f>IF(BOM!D25="SRV","S",IF(BOM!D25="CC","C",""))</f>
        <v/>
      </c>
      <c r="E18" s="839">
        <f>BOM!F25*(1-BOM!$G25)</f>
        <v>0.18382499999999999</v>
      </c>
      <c r="F18" s="587"/>
      <c r="G18" s="840">
        <f>BOM!I25</f>
        <v>0</v>
      </c>
      <c r="H18" s="840">
        <f>BOM!J25</f>
        <v>0</v>
      </c>
      <c r="I18" s="840">
        <f t="shared" si="6"/>
        <v>0</v>
      </c>
      <c r="J18" s="594"/>
      <c r="K18" s="840">
        <f>BOM!N25</f>
        <v>0</v>
      </c>
      <c r="L18" s="840">
        <f>BOM!O25</f>
        <v>0</v>
      </c>
      <c r="M18" s="840">
        <f t="shared" si="7"/>
        <v>0</v>
      </c>
      <c r="N18" s="594"/>
      <c r="O18" s="840">
        <f>BOM!S25</f>
        <v>0</v>
      </c>
      <c r="P18" s="840">
        <f>BOM!T25</f>
        <v>0</v>
      </c>
      <c r="Q18" s="840">
        <f t="shared" si="8"/>
        <v>0</v>
      </c>
      <c r="R18" s="594"/>
      <c r="S18" s="840">
        <f>BOM!X25</f>
        <v>0</v>
      </c>
      <c r="T18" s="840">
        <f>BOM!Y25</f>
        <v>0</v>
      </c>
      <c r="U18" s="840">
        <f t="shared" si="9"/>
        <v>0</v>
      </c>
      <c r="V18" s="594"/>
      <c r="W18" s="840">
        <f>BOM!AC25</f>
        <v>0</v>
      </c>
      <c r="X18" s="840">
        <f>BOM!AD25</f>
        <v>0</v>
      </c>
      <c r="Y18" s="840">
        <f t="shared" si="10"/>
        <v>0</v>
      </c>
      <c r="Z18" s="594"/>
      <c r="AA18" s="840">
        <f t="shared" si="0"/>
        <v>0</v>
      </c>
      <c r="AB18" s="840">
        <f t="shared" si="0"/>
        <v>0</v>
      </c>
      <c r="AC18" s="572"/>
      <c r="AD18" s="572"/>
      <c r="AL18" s="602"/>
      <c r="AM18" s="602"/>
    </row>
    <row r="19" spans="1:39" s="12" customFormat="1">
      <c r="A19" s="586" t="str">
        <f>BOM!A26</f>
        <v>B90570</v>
      </c>
      <c r="B19" s="586" t="str">
        <f>BOM!B26</f>
        <v>Oracle Cloud Infrastructure - Database Cloud Service - 
Enterprise Edition</v>
      </c>
      <c r="C19" s="586" t="str">
        <f>BOM!C26</f>
        <v>OCPU Per Hour</v>
      </c>
      <c r="D19" s="586" t="str">
        <f>IF(BOM!D26="SRV","S",IF(BOM!D26="CC","C",""))</f>
        <v/>
      </c>
      <c r="E19" s="839">
        <f>BOM!F26*(1-BOM!$G26)</f>
        <v>0.40859499999999999</v>
      </c>
      <c r="F19" s="587"/>
      <c r="G19" s="840">
        <f>BOM!I26</f>
        <v>8</v>
      </c>
      <c r="H19" s="840">
        <f>BOM!J26</f>
        <v>0</v>
      </c>
      <c r="I19" s="840">
        <f t="shared" si="6"/>
        <v>28634.337599999999</v>
      </c>
      <c r="J19" s="594"/>
      <c r="K19" s="840">
        <f>BOM!N26</f>
        <v>4</v>
      </c>
      <c r="L19" s="840">
        <f>BOM!O26</f>
        <v>0</v>
      </c>
      <c r="M19" s="840">
        <f t="shared" si="7"/>
        <v>14317.168799999999</v>
      </c>
      <c r="N19" s="594"/>
      <c r="O19" s="840">
        <f>BOM!S26</f>
        <v>0</v>
      </c>
      <c r="P19" s="840">
        <f>BOM!T26</f>
        <v>0</v>
      </c>
      <c r="Q19" s="840">
        <f t="shared" si="8"/>
        <v>0</v>
      </c>
      <c r="R19" s="594"/>
      <c r="S19" s="840">
        <f>BOM!X26</f>
        <v>0</v>
      </c>
      <c r="T19" s="840">
        <f>BOM!Y26</f>
        <v>0</v>
      </c>
      <c r="U19" s="840">
        <f t="shared" si="9"/>
        <v>0</v>
      </c>
      <c r="V19" s="594"/>
      <c r="W19" s="840">
        <f>BOM!AC26</f>
        <v>0</v>
      </c>
      <c r="X19" s="840">
        <f>BOM!AD26</f>
        <v>0</v>
      </c>
      <c r="Y19" s="840">
        <f t="shared" si="10"/>
        <v>0</v>
      </c>
      <c r="Z19" s="594"/>
      <c r="AA19" s="840">
        <f t="shared" si="0"/>
        <v>12</v>
      </c>
      <c r="AB19" s="840">
        <f t="shared" si="0"/>
        <v>42951.506399999998</v>
      </c>
      <c r="AC19" s="572"/>
      <c r="AD19" s="572"/>
      <c r="AL19" s="602"/>
      <c r="AM19" s="602"/>
    </row>
    <row r="20" spans="1:39" s="12" customFormat="1">
      <c r="A20" s="586" t="str">
        <f>BOM!A27</f>
        <v>B90571</v>
      </c>
      <c r="B20" s="586" t="str">
        <f>BOM!B27</f>
        <v>Oracle Cloud Infrastructure - Database Cloud Service - 
Enterprise Edition High Performance</v>
      </c>
      <c r="C20" s="586" t="str">
        <f>BOM!C27</f>
        <v>OCPU Per Hour</v>
      </c>
      <c r="D20" s="586" t="str">
        <f>IF(BOM!D27="SRV","S",IF(BOM!D27="CC","C",""))</f>
        <v/>
      </c>
      <c r="E20" s="839">
        <f>BOM!F27*(1-BOM!$G27)</f>
        <v>0.84274499999999997</v>
      </c>
      <c r="F20" s="587"/>
      <c r="G20" s="840">
        <f>BOM!I27</f>
        <v>0</v>
      </c>
      <c r="H20" s="840">
        <f>BOM!J27</f>
        <v>0</v>
      </c>
      <c r="I20" s="840">
        <f t="shared" si="6"/>
        <v>0</v>
      </c>
      <c r="J20" s="594"/>
      <c r="K20" s="840">
        <f>BOM!N27</f>
        <v>0</v>
      </c>
      <c r="L20" s="840">
        <f>BOM!O27</f>
        <v>0</v>
      </c>
      <c r="M20" s="840">
        <f t="shared" si="7"/>
        <v>0</v>
      </c>
      <c r="N20" s="594"/>
      <c r="O20" s="840">
        <f>BOM!S27</f>
        <v>0</v>
      </c>
      <c r="P20" s="840">
        <f>BOM!T27</f>
        <v>0</v>
      </c>
      <c r="Q20" s="840">
        <f t="shared" si="8"/>
        <v>0</v>
      </c>
      <c r="R20" s="594"/>
      <c r="S20" s="840">
        <f>BOM!X27</f>
        <v>0</v>
      </c>
      <c r="T20" s="840">
        <f>BOM!Y27</f>
        <v>0</v>
      </c>
      <c r="U20" s="840">
        <f t="shared" si="9"/>
        <v>0</v>
      </c>
      <c r="V20" s="594"/>
      <c r="W20" s="840">
        <f>BOM!AC27</f>
        <v>0</v>
      </c>
      <c r="X20" s="840">
        <f>BOM!AD27</f>
        <v>0</v>
      </c>
      <c r="Y20" s="840">
        <f t="shared" si="10"/>
        <v>0</v>
      </c>
      <c r="Z20" s="594"/>
      <c r="AA20" s="840">
        <f t="shared" si="0"/>
        <v>0</v>
      </c>
      <c r="AB20" s="840">
        <f t="shared" si="0"/>
        <v>0</v>
      </c>
      <c r="AC20" s="572"/>
      <c r="AD20" s="572"/>
      <c r="AL20" s="602"/>
      <c r="AM20" s="602"/>
    </row>
    <row r="21" spans="1:39" s="12" customFormat="1">
      <c r="A21" s="586" t="str">
        <f>BOM!A28</f>
        <v>B90572</v>
      </c>
      <c r="B21" s="586" t="str">
        <f>BOM!B28</f>
        <v>Oracle Cloud Infrastructure - Database Cloud Service - 
Enterprise Edition Extreme Performance</v>
      </c>
      <c r="C21" s="586" t="str">
        <f>BOM!C28</f>
        <v>OCPU Per Hour</v>
      </c>
      <c r="D21" s="586" t="str">
        <f>IF(BOM!D28="SRV","S",IF(BOM!D28="CC","C",""))</f>
        <v/>
      </c>
      <c r="E21" s="839">
        <f>BOM!F28*(1-BOM!$G28)</f>
        <v>1.2768950000000001</v>
      </c>
      <c r="F21" s="587"/>
      <c r="G21" s="840">
        <f>BOM!I28</f>
        <v>0</v>
      </c>
      <c r="H21" s="840">
        <f>BOM!J28</f>
        <v>0</v>
      </c>
      <c r="I21" s="840">
        <f t="shared" si="6"/>
        <v>0</v>
      </c>
      <c r="J21" s="594"/>
      <c r="K21" s="840">
        <f>BOM!N28</f>
        <v>0</v>
      </c>
      <c r="L21" s="840">
        <f>BOM!O28</f>
        <v>0</v>
      </c>
      <c r="M21" s="840">
        <f t="shared" si="7"/>
        <v>0</v>
      </c>
      <c r="N21" s="594"/>
      <c r="O21" s="840">
        <f>BOM!S28</f>
        <v>0</v>
      </c>
      <c r="P21" s="840">
        <f>BOM!T28</f>
        <v>0</v>
      </c>
      <c r="Q21" s="840">
        <f t="shared" si="8"/>
        <v>0</v>
      </c>
      <c r="R21" s="594"/>
      <c r="S21" s="840">
        <f>BOM!X28</f>
        <v>0</v>
      </c>
      <c r="T21" s="840">
        <f>BOM!Y28</f>
        <v>0</v>
      </c>
      <c r="U21" s="840">
        <f t="shared" si="9"/>
        <v>0</v>
      </c>
      <c r="V21" s="594"/>
      <c r="W21" s="840">
        <f>BOM!AC28</f>
        <v>0</v>
      </c>
      <c r="X21" s="840">
        <f>BOM!AD28</f>
        <v>0</v>
      </c>
      <c r="Y21" s="840">
        <f t="shared" si="10"/>
        <v>0</v>
      </c>
      <c r="Z21" s="594"/>
      <c r="AA21" s="840">
        <f t="shared" si="0"/>
        <v>0</v>
      </c>
      <c r="AB21" s="840">
        <f t="shared" si="0"/>
        <v>0</v>
      </c>
      <c r="AC21" s="572"/>
      <c r="AD21" s="572"/>
      <c r="AL21" s="602"/>
      <c r="AM21" s="602"/>
    </row>
    <row r="22" spans="1:39" s="12" customFormat="1">
      <c r="A22" s="586" t="str">
        <f>BOM!A30</f>
        <v>B91962</v>
      </c>
      <c r="B22" s="586" t="str">
        <f>BOM!B30</f>
        <v>Oracle Cloud Infrastructure - Block Volume Performance</v>
      </c>
      <c r="C22" s="586" t="str">
        <f>BOM!C30</f>
        <v>Performance Units Per Gigabyte Per Month</v>
      </c>
      <c r="D22" s="586" t="str">
        <f>IF(BOM!D30="SRV","S",IF(BOM!D30="CC","C",""))</f>
        <v/>
      </c>
      <c r="E22" s="839">
        <f>BOM!F30*(1-BOM!$G30)</f>
        <v>1.6149999999999999E-3</v>
      </c>
      <c r="F22" s="587"/>
      <c r="G22" s="840">
        <f>BOM!I30</f>
        <v>4500</v>
      </c>
      <c r="H22" s="840">
        <f>BOM!J30</f>
        <v>0</v>
      </c>
      <c r="I22" s="840">
        <f t="shared" si="6"/>
        <v>87.21</v>
      </c>
      <c r="J22" s="594"/>
      <c r="K22" s="840">
        <f>BOM!N30</f>
        <v>25000</v>
      </c>
      <c r="L22" s="840">
        <f>BOM!O30</f>
        <v>0</v>
      </c>
      <c r="M22" s="840">
        <f t="shared" si="7"/>
        <v>484.49999999999994</v>
      </c>
      <c r="N22" s="594"/>
      <c r="O22" s="840">
        <f>BOM!S30</f>
        <v>0</v>
      </c>
      <c r="P22" s="840">
        <f>BOM!T30</f>
        <v>0</v>
      </c>
      <c r="Q22" s="840">
        <f t="shared" si="8"/>
        <v>0</v>
      </c>
      <c r="R22" s="594"/>
      <c r="S22" s="840">
        <f>BOM!X30</f>
        <v>0</v>
      </c>
      <c r="T22" s="840">
        <f>BOM!Y30</f>
        <v>0</v>
      </c>
      <c r="U22" s="840">
        <f t="shared" si="9"/>
        <v>0</v>
      </c>
      <c r="V22" s="594"/>
      <c r="W22" s="840">
        <f>BOM!AC30</f>
        <v>0</v>
      </c>
      <c r="X22" s="840">
        <f>BOM!AD30</f>
        <v>0</v>
      </c>
      <c r="Y22" s="840">
        <f t="shared" si="10"/>
        <v>0</v>
      </c>
      <c r="Z22" s="594"/>
      <c r="AA22" s="840">
        <f t="shared" si="0"/>
        <v>29500</v>
      </c>
      <c r="AB22" s="840">
        <f t="shared" si="0"/>
        <v>571.70999999999992</v>
      </c>
      <c r="AC22" s="572"/>
      <c r="AD22" s="572"/>
      <c r="AL22" s="602"/>
      <c r="AM22" s="602"/>
    </row>
    <row r="23" spans="1:39" s="12" customFormat="1">
      <c r="A23" s="586" t="str">
        <f>BOM!A31</f>
        <v>B90777</v>
      </c>
      <c r="B23" s="586" t="str">
        <f>BOM!B31</f>
        <v>Oracle Cloud Infrastructure - Database Exadata Infrastructure - Base System</v>
      </c>
      <c r="C23" s="586" t="str">
        <f>BOM!C31</f>
        <v>Hosted Environment Per Hour</v>
      </c>
      <c r="D23" s="586" t="str">
        <f>IF(BOM!D31="SRV","S",IF(BOM!D31="CC","C",""))</f>
        <v/>
      </c>
      <c r="E23" s="839">
        <f>BOM!F31*(1-BOM!$G31)</f>
        <v>10.215065000000001</v>
      </c>
      <c r="F23" s="587"/>
      <c r="G23" s="840">
        <f>BOM!I31</f>
        <v>0</v>
      </c>
      <c r="H23" s="840">
        <f>BOM!J31</f>
        <v>0</v>
      </c>
      <c r="I23" s="840">
        <f t="shared" si="6"/>
        <v>0</v>
      </c>
      <c r="J23" s="594"/>
      <c r="K23" s="840">
        <f>BOM!N31</f>
        <v>0</v>
      </c>
      <c r="L23" s="840">
        <f>BOM!O31</f>
        <v>0</v>
      </c>
      <c r="M23" s="840">
        <f t="shared" si="7"/>
        <v>0</v>
      </c>
      <c r="N23" s="594"/>
      <c r="O23" s="840">
        <f>BOM!S31</f>
        <v>0</v>
      </c>
      <c r="P23" s="840">
        <f>BOM!T31</f>
        <v>0</v>
      </c>
      <c r="Q23" s="840">
        <f t="shared" si="8"/>
        <v>0</v>
      </c>
      <c r="R23" s="594"/>
      <c r="S23" s="840">
        <f>BOM!X31</f>
        <v>0</v>
      </c>
      <c r="T23" s="840">
        <f>BOM!Y31</f>
        <v>0</v>
      </c>
      <c r="U23" s="840">
        <f t="shared" si="9"/>
        <v>0</v>
      </c>
      <c r="V23" s="594"/>
      <c r="W23" s="840">
        <f>BOM!AC31</f>
        <v>0</v>
      </c>
      <c r="X23" s="840">
        <f>BOM!AD31</f>
        <v>0</v>
      </c>
      <c r="Y23" s="840">
        <f t="shared" si="10"/>
        <v>0</v>
      </c>
      <c r="Z23" s="594"/>
      <c r="AA23" s="840">
        <f t="shared" si="0"/>
        <v>0</v>
      </c>
      <c r="AB23" s="840">
        <f t="shared" si="0"/>
        <v>0</v>
      </c>
      <c r="AC23" s="572"/>
      <c r="AD23" s="572"/>
      <c r="AL23" s="602"/>
      <c r="AM23" s="602"/>
    </row>
    <row r="24" spans="1:39" s="12" customFormat="1">
      <c r="A24" s="586" t="str">
        <f>BOM!A32</f>
        <v>B92380</v>
      </c>
      <c r="B24" s="586" t="str">
        <f>BOM!B32</f>
        <v xml:space="preserve">Oracle Cloud Infrastructure - Database Exadata Infrastructure - Quarter Rack - X8M
</v>
      </c>
      <c r="C24" s="586" t="str">
        <f>BOM!C32</f>
        <v>Hosted Environment Per Hour</v>
      </c>
      <c r="D24" s="586" t="str">
        <f>IF(BOM!D32="SRV","S",IF(BOM!D32="CC","C",""))</f>
        <v/>
      </c>
      <c r="E24" s="839">
        <f>BOM!F32*(1-BOM!$G32)</f>
        <v>13.790389999999999</v>
      </c>
      <c r="F24" s="587"/>
      <c r="G24" s="840">
        <f>BOM!I32</f>
        <v>0</v>
      </c>
      <c r="H24" s="840">
        <f>BOM!J32</f>
        <v>0</v>
      </c>
      <c r="I24" s="840">
        <f t="shared" si="6"/>
        <v>0</v>
      </c>
      <c r="J24" s="594"/>
      <c r="K24" s="840">
        <f>BOM!N32</f>
        <v>0</v>
      </c>
      <c r="L24" s="840">
        <f>BOM!O32</f>
        <v>0</v>
      </c>
      <c r="M24" s="840">
        <f t="shared" si="7"/>
        <v>0</v>
      </c>
      <c r="N24" s="594"/>
      <c r="O24" s="840">
        <f>BOM!S32</f>
        <v>0</v>
      </c>
      <c r="P24" s="840">
        <f>BOM!T32</f>
        <v>0</v>
      </c>
      <c r="Q24" s="840">
        <f t="shared" si="8"/>
        <v>0</v>
      </c>
      <c r="R24" s="594"/>
      <c r="S24" s="840">
        <f>BOM!X32</f>
        <v>0</v>
      </c>
      <c r="T24" s="840">
        <f>BOM!Y32</f>
        <v>0</v>
      </c>
      <c r="U24" s="840">
        <f t="shared" si="9"/>
        <v>0</v>
      </c>
      <c r="V24" s="594"/>
      <c r="W24" s="840">
        <f>BOM!AC32</f>
        <v>0</v>
      </c>
      <c r="X24" s="840">
        <f>BOM!AD32</f>
        <v>0</v>
      </c>
      <c r="Y24" s="840">
        <f t="shared" si="10"/>
        <v>0</v>
      </c>
      <c r="Z24" s="594"/>
      <c r="AA24" s="840">
        <f t="shared" si="0"/>
        <v>0</v>
      </c>
      <c r="AB24" s="840">
        <f t="shared" si="0"/>
        <v>0</v>
      </c>
      <c r="AC24" s="572"/>
      <c r="AD24" s="572"/>
      <c r="AL24" s="602"/>
      <c r="AM24" s="602"/>
    </row>
    <row r="25" spans="1:39" s="12" customFormat="1">
      <c r="A25" s="586" t="str">
        <f>BOM!A33</f>
        <v>B92381</v>
      </c>
      <c r="B25" s="586" t="str">
        <f>BOM!B33</f>
        <v xml:space="preserve">Oracle Cloud Infrastructure - Database Exadata Infrastructure - Database Server - X8M
</v>
      </c>
      <c r="C25" s="586" t="str">
        <f>BOM!C33</f>
        <v>Hosted Environment Per Hour</v>
      </c>
      <c r="D25" s="586" t="str">
        <f>IF(BOM!D33="SRV","S",IF(BOM!D33="CC","C",""))</f>
        <v/>
      </c>
      <c r="E25" s="839">
        <f>BOM!F33*(1-BOM!$G33)</f>
        <v>2.7580399999999998</v>
      </c>
      <c r="F25" s="587"/>
      <c r="G25" s="840">
        <f>BOM!I33</f>
        <v>0</v>
      </c>
      <c r="H25" s="840">
        <f>BOM!J33</f>
        <v>0</v>
      </c>
      <c r="I25" s="840">
        <f t="shared" si="6"/>
        <v>0</v>
      </c>
      <c r="J25" s="594"/>
      <c r="K25" s="840">
        <f>BOM!N33</f>
        <v>0</v>
      </c>
      <c r="L25" s="840">
        <f>BOM!O33</f>
        <v>0</v>
      </c>
      <c r="M25" s="840">
        <f t="shared" si="7"/>
        <v>0</v>
      </c>
      <c r="N25" s="594"/>
      <c r="O25" s="840">
        <f>BOM!S33</f>
        <v>0</v>
      </c>
      <c r="P25" s="840">
        <f>BOM!T33</f>
        <v>0</v>
      </c>
      <c r="Q25" s="840">
        <f t="shared" si="8"/>
        <v>0</v>
      </c>
      <c r="R25" s="594"/>
      <c r="S25" s="840">
        <f>BOM!X33</f>
        <v>0</v>
      </c>
      <c r="T25" s="840">
        <f>BOM!Y33</f>
        <v>0</v>
      </c>
      <c r="U25" s="840">
        <f t="shared" si="9"/>
        <v>0</v>
      </c>
      <c r="V25" s="594"/>
      <c r="W25" s="840">
        <f>BOM!AC33</f>
        <v>0</v>
      </c>
      <c r="X25" s="840">
        <f>BOM!AD33</f>
        <v>0</v>
      </c>
      <c r="Y25" s="840">
        <f t="shared" si="10"/>
        <v>0</v>
      </c>
      <c r="Z25" s="594"/>
      <c r="AA25" s="840">
        <f t="shared" si="0"/>
        <v>0</v>
      </c>
      <c r="AB25" s="840">
        <f t="shared" si="0"/>
        <v>0</v>
      </c>
      <c r="AC25" s="572"/>
      <c r="AD25" s="572"/>
      <c r="AL25" s="602"/>
      <c r="AM25" s="602"/>
    </row>
    <row r="26" spans="1:39" s="12" customFormat="1">
      <c r="A26" s="586" t="str">
        <f>BOM!A34</f>
        <v>B92382</v>
      </c>
      <c r="B26" s="586" t="str">
        <f>BOM!B34</f>
        <v>Oracle Cloud Infrastructure - Database Exadata Infrastructure - Storage Server - X8M</v>
      </c>
      <c r="C26" s="586" t="str">
        <f>BOM!C34</f>
        <v>Hosted Environment Per Hour</v>
      </c>
      <c r="D26" s="586" t="str">
        <f>IF(BOM!D34="SRV","S",IF(BOM!D34="CC","C",""))</f>
        <v/>
      </c>
      <c r="E26" s="839">
        <f>BOM!F34*(1-BOM!$G34)</f>
        <v>2.7580399999999998</v>
      </c>
      <c r="F26" s="587"/>
      <c r="G26" s="840">
        <f>BOM!I34</f>
        <v>0</v>
      </c>
      <c r="H26" s="840">
        <f>BOM!J34</f>
        <v>0</v>
      </c>
      <c r="I26" s="840">
        <f t="shared" si="6"/>
        <v>0</v>
      </c>
      <c r="J26" s="594"/>
      <c r="K26" s="840">
        <f>BOM!N34</f>
        <v>0</v>
      </c>
      <c r="L26" s="840">
        <f>BOM!O34</f>
        <v>0</v>
      </c>
      <c r="M26" s="840">
        <f t="shared" si="7"/>
        <v>0</v>
      </c>
      <c r="N26" s="594"/>
      <c r="O26" s="840">
        <f>BOM!S34</f>
        <v>0</v>
      </c>
      <c r="P26" s="840">
        <f>BOM!T34</f>
        <v>0</v>
      </c>
      <c r="Q26" s="840">
        <f t="shared" si="8"/>
        <v>0</v>
      </c>
      <c r="R26" s="594"/>
      <c r="S26" s="840">
        <f>BOM!X34</f>
        <v>0</v>
      </c>
      <c r="T26" s="840">
        <f>BOM!Y34</f>
        <v>0</v>
      </c>
      <c r="U26" s="840">
        <f t="shared" si="9"/>
        <v>0</v>
      </c>
      <c r="V26" s="594"/>
      <c r="W26" s="840">
        <f>BOM!AC34</f>
        <v>0</v>
      </c>
      <c r="X26" s="840">
        <f>BOM!AD34</f>
        <v>0</v>
      </c>
      <c r="Y26" s="840">
        <f t="shared" si="10"/>
        <v>0</v>
      </c>
      <c r="Z26" s="594"/>
      <c r="AA26" s="840">
        <f t="shared" si="0"/>
        <v>0</v>
      </c>
      <c r="AB26" s="840">
        <f t="shared" si="0"/>
        <v>0</v>
      </c>
      <c r="AC26" s="572"/>
      <c r="AD26" s="572"/>
      <c r="AL26" s="602"/>
      <c r="AM26" s="602"/>
    </row>
    <row r="27" spans="1:39" s="12" customFormat="1">
      <c r="A27" s="586" t="str">
        <f>BOM!A35</f>
        <v>B88592</v>
      </c>
      <c r="B27" s="586" t="str">
        <f>BOM!B35</f>
        <v>Oracle Cloud Infrastructure - Database Exadata OCPU</v>
      </c>
      <c r="C27" s="586" t="str">
        <f>BOM!C35</f>
        <v>OCPU Per Hour</v>
      </c>
      <c r="D27" s="586" t="str">
        <f>IF(BOM!D35="SRV","S",IF(BOM!D35="CC","C",""))</f>
        <v/>
      </c>
      <c r="E27" s="839">
        <f>BOM!F35*(1-BOM!$G35)</f>
        <v>1.2768950000000001</v>
      </c>
      <c r="F27" s="587"/>
      <c r="G27" s="840">
        <f>BOM!I35</f>
        <v>0</v>
      </c>
      <c r="H27" s="840">
        <f>BOM!J35</f>
        <v>0</v>
      </c>
      <c r="I27" s="840">
        <f t="shared" si="6"/>
        <v>0</v>
      </c>
      <c r="J27" s="594"/>
      <c r="K27" s="840">
        <f>BOM!N35</f>
        <v>0</v>
      </c>
      <c r="L27" s="840">
        <f>BOM!O35</f>
        <v>0</v>
      </c>
      <c r="M27" s="840">
        <f t="shared" si="7"/>
        <v>0</v>
      </c>
      <c r="N27" s="594"/>
      <c r="O27" s="840">
        <f>BOM!S35</f>
        <v>0</v>
      </c>
      <c r="P27" s="840">
        <f>BOM!T35</f>
        <v>0</v>
      </c>
      <c r="Q27" s="840">
        <f t="shared" si="8"/>
        <v>0</v>
      </c>
      <c r="R27" s="594"/>
      <c r="S27" s="840">
        <f>BOM!X35</f>
        <v>0</v>
      </c>
      <c r="T27" s="840">
        <f>BOM!Y35</f>
        <v>0</v>
      </c>
      <c r="U27" s="840">
        <f t="shared" si="9"/>
        <v>0</v>
      </c>
      <c r="V27" s="594"/>
      <c r="W27" s="840">
        <f>BOM!AC35</f>
        <v>0</v>
      </c>
      <c r="X27" s="840">
        <f>BOM!AD35</f>
        <v>0</v>
      </c>
      <c r="Y27" s="840">
        <f t="shared" si="10"/>
        <v>0</v>
      </c>
      <c r="Z27" s="594"/>
      <c r="AA27" s="840">
        <f t="shared" si="0"/>
        <v>0</v>
      </c>
      <c r="AB27" s="840">
        <f t="shared" si="0"/>
        <v>0</v>
      </c>
      <c r="AC27" s="572"/>
      <c r="AD27" s="572"/>
      <c r="AL27" s="602"/>
      <c r="AM27" s="602"/>
    </row>
    <row r="28" spans="1:39" s="12" customFormat="1">
      <c r="A28" s="586" t="str">
        <f>BOM!A36</f>
        <v>B88847</v>
      </c>
      <c r="B28" s="586" t="str">
        <f>BOM!B36</f>
        <v>Oracle Cloud Infrastructure - Database Exadata OCPU - BYOL</v>
      </c>
      <c r="C28" s="586" t="str">
        <f>BOM!C36</f>
        <v>OCPU Per Hour</v>
      </c>
      <c r="D28" s="586" t="str">
        <f>IF(BOM!D36="SRV","S",IF(BOM!D36="CC","C",""))</f>
        <v/>
      </c>
      <c r="E28" s="839">
        <f>BOM!F36*(1-BOM!$G36)</f>
        <v>0.30646999999999996</v>
      </c>
      <c r="F28" s="587"/>
      <c r="G28" s="840">
        <f>BOM!I36</f>
        <v>0</v>
      </c>
      <c r="H28" s="840">
        <f>BOM!J36</f>
        <v>0</v>
      </c>
      <c r="I28" s="840">
        <f t="shared" si="6"/>
        <v>0</v>
      </c>
      <c r="J28" s="594"/>
      <c r="K28" s="840">
        <f>BOM!N36</f>
        <v>0</v>
      </c>
      <c r="L28" s="840">
        <f>BOM!O36</f>
        <v>0</v>
      </c>
      <c r="M28" s="840">
        <f t="shared" si="7"/>
        <v>0</v>
      </c>
      <c r="N28" s="594"/>
      <c r="O28" s="840">
        <f>BOM!S36</f>
        <v>0</v>
      </c>
      <c r="P28" s="840">
        <f>BOM!T36</f>
        <v>0</v>
      </c>
      <c r="Q28" s="840">
        <f t="shared" si="8"/>
        <v>0</v>
      </c>
      <c r="R28" s="594"/>
      <c r="S28" s="840">
        <f>BOM!X36</f>
        <v>0</v>
      </c>
      <c r="T28" s="840">
        <f>BOM!Y36</f>
        <v>0</v>
      </c>
      <c r="U28" s="840">
        <f t="shared" si="9"/>
        <v>0</v>
      </c>
      <c r="V28" s="594"/>
      <c r="W28" s="840">
        <f>BOM!AC36</f>
        <v>0</v>
      </c>
      <c r="X28" s="840">
        <f>BOM!AD36</f>
        <v>0</v>
      </c>
      <c r="Y28" s="840">
        <f t="shared" si="10"/>
        <v>0</v>
      </c>
      <c r="Z28" s="594"/>
      <c r="AA28" s="840">
        <f t="shared" si="0"/>
        <v>0</v>
      </c>
      <c r="AB28" s="840">
        <f t="shared" si="0"/>
        <v>0</v>
      </c>
      <c r="AC28" s="572"/>
      <c r="AD28" s="572"/>
      <c r="AL28" s="602"/>
      <c r="AM28" s="602"/>
    </row>
    <row r="29" spans="1:39" s="12" customFormat="1">
      <c r="A29" s="586" t="str">
        <f>BOM!A37</f>
        <v>B92386</v>
      </c>
      <c r="B29" s="586" t="str">
        <f>BOM!B37</f>
        <v>Oracle Cloud VMware Solution</v>
      </c>
      <c r="C29" s="586" t="str">
        <f>BOM!C37</f>
        <v>OCPU Per Hour</v>
      </c>
      <c r="D29" s="586" t="str">
        <f>IF(BOM!D37="SRV","S",IF(BOM!D37="CC","C",""))</f>
        <v/>
      </c>
      <c r="E29" s="839">
        <f>BOM!F37*(1-BOM!$G37)</f>
        <v>0.2031</v>
      </c>
      <c r="F29" s="587"/>
      <c r="G29" s="840">
        <f>BOM!I37</f>
        <v>0</v>
      </c>
      <c r="H29" s="840">
        <f>BOM!J37</f>
        <v>0</v>
      </c>
      <c r="I29" s="840">
        <f t="shared" si="6"/>
        <v>0</v>
      </c>
      <c r="J29" s="594"/>
      <c r="K29" s="840">
        <f>BOM!N37</f>
        <v>0</v>
      </c>
      <c r="L29" s="840">
        <f>BOM!O37</f>
        <v>0</v>
      </c>
      <c r="M29" s="840">
        <f t="shared" si="7"/>
        <v>0</v>
      </c>
      <c r="N29" s="594"/>
      <c r="O29" s="840">
        <f>BOM!S37</f>
        <v>0</v>
      </c>
      <c r="P29" s="840">
        <f>BOM!T37</f>
        <v>0</v>
      </c>
      <c r="Q29" s="840">
        <f t="shared" si="8"/>
        <v>0</v>
      </c>
      <c r="R29" s="594"/>
      <c r="S29" s="840">
        <f>BOM!X37</f>
        <v>0</v>
      </c>
      <c r="T29" s="840">
        <f>BOM!Y37</f>
        <v>0</v>
      </c>
      <c r="U29" s="840">
        <f t="shared" si="9"/>
        <v>0</v>
      </c>
      <c r="V29" s="594"/>
      <c r="W29" s="840">
        <f>BOM!AC37</f>
        <v>0</v>
      </c>
      <c r="X29" s="840">
        <f>BOM!AD37</f>
        <v>0</v>
      </c>
      <c r="Y29" s="840">
        <f t="shared" si="10"/>
        <v>0</v>
      </c>
      <c r="Z29" s="594"/>
      <c r="AA29" s="840">
        <f t="shared" si="0"/>
        <v>0</v>
      </c>
      <c r="AB29" s="840">
        <f t="shared" si="0"/>
        <v>0</v>
      </c>
      <c r="AC29" s="572"/>
      <c r="AD29" s="572"/>
      <c r="AL29" s="602"/>
      <c r="AM29" s="602"/>
    </row>
    <row r="30" spans="1:39" s="12" customFormat="1">
      <c r="A30" s="586" t="str">
        <f>BOM!A38</f>
        <v>B90453</v>
      </c>
      <c r="B30" s="586" t="str">
        <f>BOM!B38</f>
        <v>Oracle Autonomous Transaction Processing</v>
      </c>
      <c r="C30" s="586" t="str">
        <f>BOM!C38</f>
        <v>OCPU Per Hour</v>
      </c>
      <c r="D30" s="586" t="str">
        <f>IF(BOM!D38="SRV","S",IF(BOM!D38="CC","C",""))</f>
        <v/>
      </c>
      <c r="E30" s="839">
        <f>BOM!F38*(1-BOM!$G38)</f>
        <v>1.2768950000000001</v>
      </c>
      <c r="F30" s="587"/>
      <c r="G30" s="840">
        <f>BOM!I38</f>
        <v>0</v>
      </c>
      <c r="H30" s="840">
        <f>BOM!J38</f>
        <v>0</v>
      </c>
      <c r="I30" s="840">
        <f t="shared" si="6"/>
        <v>0</v>
      </c>
      <c r="J30" s="594"/>
      <c r="K30" s="840">
        <f>BOM!N38</f>
        <v>0</v>
      </c>
      <c r="L30" s="840">
        <f>BOM!O38</f>
        <v>0</v>
      </c>
      <c r="M30" s="840">
        <f t="shared" si="7"/>
        <v>0</v>
      </c>
      <c r="N30" s="594"/>
      <c r="O30" s="840">
        <f>BOM!S38</f>
        <v>0</v>
      </c>
      <c r="P30" s="840">
        <f>BOM!T38</f>
        <v>0</v>
      </c>
      <c r="Q30" s="840">
        <f t="shared" si="8"/>
        <v>0</v>
      </c>
      <c r="R30" s="594"/>
      <c r="S30" s="840">
        <f>BOM!X38</f>
        <v>0</v>
      </c>
      <c r="T30" s="840">
        <f>BOM!Y38</f>
        <v>0</v>
      </c>
      <c r="U30" s="840">
        <f t="shared" si="9"/>
        <v>0</v>
      </c>
      <c r="V30" s="594"/>
      <c r="W30" s="840">
        <f>BOM!AC38</f>
        <v>0</v>
      </c>
      <c r="X30" s="840">
        <f>BOM!AD38</f>
        <v>0</v>
      </c>
      <c r="Y30" s="840">
        <f t="shared" si="10"/>
        <v>0</v>
      </c>
      <c r="Z30" s="594"/>
      <c r="AA30" s="840">
        <f t="shared" si="0"/>
        <v>0</v>
      </c>
      <c r="AB30" s="840">
        <f t="shared" si="0"/>
        <v>0</v>
      </c>
      <c r="AC30" s="572"/>
      <c r="AD30" s="572"/>
      <c r="AL30" s="602"/>
      <c r="AM30" s="602"/>
    </row>
    <row r="31" spans="1:39" s="12" customFormat="1">
      <c r="A31" s="586" t="str">
        <f>BOM!A39</f>
        <v>B90454</v>
      </c>
      <c r="B31" s="586" t="str">
        <f>BOM!B39</f>
        <v>Oracle Autonomous Transaction Processing - BYOL</v>
      </c>
      <c r="C31" s="586" t="str">
        <f>BOM!C39</f>
        <v>OCPU Per Hour</v>
      </c>
      <c r="D31" s="586" t="str">
        <f>IF(BOM!D39="SRV","S",IF(BOM!D39="CC","C",""))</f>
        <v/>
      </c>
      <c r="E31" s="839">
        <f>BOM!F39*(1-BOM!$G39)</f>
        <v>0.30646999999999996</v>
      </c>
      <c r="F31" s="587"/>
      <c r="G31" s="840">
        <f>BOM!I39</f>
        <v>0</v>
      </c>
      <c r="H31" s="840">
        <f>BOM!J39</f>
        <v>0</v>
      </c>
      <c r="I31" s="840">
        <f t="shared" si="6"/>
        <v>0</v>
      </c>
      <c r="J31" s="594"/>
      <c r="K31" s="840">
        <f>BOM!N39</f>
        <v>0</v>
      </c>
      <c r="L31" s="840">
        <f>BOM!O39</f>
        <v>0</v>
      </c>
      <c r="M31" s="840">
        <f t="shared" si="7"/>
        <v>0</v>
      </c>
      <c r="N31" s="594"/>
      <c r="O31" s="840">
        <f>BOM!S39</f>
        <v>0</v>
      </c>
      <c r="P31" s="840">
        <f>BOM!T39</f>
        <v>0</v>
      </c>
      <c r="Q31" s="840">
        <f t="shared" si="8"/>
        <v>0</v>
      </c>
      <c r="R31" s="594"/>
      <c r="S31" s="840">
        <f>BOM!X39</f>
        <v>0</v>
      </c>
      <c r="T31" s="840">
        <f>BOM!Y39</f>
        <v>0</v>
      </c>
      <c r="U31" s="840">
        <f t="shared" si="9"/>
        <v>0</v>
      </c>
      <c r="V31" s="594"/>
      <c r="W31" s="840">
        <f>BOM!AC39</f>
        <v>0</v>
      </c>
      <c r="X31" s="840">
        <f>BOM!AD39</f>
        <v>0</v>
      </c>
      <c r="Y31" s="840">
        <f t="shared" si="10"/>
        <v>0</v>
      </c>
      <c r="Z31" s="594"/>
      <c r="AA31" s="840">
        <f t="shared" si="0"/>
        <v>0</v>
      </c>
      <c r="AB31" s="840">
        <f t="shared" si="0"/>
        <v>0</v>
      </c>
      <c r="AC31" s="572"/>
      <c r="AD31" s="572"/>
      <c r="AL31" s="602"/>
      <c r="AM31" s="602"/>
    </row>
    <row r="32" spans="1:39" s="12" customFormat="1">
      <c r="A32" s="586" t="str">
        <f>BOM!A40</f>
        <v>B90455</v>
      </c>
      <c r="B32" s="586" t="str">
        <f>BOM!B40</f>
        <v>Oracle Autonomous Transaction Processing - Exadata Storage</v>
      </c>
      <c r="C32" s="586" t="str">
        <f>BOM!C40</f>
        <v>Terabyte Storage Capacity Per Month</v>
      </c>
      <c r="D32" s="586" t="str">
        <f>IF(BOM!D40="SRV","S",IF(BOM!D40="CC","C",""))</f>
        <v/>
      </c>
      <c r="E32" s="839">
        <f>BOM!F40*(1-BOM!$G40)</f>
        <v>112.48</v>
      </c>
      <c r="F32" s="587"/>
      <c r="G32" s="840">
        <f>BOM!I40</f>
        <v>0</v>
      </c>
      <c r="H32" s="840">
        <f>BOM!J40</f>
        <v>0</v>
      </c>
      <c r="I32" s="840">
        <f t="shared" si="6"/>
        <v>0</v>
      </c>
      <c r="J32" s="594"/>
      <c r="K32" s="840">
        <f>BOM!N40</f>
        <v>0</v>
      </c>
      <c r="L32" s="840">
        <f>BOM!O40</f>
        <v>0</v>
      </c>
      <c r="M32" s="840">
        <f t="shared" si="7"/>
        <v>0</v>
      </c>
      <c r="N32" s="594"/>
      <c r="O32" s="840">
        <f>BOM!S40</f>
        <v>0</v>
      </c>
      <c r="P32" s="840">
        <f>BOM!T40</f>
        <v>0</v>
      </c>
      <c r="Q32" s="840">
        <f t="shared" si="8"/>
        <v>0</v>
      </c>
      <c r="R32" s="594"/>
      <c r="S32" s="840">
        <f>BOM!X40</f>
        <v>0</v>
      </c>
      <c r="T32" s="840">
        <f>BOM!Y40</f>
        <v>0</v>
      </c>
      <c r="U32" s="840">
        <f t="shared" si="9"/>
        <v>0</v>
      </c>
      <c r="V32" s="594"/>
      <c r="W32" s="840">
        <f>BOM!AC40</f>
        <v>0</v>
      </c>
      <c r="X32" s="840">
        <f>BOM!AD40</f>
        <v>0</v>
      </c>
      <c r="Y32" s="840">
        <f t="shared" si="10"/>
        <v>0</v>
      </c>
      <c r="Z32" s="594"/>
      <c r="AA32" s="840">
        <f t="shared" si="0"/>
        <v>0</v>
      </c>
      <c r="AB32" s="840">
        <f t="shared" si="0"/>
        <v>0</v>
      </c>
      <c r="AC32" s="572"/>
      <c r="AD32" s="572"/>
      <c r="AL32" s="602"/>
      <c r="AM32" s="602"/>
    </row>
    <row r="33" spans="1:39" s="12" customFormat="1">
      <c r="A33" s="586" t="str">
        <f>BOM!A41</f>
        <v>B89040</v>
      </c>
      <c r="B33" s="586" t="str">
        <f>BOM!B41</f>
        <v>Oracle Autonomous Data Warehouse</v>
      </c>
      <c r="C33" s="586" t="str">
        <f>BOM!C41</f>
        <v>OCPU Per Hour</v>
      </c>
      <c r="D33" s="586" t="str">
        <f>IF(BOM!D41="SRV","S",IF(BOM!D41="CC","C",""))</f>
        <v/>
      </c>
      <c r="E33" s="839">
        <f>BOM!F41*(1-BOM!$G41)</f>
        <v>1.2768950000000001</v>
      </c>
      <c r="F33" s="587"/>
      <c r="G33" s="840">
        <f>BOM!I41</f>
        <v>0</v>
      </c>
      <c r="H33" s="840">
        <f>BOM!J41</f>
        <v>0</v>
      </c>
      <c r="I33" s="840">
        <f t="shared" si="6"/>
        <v>0</v>
      </c>
      <c r="J33" s="594"/>
      <c r="K33" s="840">
        <f>BOM!N41</f>
        <v>0</v>
      </c>
      <c r="L33" s="840">
        <f>BOM!O41</f>
        <v>0</v>
      </c>
      <c r="M33" s="840">
        <f t="shared" si="7"/>
        <v>0</v>
      </c>
      <c r="N33" s="594"/>
      <c r="O33" s="840">
        <f>BOM!S41</f>
        <v>0</v>
      </c>
      <c r="P33" s="840">
        <f>BOM!T41</f>
        <v>0</v>
      </c>
      <c r="Q33" s="840">
        <f t="shared" si="8"/>
        <v>0</v>
      </c>
      <c r="R33" s="594"/>
      <c r="S33" s="840">
        <f>BOM!X41</f>
        <v>0</v>
      </c>
      <c r="T33" s="840">
        <f>BOM!Y41</f>
        <v>0</v>
      </c>
      <c r="U33" s="840">
        <f t="shared" si="9"/>
        <v>0</v>
      </c>
      <c r="V33" s="594"/>
      <c r="W33" s="840">
        <f>BOM!AC41</f>
        <v>0</v>
      </c>
      <c r="X33" s="840">
        <f>BOM!AD41</f>
        <v>0</v>
      </c>
      <c r="Y33" s="840">
        <f t="shared" si="10"/>
        <v>0</v>
      </c>
      <c r="Z33" s="594"/>
      <c r="AA33" s="840">
        <f t="shared" si="0"/>
        <v>0</v>
      </c>
      <c r="AB33" s="840">
        <f t="shared" si="0"/>
        <v>0</v>
      </c>
      <c r="AC33" s="572"/>
      <c r="AD33" s="572"/>
      <c r="AL33" s="602"/>
      <c r="AM33" s="602"/>
    </row>
    <row r="34" spans="1:39" s="12" customFormat="1">
      <c r="A34" s="586" t="str">
        <f>BOM!A42</f>
        <v>B89039</v>
      </c>
      <c r="B34" s="586" t="str">
        <f>BOM!B42</f>
        <v>Oracle Autonomous Data Warehouse - BYOL</v>
      </c>
      <c r="C34" s="586" t="str">
        <f>BOM!C42</f>
        <v>OCPU Per Hour</v>
      </c>
      <c r="D34" s="586" t="str">
        <f>IF(BOM!D42="SRV","S",IF(BOM!D42="CC","C",""))</f>
        <v/>
      </c>
      <c r="E34" s="839">
        <f>BOM!F42*(1-BOM!$G42)</f>
        <v>0.30646999999999996</v>
      </c>
      <c r="F34" s="587"/>
      <c r="G34" s="840">
        <f>BOM!I42</f>
        <v>0</v>
      </c>
      <c r="H34" s="840">
        <f>BOM!J42</f>
        <v>0</v>
      </c>
      <c r="I34" s="840">
        <f t="shared" si="6"/>
        <v>0</v>
      </c>
      <c r="J34" s="594"/>
      <c r="K34" s="840">
        <f>BOM!N42</f>
        <v>0</v>
      </c>
      <c r="L34" s="840">
        <f>BOM!O42</f>
        <v>0</v>
      </c>
      <c r="M34" s="840">
        <f t="shared" si="7"/>
        <v>0</v>
      </c>
      <c r="N34" s="594"/>
      <c r="O34" s="840">
        <f>BOM!S42</f>
        <v>0</v>
      </c>
      <c r="P34" s="840">
        <f>BOM!T42</f>
        <v>0</v>
      </c>
      <c r="Q34" s="840">
        <f t="shared" si="8"/>
        <v>0</v>
      </c>
      <c r="R34" s="594"/>
      <c r="S34" s="840">
        <f>BOM!X42</f>
        <v>0</v>
      </c>
      <c r="T34" s="840">
        <f>BOM!Y42</f>
        <v>0</v>
      </c>
      <c r="U34" s="840">
        <f t="shared" si="9"/>
        <v>0</v>
      </c>
      <c r="V34" s="594"/>
      <c r="W34" s="840">
        <f>BOM!AC42</f>
        <v>0</v>
      </c>
      <c r="X34" s="840">
        <f>BOM!AD42</f>
        <v>0</v>
      </c>
      <c r="Y34" s="840">
        <f t="shared" si="10"/>
        <v>0</v>
      </c>
      <c r="Z34" s="594"/>
      <c r="AA34" s="840">
        <f t="shared" si="0"/>
        <v>0</v>
      </c>
      <c r="AB34" s="840">
        <f t="shared" si="0"/>
        <v>0</v>
      </c>
      <c r="AC34" s="572"/>
      <c r="AD34" s="572"/>
      <c r="AL34" s="602"/>
      <c r="AM34" s="602"/>
    </row>
    <row r="35" spans="1:39" s="12" customFormat="1">
      <c r="A35" s="586" t="str">
        <f>BOM!A43</f>
        <v>B89041</v>
      </c>
      <c r="B35" s="586" t="str">
        <f>BOM!B43</f>
        <v>Oracle Autonomous Data Warehouse - Exadata Storage</v>
      </c>
      <c r="C35" s="586" t="str">
        <f>BOM!C43</f>
        <v>Terabyte Storage Capacity Per Month</v>
      </c>
      <c r="D35" s="586" t="str">
        <f>IF(BOM!D43="SRV","S",IF(BOM!D43="CC","C",""))</f>
        <v/>
      </c>
      <c r="E35" s="839">
        <f>BOM!F43*(1-BOM!$G43)</f>
        <v>112.48</v>
      </c>
      <c r="F35" s="587"/>
      <c r="G35" s="840">
        <f>BOM!I43</f>
        <v>0</v>
      </c>
      <c r="H35" s="840">
        <f>BOM!J43</f>
        <v>0</v>
      </c>
      <c r="I35" s="840">
        <f t="shared" si="6"/>
        <v>0</v>
      </c>
      <c r="J35" s="594"/>
      <c r="K35" s="840">
        <f>BOM!N43</f>
        <v>0</v>
      </c>
      <c r="L35" s="840">
        <f>BOM!O43</f>
        <v>0</v>
      </c>
      <c r="M35" s="840">
        <f t="shared" si="7"/>
        <v>0</v>
      </c>
      <c r="N35" s="594"/>
      <c r="O35" s="840">
        <f>BOM!S43</f>
        <v>0</v>
      </c>
      <c r="P35" s="840">
        <f>BOM!T43</f>
        <v>0</v>
      </c>
      <c r="Q35" s="840">
        <f t="shared" si="8"/>
        <v>0</v>
      </c>
      <c r="R35" s="594"/>
      <c r="S35" s="840">
        <f>BOM!X43</f>
        <v>0</v>
      </c>
      <c r="T35" s="840">
        <f>BOM!Y43</f>
        <v>0</v>
      </c>
      <c r="U35" s="840">
        <f t="shared" si="9"/>
        <v>0</v>
      </c>
      <c r="V35" s="594"/>
      <c r="W35" s="840">
        <f>BOM!AC43</f>
        <v>0</v>
      </c>
      <c r="X35" s="840">
        <f>BOM!AD43</f>
        <v>0</v>
      </c>
      <c r="Y35" s="840">
        <f t="shared" si="10"/>
        <v>0</v>
      </c>
      <c r="Z35" s="594"/>
      <c r="AA35" s="840">
        <f t="shared" si="0"/>
        <v>0</v>
      </c>
      <c r="AB35" s="840">
        <f t="shared" si="0"/>
        <v>0</v>
      </c>
      <c r="AC35" s="572"/>
      <c r="AD35" s="572"/>
      <c r="AL35" s="602"/>
      <c r="AM35" s="602"/>
    </row>
    <row r="36" spans="1:39" s="12" customFormat="1">
      <c r="A36" s="586" t="str">
        <f>BOM!A45</f>
        <v>B93030</v>
      </c>
      <c r="B36" s="586" t="str">
        <f>BOM!B45</f>
        <v>Oracle Cloud Infrastructure - Load Balancer Base - greater than 1 Load Balancer instance per hour</v>
      </c>
      <c r="C36" s="586" t="str">
        <f>BOM!C45</f>
        <v>Load Balancer Hour</v>
      </c>
      <c r="D36" s="586" t="str">
        <f>IF(BOM!D45="SRV","S",IF(BOM!D45="CC","C",""))</f>
        <v/>
      </c>
      <c r="E36" s="839">
        <f>BOM!F45*(1-BOM!$G45)</f>
        <v>1.0734999999999998E-2</v>
      </c>
      <c r="F36" s="587"/>
      <c r="G36" s="840">
        <f>BOM!I45</f>
        <v>3</v>
      </c>
      <c r="H36" s="840">
        <f>BOM!J45</f>
        <v>0</v>
      </c>
      <c r="I36" s="840">
        <f t="shared" si="6"/>
        <v>282.11579999999998</v>
      </c>
      <c r="J36" s="594"/>
      <c r="K36" s="840">
        <f>BOM!N45</f>
        <v>0</v>
      </c>
      <c r="L36" s="840">
        <f>BOM!O45</f>
        <v>0</v>
      </c>
      <c r="M36" s="840">
        <f t="shared" si="7"/>
        <v>0</v>
      </c>
      <c r="N36" s="594"/>
      <c r="O36" s="840">
        <f>BOM!S45</f>
        <v>0</v>
      </c>
      <c r="P36" s="840">
        <f>BOM!T45</f>
        <v>0</v>
      </c>
      <c r="Q36" s="840">
        <f t="shared" si="8"/>
        <v>0</v>
      </c>
      <c r="R36" s="594"/>
      <c r="S36" s="840">
        <f>BOM!X45</f>
        <v>0</v>
      </c>
      <c r="T36" s="840">
        <f>BOM!Y45</f>
        <v>0</v>
      </c>
      <c r="U36" s="840">
        <f t="shared" si="9"/>
        <v>0</v>
      </c>
      <c r="V36" s="594"/>
      <c r="W36" s="840">
        <f>BOM!AC45</f>
        <v>0</v>
      </c>
      <c r="X36" s="840">
        <f>BOM!AD45</f>
        <v>0</v>
      </c>
      <c r="Y36" s="840">
        <f t="shared" si="10"/>
        <v>0</v>
      </c>
      <c r="Z36" s="594"/>
      <c r="AA36" s="840">
        <f t="shared" si="0"/>
        <v>3</v>
      </c>
      <c r="AB36" s="840">
        <f t="shared" si="0"/>
        <v>282.11579999999998</v>
      </c>
      <c r="AC36" s="572"/>
      <c r="AD36" s="572"/>
      <c r="AL36" s="602"/>
      <c r="AM36" s="602"/>
    </row>
    <row r="37" spans="1:39" s="12" customFormat="1">
      <c r="A37" s="586" t="str">
        <f>BOM!A46</f>
        <v>B93031</v>
      </c>
      <c r="B37" s="586" t="str">
        <f>BOM!B46</f>
        <v>Oracle Cloud Infrastructure - Load Balancer Bandwidth - greater than 10 Mbps Per Hour</v>
      </c>
      <c r="C37" s="586" t="str">
        <f>BOM!C46</f>
        <v>Mbps Per Hour</v>
      </c>
      <c r="D37" s="586" t="str">
        <f>IF(BOM!D46="SRV","S",IF(BOM!D46="CC","C",""))</f>
        <v/>
      </c>
      <c r="E37" s="839">
        <f>BOM!F46*(1-BOM!$G46)</f>
        <v>9.5000000000000005E-5</v>
      </c>
      <c r="F37" s="587"/>
      <c r="G37" s="840">
        <f>BOM!I46</f>
        <v>500</v>
      </c>
      <c r="H37" s="840">
        <f>BOM!J46</f>
        <v>0</v>
      </c>
      <c r="I37" s="840">
        <f t="shared" si="6"/>
        <v>416.1</v>
      </c>
      <c r="J37" s="594"/>
      <c r="K37" s="840">
        <f>BOM!N46</f>
        <v>0</v>
      </c>
      <c r="L37" s="840">
        <f>BOM!O46</f>
        <v>0</v>
      </c>
      <c r="M37" s="840">
        <f t="shared" si="7"/>
        <v>0</v>
      </c>
      <c r="N37" s="594"/>
      <c r="O37" s="840">
        <f>BOM!S46</f>
        <v>0</v>
      </c>
      <c r="P37" s="840">
        <f>BOM!T46</f>
        <v>0</v>
      </c>
      <c r="Q37" s="840">
        <f t="shared" si="8"/>
        <v>0</v>
      </c>
      <c r="R37" s="594"/>
      <c r="S37" s="840">
        <f>BOM!X46</f>
        <v>0</v>
      </c>
      <c r="T37" s="840">
        <f>BOM!Y46</f>
        <v>0</v>
      </c>
      <c r="U37" s="840">
        <f t="shared" si="9"/>
        <v>0</v>
      </c>
      <c r="V37" s="594"/>
      <c r="W37" s="840">
        <f>BOM!AC46</f>
        <v>0</v>
      </c>
      <c r="X37" s="840">
        <f>BOM!AD46</f>
        <v>0</v>
      </c>
      <c r="Y37" s="840">
        <f t="shared" si="10"/>
        <v>0</v>
      </c>
      <c r="Z37" s="594"/>
      <c r="AA37" s="840">
        <f t="shared" si="0"/>
        <v>500</v>
      </c>
      <c r="AB37" s="840">
        <f t="shared" si="0"/>
        <v>416.1</v>
      </c>
      <c r="AC37" s="572"/>
      <c r="AD37" s="572"/>
      <c r="AL37" s="602"/>
      <c r="AM37" s="602"/>
    </row>
    <row r="38" spans="1:39" s="12" customFormat="1">
      <c r="A38" s="586" t="str">
        <f>BOM!A47</f>
        <v>B88325</v>
      </c>
      <c r="B38" s="586" t="str">
        <f>BOM!B47</f>
        <v>Oracle Cloud Infrastructure - FastConnect 1 Gbps</v>
      </c>
      <c r="C38" s="586" t="str">
        <f>BOM!C47</f>
        <v>Port Hour</v>
      </c>
      <c r="D38" s="586" t="str">
        <f>IF(BOM!D47="SRV","S",IF(BOM!D47="CC","C",""))</f>
        <v/>
      </c>
      <c r="E38" s="839">
        <f>BOM!F47*(1-BOM!$G47)</f>
        <v>0.201875</v>
      </c>
      <c r="F38" s="587"/>
      <c r="G38" s="840">
        <f>BOM!I47</f>
        <v>0</v>
      </c>
      <c r="H38" s="840">
        <f>BOM!J47</f>
        <v>0</v>
      </c>
      <c r="I38" s="840">
        <f t="shared" si="6"/>
        <v>0</v>
      </c>
      <c r="J38" s="594"/>
      <c r="K38" s="840">
        <f>BOM!N47</f>
        <v>0</v>
      </c>
      <c r="L38" s="840">
        <f>BOM!O47</f>
        <v>0</v>
      </c>
      <c r="M38" s="840">
        <f t="shared" si="7"/>
        <v>0</v>
      </c>
      <c r="N38" s="594"/>
      <c r="O38" s="840">
        <f>BOM!S47</f>
        <v>0</v>
      </c>
      <c r="P38" s="840">
        <f>BOM!T47</f>
        <v>0</v>
      </c>
      <c r="Q38" s="840">
        <f t="shared" si="8"/>
        <v>0</v>
      </c>
      <c r="R38" s="594"/>
      <c r="S38" s="840">
        <f>BOM!X47</f>
        <v>0</v>
      </c>
      <c r="T38" s="840">
        <f>BOM!Y47</f>
        <v>0</v>
      </c>
      <c r="U38" s="840">
        <f t="shared" si="9"/>
        <v>0</v>
      </c>
      <c r="V38" s="594"/>
      <c r="W38" s="840">
        <f>BOM!AC47</f>
        <v>0</v>
      </c>
      <c r="X38" s="840">
        <f>BOM!AD47</f>
        <v>0</v>
      </c>
      <c r="Y38" s="840">
        <f t="shared" si="10"/>
        <v>0</v>
      </c>
      <c r="Z38" s="594"/>
      <c r="AA38" s="840">
        <f t="shared" si="0"/>
        <v>0</v>
      </c>
      <c r="AB38" s="840">
        <f t="shared" si="0"/>
        <v>0</v>
      </c>
      <c r="AC38" s="572"/>
      <c r="AD38" s="572"/>
      <c r="AL38" s="602"/>
      <c r="AM38" s="602"/>
    </row>
    <row r="39" spans="1:39" s="12" customFormat="1">
      <c r="A39" s="586" t="str">
        <f>BOM!A48</f>
        <v>B88326</v>
      </c>
      <c r="B39" s="586" t="str">
        <f>BOM!B48</f>
        <v>Oracle Cloud Infrastructure - FastConnect 10 Gbps</v>
      </c>
      <c r="C39" s="586" t="str">
        <f>BOM!C48</f>
        <v>Port Hour</v>
      </c>
      <c r="D39" s="586" t="str">
        <f>IF(BOM!D48="SRV","S",IF(BOM!D48="CC","C",""))</f>
        <v/>
      </c>
      <c r="E39" s="839">
        <f>BOM!F48*(1-BOM!$G48)</f>
        <v>1.2112499999999999</v>
      </c>
      <c r="F39" s="587"/>
      <c r="G39" s="840">
        <f>BOM!I48</f>
        <v>0</v>
      </c>
      <c r="H39" s="840">
        <f>BOM!J48</f>
        <v>0</v>
      </c>
      <c r="I39" s="840">
        <f t="shared" si="6"/>
        <v>0</v>
      </c>
      <c r="J39" s="594"/>
      <c r="K39" s="840">
        <f>BOM!N48</f>
        <v>0</v>
      </c>
      <c r="L39" s="840">
        <f>BOM!O48</f>
        <v>0</v>
      </c>
      <c r="M39" s="840">
        <f t="shared" si="7"/>
        <v>0</v>
      </c>
      <c r="N39" s="594"/>
      <c r="O39" s="840">
        <f>BOM!S48</f>
        <v>0</v>
      </c>
      <c r="P39" s="840">
        <f>BOM!T48</f>
        <v>0</v>
      </c>
      <c r="Q39" s="840">
        <f t="shared" si="8"/>
        <v>0</v>
      </c>
      <c r="R39" s="594"/>
      <c r="S39" s="840">
        <f>BOM!X48</f>
        <v>0</v>
      </c>
      <c r="T39" s="840">
        <f>BOM!Y48</f>
        <v>0</v>
      </c>
      <c r="U39" s="840">
        <f t="shared" si="9"/>
        <v>0</v>
      </c>
      <c r="V39" s="594"/>
      <c r="W39" s="840">
        <f>BOM!AC48</f>
        <v>0</v>
      </c>
      <c r="X39" s="840">
        <f>BOM!AD48</f>
        <v>0</v>
      </c>
      <c r="Y39" s="840">
        <f t="shared" si="10"/>
        <v>0</v>
      </c>
      <c r="Z39" s="594"/>
      <c r="AA39" s="840">
        <f t="shared" si="0"/>
        <v>0</v>
      </c>
      <c r="AB39" s="840">
        <f t="shared" si="0"/>
        <v>0</v>
      </c>
      <c r="AC39" s="572"/>
      <c r="AD39" s="572"/>
      <c r="AL39" s="602"/>
      <c r="AM39" s="602"/>
    </row>
    <row r="40" spans="1:39" s="12" customFormat="1">
      <c r="A40" s="586" t="str">
        <f>BOM!A49</f>
        <v>B88327</v>
      </c>
      <c r="B40" s="586" t="str">
        <f>BOM!B49</f>
        <v>Oracle Cloud Infrastructure - Outbound Data Transfer</v>
      </c>
      <c r="C40" s="586" t="str">
        <f>BOM!C49</f>
        <v>Gigabyte Outbound Data Transfer Per Month</v>
      </c>
      <c r="D40" s="586" t="str">
        <f>IF(BOM!D49="SRV","S",IF(BOM!D49="CC","C",""))</f>
        <v/>
      </c>
      <c r="E40" s="839">
        <f>BOM!F49*(1-BOM!$G49)</f>
        <v>8.0750000000000006E-3</v>
      </c>
      <c r="F40" s="587"/>
      <c r="G40" s="840">
        <f>BOM!I49</f>
        <v>0</v>
      </c>
      <c r="H40" s="840">
        <f>BOM!J49</f>
        <v>0</v>
      </c>
      <c r="I40" s="840">
        <f t="shared" si="6"/>
        <v>0</v>
      </c>
      <c r="J40" s="594"/>
      <c r="K40" s="840">
        <f>BOM!N49</f>
        <v>0</v>
      </c>
      <c r="L40" s="840">
        <f>BOM!O49</f>
        <v>0</v>
      </c>
      <c r="M40" s="840">
        <f t="shared" si="7"/>
        <v>0</v>
      </c>
      <c r="N40" s="594"/>
      <c r="O40" s="840">
        <f>BOM!S49</f>
        <v>0</v>
      </c>
      <c r="P40" s="840">
        <f>BOM!T49</f>
        <v>0</v>
      </c>
      <c r="Q40" s="840">
        <f t="shared" si="8"/>
        <v>0</v>
      </c>
      <c r="R40" s="594"/>
      <c r="S40" s="840">
        <f>BOM!X49</f>
        <v>0</v>
      </c>
      <c r="T40" s="840">
        <f>BOM!Y49</f>
        <v>0</v>
      </c>
      <c r="U40" s="840">
        <f t="shared" si="9"/>
        <v>0</v>
      </c>
      <c r="V40" s="594"/>
      <c r="W40" s="840">
        <f>BOM!AC49</f>
        <v>0</v>
      </c>
      <c r="X40" s="840">
        <f>BOM!AD49</f>
        <v>0</v>
      </c>
      <c r="Y40" s="840">
        <f t="shared" si="10"/>
        <v>0</v>
      </c>
      <c r="Z40" s="594"/>
      <c r="AA40" s="840">
        <f t="shared" si="0"/>
        <v>0</v>
      </c>
      <c r="AB40" s="840">
        <f t="shared" si="0"/>
        <v>0</v>
      </c>
      <c r="AC40" s="572"/>
      <c r="AD40" s="572"/>
      <c r="AL40" s="602"/>
      <c r="AM40" s="602"/>
    </row>
    <row r="41" spans="1:39" s="12" customFormat="1">
      <c r="A41" s="586" t="str">
        <f>BOM!A54</f>
        <v>B93495</v>
      </c>
      <c r="B41" s="586" t="str">
        <f>BOM!B54</f>
        <v>Oracle Cloud Infrastructure Identity and Access Management - Premium</v>
      </c>
      <c r="C41" s="586" t="str">
        <f>BOM!C54</f>
        <v>User Per Month</v>
      </c>
      <c r="D41" s="586" t="str">
        <f>IF(BOM!D54="SRV","S",IF(BOM!D54="CC","C",""))</f>
        <v/>
      </c>
      <c r="E41" s="839">
        <f>BOM!F54*(1-BOM!$G54)</f>
        <v>3.04</v>
      </c>
      <c r="F41" s="587"/>
      <c r="G41" s="840">
        <f>BOM!I54</f>
        <v>862</v>
      </c>
      <c r="H41" s="840">
        <f>BOM!J54</f>
        <v>0</v>
      </c>
      <c r="I41" s="840">
        <f t="shared" si="6"/>
        <v>31445.760000000002</v>
      </c>
      <c r="J41" s="594"/>
      <c r="K41" s="840">
        <f>BOM!N54</f>
        <v>0</v>
      </c>
      <c r="L41" s="840">
        <f>BOM!O54</f>
        <v>0</v>
      </c>
      <c r="M41" s="840">
        <f t="shared" si="7"/>
        <v>0</v>
      </c>
      <c r="N41" s="594"/>
      <c r="O41" s="840">
        <f>BOM!S54</f>
        <v>0</v>
      </c>
      <c r="P41" s="840">
        <f>BOM!T54</f>
        <v>0</v>
      </c>
      <c r="Q41" s="840">
        <f t="shared" si="8"/>
        <v>0</v>
      </c>
      <c r="R41" s="594"/>
      <c r="S41" s="840">
        <f>BOM!X54</f>
        <v>0</v>
      </c>
      <c r="T41" s="840">
        <f>BOM!Y54</f>
        <v>0</v>
      </c>
      <c r="U41" s="840">
        <f t="shared" si="9"/>
        <v>0</v>
      </c>
      <c r="V41" s="594"/>
      <c r="W41" s="840">
        <f>BOM!AC54</f>
        <v>0</v>
      </c>
      <c r="X41" s="840">
        <f>BOM!AD54</f>
        <v>0</v>
      </c>
      <c r="Y41" s="840">
        <f t="shared" si="10"/>
        <v>0</v>
      </c>
      <c r="Z41" s="594"/>
      <c r="AA41" s="840">
        <f t="shared" si="0"/>
        <v>862</v>
      </c>
      <c r="AB41" s="840">
        <f t="shared" si="0"/>
        <v>31445.760000000002</v>
      </c>
      <c r="AC41" s="572"/>
      <c r="AD41" s="572"/>
      <c r="AL41" s="602"/>
      <c r="AM41" s="602"/>
    </row>
    <row r="42" spans="1:39" s="12" customFormat="1">
      <c r="A42" s="586" t="str">
        <f>BOM!A57</f>
        <v>NON UC</v>
      </c>
      <c r="B42" s="586">
        <f>BOM!B57</f>
        <v>0</v>
      </c>
      <c r="C42" s="586">
        <f>BOM!C57</f>
        <v>0</v>
      </c>
      <c r="D42" s="586" t="str">
        <f>IF(BOM!D57="SRV","S",IF(BOM!D57="CC","C",""))</f>
        <v/>
      </c>
      <c r="E42" s="839">
        <f>BOM!F57*(1-BOM!$G57)</f>
        <v>0</v>
      </c>
      <c r="F42" s="587"/>
      <c r="G42" s="840">
        <f>BOM!I57</f>
        <v>0</v>
      </c>
      <c r="H42" s="840">
        <f>BOM!J57</f>
        <v>0</v>
      </c>
      <c r="I42" s="840">
        <f t="shared" ref="I42:I50" si="11">IF(ISNUMBER(SEARCH("Hour",$C42)),IF(H42=0,$A$3*$A$4*$E42*G42,$A$3*H42*$E42*G42),IF($D42="S",$E42*G42,$A$3*$E42*G42))</f>
        <v>0</v>
      </c>
      <c r="J42" s="594"/>
      <c r="K42" s="840">
        <f>BOM!N57</f>
        <v>0</v>
      </c>
      <c r="L42" s="840">
        <f>BOM!O57</f>
        <v>0</v>
      </c>
      <c r="M42" s="840">
        <f t="shared" ref="M42:M50" si="12">IF(ISNUMBER(SEARCH("Hour",$C42)),IF(L42=0,$A$3*$A$4*$E42*K42,$A$3*L42*$E42*K42),IF($D42="S",$E42*K42,$A$3*$E42*K42))</f>
        <v>0</v>
      </c>
      <c r="N42" s="594"/>
      <c r="O42" s="840">
        <f>BOM!S57</f>
        <v>0</v>
      </c>
      <c r="P42" s="840">
        <f>BOM!T57</f>
        <v>0</v>
      </c>
      <c r="Q42" s="840">
        <f t="shared" ref="Q42:Q50" si="13">IF(ISNUMBER(SEARCH("Hour",$C42)),IF(P42=0,$A$3*$A$4*$E42*O42,$A$3*P42*$E42*O42),IF($D42="S",$E42*O42,$A$3*$E42*O42))</f>
        <v>0</v>
      </c>
      <c r="R42" s="594"/>
      <c r="S42" s="840">
        <f>BOM!X57</f>
        <v>0</v>
      </c>
      <c r="T42" s="840">
        <f>BOM!Y57</f>
        <v>0</v>
      </c>
      <c r="U42" s="840">
        <f t="shared" ref="U42:U50" si="14">IF(ISNUMBER(SEARCH("Hour",$C42)),IF(T42=0,$A$3*$A$4*$E42*S42,$A$3*T42*$E42*S42),IF($D42="S",$E42*S42,$A$3*$E42*S42))</f>
        <v>0</v>
      </c>
      <c r="V42" s="594"/>
      <c r="W42" s="840">
        <f>BOM!AC57</f>
        <v>0</v>
      </c>
      <c r="X42" s="840">
        <f>BOM!AD57</f>
        <v>0</v>
      </c>
      <c r="Y42" s="840">
        <f t="shared" ref="Y42:Y50" si="15">IF(ISNUMBER(SEARCH("Hour",$C42)),IF(X42=0,$A$3*$A$4*$E42*W42,$A$3*X42*$E42*W42),IF($D42="S",$E42*W42,$A$3*$E42*W42))</f>
        <v>0</v>
      </c>
      <c r="Z42" s="594"/>
      <c r="AA42" s="840">
        <f t="shared" si="0"/>
        <v>0</v>
      </c>
      <c r="AB42" s="840">
        <f t="shared" si="0"/>
        <v>0</v>
      </c>
      <c r="AC42" s="572"/>
      <c r="AD42" s="572"/>
      <c r="AL42" s="602"/>
      <c r="AM42" s="602"/>
    </row>
    <row r="43" spans="1:39" s="12" customFormat="1">
      <c r="A43" s="586" t="str">
        <f>BOM!A58</f>
        <v>B93129</v>
      </c>
      <c r="B43" s="586" t="str">
        <f>BOM!B58</f>
        <v>Gen 2 Exadata Cloud@Customer Infrastructure - X9M - Quarter Rack - Non-metered</v>
      </c>
      <c r="C43" s="586" t="str">
        <f>BOM!C58</f>
        <v>Hosted Environment Per Month</v>
      </c>
      <c r="D43" s="586" t="str">
        <f>IF(BOM!D58="SRV","S",IF(BOM!D58="CC","C",""))</f>
        <v>C</v>
      </c>
      <c r="E43" s="839">
        <f>BOM!F58*(1-BOM!$G58)</f>
        <v>10260</v>
      </c>
      <c r="F43" s="587"/>
      <c r="G43" s="840">
        <f>BOM!I58</f>
        <v>0</v>
      </c>
      <c r="H43" s="840">
        <f>BOM!J58</f>
        <v>0</v>
      </c>
      <c r="I43" s="840">
        <f t="shared" si="11"/>
        <v>0</v>
      </c>
      <c r="J43" s="594"/>
      <c r="K43" s="840">
        <f>BOM!N58</f>
        <v>0</v>
      </c>
      <c r="L43" s="840">
        <f>BOM!O58</f>
        <v>0</v>
      </c>
      <c r="M43" s="840">
        <f t="shared" si="12"/>
        <v>0</v>
      </c>
      <c r="N43" s="594"/>
      <c r="O43" s="840">
        <f>BOM!S58</f>
        <v>0</v>
      </c>
      <c r="P43" s="840">
        <f>BOM!T58</f>
        <v>0</v>
      </c>
      <c r="Q43" s="840">
        <f t="shared" si="13"/>
        <v>0</v>
      </c>
      <c r="R43" s="594"/>
      <c r="S43" s="840">
        <f>BOM!X58</f>
        <v>0</v>
      </c>
      <c r="T43" s="840">
        <f>BOM!Y58</f>
        <v>0</v>
      </c>
      <c r="U43" s="840">
        <f t="shared" si="14"/>
        <v>0</v>
      </c>
      <c r="V43" s="594"/>
      <c r="W43" s="840">
        <f>BOM!AC58</f>
        <v>0</v>
      </c>
      <c r="X43" s="840">
        <f>BOM!AD58</f>
        <v>0</v>
      </c>
      <c r="Y43" s="840">
        <f t="shared" si="15"/>
        <v>0</v>
      </c>
      <c r="Z43" s="594"/>
      <c r="AA43" s="840">
        <f t="shared" si="0"/>
        <v>0</v>
      </c>
      <c r="AB43" s="840">
        <f t="shared" si="0"/>
        <v>0</v>
      </c>
      <c r="AC43" s="572"/>
      <c r="AD43" s="572"/>
      <c r="AL43" s="602"/>
      <c r="AM43" s="602"/>
    </row>
    <row r="44" spans="1:39" s="12" customFormat="1">
      <c r="A44" s="586" t="str">
        <f>BOM!A59</f>
        <v>B93131</v>
      </c>
      <c r="B44" s="586" t="str">
        <f>BOM!B59</f>
        <v>Gen 2 Exadata Cloud@Customer Infrastructure - X9M - Half Rack - Non-metered</v>
      </c>
      <c r="C44" s="586" t="str">
        <f>BOM!C59</f>
        <v>Hosted Environment Per Month</v>
      </c>
      <c r="D44" s="586" t="str">
        <f>IF(BOM!D59="SRV","S",IF(BOM!D59="CC","C",""))</f>
        <v>C</v>
      </c>
      <c r="E44" s="839">
        <f>BOM!F59*(1-BOM!$G59)</f>
        <v>20520</v>
      </c>
      <c r="F44" s="587"/>
      <c r="G44" s="840">
        <f>BOM!I59</f>
        <v>0</v>
      </c>
      <c r="H44" s="840">
        <f>BOM!J59</f>
        <v>0</v>
      </c>
      <c r="I44" s="840">
        <f t="shared" si="11"/>
        <v>0</v>
      </c>
      <c r="J44" s="594"/>
      <c r="K44" s="840">
        <f>BOM!N59</f>
        <v>0</v>
      </c>
      <c r="L44" s="840">
        <f>BOM!O59</f>
        <v>0</v>
      </c>
      <c r="M44" s="840">
        <f t="shared" si="12"/>
        <v>0</v>
      </c>
      <c r="N44" s="594"/>
      <c r="O44" s="840">
        <f>BOM!S59</f>
        <v>0</v>
      </c>
      <c r="P44" s="840">
        <f>BOM!T59</f>
        <v>0</v>
      </c>
      <c r="Q44" s="840">
        <f t="shared" si="13"/>
        <v>0</v>
      </c>
      <c r="R44" s="594"/>
      <c r="S44" s="840">
        <f>BOM!X59</f>
        <v>0</v>
      </c>
      <c r="T44" s="840">
        <f>BOM!Y59</f>
        <v>0</v>
      </c>
      <c r="U44" s="840">
        <f t="shared" si="14"/>
        <v>0</v>
      </c>
      <c r="V44" s="594"/>
      <c r="W44" s="840">
        <f>BOM!AC59</f>
        <v>0</v>
      </c>
      <c r="X44" s="840">
        <f>BOM!AD59</f>
        <v>0</v>
      </c>
      <c r="Y44" s="840">
        <f t="shared" si="15"/>
        <v>0</v>
      </c>
      <c r="Z44" s="594"/>
      <c r="AA44" s="840">
        <f t="shared" si="0"/>
        <v>0</v>
      </c>
      <c r="AB44" s="840">
        <f t="shared" si="0"/>
        <v>0</v>
      </c>
      <c r="AC44" s="572"/>
      <c r="AD44" s="572"/>
      <c r="AL44" s="602"/>
      <c r="AM44" s="602"/>
    </row>
    <row r="45" spans="1:39" s="12" customFormat="1">
      <c r="A45" s="586" t="str">
        <f>BOM!A60</f>
        <v>B93133</v>
      </c>
      <c r="B45" s="586" t="str">
        <f>BOM!B60</f>
        <v>Gen 2 Exadata Cloud@Customer Infrastructure - X9M - Full Rack - Non-metered</v>
      </c>
      <c r="C45" s="586" t="str">
        <f>BOM!C60</f>
        <v>Hosted Environment Per Month</v>
      </c>
      <c r="D45" s="586" t="str">
        <f>IF(BOM!D60="SRV","S",IF(BOM!D60="CC","C",""))</f>
        <v>C</v>
      </c>
      <c r="E45" s="839">
        <f>BOM!F60*(1-BOM!$G60)</f>
        <v>41040</v>
      </c>
      <c r="F45" s="587"/>
      <c r="G45" s="840">
        <f>BOM!I60</f>
        <v>0</v>
      </c>
      <c r="H45" s="840">
        <f>BOM!J60</f>
        <v>0</v>
      </c>
      <c r="I45" s="840">
        <f t="shared" si="11"/>
        <v>0</v>
      </c>
      <c r="J45" s="594"/>
      <c r="K45" s="840">
        <f>BOM!N60</f>
        <v>0</v>
      </c>
      <c r="L45" s="840">
        <f>BOM!O60</f>
        <v>0</v>
      </c>
      <c r="M45" s="840">
        <f t="shared" si="12"/>
        <v>0</v>
      </c>
      <c r="N45" s="594"/>
      <c r="O45" s="840">
        <f>BOM!S60</f>
        <v>0</v>
      </c>
      <c r="P45" s="840">
        <f>BOM!T60</f>
        <v>0</v>
      </c>
      <c r="Q45" s="840">
        <f t="shared" si="13"/>
        <v>0</v>
      </c>
      <c r="R45" s="594"/>
      <c r="S45" s="840">
        <f>BOM!X60</f>
        <v>0</v>
      </c>
      <c r="T45" s="840">
        <f>BOM!Y60</f>
        <v>0</v>
      </c>
      <c r="U45" s="840">
        <f t="shared" si="14"/>
        <v>0</v>
      </c>
      <c r="V45" s="594"/>
      <c r="W45" s="840">
        <f>BOM!AC60</f>
        <v>0</v>
      </c>
      <c r="X45" s="840">
        <f>BOM!AD60</f>
        <v>0</v>
      </c>
      <c r="Y45" s="840">
        <f t="shared" si="15"/>
        <v>0</v>
      </c>
      <c r="Z45" s="594"/>
      <c r="AA45" s="840">
        <f t="shared" si="0"/>
        <v>0</v>
      </c>
      <c r="AB45" s="840">
        <f t="shared" si="0"/>
        <v>0</v>
      </c>
      <c r="AC45" s="572"/>
      <c r="AD45" s="572"/>
      <c r="AL45" s="602"/>
      <c r="AM45" s="602"/>
    </row>
    <row r="46" spans="1:39" s="12" customFormat="1">
      <c r="A46" s="586" t="str">
        <f>BOM!A61</f>
        <v>B92406</v>
      </c>
      <c r="B46" s="586" t="str">
        <f>BOM!B61</f>
        <v>Gen 2 Exadata Cloud at Customer Infrastructure - XM - Base System - Non-metered</v>
      </c>
      <c r="C46" s="586" t="str">
        <f>BOM!C61</f>
        <v>Hosted Environment Per Month</v>
      </c>
      <c r="D46" s="586" t="str">
        <f>IF(BOM!D61="SRV","S",IF(BOM!D61="CC","C",""))</f>
        <v>C</v>
      </c>
      <c r="E46" s="839">
        <f>BOM!F61*(1-BOM!$G61)</f>
        <v>7600</v>
      </c>
      <c r="F46" s="587"/>
      <c r="G46" s="840">
        <f>BOM!I61</f>
        <v>0</v>
      </c>
      <c r="H46" s="840">
        <f>BOM!J61</f>
        <v>0</v>
      </c>
      <c r="I46" s="840">
        <f t="shared" si="11"/>
        <v>0</v>
      </c>
      <c r="J46" s="594"/>
      <c r="K46" s="840">
        <f>BOM!N61</f>
        <v>0</v>
      </c>
      <c r="L46" s="840">
        <f>BOM!O61</f>
        <v>0</v>
      </c>
      <c r="M46" s="840">
        <f t="shared" si="12"/>
        <v>0</v>
      </c>
      <c r="N46" s="594"/>
      <c r="O46" s="840">
        <f>BOM!S61</f>
        <v>0</v>
      </c>
      <c r="P46" s="840">
        <f>BOM!T61</f>
        <v>0</v>
      </c>
      <c r="Q46" s="840">
        <f t="shared" si="13"/>
        <v>0</v>
      </c>
      <c r="R46" s="594"/>
      <c r="S46" s="840">
        <f>BOM!X61</f>
        <v>0</v>
      </c>
      <c r="T46" s="840">
        <f>BOM!Y61</f>
        <v>0</v>
      </c>
      <c r="U46" s="840">
        <f t="shared" si="14"/>
        <v>0</v>
      </c>
      <c r="V46" s="594"/>
      <c r="W46" s="840">
        <f>BOM!AC61</f>
        <v>0</v>
      </c>
      <c r="X46" s="840">
        <f>BOM!AD61</f>
        <v>0</v>
      </c>
      <c r="Y46" s="840">
        <f t="shared" si="15"/>
        <v>0</v>
      </c>
      <c r="Z46" s="594"/>
      <c r="AA46" s="840">
        <f t="shared" si="0"/>
        <v>0</v>
      </c>
      <c r="AB46" s="840">
        <f t="shared" si="0"/>
        <v>0</v>
      </c>
      <c r="AC46" s="572"/>
      <c r="AD46" s="572"/>
      <c r="AL46" s="602"/>
      <c r="AM46" s="602"/>
    </row>
    <row r="47" spans="1:39" s="12" customFormat="1">
      <c r="A47" s="586" t="str">
        <f>BOM!A62</f>
        <v>B92410</v>
      </c>
      <c r="B47" s="586" t="str">
        <f>BOM!B62</f>
        <v>Gen 2 Exadata Cloud at Customer Storage Server - X8M - Non-metered</v>
      </c>
      <c r="C47" s="586" t="str">
        <f>BOM!C62</f>
        <v>Hosted Environment Per Month</v>
      </c>
      <c r="D47" s="586" t="str">
        <f>IF(BOM!D62="SRV","S",IF(BOM!D62="CC","C",""))</f>
        <v>C</v>
      </c>
      <c r="E47" s="839">
        <f>BOM!F62*(1-BOM!$G62)</f>
        <v>2052</v>
      </c>
      <c r="F47" s="587"/>
      <c r="G47" s="840">
        <f>BOM!I62</f>
        <v>0</v>
      </c>
      <c r="H47" s="840">
        <f>BOM!J62</f>
        <v>0</v>
      </c>
      <c r="I47" s="840">
        <f t="shared" si="11"/>
        <v>0</v>
      </c>
      <c r="J47" s="594"/>
      <c r="K47" s="840">
        <f>BOM!N62</f>
        <v>0</v>
      </c>
      <c r="L47" s="840">
        <f>BOM!O62</f>
        <v>0</v>
      </c>
      <c r="M47" s="840">
        <f t="shared" si="12"/>
        <v>0</v>
      </c>
      <c r="N47" s="594"/>
      <c r="O47" s="840">
        <f>BOM!S62</f>
        <v>0</v>
      </c>
      <c r="P47" s="840">
        <f>BOM!T62</f>
        <v>0</v>
      </c>
      <c r="Q47" s="840">
        <f t="shared" si="13"/>
        <v>0</v>
      </c>
      <c r="R47" s="594"/>
      <c r="S47" s="840">
        <f>BOM!X62</f>
        <v>0</v>
      </c>
      <c r="T47" s="840">
        <f>BOM!Y62</f>
        <v>0</v>
      </c>
      <c r="U47" s="840">
        <f t="shared" si="14"/>
        <v>0</v>
      </c>
      <c r="V47" s="594"/>
      <c r="W47" s="840">
        <f>BOM!AC62</f>
        <v>0</v>
      </c>
      <c r="X47" s="840">
        <f>BOM!AD62</f>
        <v>0</v>
      </c>
      <c r="Y47" s="840">
        <f t="shared" si="15"/>
        <v>0</v>
      </c>
      <c r="Z47" s="594"/>
      <c r="AA47" s="840">
        <f t="shared" si="0"/>
        <v>0</v>
      </c>
      <c r="AB47" s="840">
        <f t="shared" si="0"/>
        <v>0</v>
      </c>
      <c r="AC47" s="572"/>
      <c r="AD47" s="572"/>
      <c r="AL47" s="602"/>
      <c r="AM47" s="602"/>
    </row>
    <row r="48" spans="1:39" s="12" customFormat="1">
      <c r="A48" s="586" t="str">
        <f>BOM!A63</f>
        <v>SERVICES</v>
      </c>
      <c r="B48" s="586">
        <f>BOM!B63</f>
        <v>0</v>
      </c>
      <c r="C48" s="586">
        <f>BOM!C63</f>
        <v>0</v>
      </c>
      <c r="D48" s="586" t="str">
        <f>IF(BOM!D63="SRV","S",IF(BOM!D63="CC","C",""))</f>
        <v/>
      </c>
      <c r="E48" s="839">
        <f>BOM!F63*(1-BOM!$G63)</f>
        <v>0</v>
      </c>
      <c r="F48" s="587"/>
      <c r="G48" s="840">
        <f>BOM!I63</f>
        <v>0</v>
      </c>
      <c r="H48" s="840">
        <f>BOM!J63</f>
        <v>0</v>
      </c>
      <c r="I48" s="840">
        <f t="shared" si="11"/>
        <v>0</v>
      </c>
      <c r="J48" s="594"/>
      <c r="K48" s="840">
        <f>BOM!N63</f>
        <v>0</v>
      </c>
      <c r="L48" s="840">
        <f>BOM!O63</f>
        <v>0</v>
      </c>
      <c r="M48" s="840">
        <f t="shared" si="12"/>
        <v>0</v>
      </c>
      <c r="N48" s="594"/>
      <c r="O48" s="840">
        <f>BOM!S63</f>
        <v>0</v>
      </c>
      <c r="P48" s="840">
        <f>BOM!T63</f>
        <v>0</v>
      </c>
      <c r="Q48" s="840">
        <f t="shared" si="13"/>
        <v>0</v>
      </c>
      <c r="R48" s="594"/>
      <c r="S48" s="840">
        <f>BOM!X63</f>
        <v>0</v>
      </c>
      <c r="T48" s="840">
        <f>BOM!Y63</f>
        <v>0</v>
      </c>
      <c r="U48" s="840">
        <f t="shared" si="14"/>
        <v>0</v>
      </c>
      <c r="V48" s="594"/>
      <c r="W48" s="840">
        <f>BOM!AC63</f>
        <v>0</v>
      </c>
      <c r="X48" s="840">
        <f>BOM!AD63</f>
        <v>0</v>
      </c>
      <c r="Y48" s="840">
        <f t="shared" si="15"/>
        <v>0</v>
      </c>
      <c r="Z48" s="594"/>
      <c r="AA48" s="840">
        <f t="shared" si="0"/>
        <v>0</v>
      </c>
      <c r="AB48" s="840">
        <f t="shared" si="0"/>
        <v>0</v>
      </c>
      <c r="AC48" s="572"/>
      <c r="AD48" s="572"/>
      <c r="AL48" s="602"/>
      <c r="AM48" s="602"/>
    </row>
    <row r="49" spans="1:39" s="12" customFormat="1">
      <c r="A49" s="586" t="str">
        <f>BOM!A64</f>
        <v>B91390</v>
      </c>
      <c r="B49" s="586" t="str">
        <f>BOM!B64</f>
        <v xml:space="preserve">Gen 2 Exadata Cloud at Customer Installation and Activation Service
</v>
      </c>
      <c r="C49" s="586" t="str">
        <f>BOM!C64</f>
        <v>Each</v>
      </c>
      <c r="D49" s="586" t="str">
        <f>IF(BOM!D64="SRV","S",IF(BOM!D64="CC","C",""))</f>
        <v>S</v>
      </c>
      <c r="E49" s="839">
        <f>BOM!F64*(1-BOM!$G64)</f>
        <v>30000</v>
      </c>
      <c r="F49" s="587"/>
      <c r="G49" s="840">
        <f>BOM!I64</f>
        <v>0</v>
      </c>
      <c r="H49" s="840">
        <f>BOM!J64</f>
        <v>0</v>
      </c>
      <c r="I49" s="840">
        <f t="shared" si="11"/>
        <v>0</v>
      </c>
      <c r="J49" s="594"/>
      <c r="K49" s="840">
        <f>BOM!N64</f>
        <v>0</v>
      </c>
      <c r="L49" s="840">
        <f>BOM!O64</f>
        <v>0</v>
      </c>
      <c r="M49" s="840">
        <f t="shared" si="12"/>
        <v>0</v>
      </c>
      <c r="N49" s="594"/>
      <c r="O49" s="840">
        <f>BOM!S64</f>
        <v>0</v>
      </c>
      <c r="P49" s="840">
        <f>BOM!T64</f>
        <v>0</v>
      </c>
      <c r="Q49" s="840">
        <f t="shared" si="13"/>
        <v>0</v>
      </c>
      <c r="R49" s="594"/>
      <c r="S49" s="840">
        <f>BOM!X64</f>
        <v>0</v>
      </c>
      <c r="T49" s="840">
        <f>BOM!Y64</f>
        <v>0</v>
      </c>
      <c r="U49" s="840">
        <f t="shared" si="14"/>
        <v>0</v>
      </c>
      <c r="V49" s="594"/>
      <c r="W49" s="840">
        <f>BOM!AC64</f>
        <v>0</v>
      </c>
      <c r="X49" s="840">
        <f>BOM!AD64</f>
        <v>0</v>
      </c>
      <c r="Y49" s="840">
        <f t="shared" si="15"/>
        <v>0</v>
      </c>
      <c r="Z49" s="594"/>
      <c r="AA49" s="840">
        <f t="shared" si="0"/>
        <v>0</v>
      </c>
      <c r="AB49" s="840">
        <f t="shared" si="0"/>
        <v>0</v>
      </c>
      <c r="AC49" s="572"/>
      <c r="AD49" s="572"/>
      <c r="AL49" s="602"/>
      <c r="AM49" s="602"/>
    </row>
    <row r="50" spans="1:39" s="12" customFormat="1">
      <c r="A50" s="586">
        <f>BOM!A65</f>
        <v>0</v>
      </c>
      <c r="B50" s="586">
        <f>BOM!B65</f>
        <v>0</v>
      </c>
      <c r="C50" s="586">
        <f>BOM!C65</f>
        <v>0</v>
      </c>
      <c r="D50" s="586" t="str">
        <f>IF(BOM!D65="SRV","S",IF(BOM!D65="CC","C",""))</f>
        <v/>
      </c>
      <c r="E50" s="839">
        <f>BOM!F65*(1-BOM!$G65)</f>
        <v>0</v>
      </c>
      <c r="F50" s="587"/>
      <c r="G50" s="840">
        <f>BOM!I65</f>
        <v>0</v>
      </c>
      <c r="H50" s="840">
        <f>BOM!J65</f>
        <v>0</v>
      </c>
      <c r="I50" s="840">
        <f t="shared" si="11"/>
        <v>0</v>
      </c>
      <c r="J50" s="594"/>
      <c r="K50" s="840">
        <f>BOM!N65</f>
        <v>0</v>
      </c>
      <c r="L50" s="840">
        <f>BOM!O65</f>
        <v>0</v>
      </c>
      <c r="M50" s="840">
        <f t="shared" si="12"/>
        <v>0</v>
      </c>
      <c r="N50" s="594"/>
      <c r="O50" s="840">
        <f>BOM!S65</f>
        <v>0</v>
      </c>
      <c r="P50" s="840">
        <f>BOM!T65</f>
        <v>0</v>
      </c>
      <c r="Q50" s="840">
        <f t="shared" si="13"/>
        <v>0</v>
      </c>
      <c r="R50" s="594"/>
      <c r="S50" s="840">
        <f>BOM!X65</f>
        <v>0</v>
      </c>
      <c r="T50" s="840">
        <f>BOM!Y65</f>
        <v>0</v>
      </c>
      <c r="U50" s="840">
        <f t="shared" si="14"/>
        <v>0</v>
      </c>
      <c r="V50" s="594"/>
      <c r="W50" s="840">
        <f>BOM!AC65</f>
        <v>0</v>
      </c>
      <c r="X50" s="840">
        <f>BOM!AD65</f>
        <v>0</v>
      </c>
      <c r="Y50" s="840">
        <f t="shared" si="15"/>
        <v>0</v>
      </c>
      <c r="Z50" s="594"/>
      <c r="AA50" s="840">
        <f t="shared" si="0"/>
        <v>0</v>
      </c>
      <c r="AB50" s="840">
        <f t="shared" si="0"/>
        <v>0</v>
      </c>
      <c r="AC50" s="572"/>
      <c r="AD50" s="572"/>
      <c r="AL50" s="602"/>
      <c r="AM50" s="602"/>
    </row>
    <row r="51" spans="1:39" s="12" customFormat="1">
      <c r="A51" s="586"/>
      <c r="B51" s="586"/>
      <c r="C51" s="586"/>
      <c r="D51" s="586"/>
      <c r="E51" s="839"/>
      <c r="F51" s="587"/>
      <c r="G51" s="840"/>
      <c r="H51" s="840"/>
      <c r="I51" s="840"/>
      <c r="J51" s="594"/>
      <c r="K51" s="840"/>
      <c r="L51" s="840"/>
      <c r="M51" s="840"/>
      <c r="N51" s="594"/>
      <c r="O51" s="840"/>
      <c r="P51" s="840"/>
      <c r="Q51" s="840"/>
      <c r="R51" s="594"/>
      <c r="S51" s="840"/>
      <c r="T51" s="840"/>
      <c r="U51" s="840"/>
      <c r="V51" s="594"/>
      <c r="W51" s="840"/>
      <c r="X51" s="840"/>
      <c r="Y51" s="840"/>
      <c r="Z51" s="594"/>
      <c r="AA51" s="840"/>
      <c r="AB51" s="840"/>
      <c r="AC51" s="572"/>
      <c r="AD51" s="572"/>
      <c r="AL51" s="602"/>
      <c r="AM51" s="602"/>
    </row>
    <row r="52" spans="1:39" s="12" customFormat="1">
      <c r="A52" s="569"/>
      <c r="B52" s="569"/>
      <c r="C52" s="569"/>
      <c r="D52" s="569"/>
      <c r="E52" s="571"/>
      <c r="F52" s="572"/>
      <c r="G52" s="573"/>
      <c r="H52" s="573"/>
      <c r="I52" s="573"/>
      <c r="J52" s="572"/>
      <c r="K52" s="573"/>
      <c r="L52" s="573"/>
      <c r="M52" s="573"/>
      <c r="N52" s="572"/>
      <c r="O52" s="573"/>
      <c r="P52" s="573"/>
      <c r="Q52" s="573"/>
      <c r="R52" s="572"/>
      <c r="S52" s="573"/>
      <c r="T52" s="573"/>
      <c r="U52" s="573"/>
      <c r="V52" s="572"/>
      <c r="W52" s="573"/>
      <c r="X52" s="573"/>
      <c r="Y52" s="573"/>
      <c r="Z52" s="572"/>
      <c r="AA52" s="573"/>
      <c r="AB52" s="573"/>
      <c r="AC52" s="572"/>
      <c r="AD52" s="572"/>
    </row>
    <row r="53" spans="1:39" s="12" customFormat="1">
      <c r="A53" s="575"/>
      <c r="B53" s="575" t="s">
        <v>493</v>
      </c>
      <c r="C53" s="576"/>
      <c r="D53" s="576"/>
      <c r="E53" s="571"/>
      <c r="F53" s="572"/>
      <c r="G53" s="573"/>
      <c r="H53" s="573"/>
      <c r="I53" s="579">
        <f>SUM(I6:I50)</f>
        <v>66911.171399999992</v>
      </c>
      <c r="J53" s="578"/>
      <c r="K53" s="577"/>
      <c r="L53" s="577"/>
      <c r="M53" s="579">
        <f>SUM(M6:M50)</f>
        <v>19890.4578</v>
      </c>
      <c r="N53" s="578"/>
      <c r="O53" s="577"/>
      <c r="P53" s="577"/>
      <c r="Q53" s="579">
        <f>SUM(Q6:Q50)</f>
        <v>0</v>
      </c>
      <c r="R53" s="578"/>
      <c r="S53" s="577"/>
      <c r="T53" s="577"/>
      <c r="U53" s="579">
        <f>SUM(U6:U50)</f>
        <v>0</v>
      </c>
      <c r="V53" s="578"/>
      <c r="W53" s="577"/>
      <c r="X53" s="577"/>
      <c r="Y53" s="579">
        <f>SUM(Y6:Y50)</f>
        <v>1873.3620000000001</v>
      </c>
      <c r="Z53" s="578"/>
      <c r="AA53" s="577"/>
      <c r="AB53" s="579">
        <f>SUM(AB6:AB50)</f>
        <v>88674.991199999989</v>
      </c>
      <c r="AC53" s="572"/>
      <c r="AD53" s="572"/>
    </row>
    <row r="54" spans="1:39" s="12" customFormat="1">
      <c r="A54" s="575"/>
      <c r="B54" s="575" t="s">
        <v>1733</v>
      </c>
      <c r="C54" s="576"/>
      <c r="D54" s="576"/>
      <c r="E54" s="571"/>
      <c r="F54" s="572"/>
      <c r="G54" s="573"/>
      <c r="H54" s="573"/>
      <c r="I54" s="577">
        <f>SUM(I51:I52)</f>
        <v>0</v>
      </c>
      <c r="J54" s="578"/>
      <c r="K54" s="577"/>
      <c r="L54" s="577"/>
      <c r="M54" s="577">
        <f>SUM(M51:M52)</f>
        <v>0</v>
      </c>
      <c r="N54" s="578"/>
      <c r="O54" s="577"/>
      <c r="P54" s="577"/>
      <c r="Q54" s="577">
        <f>SUM(Q51:Q52)</f>
        <v>0</v>
      </c>
      <c r="R54" s="578"/>
      <c r="S54" s="577"/>
      <c r="T54" s="577"/>
      <c r="U54" s="577">
        <f>SUM(U51:U52)</f>
        <v>0</v>
      </c>
      <c r="V54" s="578"/>
      <c r="W54" s="577"/>
      <c r="X54" s="577"/>
      <c r="Y54" s="577">
        <f>SUM(Y51:Y52)</f>
        <v>0</v>
      </c>
      <c r="Z54" s="578"/>
      <c r="AA54" s="577"/>
      <c r="AB54" s="577">
        <f>SUM(AB51:AB52)</f>
        <v>0</v>
      </c>
      <c r="AC54" s="572"/>
      <c r="AD54" s="572"/>
    </row>
    <row r="55" spans="1:39" s="12" customFormat="1">
      <c r="A55" s="575"/>
      <c r="B55" s="575" t="s">
        <v>1732</v>
      </c>
      <c r="C55" s="576"/>
      <c r="D55" s="576"/>
      <c r="E55" s="571"/>
      <c r="F55" s="572"/>
      <c r="G55" s="573"/>
      <c r="H55" s="573"/>
      <c r="I55" s="579">
        <f>SUM(I53:I54)</f>
        <v>66911.171399999992</v>
      </c>
      <c r="J55" s="578"/>
      <c r="K55" s="577"/>
      <c r="L55" s="577"/>
      <c r="M55" s="579">
        <f>SUM(M53:M54)</f>
        <v>19890.4578</v>
      </c>
      <c r="N55" s="578"/>
      <c r="O55" s="577"/>
      <c r="P55" s="577"/>
      <c r="Q55" s="579">
        <f>SUM(Q53:Q54)</f>
        <v>0</v>
      </c>
      <c r="R55" s="578"/>
      <c r="S55" s="577"/>
      <c r="T55" s="577"/>
      <c r="U55" s="579">
        <f>SUM(U53:U54)</f>
        <v>0</v>
      </c>
      <c r="V55" s="578"/>
      <c r="W55" s="577"/>
      <c r="X55" s="577"/>
      <c r="Y55" s="579">
        <f>SUM(Y53:Y54)</f>
        <v>1873.3620000000001</v>
      </c>
      <c r="Z55" s="578"/>
      <c r="AA55" s="577"/>
      <c r="AB55" s="579">
        <f>SUM(AB53:AB54)</f>
        <v>88674.991199999989</v>
      </c>
      <c r="AC55" s="572"/>
      <c r="AD55" s="572"/>
    </row>
    <row r="56" spans="1:39" s="603" customFormat="1">
      <c r="A56" s="580"/>
      <c r="B56" s="580"/>
      <c r="C56" s="581"/>
      <c r="D56" s="581"/>
      <c r="E56" s="838"/>
      <c r="F56" s="582"/>
      <c r="G56" s="582"/>
      <c r="H56" s="582"/>
      <c r="I56" s="583"/>
      <c r="J56" s="584"/>
      <c r="K56" s="584"/>
      <c r="L56" s="584"/>
      <c r="M56" s="583"/>
      <c r="N56" s="584"/>
      <c r="O56" s="584"/>
      <c r="P56" s="584"/>
      <c r="Q56" s="583"/>
      <c r="R56" s="584"/>
      <c r="S56" s="584"/>
      <c r="T56" s="584"/>
      <c r="U56" s="583"/>
      <c r="V56" s="584"/>
      <c r="W56" s="584"/>
      <c r="X56" s="584"/>
      <c r="Y56" s="583"/>
      <c r="Z56" s="584"/>
      <c r="AA56" s="584"/>
      <c r="AB56" s="583"/>
      <c r="AC56" s="582"/>
      <c r="AD56" s="582"/>
    </row>
    <row r="57" spans="1:39" s="603" customFormat="1">
      <c r="A57" s="575"/>
      <c r="B57" s="575" t="s">
        <v>490</v>
      </c>
      <c r="C57" s="581"/>
      <c r="D57" s="581"/>
      <c r="E57" s="838"/>
      <c r="F57" s="582"/>
      <c r="G57" s="582"/>
      <c r="H57" s="582"/>
      <c r="I57" s="585">
        <f>I53/$A$3</f>
        <v>5575.930949999999</v>
      </c>
      <c r="J57" s="582"/>
      <c r="K57" s="582"/>
      <c r="L57" s="582"/>
      <c r="M57" s="585">
        <f>M53/$A$3</f>
        <v>1657.5381500000001</v>
      </c>
      <c r="N57" s="582"/>
      <c r="O57" s="582"/>
      <c r="P57" s="582"/>
      <c r="Q57" s="585">
        <f>Q53/$A$3</f>
        <v>0</v>
      </c>
      <c r="R57" s="582"/>
      <c r="S57" s="582"/>
      <c r="T57" s="582"/>
      <c r="U57" s="585">
        <f>U53/$A$3</f>
        <v>0</v>
      </c>
      <c r="V57" s="582"/>
      <c r="W57" s="582"/>
      <c r="X57" s="582"/>
      <c r="Y57" s="585">
        <f>Y53/$A$3</f>
        <v>156.11350000000002</v>
      </c>
      <c r="Z57" s="582"/>
      <c r="AA57" s="582"/>
      <c r="AB57" s="585">
        <f>AB53/$A$3</f>
        <v>7389.5825999999988</v>
      </c>
      <c r="AC57" s="582"/>
      <c r="AD57" s="582"/>
    </row>
    <row r="58" spans="1:39" s="603" customFormat="1">
      <c r="A58" s="7"/>
      <c r="B58" s="7"/>
      <c r="C58" s="460"/>
      <c r="D58" s="460"/>
      <c r="E58" s="436"/>
      <c r="F58" s="7"/>
      <c r="G58" s="7"/>
      <c r="H58" s="7"/>
      <c r="I58" s="24"/>
      <c r="J58" s="7"/>
      <c r="K58" s="7"/>
      <c r="L58" s="7"/>
      <c r="M58" s="24"/>
      <c r="N58" s="7"/>
      <c r="O58" s="7"/>
      <c r="P58" s="7"/>
      <c r="Q58" s="24"/>
      <c r="R58" s="7"/>
      <c r="S58" s="7"/>
      <c r="T58" s="7"/>
      <c r="U58" s="24"/>
      <c r="V58" s="7"/>
      <c r="W58" s="7"/>
      <c r="X58" s="7"/>
      <c r="Y58" s="24"/>
      <c r="Z58" s="7"/>
      <c r="AA58" s="7"/>
      <c r="AB58" s="29"/>
      <c r="AC58" s="7"/>
      <c r="AD58" s="7"/>
    </row>
    <row r="59" spans="1:39" s="603" customFormat="1">
      <c r="A59" s="7"/>
      <c r="B59" s="7"/>
      <c r="C59" s="460"/>
      <c r="D59" s="460"/>
      <c r="E59" s="436"/>
      <c r="F59" s="7"/>
      <c r="G59" s="7"/>
      <c r="H59" s="7"/>
      <c r="I59" s="7"/>
      <c r="J59" s="7"/>
      <c r="K59" s="7"/>
      <c r="L59" s="7"/>
      <c r="M59" s="7"/>
      <c r="N59" s="7"/>
      <c r="O59" s="7"/>
      <c r="P59" s="7"/>
      <c r="Q59" s="24"/>
      <c r="R59" s="7"/>
      <c r="S59" s="7"/>
      <c r="T59" s="7"/>
      <c r="U59" s="24"/>
      <c r="V59" s="7"/>
      <c r="W59" s="7"/>
      <c r="X59" s="7"/>
      <c r="Y59" s="24"/>
      <c r="Z59" s="7"/>
      <c r="AA59" s="7"/>
      <c r="AB59" s="29"/>
      <c r="AC59" s="7"/>
      <c r="AD59" s="7"/>
    </row>
    <row r="60" spans="1:39" s="603" customFormat="1">
      <c r="A60" s="25"/>
      <c r="B60" s="25"/>
      <c r="C60" s="460"/>
      <c r="D60" s="460"/>
      <c r="E60" s="436"/>
      <c r="F60" s="7"/>
      <c r="G60" s="7"/>
      <c r="H60" s="7"/>
      <c r="I60" s="24"/>
      <c r="J60" s="7"/>
      <c r="K60" s="7"/>
      <c r="L60" s="7"/>
      <c r="M60" s="24"/>
      <c r="N60" s="7"/>
      <c r="O60" s="7"/>
      <c r="P60" s="7"/>
      <c r="Q60" s="24"/>
      <c r="R60" s="7"/>
      <c r="S60" s="7"/>
      <c r="T60" s="7"/>
      <c r="U60" s="24"/>
      <c r="V60" s="7"/>
      <c r="W60" s="7"/>
      <c r="X60" s="7"/>
      <c r="Y60" s="24"/>
      <c r="Z60" s="7"/>
      <c r="AA60" s="7"/>
      <c r="AB60" s="24"/>
      <c r="AC60" s="7"/>
      <c r="AD60" s="7"/>
    </row>
    <row r="61" spans="1:39" s="603" customFormat="1">
      <c r="A61" s="25"/>
      <c r="B61" s="25"/>
      <c r="C61" s="460"/>
      <c r="D61" s="460"/>
      <c r="E61" s="436"/>
      <c r="F61" s="7"/>
      <c r="G61" s="7"/>
      <c r="H61" s="7"/>
      <c r="I61" s="24"/>
      <c r="J61" s="7"/>
      <c r="K61" s="7"/>
      <c r="L61" s="7"/>
      <c r="M61" s="24"/>
      <c r="N61" s="7"/>
      <c r="O61" s="7"/>
      <c r="P61" s="7"/>
      <c r="Q61" s="24"/>
      <c r="R61" s="7"/>
      <c r="S61" s="7"/>
      <c r="T61" s="7"/>
      <c r="U61" s="24"/>
      <c r="V61" s="7"/>
      <c r="W61" s="7"/>
      <c r="X61" s="7"/>
      <c r="Y61" s="24"/>
      <c r="Z61" s="7"/>
      <c r="AA61" s="7"/>
      <c r="AB61" s="24"/>
      <c r="AC61" s="7"/>
      <c r="AD61" s="7"/>
    </row>
    <row r="62" spans="1:39" s="603" customFormat="1">
      <c r="A62" s="25"/>
      <c r="B62" s="25"/>
      <c r="C62" s="460"/>
      <c r="D62" s="460"/>
      <c r="E62" s="436"/>
      <c r="F62" s="7"/>
      <c r="G62" s="7"/>
      <c r="H62" s="7"/>
      <c r="I62" s="24"/>
      <c r="J62" s="7"/>
      <c r="K62" s="7"/>
      <c r="L62" s="7"/>
      <c r="M62" s="24"/>
      <c r="N62" s="7"/>
      <c r="O62" s="7"/>
      <c r="P62" s="7"/>
      <c r="Q62" s="24"/>
      <c r="R62" s="7"/>
      <c r="S62" s="7"/>
      <c r="T62" s="7"/>
      <c r="U62" s="24"/>
      <c r="V62" s="7"/>
      <c r="W62" s="7"/>
      <c r="X62" s="7"/>
      <c r="Y62" s="24"/>
      <c r="Z62" s="7"/>
      <c r="AA62" s="7"/>
      <c r="AB62" s="24"/>
      <c r="AC62" s="7"/>
      <c r="AD62" s="7"/>
    </row>
    <row r="63" spans="1:39" s="603" customFormat="1">
      <c r="A63" s="7"/>
      <c r="B63" s="7"/>
      <c r="C63" s="460"/>
      <c r="D63" s="460"/>
      <c r="E63" s="436"/>
      <c r="F63" s="7"/>
      <c r="G63" s="7"/>
      <c r="H63" s="7"/>
      <c r="I63" s="21"/>
      <c r="J63" s="7"/>
      <c r="K63" s="7"/>
      <c r="L63" s="7"/>
      <c r="M63" s="21"/>
      <c r="N63" s="7"/>
      <c r="O63" s="7"/>
      <c r="P63" s="7"/>
      <c r="Q63" s="21"/>
      <c r="R63" s="7"/>
      <c r="S63" s="7"/>
      <c r="T63" s="7"/>
      <c r="U63" s="21"/>
      <c r="V63" s="7"/>
      <c r="W63" s="7"/>
      <c r="X63" s="7"/>
      <c r="Y63" s="21"/>
      <c r="Z63" s="7"/>
      <c r="AA63" s="7"/>
      <c r="AB63" s="21"/>
      <c r="AC63" s="7"/>
      <c r="AD63" s="7"/>
    </row>
    <row r="64" spans="1:39" s="603" customFormat="1">
      <c r="A64" s="30"/>
      <c r="B64" s="30"/>
      <c r="C64" s="460"/>
      <c r="D64" s="460"/>
      <c r="E64" s="436"/>
      <c r="F64" s="7"/>
      <c r="G64" s="7"/>
      <c r="H64" s="7"/>
      <c r="I64" s="7"/>
      <c r="J64" s="7"/>
      <c r="K64" s="7"/>
      <c r="L64" s="7"/>
      <c r="M64" s="7"/>
      <c r="N64" s="7"/>
      <c r="O64" s="7"/>
      <c r="P64" s="7"/>
      <c r="Q64" s="7"/>
      <c r="R64" s="7"/>
      <c r="S64" s="7"/>
      <c r="T64" s="7"/>
      <c r="U64" s="7"/>
      <c r="V64" s="7"/>
      <c r="W64" s="7"/>
      <c r="X64" s="7"/>
      <c r="Y64" s="7"/>
      <c r="Z64" s="7"/>
      <c r="AA64" s="23"/>
      <c r="AB64" s="29"/>
      <c r="AC64" s="7"/>
      <c r="AD64" s="7"/>
    </row>
    <row r="65" spans="1:30" s="603" customFormat="1">
      <c r="A65" s="7"/>
      <c r="B65" s="7"/>
      <c r="C65" s="460"/>
      <c r="D65" s="460"/>
      <c r="E65" s="436"/>
      <c r="F65" s="7"/>
      <c r="G65" s="7"/>
      <c r="H65" s="7"/>
      <c r="I65" s="7"/>
      <c r="J65" s="7"/>
      <c r="K65" s="7"/>
      <c r="L65" s="7"/>
      <c r="M65" s="7"/>
      <c r="N65" s="7"/>
      <c r="O65" s="7"/>
      <c r="P65" s="7"/>
      <c r="Q65" s="7"/>
      <c r="R65" s="7"/>
      <c r="S65" s="7"/>
      <c r="T65" s="7"/>
      <c r="U65" s="7"/>
      <c r="V65" s="7"/>
      <c r="W65" s="7"/>
      <c r="X65" s="7"/>
      <c r="Y65" s="7"/>
      <c r="Z65" s="7"/>
      <c r="AA65" s="7"/>
      <c r="AB65" s="29"/>
      <c r="AC65" s="7"/>
      <c r="AD65" s="7"/>
    </row>
    <row r="66" spans="1:30" s="603" customFormat="1">
      <c r="A66" s="30"/>
      <c r="B66" s="30"/>
      <c r="C66" s="460"/>
      <c r="D66" s="460"/>
      <c r="E66" s="436"/>
      <c r="F66" s="7"/>
      <c r="G66" s="7"/>
      <c r="H66" s="7"/>
      <c r="I66" s="7"/>
      <c r="J66" s="7"/>
      <c r="K66" s="7"/>
      <c r="L66" s="7"/>
      <c r="M66" s="7"/>
      <c r="N66" s="7"/>
      <c r="O66" s="7"/>
      <c r="P66" s="7"/>
      <c r="Q66" s="7"/>
      <c r="R66" s="7"/>
      <c r="S66" s="7"/>
      <c r="T66" s="7"/>
      <c r="U66" s="7"/>
      <c r="V66" s="7"/>
      <c r="W66" s="7"/>
      <c r="X66" s="7"/>
      <c r="Y66" s="7"/>
      <c r="Z66" s="7"/>
      <c r="AA66" s="21"/>
      <c r="AB66" s="31"/>
      <c r="AC66" s="7"/>
      <c r="AD66" s="7"/>
    </row>
    <row r="67" spans="1:30" s="603" customFormat="1">
      <c r="A67" s="7"/>
      <c r="B67" s="7"/>
      <c r="C67" s="460"/>
      <c r="D67" s="460"/>
      <c r="E67" s="436"/>
      <c r="F67" s="7"/>
      <c r="G67" s="7"/>
      <c r="H67" s="7"/>
      <c r="I67" s="7"/>
      <c r="J67" s="7"/>
      <c r="K67" s="7"/>
      <c r="L67" s="7"/>
      <c r="M67" s="7"/>
      <c r="N67" s="7"/>
      <c r="O67" s="7"/>
      <c r="P67" s="7"/>
      <c r="Q67" s="7"/>
      <c r="R67" s="7"/>
      <c r="S67" s="7"/>
      <c r="T67" s="7"/>
      <c r="U67" s="7"/>
      <c r="V67" s="7"/>
      <c r="W67" s="7"/>
      <c r="X67" s="7"/>
      <c r="Y67" s="7"/>
      <c r="Z67" s="7"/>
      <c r="AA67" s="7"/>
      <c r="AB67" s="29"/>
      <c r="AC67" s="7"/>
      <c r="AD67" s="7"/>
    </row>
  </sheetData>
  <autoFilter ref="AA6:AB51" xr:uid="{00000000-0009-0000-0000-000006000000}"/>
  <pageMargins left="0.25" right="0.25" top="0.75" bottom="0.75" header="0.3" footer="0.3"/>
  <pageSetup scale="47" fitToHeight="0"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2">
    <tabColor rgb="FF000000"/>
  </sheetPr>
  <dimension ref="A1:H27"/>
  <sheetViews>
    <sheetView topLeftCell="A4" workbookViewId="0">
      <selection activeCell="B52" sqref="B52"/>
    </sheetView>
  </sheetViews>
  <sheetFormatPr baseColWidth="10" defaultColWidth="9.1640625" defaultRowHeight="15"/>
  <cols>
    <col min="1" max="1" width="41.6640625" style="1" customWidth="1"/>
    <col min="2" max="2" width="94.5" style="1" customWidth="1"/>
    <col min="3" max="3" width="19" style="1" customWidth="1"/>
    <col min="4" max="4" width="9.83203125" style="1" customWidth="1"/>
    <col min="5" max="5" width="8.5" style="1" customWidth="1"/>
    <col min="6" max="6" width="17.5" style="1" customWidth="1"/>
    <col min="7" max="7" width="14.6640625" style="1" customWidth="1"/>
    <col min="8" max="8" width="23.6640625" style="1" customWidth="1"/>
    <col min="9" max="16384" width="9.1640625" style="1"/>
  </cols>
  <sheetData>
    <row r="1" spans="1:8">
      <c r="A1" s="11" t="s">
        <v>1840</v>
      </c>
      <c r="B1" s="446" t="s">
        <v>1857</v>
      </c>
    </row>
    <row r="2" spans="1:8">
      <c r="A2" s="1" t="s">
        <v>1858</v>
      </c>
      <c r="B2" s="1" t="s">
        <v>1859</v>
      </c>
    </row>
    <row r="3" spans="1:8">
      <c r="A3" s="1" t="s">
        <v>1860</v>
      </c>
      <c r="B3" s="1" t="s">
        <v>1861</v>
      </c>
      <c r="C3" s="1" t="s">
        <v>2241</v>
      </c>
      <c r="D3" s="1" t="s">
        <v>2246</v>
      </c>
      <c r="E3" s="1" t="s">
        <v>2242</v>
      </c>
      <c r="F3" s="1" t="s">
        <v>2243</v>
      </c>
      <c r="G3" s="1" t="s">
        <v>2244</v>
      </c>
      <c r="H3" s="1" t="s">
        <v>2245</v>
      </c>
    </row>
    <row r="4" spans="1:8">
      <c r="B4" s="1" t="s">
        <v>1862</v>
      </c>
      <c r="C4" s="1" t="s">
        <v>2247</v>
      </c>
      <c r="D4" s="1">
        <v>0</v>
      </c>
      <c r="E4" s="1">
        <v>2</v>
      </c>
      <c r="F4" s="1">
        <v>3000</v>
      </c>
      <c r="G4" s="1">
        <v>240</v>
      </c>
      <c r="H4" s="1" t="s">
        <v>2248</v>
      </c>
    </row>
    <row r="5" spans="1:8">
      <c r="B5" s="1" t="s">
        <v>1863</v>
      </c>
      <c r="C5" s="1" t="s">
        <v>2249</v>
      </c>
      <c r="D5" s="1">
        <v>10</v>
      </c>
      <c r="E5" s="447">
        <v>60</v>
      </c>
      <c r="F5" s="448">
        <v>25000</v>
      </c>
      <c r="G5" s="1">
        <v>480</v>
      </c>
      <c r="H5" s="1">
        <v>480</v>
      </c>
    </row>
    <row r="6" spans="1:8">
      <c r="B6" s="446" t="s">
        <v>2251</v>
      </c>
      <c r="C6" s="1" t="s">
        <v>2250</v>
      </c>
      <c r="D6" s="1">
        <v>20</v>
      </c>
      <c r="E6" s="447">
        <v>75</v>
      </c>
      <c r="F6" s="448">
        <v>35000</v>
      </c>
      <c r="G6" s="1">
        <v>600</v>
      </c>
      <c r="H6" s="1">
        <v>480</v>
      </c>
    </row>
    <row r="8" spans="1:8">
      <c r="A8" s="11" t="s">
        <v>1865</v>
      </c>
      <c r="B8" s="446" t="s">
        <v>1857</v>
      </c>
      <c r="E8" s="447"/>
    </row>
    <row r="9" spans="1:8">
      <c r="A9" s="1" t="s">
        <v>1866</v>
      </c>
      <c r="B9" s="60" t="s">
        <v>1864</v>
      </c>
      <c r="E9" s="447"/>
    </row>
    <row r="10" spans="1:8">
      <c r="A10" s="1" t="s">
        <v>1867</v>
      </c>
      <c r="B10" s="60">
        <v>8.5000000000000006E-3</v>
      </c>
      <c r="E10" s="447"/>
    </row>
    <row r="11" spans="1:8">
      <c r="A11" s="1" t="s">
        <v>1868</v>
      </c>
      <c r="B11" s="60" t="s">
        <v>1864</v>
      </c>
      <c r="E11" s="447"/>
    </row>
    <row r="12" spans="1:8">
      <c r="A12" s="12"/>
      <c r="B12" s="12"/>
    </row>
    <row r="13" spans="1:8" ht="16">
      <c r="A13" s="449" t="s">
        <v>963</v>
      </c>
      <c r="B13" s="505" t="s">
        <v>1869</v>
      </c>
    </row>
    <row r="14" spans="1:8" ht="16">
      <c r="A14" s="450" t="s">
        <v>964</v>
      </c>
      <c r="B14" s="450" t="s">
        <v>2578</v>
      </c>
    </row>
    <row r="15" spans="1:8" ht="32">
      <c r="A15" s="450" t="s">
        <v>687</v>
      </c>
      <c r="B15" s="450" t="s">
        <v>2579</v>
      </c>
    </row>
    <row r="16" spans="1:8" ht="48">
      <c r="A16" s="450" t="s">
        <v>965</v>
      </c>
      <c r="B16" s="450" t="s">
        <v>2576</v>
      </c>
      <c r="E16" s="447"/>
    </row>
    <row r="17" spans="1:5" ht="32">
      <c r="A17" s="450" t="s">
        <v>966</v>
      </c>
      <c r="B17" s="450" t="s">
        <v>2577</v>
      </c>
      <c r="E17" s="447"/>
    </row>
    <row r="18" spans="1:5" ht="48">
      <c r="A18" s="450" t="s">
        <v>1338</v>
      </c>
      <c r="B18" s="451" t="s">
        <v>2254</v>
      </c>
      <c r="E18" s="447"/>
    </row>
    <row r="19" spans="1:5" ht="64">
      <c r="A19" s="450" t="s">
        <v>1338</v>
      </c>
      <c r="B19" s="451" t="s">
        <v>2255</v>
      </c>
      <c r="E19" s="447"/>
    </row>
    <row r="20" spans="1:5">
      <c r="A20" s="12"/>
      <c r="B20" s="12"/>
    </row>
    <row r="21" spans="1:5" ht="16">
      <c r="A21" s="450" t="s">
        <v>1871</v>
      </c>
      <c r="B21" s="446" t="s">
        <v>1870</v>
      </c>
    </row>
    <row r="22" spans="1:5" ht="16">
      <c r="A22" s="450" t="s">
        <v>2253</v>
      </c>
      <c r="B22" s="446" t="s">
        <v>2252</v>
      </c>
    </row>
    <row r="23" spans="1:5">
      <c r="A23" s="12"/>
      <c r="B23" s="12"/>
    </row>
    <row r="24" spans="1:5">
      <c r="A24" s="12" t="s">
        <v>2318</v>
      </c>
      <c r="B24" s="12"/>
    </row>
    <row r="25" spans="1:5">
      <c r="A25" s="12" t="s">
        <v>2319</v>
      </c>
      <c r="B25" s="82" t="s">
        <v>2325</v>
      </c>
      <c r="C25" s="12" t="s">
        <v>2322</v>
      </c>
    </row>
    <row r="26" spans="1:5">
      <c r="A26" s="12" t="s">
        <v>2320</v>
      </c>
      <c r="B26" s="82" t="s">
        <v>2324</v>
      </c>
      <c r="C26" s="12" t="s">
        <v>2323</v>
      </c>
    </row>
    <row r="27" spans="1:5">
      <c r="A27" s="1" t="s">
        <v>2321</v>
      </c>
      <c r="B27" s="82" t="s">
        <v>2326</v>
      </c>
      <c r="C27" s="1" t="s">
        <v>2327</v>
      </c>
    </row>
  </sheetData>
  <hyperlinks>
    <hyperlink ref="B1" r:id="rId1" xr:uid="{7A5817E3-7D49-46E7-A1A0-6F1DA3658E9C}"/>
    <hyperlink ref="B8" r:id="rId2" xr:uid="{9E85990C-6E5D-4B98-BD9D-F37182A5FDB4}"/>
    <hyperlink ref="B13" r:id="rId3" xr:uid="{184C2110-3403-44AE-A0F0-AFE98147BEC4}"/>
    <hyperlink ref="B21" r:id="rId4" xr:uid="{88B20FC2-7467-421A-9F7D-4193901149EF}"/>
    <hyperlink ref="B6" r:id="rId5" xr:uid="{0A9E3588-1560-4F70-955F-62CACEC4FADC}"/>
    <hyperlink ref="B22" r:id="rId6" xr:uid="{8D339939-477F-44F5-9A6C-B669EC823CFC}"/>
    <hyperlink ref="B26" r:id="rId7" xr:uid="{F0994588-7B09-42DC-9038-1A82D6BAD605}"/>
    <hyperlink ref="B25" r:id="rId8" xr:uid="{5FB4667D-5E99-4825-9B53-924557FE9FB2}"/>
    <hyperlink ref="B27" r:id="rId9" xr:uid="{B6DE5825-5B5C-4FD7-9218-B8A9BFE13B52}"/>
  </hyperlinks>
  <pageMargins left="0.7" right="0.7" top="0.75" bottom="0.75" header="0.3" footer="0.3"/>
  <pageSetup orientation="portrait" r:id="rId1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858BD-2FDD-43D2-A0A6-F9C119E1683B}">
  <sheetPr codeName="Sheet23">
    <tabColor rgb="FF000000"/>
  </sheetPr>
  <dimension ref="A1:X55"/>
  <sheetViews>
    <sheetView workbookViewId="0">
      <selection activeCell="B20" sqref="B20"/>
    </sheetView>
  </sheetViews>
  <sheetFormatPr baseColWidth="10" defaultColWidth="9.1640625" defaultRowHeight="15"/>
  <cols>
    <col min="1" max="1" width="30" style="1" customWidth="1"/>
    <col min="2" max="12" width="9.1640625" style="1"/>
    <col min="13" max="13" width="11.33203125" style="1" customWidth="1"/>
    <col min="14" max="15" width="9.6640625" style="1" customWidth="1"/>
    <col min="16" max="16" width="9.1640625" style="1"/>
    <col min="17" max="17" width="10.33203125" style="1" customWidth="1"/>
    <col min="18" max="19" width="9.6640625" style="1" customWidth="1"/>
    <col min="20" max="20" width="9.1640625" style="1"/>
    <col min="21" max="21" width="10.33203125" style="1" customWidth="1"/>
    <col min="22" max="22" width="9.6640625" style="1" customWidth="1"/>
    <col min="23" max="23" width="10.33203125" style="1" customWidth="1"/>
    <col min="24" max="16384" width="9.1640625" style="1"/>
  </cols>
  <sheetData>
    <row r="1" spans="1:24" ht="16" thickBot="1">
      <c r="A1" s="441" t="s">
        <v>2630</v>
      </c>
      <c r="B1" s="542" t="s">
        <v>2627</v>
      </c>
      <c r="N1" s="82" t="s">
        <v>2491</v>
      </c>
    </row>
    <row r="2" spans="1:24" ht="64">
      <c r="A2" s="365" t="s">
        <v>2310</v>
      </c>
      <c r="B2" s="366" t="s">
        <v>1705</v>
      </c>
      <c r="C2" s="366" t="s">
        <v>1706</v>
      </c>
      <c r="D2" s="366" t="s">
        <v>1707</v>
      </c>
      <c r="E2" s="366" t="s">
        <v>1708</v>
      </c>
      <c r="F2" s="366" t="s">
        <v>1709</v>
      </c>
      <c r="G2" s="366" t="s">
        <v>1833</v>
      </c>
      <c r="H2" s="366" t="s">
        <v>1834</v>
      </c>
      <c r="I2" s="366" t="s">
        <v>1710</v>
      </c>
      <c r="J2" s="366" t="s">
        <v>1711</v>
      </c>
      <c r="K2" s="366" t="s">
        <v>1712</v>
      </c>
      <c r="L2" s="367" t="s">
        <v>1713</v>
      </c>
      <c r="M2" s="368" t="s">
        <v>1714</v>
      </c>
      <c r="N2" s="369" t="s">
        <v>1715</v>
      </c>
      <c r="O2" s="370" t="s">
        <v>1716</v>
      </c>
      <c r="P2" s="371" t="s">
        <v>1717</v>
      </c>
      <c r="Q2" s="368" t="s">
        <v>1718</v>
      </c>
      <c r="R2" s="369" t="s">
        <v>1719</v>
      </c>
      <c r="S2" s="370" t="s">
        <v>1720</v>
      </c>
      <c r="T2" s="371" t="s">
        <v>1721</v>
      </c>
      <c r="U2" s="368" t="s">
        <v>1722</v>
      </c>
      <c r="V2" s="369" t="s">
        <v>1723</v>
      </c>
      <c r="W2" s="370" t="s">
        <v>1724</v>
      </c>
      <c r="X2" s="371" t="s">
        <v>1725</v>
      </c>
    </row>
    <row r="3" spans="1:24">
      <c r="A3" s="348" t="s">
        <v>2726</v>
      </c>
      <c r="B3" s="500">
        <v>2</v>
      </c>
      <c r="C3" s="500">
        <v>22</v>
      </c>
      <c r="D3" s="500">
        <v>240</v>
      </c>
      <c r="E3" s="500">
        <f t="shared" ref="E3:E14" si="0">B3*C3</f>
        <v>44</v>
      </c>
      <c r="F3" s="500">
        <f t="shared" ref="F3:F14" si="1">B3*D3</f>
        <v>480</v>
      </c>
      <c r="G3" s="500">
        <v>3</v>
      </c>
      <c r="H3" s="500">
        <f>G3*12</f>
        <v>36</v>
      </c>
      <c r="I3" s="500">
        <v>19.2</v>
      </c>
      <c r="J3" s="500">
        <v>42.7</v>
      </c>
      <c r="K3" s="349">
        <v>17</v>
      </c>
      <c r="L3" s="350">
        <v>34.200000000000003</v>
      </c>
      <c r="M3" s="351">
        <f t="shared" ref="M3:M10" si="2">J3*0.8</f>
        <v>34.160000000000004</v>
      </c>
      <c r="N3" s="352">
        <f t="shared" ref="N3:N10" si="3">J3*0.4</f>
        <v>17.080000000000002</v>
      </c>
      <c r="O3" s="353">
        <f t="shared" ref="O3:O10" si="4">J3*0.6</f>
        <v>25.62</v>
      </c>
      <c r="P3" s="354">
        <f t="shared" ref="P3:P10" si="5">J3*0.35</f>
        <v>14.945</v>
      </c>
      <c r="Q3" s="355">
        <f t="shared" ref="Q3:Q10" si="6">J3*0.2</f>
        <v>8.5400000000000009</v>
      </c>
      <c r="R3" s="352">
        <f t="shared" ref="R3:R10" si="7">J3*0.6</f>
        <v>25.62</v>
      </c>
      <c r="S3" s="353">
        <f t="shared" ref="S3:S10" si="8">J3*0.2</f>
        <v>8.5400000000000009</v>
      </c>
      <c r="T3" s="354">
        <f t="shared" ref="T3:T10" si="9">J3*0.5</f>
        <v>21.35</v>
      </c>
      <c r="U3" s="355">
        <f t="shared" ref="U3:U10" si="10">J3*0</f>
        <v>0</v>
      </c>
      <c r="V3" s="352">
        <f t="shared" ref="V3:V10" si="11">J3*0</f>
        <v>0</v>
      </c>
      <c r="W3" s="353">
        <f t="shared" ref="W3:W10" si="12">J3*0.2</f>
        <v>8.5400000000000009</v>
      </c>
      <c r="X3" s="354">
        <f t="shared" ref="X3:X10" si="13">J3*0.15</f>
        <v>6.4050000000000002</v>
      </c>
    </row>
    <row r="4" spans="1:24">
      <c r="A4" s="348" t="s">
        <v>1726</v>
      </c>
      <c r="B4" s="500">
        <v>2</v>
      </c>
      <c r="C4" s="500">
        <v>46</v>
      </c>
      <c r="D4" s="500">
        <v>720</v>
      </c>
      <c r="E4" s="500">
        <f t="shared" si="0"/>
        <v>92</v>
      </c>
      <c r="F4" s="500">
        <f t="shared" si="1"/>
        <v>1440</v>
      </c>
      <c r="G4" s="500">
        <v>3</v>
      </c>
      <c r="H4" s="500">
        <f t="shared" ref="H4:H10" si="14">G4*12</f>
        <v>36</v>
      </c>
      <c r="I4" s="500">
        <v>76.8</v>
      </c>
      <c r="J4" s="500">
        <v>106.9</v>
      </c>
      <c r="K4" s="349">
        <v>42.8</v>
      </c>
      <c r="L4" s="350">
        <v>85.5</v>
      </c>
      <c r="M4" s="351">
        <f t="shared" si="2"/>
        <v>85.52000000000001</v>
      </c>
      <c r="N4" s="352">
        <f t="shared" si="3"/>
        <v>42.760000000000005</v>
      </c>
      <c r="O4" s="353">
        <f t="shared" si="4"/>
        <v>64.14</v>
      </c>
      <c r="P4" s="354">
        <f t="shared" si="5"/>
        <v>37.414999999999999</v>
      </c>
      <c r="Q4" s="355">
        <f t="shared" si="6"/>
        <v>21.380000000000003</v>
      </c>
      <c r="R4" s="352">
        <f t="shared" si="7"/>
        <v>64.14</v>
      </c>
      <c r="S4" s="353">
        <f t="shared" si="8"/>
        <v>21.380000000000003</v>
      </c>
      <c r="T4" s="354">
        <f t="shared" si="9"/>
        <v>53.45</v>
      </c>
      <c r="U4" s="355">
        <f t="shared" si="10"/>
        <v>0</v>
      </c>
      <c r="V4" s="352">
        <f t="shared" si="11"/>
        <v>0</v>
      </c>
      <c r="W4" s="353">
        <f t="shared" si="12"/>
        <v>21.380000000000003</v>
      </c>
      <c r="X4" s="354">
        <f t="shared" si="13"/>
        <v>16.035</v>
      </c>
    </row>
    <row r="5" spans="1:24">
      <c r="A5" s="348" t="s">
        <v>1727</v>
      </c>
      <c r="B5" s="500">
        <v>4</v>
      </c>
      <c r="C5" s="500">
        <v>46</v>
      </c>
      <c r="D5" s="500">
        <v>720</v>
      </c>
      <c r="E5" s="500">
        <f t="shared" si="0"/>
        <v>184</v>
      </c>
      <c r="F5" s="500">
        <f t="shared" si="1"/>
        <v>2880</v>
      </c>
      <c r="G5" s="500">
        <v>6</v>
      </c>
      <c r="H5" s="500">
        <f t="shared" si="14"/>
        <v>72</v>
      </c>
      <c r="I5" s="500">
        <v>153.6</v>
      </c>
      <c r="J5" s="500">
        <v>213.8</v>
      </c>
      <c r="K5" s="349">
        <v>85.5</v>
      </c>
      <c r="L5" s="350">
        <v>171.1</v>
      </c>
      <c r="M5" s="351">
        <f t="shared" si="2"/>
        <v>171.04000000000002</v>
      </c>
      <c r="N5" s="352">
        <f t="shared" si="3"/>
        <v>85.52000000000001</v>
      </c>
      <c r="O5" s="353">
        <f t="shared" si="4"/>
        <v>128.28</v>
      </c>
      <c r="P5" s="354">
        <f t="shared" si="5"/>
        <v>74.83</v>
      </c>
      <c r="Q5" s="355">
        <f t="shared" si="6"/>
        <v>42.760000000000005</v>
      </c>
      <c r="R5" s="352">
        <f t="shared" si="7"/>
        <v>128.28</v>
      </c>
      <c r="S5" s="353">
        <f t="shared" si="8"/>
        <v>42.760000000000005</v>
      </c>
      <c r="T5" s="354">
        <f t="shared" si="9"/>
        <v>106.9</v>
      </c>
      <c r="U5" s="355">
        <f t="shared" si="10"/>
        <v>0</v>
      </c>
      <c r="V5" s="352">
        <f t="shared" si="11"/>
        <v>0</v>
      </c>
      <c r="W5" s="353">
        <f t="shared" si="12"/>
        <v>42.760000000000005</v>
      </c>
      <c r="X5" s="354">
        <f t="shared" si="13"/>
        <v>32.07</v>
      </c>
    </row>
    <row r="6" spans="1:24" ht="16" thickBot="1">
      <c r="A6" s="356" t="s">
        <v>1728</v>
      </c>
      <c r="B6" s="501">
        <v>8</v>
      </c>
      <c r="C6" s="501">
        <v>46</v>
      </c>
      <c r="D6" s="501">
        <v>720</v>
      </c>
      <c r="E6" s="501">
        <f t="shared" si="0"/>
        <v>368</v>
      </c>
      <c r="F6" s="501">
        <f t="shared" si="1"/>
        <v>5760</v>
      </c>
      <c r="G6" s="501">
        <v>12</v>
      </c>
      <c r="H6" s="501">
        <f t="shared" si="14"/>
        <v>144</v>
      </c>
      <c r="I6" s="501">
        <v>307.2</v>
      </c>
      <c r="J6" s="501">
        <v>427.6</v>
      </c>
      <c r="K6" s="357">
        <v>171.1</v>
      </c>
      <c r="L6" s="358">
        <v>342.1</v>
      </c>
      <c r="M6" s="359">
        <f t="shared" si="2"/>
        <v>342.08000000000004</v>
      </c>
      <c r="N6" s="360">
        <f t="shared" si="3"/>
        <v>171.04000000000002</v>
      </c>
      <c r="O6" s="361">
        <f t="shared" si="4"/>
        <v>256.56</v>
      </c>
      <c r="P6" s="362">
        <f t="shared" si="5"/>
        <v>149.66</v>
      </c>
      <c r="Q6" s="363">
        <f t="shared" si="6"/>
        <v>85.52000000000001</v>
      </c>
      <c r="R6" s="360">
        <f t="shared" si="7"/>
        <v>256.56</v>
      </c>
      <c r="S6" s="361">
        <f t="shared" si="8"/>
        <v>85.52000000000001</v>
      </c>
      <c r="T6" s="362">
        <f t="shared" si="9"/>
        <v>213.8</v>
      </c>
      <c r="U6" s="363">
        <f t="shared" si="10"/>
        <v>0</v>
      </c>
      <c r="V6" s="360">
        <f t="shared" si="11"/>
        <v>0</v>
      </c>
      <c r="W6" s="361">
        <f t="shared" si="12"/>
        <v>85.52000000000001</v>
      </c>
      <c r="X6" s="362">
        <f t="shared" si="13"/>
        <v>64.14</v>
      </c>
    </row>
    <row r="7" spans="1:24">
      <c r="A7" s="348" t="s">
        <v>2726</v>
      </c>
      <c r="B7" s="500">
        <v>2</v>
      </c>
      <c r="C7" s="500">
        <v>24</v>
      </c>
      <c r="D7" s="500">
        <v>360</v>
      </c>
      <c r="E7" s="500">
        <f t="shared" si="0"/>
        <v>48</v>
      </c>
      <c r="F7" s="500">
        <f t="shared" si="1"/>
        <v>720</v>
      </c>
      <c r="G7" s="500">
        <v>3</v>
      </c>
      <c r="H7" s="500">
        <f>G7*12</f>
        <v>36</v>
      </c>
      <c r="I7" s="500">
        <v>38.4</v>
      </c>
      <c r="J7" s="500">
        <v>74.8</v>
      </c>
      <c r="K7" s="349">
        <v>29.9</v>
      </c>
      <c r="L7" s="350">
        <v>59.9</v>
      </c>
      <c r="M7" s="351">
        <f t="shared" si="2"/>
        <v>59.84</v>
      </c>
      <c r="N7" s="352">
        <f t="shared" si="3"/>
        <v>29.92</v>
      </c>
      <c r="O7" s="353">
        <f t="shared" si="4"/>
        <v>44.879999999999995</v>
      </c>
      <c r="P7" s="354">
        <f t="shared" si="5"/>
        <v>26.179999999999996</v>
      </c>
      <c r="Q7" s="355">
        <f t="shared" si="6"/>
        <v>14.96</v>
      </c>
      <c r="R7" s="352">
        <f t="shared" si="7"/>
        <v>44.879999999999995</v>
      </c>
      <c r="S7" s="353">
        <f t="shared" si="8"/>
        <v>14.96</v>
      </c>
      <c r="T7" s="354">
        <f t="shared" si="9"/>
        <v>37.4</v>
      </c>
      <c r="U7" s="355">
        <f t="shared" si="10"/>
        <v>0</v>
      </c>
      <c r="V7" s="352">
        <f t="shared" si="11"/>
        <v>0</v>
      </c>
      <c r="W7" s="353">
        <f t="shared" si="12"/>
        <v>14.96</v>
      </c>
      <c r="X7" s="354">
        <f t="shared" si="13"/>
        <v>11.219999999999999</v>
      </c>
    </row>
    <row r="8" spans="1:24">
      <c r="A8" s="348" t="s">
        <v>1729</v>
      </c>
      <c r="B8" s="500">
        <v>2</v>
      </c>
      <c r="C8" s="500">
        <v>50</v>
      </c>
      <c r="D8" s="500">
        <v>720</v>
      </c>
      <c r="E8" s="500">
        <f t="shared" si="0"/>
        <v>100</v>
      </c>
      <c r="F8" s="500">
        <f t="shared" si="1"/>
        <v>1440</v>
      </c>
      <c r="G8" s="500">
        <v>3</v>
      </c>
      <c r="H8" s="500">
        <f t="shared" si="14"/>
        <v>36</v>
      </c>
      <c r="I8" s="500">
        <v>76.8</v>
      </c>
      <c r="J8" s="500">
        <v>149.69999999999999</v>
      </c>
      <c r="K8" s="349">
        <v>59.9</v>
      </c>
      <c r="L8" s="350">
        <v>119.8</v>
      </c>
      <c r="M8" s="351">
        <f t="shared" si="2"/>
        <v>119.75999999999999</v>
      </c>
      <c r="N8" s="352">
        <f t="shared" si="3"/>
        <v>59.879999999999995</v>
      </c>
      <c r="O8" s="353">
        <f t="shared" si="4"/>
        <v>89.82</v>
      </c>
      <c r="P8" s="354">
        <f t="shared" si="5"/>
        <v>52.394999999999996</v>
      </c>
      <c r="Q8" s="355">
        <f t="shared" si="6"/>
        <v>29.939999999999998</v>
      </c>
      <c r="R8" s="352">
        <f t="shared" si="7"/>
        <v>89.82</v>
      </c>
      <c r="S8" s="353">
        <f t="shared" si="8"/>
        <v>29.939999999999998</v>
      </c>
      <c r="T8" s="354">
        <f t="shared" si="9"/>
        <v>74.849999999999994</v>
      </c>
      <c r="U8" s="355">
        <f t="shared" si="10"/>
        <v>0</v>
      </c>
      <c r="V8" s="352">
        <f t="shared" si="11"/>
        <v>0</v>
      </c>
      <c r="W8" s="353">
        <f t="shared" si="12"/>
        <v>29.939999999999998</v>
      </c>
      <c r="X8" s="354">
        <f t="shared" si="13"/>
        <v>22.454999999999998</v>
      </c>
    </row>
    <row r="9" spans="1:24">
      <c r="A9" s="348" t="s">
        <v>1730</v>
      </c>
      <c r="B9" s="500">
        <v>4</v>
      </c>
      <c r="C9" s="500">
        <v>50</v>
      </c>
      <c r="D9" s="500">
        <v>720</v>
      </c>
      <c r="E9" s="500">
        <f t="shared" si="0"/>
        <v>200</v>
      </c>
      <c r="F9" s="500">
        <f t="shared" si="1"/>
        <v>2880</v>
      </c>
      <c r="G9" s="500">
        <v>6</v>
      </c>
      <c r="H9" s="500">
        <f t="shared" si="14"/>
        <v>72</v>
      </c>
      <c r="I9" s="500">
        <v>153.6</v>
      </c>
      <c r="J9" s="500">
        <v>299.39999999999998</v>
      </c>
      <c r="K9" s="349">
        <v>119.8</v>
      </c>
      <c r="L9" s="350">
        <v>239.5</v>
      </c>
      <c r="M9" s="351">
        <f t="shared" si="2"/>
        <v>239.51999999999998</v>
      </c>
      <c r="N9" s="352">
        <f t="shared" si="3"/>
        <v>119.75999999999999</v>
      </c>
      <c r="O9" s="353">
        <f t="shared" si="4"/>
        <v>179.64</v>
      </c>
      <c r="P9" s="354">
        <f t="shared" si="5"/>
        <v>104.78999999999999</v>
      </c>
      <c r="Q9" s="355">
        <f t="shared" si="6"/>
        <v>59.879999999999995</v>
      </c>
      <c r="R9" s="352">
        <f t="shared" si="7"/>
        <v>179.64</v>
      </c>
      <c r="S9" s="353">
        <f t="shared" si="8"/>
        <v>59.879999999999995</v>
      </c>
      <c r="T9" s="354">
        <f t="shared" si="9"/>
        <v>149.69999999999999</v>
      </c>
      <c r="U9" s="355">
        <f t="shared" si="10"/>
        <v>0</v>
      </c>
      <c r="V9" s="352">
        <f t="shared" si="11"/>
        <v>0</v>
      </c>
      <c r="W9" s="353">
        <f t="shared" si="12"/>
        <v>59.879999999999995</v>
      </c>
      <c r="X9" s="354">
        <f t="shared" si="13"/>
        <v>44.91</v>
      </c>
    </row>
    <row r="10" spans="1:24" ht="16" thickBot="1">
      <c r="A10" s="356" t="s">
        <v>1731</v>
      </c>
      <c r="B10" s="501">
        <v>8</v>
      </c>
      <c r="C10" s="501">
        <v>50</v>
      </c>
      <c r="D10" s="501">
        <v>720</v>
      </c>
      <c r="E10" s="501">
        <f t="shared" si="0"/>
        <v>400</v>
      </c>
      <c r="F10" s="501">
        <f t="shared" si="1"/>
        <v>5760</v>
      </c>
      <c r="G10" s="501">
        <v>12</v>
      </c>
      <c r="H10" s="501">
        <f t="shared" si="14"/>
        <v>144</v>
      </c>
      <c r="I10" s="501">
        <v>307.2</v>
      </c>
      <c r="J10" s="501">
        <v>598.70000000000005</v>
      </c>
      <c r="K10" s="357">
        <v>239.5</v>
      </c>
      <c r="L10" s="358">
        <v>497</v>
      </c>
      <c r="M10" s="359">
        <f t="shared" si="2"/>
        <v>478.96000000000004</v>
      </c>
      <c r="N10" s="360">
        <f t="shared" si="3"/>
        <v>239.48000000000002</v>
      </c>
      <c r="O10" s="361">
        <f t="shared" si="4"/>
        <v>359.22</v>
      </c>
      <c r="P10" s="362">
        <f t="shared" si="5"/>
        <v>209.54500000000002</v>
      </c>
      <c r="Q10" s="363">
        <f t="shared" si="6"/>
        <v>119.74000000000001</v>
      </c>
      <c r="R10" s="360">
        <f t="shared" si="7"/>
        <v>359.22</v>
      </c>
      <c r="S10" s="361">
        <f t="shared" si="8"/>
        <v>119.74000000000001</v>
      </c>
      <c r="T10" s="362">
        <f t="shared" si="9"/>
        <v>299.35000000000002</v>
      </c>
      <c r="U10" s="363">
        <f t="shared" si="10"/>
        <v>0</v>
      </c>
      <c r="V10" s="360">
        <f t="shared" si="11"/>
        <v>0</v>
      </c>
      <c r="W10" s="361">
        <f t="shared" si="12"/>
        <v>119.74000000000001</v>
      </c>
      <c r="X10" s="362">
        <f t="shared" si="13"/>
        <v>89.805000000000007</v>
      </c>
    </row>
    <row r="11" spans="1:24">
      <c r="A11" s="348" t="s">
        <v>2726</v>
      </c>
      <c r="B11" s="374">
        <v>2</v>
      </c>
      <c r="C11" s="349">
        <v>24</v>
      </c>
      <c r="D11" s="349">
        <v>328</v>
      </c>
      <c r="E11" s="500">
        <f t="shared" si="0"/>
        <v>48</v>
      </c>
      <c r="F11" s="349">
        <f t="shared" si="1"/>
        <v>656</v>
      </c>
      <c r="G11" s="374">
        <v>3</v>
      </c>
      <c r="H11" s="349">
        <f>G11*12</f>
        <v>36</v>
      </c>
      <c r="I11" s="349">
        <v>38.4</v>
      </c>
      <c r="J11" s="500">
        <v>74.599999999999994</v>
      </c>
      <c r="K11" s="349">
        <v>29.9</v>
      </c>
      <c r="L11" s="350">
        <v>59.9</v>
      </c>
    </row>
    <row r="12" spans="1:24">
      <c r="A12" s="348" t="s">
        <v>2488</v>
      </c>
      <c r="B12" s="374">
        <v>2</v>
      </c>
      <c r="C12" s="349">
        <v>50</v>
      </c>
      <c r="D12" s="349">
        <v>1390</v>
      </c>
      <c r="E12" s="500">
        <f t="shared" si="0"/>
        <v>100</v>
      </c>
      <c r="F12" s="349">
        <f t="shared" si="1"/>
        <v>2780</v>
      </c>
      <c r="G12" s="374">
        <v>3</v>
      </c>
      <c r="H12" s="349">
        <f t="shared" ref="H12:H14" si="15">G12*12</f>
        <v>36</v>
      </c>
      <c r="I12" s="349">
        <v>76.8</v>
      </c>
      <c r="J12" s="500">
        <v>149.69999999999999</v>
      </c>
      <c r="K12" s="349">
        <v>59.9</v>
      </c>
      <c r="L12" s="350">
        <v>119.8</v>
      </c>
    </row>
    <row r="13" spans="1:24">
      <c r="A13" s="348" t="s">
        <v>2489</v>
      </c>
      <c r="B13" s="374">
        <v>4</v>
      </c>
      <c r="C13" s="349">
        <v>50</v>
      </c>
      <c r="D13" s="349">
        <v>1390</v>
      </c>
      <c r="E13" s="500">
        <f t="shared" si="0"/>
        <v>200</v>
      </c>
      <c r="F13" s="349">
        <f t="shared" si="1"/>
        <v>5560</v>
      </c>
      <c r="G13" s="374">
        <v>6</v>
      </c>
      <c r="H13" s="349">
        <f t="shared" si="15"/>
        <v>72</v>
      </c>
      <c r="I13" s="349">
        <v>153.6</v>
      </c>
      <c r="J13" s="500">
        <v>299.39999999999998</v>
      </c>
      <c r="K13" s="349">
        <v>119.8</v>
      </c>
      <c r="L13" s="350">
        <v>239.5</v>
      </c>
    </row>
    <row r="14" spans="1:24" ht="16" thickBot="1">
      <c r="A14" s="356" t="s">
        <v>2490</v>
      </c>
      <c r="B14" s="375">
        <v>8</v>
      </c>
      <c r="C14" s="357">
        <v>50</v>
      </c>
      <c r="D14" s="349">
        <v>1390</v>
      </c>
      <c r="E14" s="501">
        <f t="shared" si="0"/>
        <v>400</v>
      </c>
      <c r="F14" s="357">
        <f t="shared" si="1"/>
        <v>11120</v>
      </c>
      <c r="G14" s="375">
        <v>12</v>
      </c>
      <c r="H14" s="357">
        <f t="shared" si="15"/>
        <v>144</v>
      </c>
      <c r="I14" s="357">
        <v>307.2</v>
      </c>
      <c r="J14" s="501">
        <v>598.70000000000005</v>
      </c>
      <c r="K14" s="357">
        <v>239.5</v>
      </c>
      <c r="L14" s="358">
        <v>497</v>
      </c>
    </row>
    <row r="15" spans="1:24">
      <c r="A15" s="348" t="s">
        <v>2726</v>
      </c>
      <c r="B15" s="374">
        <v>2</v>
      </c>
      <c r="C15" s="349">
        <v>24</v>
      </c>
      <c r="D15" s="349">
        <v>328</v>
      </c>
      <c r="E15" s="500">
        <f t="shared" ref="E15" si="16">B15*C15</f>
        <v>48</v>
      </c>
      <c r="F15" s="349">
        <f t="shared" ref="F15:F18" si="17">B15*D15</f>
        <v>656</v>
      </c>
      <c r="G15" s="374">
        <v>3</v>
      </c>
      <c r="H15" s="349">
        <f>G15*12</f>
        <v>36</v>
      </c>
      <c r="I15" s="349"/>
      <c r="J15" s="500">
        <v>74.599999999999994</v>
      </c>
      <c r="K15" s="349"/>
      <c r="L15" s="350"/>
    </row>
    <row r="16" spans="1:24">
      <c r="A16" s="348" t="s">
        <v>3002</v>
      </c>
      <c r="B16" s="374">
        <v>2</v>
      </c>
      <c r="C16" s="349">
        <v>50</v>
      </c>
      <c r="D16" s="349">
        <v>1390</v>
      </c>
      <c r="E16" s="500">
        <v>124</v>
      </c>
      <c r="F16" s="349">
        <f t="shared" si="17"/>
        <v>2780</v>
      </c>
      <c r="G16" s="374">
        <v>3</v>
      </c>
      <c r="H16" s="349">
        <f t="shared" ref="H16:H18" si="18">G16*12</f>
        <v>36</v>
      </c>
      <c r="I16" s="349"/>
      <c r="J16" s="500">
        <v>192</v>
      </c>
      <c r="K16" s="349"/>
      <c r="L16" s="350"/>
    </row>
    <row r="17" spans="1:12">
      <c r="A17" s="348" t="s">
        <v>3003</v>
      </c>
      <c r="B17" s="374">
        <v>4</v>
      </c>
      <c r="C17" s="349">
        <v>50</v>
      </c>
      <c r="D17" s="349">
        <v>1390</v>
      </c>
      <c r="E17" s="500">
        <v>248</v>
      </c>
      <c r="F17" s="349">
        <f t="shared" si="17"/>
        <v>5560</v>
      </c>
      <c r="G17" s="374">
        <v>6</v>
      </c>
      <c r="H17" s="349">
        <f t="shared" si="18"/>
        <v>72</v>
      </c>
      <c r="I17" s="349"/>
      <c r="J17" s="500">
        <v>384</v>
      </c>
      <c r="K17" s="349"/>
      <c r="L17" s="350"/>
    </row>
    <row r="18" spans="1:12" ht="16" thickBot="1">
      <c r="A18" s="356" t="s">
        <v>3004</v>
      </c>
      <c r="B18" s="375">
        <v>8</v>
      </c>
      <c r="C18" s="357">
        <v>50</v>
      </c>
      <c r="D18" s="349">
        <v>1390</v>
      </c>
      <c r="E18" s="501">
        <v>496</v>
      </c>
      <c r="F18" s="357">
        <f t="shared" si="17"/>
        <v>11120</v>
      </c>
      <c r="G18" s="375">
        <v>12</v>
      </c>
      <c r="H18" s="357">
        <f t="shared" si="18"/>
        <v>144</v>
      </c>
      <c r="I18" s="357"/>
      <c r="J18" s="501">
        <v>769</v>
      </c>
      <c r="K18" s="357"/>
      <c r="L18" s="358"/>
    </row>
    <row r="20" spans="1:12" ht="16" thickBot="1">
      <c r="A20" s="441" t="s">
        <v>2626</v>
      </c>
      <c r="B20" s="542" t="s">
        <v>2725</v>
      </c>
    </row>
    <row r="21" spans="1:12" ht="64">
      <c r="A21" s="365" t="s">
        <v>1838</v>
      </c>
      <c r="B21" s="366" t="s">
        <v>1705</v>
      </c>
      <c r="C21" s="366" t="s">
        <v>1963</v>
      </c>
      <c r="D21" s="366" t="s">
        <v>1707</v>
      </c>
      <c r="E21" s="366" t="s">
        <v>1960</v>
      </c>
      <c r="F21" s="366" t="s">
        <v>1709</v>
      </c>
      <c r="G21" s="366" t="s">
        <v>1833</v>
      </c>
      <c r="H21" s="366" t="s">
        <v>1834</v>
      </c>
      <c r="I21" s="366" t="s">
        <v>1710</v>
      </c>
      <c r="J21" s="366" t="s">
        <v>1711</v>
      </c>
      <c r="K21" s="366" t="s">
        <v>1712</v>
      </c>
      <c r="L21" s="367" t="s">
        <v>1713</v>
      </c>
    </row>
    <row r="22" spans="1:12">
      <c r="A22" s="348" t="s">
        <v>2726</v>
      </c>
      <c r="B22" s="374">
        <v>2</v>
      </c>
      <c r="C22" s="349">
        <v>22</v>
      </c>
      <c r="D22" s="349">
        <v>240</v>
      </c>
      <c r="E22" s="349">
        <f t="shared" ref="E22:E29" si="19">B22*C22</f>
        <v>44</v>
      </c>
      <c r="F22" s="349">
        <f t="shared" ref="F22:F29" si="20">B22*D22</f>
        <v>480</v>
      </c>
      <c r="G22" s="374">
        <v>3</v>
      </c>
      <c r="H22" s="349">
        <f>G22*12</f>
        <v>36</v>
      </c>
      <c r="I22" s="349">
        <v>19.2</v>
      </c>
      <c r="J22" s="349">
        <v>42.7</v>
      </c>
      <c r="K22" s="349">
        <v>17</v>
      </c>
      <c r="L22" s="350">
        <v>34.200000000000003</v>
      </c>
    </row>
    <row r="23" spans="1:12">
      <c r="A23" s="348" t="s">
        <v>1726</v>
      </c>
      <c r="B23" s="374">
        <v>2</v>
      </c>
      <c r="C23" s="349">
        <v>46</v>
      </c>
      <c r="D23" s="349">
        <v>720</v>
      </c>
      <c r="E23" s="349">
        <f t="shared" si="19"/>
        <v>92</v>
      </c>
      <c r="F23" s="349">
        <f t="shared" si="20"/>
        <v>1440</v>
      </c>
      <c r="G23" s="374">
        <v>3</v>
      </c>
      <c r="H23" s="349">
        <f t="shared" ref="H23:H25" si="21">G23*12</f>
        <v>36</v>
      </c>
      <c r="I23" s="349">
        <v>76.8</v>
      </c>
      <c r="J23" s="349">
        <v>106.9</v>
      </c>
      <c r="K23" s="349">
        <v>42.8</v>
      </c>
      <c r="L23" s="350">
        <v>85.5</v>
      </c>
    </row>
    <row r="24" spans="1:12">
      <c r="A24" s="348" t="s">
        <v>1727</v>
      </c>
      <c r="B24" s="374">
        <v>4</v>
      </c>
      <c r="C24" s="349">
        <v>46</v>
      </c>
      <c r="D24" s="349">
        <v>720</v>
      </c>
      <c r="E24" s="349">
        <f t="shared" si="19"/>
        <v>184</v>
      </c>
      <c r="F24" s="349">
        <f t="shared" si="20"/>
        <v>2880</v>
      </c>
      <c r="G24" s="374">
        <v>6</v>
      </c>
      <c r="H24" s="349">
        <f t="shared" si="21"/>
        <v>72</v>
      </c>
      <c r="I24" s="349">
        <v>153.6</v>
      </c>
      <c r="J24" s="349">
        <v>213.8</v>
      </c>
      <c r="K24" s="349">
        <v>85.5</v>
      </c>
      <c r="L24" s="350">
        <v>171.1</v>
      </c>
    </row>
    <row r="25" spans="1:12" ht="16" thickBot="1">
      <c r="A25" s="356" t="s">
        <v>1728</v>
      </c>
      <c r="B25" s="375">
        <v>8</v>
      </c>
      <c r="C25" s="357">
        <v>46</v>
      </c>
      <c r="D25" s="357">
        <v>720</v>
      </c>
      <c r="E25" s="357">
        <f t="shared" si="19"/>
        <v>368</v>
      </c>
      <c r="F25" s="357">
        <f t="shared" si="20"/>
        <v>5760</v>
      </c>
      <c r="G25" s="375">
        <v>12</v>
      </c>
      <c r="H25" s="357">
        <f t="shared" si="21"/>
        <v>144</v>
      </c>
      <c r="I25" s="357">
        <v>307.2</v>
      </c>
      <c r="J25" s="357">
        <v>427.6</v>
      </c>
      <c r="K25" s="357">
        <v>171.1</v>
      </c>
      <c r="L25" s="358">
        <v>342.1</v>
      </c>
    </row>
    <row r="26" spans="1:12">
      <c r="A26" s="348" t="s">
        <v>2726</v>
      </c>
      <c r="B26" s="374">
        <v>2</v>
      </c>
      <c r="C26" s="349">
        <v>24</v>
      </c>
      <c r="D26" s="349">
        <v>360</v>
      </c>
      <c r="E26" s="349">
        <f t="shared" si="19"/>
        <v>48</v>
      </c>
      <c r="F26" s="349">
        <f t="shared" si="20"/>
        <v>720</v>
      </c>
      <c r="G26" s="374">
        <v>3</v>
      </c>
      <c r="H26" s="349">
        <f>G26*12</f>
        <v>36</v>
      </c>
      <c r="I26" s="349">
        <v>38.4</v>
      </c>
      <c r="J26" s="349">
        <v>74.599999999999994</v>
      </c>
      <c r="K26" s="349">
        <v>29.9</v>
      </c>
      <c r="L26" s="350">
        <v>59.9</v>
      </c>
    </row>
    <row r="27" spans="1:12">
      <c r="A27" s="348" t="s">
        <v>1729</v>
      </c>
      <c r="B27" s="374">
        <v>2</v>
      </c>
      <c r="C27" s="349">
        <v>50</v>
      </c>
      <c r="D27" s="349">
        <v>720</v>
      </c>
      <c r="E27" s="349">
        <f t="shared" si="19"/>
        <v>100</v>
      </c>
      <c r="F27" s="349">
        <f t="shared" si="20"/>
        <v>1440</v>
      </c>
      <c r="G27" s="374">
        <v>3</v>
      </c>
      <c r="H27" s="349">
        <f t="shared" ref="H27:H29" si="22">G27*12</f>
        <v>36</v>
      </c>
      <c r="I27" s="349">
        <v>76.8</v>
      </c>
      <c r="J27" s="349">
        <v>149.69999999999999</v>
      </c>
      <c r="K27" s="349">
        <v>59.9</v>
      </c>
      <c r="L27" s="350">
        <v>119.8</v>
      </c>
    </row>
    <row r="28" spans="1:12">
      <c r="A28" s="348" t="s">
        <v>1730</v>
      </c>
      <c r="B28" s="374">
        <v>4</v>
      </c>
      <c r="C28" s="349">
        <v>50</v>
      </c>
      <c r="D28" s="349">
        <v>720</v>
      </c>
      <c r="E28" s="349">
        <f t="shared" si="19"/>
        <v>200</v>
      </c>
      <c r="F28" s="349">
        <f t="shared" si="20"/>
        <v>2880</v>
      </c>
      <c r="G28" s="374">
        <v>6</v>
      </c>
      <c r="H28" s="349">
        <f t="shared" si="22"/>
        <v>72</v>
      </c>
      <c r="I28" s="349">
        <v>153.6</v>
      </c>
      <c r="J28" s="349">
        <v>299.39999999999998</v>
      </c>
      <c r="K28" s="349">
        <v>119.8</v>
      </c>
      <c r="L28" s="350">
        <v>239.5</v>
      </c>
    </row>
    <row r="29" spans="1:12" ht="16" thickBot="1">
      <c r="A29" s="356" t="s">
        <v>1731</v>
      </c>
      <c r="B29" s="375">
        <v>8</v>
      </c>
      <c r="C29" s="357">
        <v>50</v>
      </c>
      <c r="D29" s="357">
        <v>720</v>
      </c>
      <c r="E29" s="357">
        <f t="shared" si="19"/>
        <v>400</v>
      </c>
      <c r="F29" s="357">
        <f t="shared" si="20"/>
        <v>5760</v>
      </c>
      <c r="G29" s="375">
        <v>12</v>
      </c>
      <c r="H29" s="357">
        <f t="shared" si="22"/>
        <v>144</v>
      </c>
      <c r="I29" s="357">
        <v>307.2</v>
      </c>
      <c r="J29" s="357">
        <v>598.70000000000005</v>
      </c>
      <c r="K29" s="357">
        <v>239.5</v>
      </c>
      <c r="L29" s="358">
        <v>497</v>
      </c>
    </row>
    <row r="30" spans="1:12">
      <c r="A30" s="348" t="s">
        <v>2726</v>
      </c>
      <c r="B30" s="374">
        <v>2</v>
      </c>
      <c r="C30" s="349">
        <v>24</v>
      </c>
      <c r="D30" s="349">
        <v>360</v>
      </c>
      <c r="E30" s="349">
        <f t="shared" ref="E30:E31" si="23">B30*C30</f>
        <v>48</v>
      </c>
      <c r="F30" s="349">
        <f t="shared" ref="F30:F31" si="24">B30*D30</f>
        <v>720</v>
      </c>
      <c r="G30" s="374">
        <v>3</v>
      </c>
      <c r="H30" s="349">
        <f>G30*12</f>
        <v>36</v>
      </c>
      <c r="I30" s="349">
        <v>38.4</v>
      </c>
      <c r="J30" s="349">
        <v>74.599999999999994</v>
      </c>
      <c r="K30" s="349">
        <v>29.9</v>
      </c>
      <c r="L30" s="350">
        <v>59.9</v>
      </c>
    </row>
    <row r="31" spans="1:12">
      <c r="A31" s="348" t="s">
        <v>2488</v>
      </c>
      <c r="B31" s="374">
        <v>2</v>
      </c>
      <c r="C31" s="349">
        <v>50</v>
      </c>
      <c r="D31" s="349">
        <v>1390</v>
      </c>
      <c r="E31" s="349">
        <f t="shared" si="23"/>
        <v>100</v>
      </c>
      <c r="F31" s="349">
        <f t="shared" si="24"/>
        <v>2780</v>
      </c>
      <c r="G31" s="374">
        <v>3</v>
      </c>
      <c r="H31" s="349">
        <f t="shared" ref="H31" si="25">G31*12</f>
        <v>36</v>
      </c>
      <c r="I31" s="349">
        <v>76.8</v>
      </c>
      <c r="J31" s="349">
        <v>149.69999999999999</v>
      </c>
      <c r="K31" s="349">
        <v>59.9</v>
      </c>
      <c r="L31" s="350">
        <v>119.8</v>
      </c>
    </row>
    <row r="32" spans="1:12">
      <c r="A32" s="560" t="s">
        <v>1962</v>
      </c>
      <c r="B32" s="561"/>
      <c r="C32" s="562"/>
      <c r="D32" s="562"/>
      <c r="E32" s="562"/>
      <c r="F32" s="562"/>
      <c r="G32" s="561">
        <v>1</v>
      </c>
      <c r="H32" s="562">
        <f t="shared" ref="H32" si="26">G32*12</f>
        <v>12</v>
      </c>
      <c r="I32" s="563">
        <f>2.133*H32</f>
        <v>25.596</v>
      </c>
      <c r="J32" s="563">
        <f>I32*1.9427</f>
        <v>49.725349200000004</v>
      </c>
      <c r="K32" s="563">
        <f>J32*0.4</f>
        <v>19.890139680000004</v>
      </c>
      <c r="L32" s="564">
        <f>K32*2</f>
        <v>39.780279360000009</v>
      </c>
    </row>
    <row r="33" spans="1:12" ht="16" thickBot="1">
      <c r="A33" s="565" t="s">
        <v>949</v>
      </c>
      <c r="B33" s="566">
        <v>1</v>
      </c>
      <c r="C33" s="567">
        <v>50</v>
      </c>
      <c r="D33" s="567">
        <v>1390</v>
      </c>
      <c r="E33" s="567">
        <v>50</v>
      </c>
      <c r="F33" s="567">
        <f t="shared" ref="F33" si="27">B33*D33</f>
        <v>1390</v>
      </c>
      <c r="G33" s="566"/>
      <c r="H33" s="567"/>
      <c r="I33" s="567"/>
      <c r="J33" s="567"/>
      <c r="K33" s="567"/>
      <c r="L33" s="568"/>
    </row>
    <row r="35" spans="1:12" ht="16" thickBot="1">
      <c r="A35" s="1" t="s">
        <v>1961</v>
      </c>
    </row>
    <row r="36" spans="1:12" ht="64">
      <c r="A36" s="365" t="s">
        <v>1961</v>
      </c>
      <c r="B36" s="366" t="s">
        <v>1705</v>
      </c>
      <c r="C36" s="366" t="s">
        <v>1963</v>
      </c>
      <c r="D36" s="366" t="s">
        <v>1707</v>
      </c>
      <c r="E36" s="366" t="s">
        <v>1960</v>
      </c>
      <c r="F36" s="366" t="s">
        <v>1709</v>
      </c>
      <c r="G36" s="366" t="s">
        <v>1833</v>
      </c>
      <c r="H36" s="366" t="s">
        <v>1834</v>
      </c>
      <c r="I36" s="366" t="s">
        <v>1710</v>
      </c>
      <c r="J36" s="366" t="s">
        <v>1711</v>
      </c>
      <c r="K36" s="366" t="s">
        <v>1712</v>
      </c>
      <c r="L36" s="367" t="s">
        <v>1713</v>
      </c>
    </row>
    <row r="37" spans="1:12">
      <c r="A37" s="348" t="s">
        <v>2727</v>
      </c>
      <c r="B37" s="374">
        <v>2</v>
      </c>
      <c r="C37" s="349">
        <v>22</v>
      </c>
      <c r="D37" s="349">
        <v>240</v>
      </c>
      <c r="E37" s="349">
        <f t="shared" ref="E37:E41" si="28">B37*C37</f>
        <v>44</v>
      </c>
      <c r="F37" s="349">
        <f t="shared" ref="F37:F44" si="29">B37*D37</f>
        <v>480</v>
      </c>
      <c r="G37" s="374">
        <v>3</v>
      </c>
      <c r="H37" s="349">
        <f>G37*12</f>
        <v>36</v>
      </c>
      <c r="I37" s="349">
        <v>19.2</v>
      </c>
      <c r="J37" s="349">
        <v>42.7</v>
      </c>
      <c r="K37" s="349">
        <v>17</v>
      </c>
      <c r="L37" s="350">
        <v>34.200000000000003</v>
      </c>
    </row>
    <row r="38" spans="1:12">
      <c r="A38" s="348" t="s">
        <v>1726</v>
      </c>
      <c r="B38" s="374">
        <v>2</v>
      </c>
      <c r="C38" s="349">
        <v>46</v>
      </c>
      <c r="D38" s="349">
        <v>720</v>
      </c>
      <c r="E38" s="349">
        <f t="shared" si="28"/>
        <v>92</v>
      </c>
      <c r="F38" s="349">
        <f t="shared" si="29"/>
        <v>1440</v>
      </c>
      <c r="G38" s="374">
        <v>3</v>
      </c>
      <c r="H38" s="349">
        <f t="shared" ref="H38:H40" si="30">G38*12</f>
        <v>36</v>
      </c>
      <c r="I38" s="349">
        <v>76.8</v>
      </c>
      <c r="J38" s="349">
        <v>106.9</v>
      </c>
      <c r="K38" s="349">
        <v>42.8</v>
      </c>
      <c r="L38" s="350">
        <v>85.5</v>
      </c>
    </row>
    <row r="39" spans="1:12">
      <c r="A39" s="348" t="s">
        <v>1727</v>
      </c>
      <c r="B39" s="374">
        <v>4</v>
      </c>
      <c r="C39" s="349">
        <v>46</v>
      </c>
      <c r="D39" s="349">
        <v>720</v>
      </c>
      <c r="E39" s="349">
        <f t="shared" si="28"/>
        <v>184</v>
      </c>
      <c r="F39" s="349">
        <f t="shared" si="29"/>
        <v>2880</v>
      </c>
      <c r="G39" s="374">
        <v>6</v>
      </c>
      <c r="H39" s="349">
        <f t="shared" si="30"/>
        <v>72</v>
      </c>
      <c r="I39" s="349">
        <v>153.6</v>
      </c>
      <c r="J39" s="349">
        <v>213.8</v>
      </c>
      <c r="K39" s="349">
        <v>85.5</v>
      </c>
      <c r="L39" s="350">
        <v>171.1</v>
      </c>
    </row>
    <row r="40" spans="1:12" ht="16" thickBot="1">
      <c r="A40" s="356" t="s">
        <v>1728</v>
      </c>
      <c r="B40" s="375">
        <v>8</v>
      </c>
      <c r="C40" s="357">
        <v>46</v>
      </c>
      <c r="D40" s="357">
        <v>720</v>
      </c>
      <c r="E40" s="357">
        <f t="shared" si="28"/>
        <v>368</v>
      </c>
      <c r="F40" s="357">
        <f t="shared" si="29"/>
        <v>5760</v>
      </c>
      <c r="G40" s="375">
        <v>12</v>
      </c>
      <c r="H40" s="357">
        <f t="shared" si="30"/>
        <v>144</v>
      </c>
      <c r="I40" s="357">
        <v>307.2</v>
      </c>
      <c r="J40" s="357">
        <v>427.6</v>
      </c>
      <c r="K40" s="357">
        <v>171.1</v>
      </c>
      <c r="L40" s="358">
        <v>342.1</v>
      </c>
    </row>
    <row r="41" spans="1:12">
      <c r="A41" s="348" t="s">
        <v>2492</v>
      </c>
      <c r="B41" s="374">
        <v>2</v>
      </c>
      <c r="C41" s="349">
        <v>24</v>
      </c>
      <c r="D41" s="349">
        <v>384</v>
      </c>
      <c r="E41" s="349">
        <f t="shared" si="28"/>
        <v>48</v>
      </c>
      <c r="F41" s="349">
        <f t="shared" si="29"/>
        <v>768</v>
      </c>
      <c r="G41" s="374">
        <v>3</v>
      </c>
      <c r="H41" s="349">
        <f t="shared" ref="H41:H43" si="31">G41*12</f>
        <v>36</v>
      </c>
      <c r="I41" s="349">
        <v>76.8</v>
      </c>
      <c r="J41" s="349">
        <v>149.69999999999999</v>
      </c>
      <c r="K41" s="349">
        <v>59.9</v>
      </c>
      <c r="L41" s="350">
        <v>119.8</v>
      </c>
    </row>
    <row r="42" spans="1:12">
      <c r="A42" s="348" t="s">
        <v>1729</v>
      </c>
      <c r="B42" s="374">
        <v>2</v>
      </c>
      <c r="C42" s="349">
        <v>48</v>
      </c>
      <c r="D42" s="349">
        <v>384</v>
      </c>
      <c r="E42" s="349">
        <f>B42*C42</f>
        <v>96</v>
      </c>
      <c r="F42" s="349">
        <f t="shared" si="29"/>
        <v>768</v>
      </c>
      <c r="G42" s="374">
        <v>3</v>
      </c>
      <c r="H42" s="349">
        <v>36</v>
      </c>
      <c r="I42" s="376">
        <v>76.8</v>
      </c>
      <c r="J42" s="376">
        <v>149.69999999999999</v>
      </c>
      <c r="K42" s="376">
        <v>59.9</v>
      </c>
      <c r="L42" s="377">
        <v>119.8</v>
      </c>
    </row>
    <row r="43" spans="1:12">
      <c r="A43" s="348" t="s">
        <v>1962</v>
      </c>
      <c r="B43" s="374"/>
      <c r="C43" s="349"/>
      <c r="D43" s="349"/>
      <c r="E43" s="349"/>
      <c r="F43" s="349"/>
      <c r="G43" s="374">
        <v>1</v>
      </c>
      <c r="H43" s="349">
        <f t="shared" si="31"/>
        <v>12</v>
      </c>
      <c r="I43" s="376">
        <f>2.133*H43</f>
        <v>25.596</v>
      </c>
      <c r="J43" s="376">
        <f>I43*1.9427</f>
        <v>49.725349200000004</v>
      </c>
      <c r="K43" s="376">
        <f>J43*0.4</f>
        <v>19.890139680000004</v>
      </c>
      <c r="L43" s="377">
        <f>K43*2</f>
        <v>39.780279360000009</v>
      </c>
    </row>
    <row r="44" spans="1:12" ht="16" thickBot="1">
      <c r="A44" s="552" t="s">
        <v>949</v>
      </c>
      <c r="B44" s="553">
        <v>1</v>
      </c>
      <c r="C44" s="554">
        <v>48</v>
      </c>
      <c r="D44" s="554">
        <v>384</v>
      </c>
      <c r="E44" s="554">
        <f>B44*C44</f>
        <v>48</v>
      </c>
      <c r="F44" s="554">
        <f t="shared" si="29"/>
        <v>384</v>
      </c>
      <c r="G44" s="553"/>
      <c r="H44" s="554"/>
      <c r="I44" s="554"/>
      <c r="J44" s="554"/>
      <c r="K44" s="554"/>
      <c r="L44" s="555"/>
    </row>
    <row r="45" spans="1:12">
      <c r="A45" s="556" t="s">
        <v>2493</v>
      </c>
      <c r="B45" s="557">
        <v>2</v>
      </c>
      <c r="C45" s="558">
        <v>24</v>
      </c>
      <c r="D45" s="558">
        <v>720</v>
      </c>
      <c r="E45" s="558">
        <f t="shared" ref="E45" si="32">B45*C45</f>
        <v>48</v>
      </c>
      <c r="F45" s="558">
        <f t="shared" ref="F45:F46" si="33">B45*D45</f>
        <v>1440</v>
      </c>
      <c r="G45" s="557">
        <v>3</v>
      </c>
      <c r="H45" s="558">
        <f t="shared" ref="H45:H47" si="34">G45*12</f>
        <v>36</v>
      </c>
      <c r="I45" s="558">
        <v>38.4</v>
      </c>
      <c r="J45" s="558">
        <v>74.599999999999994</v>
      </c>
      <c r="K45" s="558">
        <v>29.9</v>
      </c>
      <c r="L45" s="559">
        <v>59.9</v>
      </c>
    </row>
    <row r="46" spans="1:12">
      <c r="A46" s="560" t="s">
        <v>2488</v>
      </c>
      <c r="B46" s="561">
        <v>2</v>
      </c>
      <c r="C46" s="562">
        <v>48</v>
      </c>
      <c r="D46" s="562">
        <v>1440</v>
      </c>
      <c r="E46" s="562">
        <f>B46*C46</f>
        <v>96</v>
      </c>
      <c r="F46" s="562">
        <f t="shared" si="33"/>
        <v>2880</v>
      </c>
      <c r="G46" s="561">
        <v>3</v>
      </c>
      <c r="H46" s="562">
        <v>36</v>
      </c>
      <c r="I46" s="563">
        <v>76.8</v>
      </c>
      <c r="J46" s="563">
        <v>149.69999999999999</v>
      </c>
      <c r="K46" s="563">
        <v>59.9</v>
      </c>
      <c r="L46" s="564">
        <v>119.8</v>
      </c>
    </row>
    <row r="47" spans="1:12">
      <c r="A47" s="560" t="s">
        <v>1962</v>
      </c>
      <c r="B47" s="561"/>
      <c r="C47" s="562"/>
      <c r="D47" s="562"/>
      <c r="E47" s="562"/>
      <c r="F47" s="562"/>
      <c r="G47" s="561">
        <v>1</v>
      </c>
      <c r="H47" s="562">
        <f t="shared" si="34"/>
        <v>12</v>
      </c>
      <c r="I47" s="563">
        <f>2.133*H47</f>
        <v>25.596</v>
      </c>
      <c r="J47" s="563">
        <f>I47*1.9427</f>
        <v>49.725349200000004</v>
      </c>
      <c r="K47" s="563">
        <f>J47*0.4</f>
        <v>19.890139680000004</v>
      </c>
      <c r="L47" s="564">
        <f>K47*2</f>
        <v>39.780279360000009</v>
      </c>
    </row>
    <row r="48" spans="1:12" ht="16" thickBot="1">
      <c r="A48" s="565" t="s">
        <v>949</v>
      </c>
      <c r="B48" s="566">
        <v>1</v>
      </c>
      <c r="C48" s="567">
        <v>48</v>
      </c>
      <c r="D48" s="567">
        <v>1440</v>
      </c>
      <c r="E48" s="567">
        <f>B48*C48</f>
        <v>48</v>
      </c>
      <c r="F48" s="567">
        <f t="shared" ref="F48:F50" si="35">B48*D48</f>
        <v>1440</v>
      </c>
      <c r="G48" s="566"/>
      <c r="H48" s="567"/>
      <c r="I48" s="567"/>
      <c r="J48" s="567"/>
      <c r="K48" s="567"/>
      <c r="L48" s="568"/>
    </row>
    <row r="49" spans="1:12">
      <c r="A49" s="556" t="s">
        <v>3001</v>
      </c>
      <c r="B49" s="557">
        <v>2</v>
      </c>
      <c r="C49" s="558">
        <v>24</v>
      </c>
      <c r="D49" s="558">
        <v>384</v>
      </c>
      <c r="E49" s="558">
        <f t="shared" ref="E49" si="36">B49*C49</f>
        <v>48</v>
      </c>
      <c r="F49" s="558">
        <f t="shared" si="35"/>
        <v>768</v>
      </c>
      <c r="G49" s="557">
        <v>3</v>
      </c>
      <c r="H49" s="558">
        <f t="shared" ref="H49" si="37">G49*12</f>
        <v>36</v>
      </c>
      <c r="I49" s="558">
        <v>38.4</v>
      </c>
      <c r="J49" s="558">
        <v>74.599999999999994</v>
      </c>
      <c r="K49" s="558">
        <v>29.9</v>
      </c>
      <c r="L49" s="559">
        <v>59.9</v>
      </c>
    </row>
    <row r="50" spans="1:12">
      <c r="A50" s="560" t="s">
        <v>3002</v>
      </c>
      <c r="B50" s="561">
        <v>2</v>
      </c>
      <c r="C50" s="562">
        <v>48</v>
      </c>
      <c r="D50" s="562">
        <v>1440</v>
      </c>
      <c r="E50" s="562">
        <f>B50*C50</f>
        <v>96</v>
      </c>
      <c r="F50" s="562">
        <f t="shared" si="35"/>
        <v>2880</v>
      </c>
      <c r="G50" s="561">
        <v>3</v>
      </c>
      <c r="H50" s="562">
        <v>36</v>
      </c>
      <c r="I50" s="563">
        <v>76.8</v>
      </c>
      <c r="J50" s="563">
        <v>192</v>
      </c>
      <c r="K50" s="563">
        <v>59.9</v>
      </c>
      <c r="L50" s="564">
        <v>119.8</v>
      </c>
    </row>
    <row r="51" spans="1:12">
      <c r="A51" s="560" t="s">
        <v>1962</v>
      </c>
      <c r="B51" s="561"/>
      <c r="C51" s="562"/>
      <c r="D51" s="562"/>
      <c r="E51" s="562"/>
      <c r="F51" s="562"/>
      <c r="G51" s="561">
        <v>1</v>
      </c>
      <c r="H51" s="562">
        <f t="shared" ref="H51" si="38">G51*12</f>
        <v>12</v>
      </c>
      <c r="I51" s="563">
        <f>2.133*H51</f>
        <v>25.596</v>
      </c>
      <c r="J51" s="563">
        <f>I51*1.9427</f>
        <v>49.725349200000004</v>
      </c>
      <c r="K51" s="563">
        <f>J51*0.4</f>
        <v>19.890139680000004</v>
      </c>
      <c r="L51" s="564">
        <f>K51*2</f>
        <v>39.780279360000009</v>
      </c>
    </row>
    <row r="52" spans="1:12" ht="16" thickBot="1">
      <c r="A52" s="565" t="s">
        <v>949</v>
      </c>
      <c r="B52" s="566">
        <v>1</v>
      </c>
      <c r="C52" s="567">
        <v>48</v>
      </c>
      <c r="D52" s="567">
        <v>1440</v>
      </c>
      <c r="E52" s="567">
        <f>B52*C52</f>
        <v>48</v>
      </c>
      <c r="F52" s="567">
        <f t="shared" ref="F52" si="39">B52*D52</f>
        <v>1440</v>
      </c>
      <c r="G52" s="566"/>
      <c r="H52" s="567"/>
      <c r="I52" s="567"/>
      <c r="J52" s="567"/>
      <c r="K52" s="567"/>
      <c r="L52" s="568"/>
    </row>
    <row r="54" spans="1:12">
      <c r="A54" s="348" t="s">
        <v>2628</v>
      </c>
      <c r="B54" s="1">
        <v>2</v>
      </c>
      <c r="G54" s="1">
        <v>3</v>
      </c>
    </row>
    <row r="55" spans="1:12">
      <c r="A55" s="348" t="s">
        <v>2629</v>
      </c>
      <c r="B55" s="1">
        <v>6</v>
      </c>
      <c r="G55" s="1">
        <v>9</v>
      </c>
    </row>
  </sheetData>
  <hyperlinks>
    <hyperlink ref="N1" r:id="rId1" xr:uid="{09C1532A-FBE7-4BDC-B344-F9A2BE0CD133}"/>
    <hyperlink ref="B1" r:id="rId2" xr:uid="{23A7B698-7B1A-4200-BBF5-C80FE62BDF0D}"/>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4">
    <tabColor theme="3"/>
  </sheetPr>
  <dimension ref="A1:AE26"/>
  <sheetViews>
    <sheetView workbookViewId="0">
      <selection activeCell="B52" sqref="B52"/>
    </sheetView>
  </sheetViews>
  <sheetFormatPr baseColWidth="10" defaultColWidth="8.83203125" defaultRowHeight="15"/>
  <cols>
    <col min="1" max="1" width="16" customWidth="1"/>
    <col min="3" max="3" width="10.1640625" customWidth="1"/>
    <col min="7" max="7" width="16" customWidth="1"/>
    <col min="12" max="12" width="12.83203125" customWidth="1"/>
    <col min="14" max="14" width="16" customWidth="1"/>
    <col min="19" max="19" width="3.5" customWidth="1"/>
    <col min="20" max="20" width="4.33203125" customWidth="1"/>
    <col min="21" max="21" width="4.5" customWidth="1"/>
    <col min="22" max="22" width="18.5" customWidth="1"/>
    <col min="23" max="25" width="11.1640625" customWidth="1"/>
    <col min="30" max="31" width="9.1640625" style="270"/>
  </cols>
  <sheetData>
    <row r="1" spans="1:31">
      <c r="B1" t="s">
        <v>570</v>
      </c>
      <c r="H1" t="s">
        <v>571</v>
      </c>
      <c r="O1" t="s">
        <v>572</v>
      </c>
      <c r="Q1" s="63"/>
      <c r="U1" s="63"/>
      <c r="V1" s="81" t="s">
        <v>576</v>
      </c>
      <c r="W1" s="61"/>
      <c r="X1" s="61"/>
      <c r="Y1" s="61"/>
      <c r="AA1" t="s">
        <v>1102</v>
      </c>
      <c r="AD1" s="270" t="s">
        <v>1132</v>
      </c>
      <c r="AE1" s="270" t="s">
        <v>587</v>
      </c>
    </row>
    <row r="2" spans="1:31" ht="16" thickBot="1"/>
    <row r="3" spans="1:31">
      <c r="A3" s="61"/>
      <c r="B3" s="1" t="s">
        <v>560</v>
      </c>
      <c r="C3" s="1"/>
      <c r="D3" s="1"/>
      <c r="E3" s="1"/>
      <c r="F3" s="1"/>
      <c r="H3" s="1" t="s">
        <v>560</v>
      </c>
      <c r="N3" s="67"/>
      <c r="O3" s="68" t="str">
        <f t="shared" ref="O3" si="0">H3</f>
        <v>Years</v>
      </c>
      <c r="P3" s="69"/>
      <c r="Q3" s="69"/>
      <c r="R3" s="69"/>
      <c r="S3" s="70"/>
    </row>
    <row r="4" spans="1:31">
      <c r="A4" s="61" t="s">
        <v>2403</v>
      </c>
      <c r="B4" s="1">
        <v>1</v>
      </c>
      <c r="C4" s="1" t="s">
        <v>2404</v>
      </c>
      <c r="D4" s="1"/>
      <c r="E4" s="1"/>
      <c r="G4" s="61" t="s">
        <v>2403</v>
      </c>
      <c r="H4" s="1">
        <v>1</v>
      </c>
      <c r="I4" s="1"/>
      <c r="J4" s="1"/>
      <c r="K4" s="1"/>
      <c r="L4" s="1" t="s">
        <v>569</v>
      </c>
      <c r="N4" s="71" t="s">
        <v>2403</v>
      </c>
      <c r="O4" s="9">
        <f t="shared" ref="O4:O10" si="1">H4</f>
        <v>1</v>
      </c>
      <c r="P4" s="9"/>
      <c r="Q4" s="9"/>
      <c r="R4" s="9"/>
      <c r="S4" s="72"/>
      <c r="V4" s="1">
        <v>1</v>
      </c>
      <c r="W4" s="1"/>
      <c r="X4" s="1"/>
      <c r="Y4" s="1"/>
      <c r="AA4" s="1">
        <v>1</v>
      </c>
      <c r="AB4" s="270">
        <v>0.2</v>
      </c>
      <c r="AC4" s="1"/>
      <c r="AD4" s="270" t="s">
        <v>485</v>
      </c>
      <c r="AE4" s="270" t="s">
        <v>588</v>
      </c>
    </row>
    <row r="5" spans="1:31">
      <c r="A5" s="61">
        <v>0</v>
      </c>
      <c r="B5" s="63">
        <v>0</v>
      </c>
      <c r="C5" s="63"/>
      <c r="D5" s="63"/>
      <c r="E5" s="63"/>
      <c r="F5" s="1"/>
      <c r="G5" s="61">
        <v>0</v>
      </c>
      <c r="H5" s="63">
        <f>B5</f>
        <v>0</v>
      </c>
      <c r="I5" s="63"/>
      <c r="J5" s="63"/>
      <c r="K5" s="63"/>
      <c r="N5" s="71">
        <f t="shared" ref="N5:N10" si="2">G5</f>
        <v>0</v>
      </c>
      <c r="O5" s="73">
        <f t="shared" si="1"/>
        <v>0</v>
      </c>
      <c r="P5" s="73"/>
      <c r="Q5" s="73"/>
      <c r="R5" s="73"/>
      <c r="S5" s="79"/>
      <c r="U5" s="63">
        <f>B5</f>
        <v>0</v>
      </c>
      <c r="V5" s="61">
        <f>$A6/(1-$U6)</f>
        <v>105263.15789473684</v>
      </c>
      <c r="W5" s="61"/>
      <c r="X5" s="61"/>
      <c r="Y5" s="61"/>
      <c r="AA5" s="1">
        <v>2</v>
      </c>
      <c r="AB5" s="270">
        <v>0.35</v>
      </c>
      <c r="AC5" s="1"/>
      <c r="AD5" s="270" t="s">
        <v>481</v>
      </c>
      <c r="AE5" s="270" t="s">
        <v>1355</v>
      </c>
    </row>
    <row r="6" spans="1:31">
      <c r="A6" s="61">
        <v>100000</v>
      </c>
      <c r="B6" s="63">
        <f>B5+0.05</f>
        <v>0.05</v>
      </c>
      <c r="C6" s="61">
        <f>A6-A5</f>
        <v>100000</v>
      </c>
      <c r="D6" s="63"/>
      <c r="E6" s="63"/>
      <c r="F6" s="1"/>
      <c r="G6" s="61">
        <f>A6/(1-B6)</f>
        <v>105263.15789473684</v>
      </c>
      <c r="H6" s="63">
        <f t="shared" ref="H6:H10" si="3">B6</f>
        <v>0.05</v>
      </c>
      <c r="I6" s="63"/>
      <c r="J6" s="63"/>
      <c r="K6" s="63"/>
      <c r="L6" s="1">
        <f>G6*(1-H6)</f>
        <v>100000</v>
      </c>
      <c r="N6" s="71">
        <f t="shared" si="2"/>
        <v>105263.15789473684</v>
      </c>
      <c r="O6" s="73">
        <f t="shared" si="1"/>
        <v>0.05</v>
      </c>
      <c r="P6" s="74"/>
      <c r="Q6" s="74"/>
      <c r="R6" s="74"/>
      <c r="S6" s="79"/>
      <c r="U6" s="63">
        <f>U5+0.05</f>
        <v>0.05</v>
      </c>
      <c r="V6" s="61">
        <f t="shared" ref="V6:V9" si="4">$A7/(1-$U7)</f>
        <v>555555.5555555555</v>
      </c>
      <c r="W6" s="61"/>
      <c r="X6" s="61"/>
      <c r="Y6" s="61"/>
      <c r="AA6" s="1">
        <v>3</v>
      </c>
      <c r="AB6" s="270">
        <v>0.5</v>
      </c>
      <c r="AC6" s="1"/>
      <c r="AD6" s="270" t="s">
        <v>484</v>
      </c>
    </row>
    <row r="7" spans="1:31">
      <c r="A7" s="61">
        <v>500000</v>
      </c>
      <c r="B7" s="63">
        <f t="shared" ref="B7:B10" si="5">B6+0.05</f>
        <v>0.1</v>
      </c>
      <c r="C7" s="61">
        <f t="shared" ref="C7:C10" si="6">A7-A6</f>
        <v>400000</v>
      </c>
      <c r="D7" s="63"/>
      <c r="E7" s="63"/>
      <c r="F7" s="1"/>
      <c r="G7" s="61">
        <f t="shared" ref="G7:G10" si="7">A7/(1-B7)</f>
        <v>555555.5555555555</v>
      </c>
      <c r="H7" s="63">
        <f t="shared" si="3"/>
        <v>0.1</v>
      </c>
      <c r="I7" s="63"/>
      <c r="J7" s="63"/>
      <c r="K7" s="63"/>
      <c r="L7" s="1">
        <f t="shared" ref="L7:L10" si="8">G7*(1-H7)</f>
        <v>499999.99999999994</v>
      </c>
      <c r="N7" s="71">
        <f t="shared" si="2"/>
        <v>555555.5555555555</v>
      </c>
      <c r="O7" s="73">
        <f t="shared" si="1"/>
        <v>0.1</v>
      </c>
      <c r="P7" s="73"/>
      <c r="Q7" s="74"/>
      <c r="R7" s="74"/>
      <c r="S7" s="79"/>
      <c r="U7" s="63">
        <f t="shared" ref="U7:U10" si="9">U6+0.05</f>
        <v>0.1</v>
      </c>
      <c r="V7" s="61">
        <f t="shared" si="4"/>
        <v>1176470.5882352942</v>
      </c>
      <c r="W7" s="61"/>
      <c r="X7" s="61"/>
      <c r="Y7" s="61"/>
      <c r="AA7" s="1">
        <v>4</v>
      </c>
      <c r="AB7" s="270">
        <v>0.6</v>
      </c>
      <c r="AC7" s="1"/>
    </row>
    <row r="8" spans="1:31">
      <c r="A8" s="61">
        <v>1000000</v>
      </c>
      <c r="B8" s="63">
        <f t="shared" si="5"/>
        <v>0.15000000000000002</v>
      </c>
      <c r="C8" s="61">
        <f t="shared" si="6"/>
        <v>500000</v>
      </c>
      <c r="D8" s="63"/>
      <c r="E8" s="63"/>
      <c r="F8" s="1"/>
      <c r="G8" s="61">
        <f t="shared" si="7"/>
        <v>1176470.5882352942</v>
      </c>
      <c r="H8" s="63">
        <f t="shared" si="3"/>
        <v>0.15000000000000002</v>
      </c>
      <c r="I8" s="1"/>
      <c r="J8" s="63"/>
      <c r="K8" s="1"/>
      <c r="L8" s="1">
        <f t="shared" si="8"/>
        <v>1000000</v>
      </c>
      <c r="N8" s="71">
        <f t="shared" si="2"/>
        <v>1176470.5882352942</v>
      </c>
      <c r="O8" s="73">
        <f t="shared" si="1"/>
        <v>0.15000000000000002</v>
      </c>
      <c r="P8" s="74"/>
      <c r="Q8" s="73"/>
      <c r="R8" s="74"/>
      <c r="S8" s="79"/>
      <c r="U8" s="63">
        <f t="shared" si="9"/>
        <v>0.15000000000000002</v>
      </c>
      <c r="V8" s="61">
        <f t="shared" si="4"/>
        <v>6250000</v>
      </c>
      <c r="W8" s="61"/>
      <c r="X8" s="61"/>
      <c r="Y8" s="61"/>
      <c r="AA8" s="1">
        <v>5</v>
      </c>
      <c r="AB8" s="270">
        <v>0.7</v>
      </c>
      <c r="AC8" s="1"/>
    </row>
    <row r="9" spans="1:31">
      <c r="A9" s="61">
        <v>5000000</v>
      </c>
      <c r="B9" s="63">
        <f t="shared" si="5"/>
        <v>0.2</v>
      </c>
      <c r="C9" s="61">
        <f t="shared" si="6"/>
        <v>4000000</v>
      </c>
      <c r="D9" s="63"/>
      <c r="E9" s="63"/>
      <c r="F9" s="1"/>
      <c r="G9" s="61">
        <f t="shared" si="7"/>
        <v>6250000</v>
      </c>
      <c r="H9" s="63">
        <f t="shared" si="3"/>
        <v>0.2</v>
      </c>
      <c r="I9" s="63"/>
      <c r="J9" s="63"/>
      <c r="K9" s="63"/>
      <c r="L9" s="1">
        <f t="shared" si="8"/>
        <v>5000000</v>
      </c>
      <c r="N9" s="71">
        <f t="shared" si="2"/>
        <v>6250000</v>
      </c>
      <c r="O9" s="73">
        <f t="shared" si="1"/>
        <v>0.2</v>
      </c>
      <c r="P9" s="74"/>
      <c r="Q9" s="74"/>
      <c r="R9" s="73"/>
      <c r="S9" s="79"/>
      <c r="U9" s="63">
        <f t="shared" si="9"/>
        <v>0.2</v>
      </c>
      <c r="V9" s="61">
        <f t="shared" si="4"/>
        <v>13333333.333333334</v>
      </c>
      <c r="W9" s="61"/>
      <c r="X9" s="61"/>
      <c r="Y9" s="61"/>
      <c r="AA9" s="2" t="s">
        <v>1101</v>
      </c>
      <c r="AB9" s="270">
        <v>1</v>
      </c>
      <c r="AC9" s="1"/>
    </row>
    <row r="10" spans="1:31">
      <c r="A10" s="61">
        <v>10000000</v>
      </c>
      <c r="B10" s="63">
        <f t="shared" si="5"/>
        <v>0.25</v>
      </c>
      <c r="C10" s="61">
        <f t="shared" si="6"/>
        <v>5000000</v>
      </c>
      <c r="D10" s="63"/>
      <c r="E10" s="63"/>
      <c r="F10" s="1"/>
      <c r="G10" s="61">
        <f t="shared" si="7"/>
        <v>13333333.333333334</v>
      </c>
      <c r="H10" s="63">
        <f t="shared" si="3"/>
        <v>0.25</v>
      </c>
      <c r="I10" s="63"/>
      <c r="J10" s="63"/>
      <c r="K10" s="63"/>
      <c r="L10" s="1">
        <f t="shared" si="8"/>
        <v>10000000</v>
      </c>
      <c r="N10" s="71">
        <f t="shared" si="2"/>
        <v>13333333.333333334</v>
      </c>
      <c r="O10" s="73">
        <f t="shared" si="1"/>
        <v>0.25</v>
      </c>
      <c r="P10" s="74"/>
      <c r="Q10" s="74"/>
      <c r="R10" s="74"/>
      <c r="S10" s="79"/>
      <c r="U10" s="63">
        <f t="shared" si="9"/>
        <v>0.25</v>
      </c>
      <c r="V10" s="61" t="s">
        <v>577</v>
      </c>
      <c r="W10" s="61"/>
      <c r="X10" s="61"/>
      <c r="Y10" s="61"/>
      <c r="AA10" s="2" t="s">
        <v>1103</v>
      </c>
      <c r="AB10" s="270">
        <v>1</v>
      </c>
      <c r="AC10" s="1"/>
    </row>
    <row r="11" spans="1:31">
      <c r="A11" s="61"/>
      <c r="F11" s="1"/>
      <c r="G11" s="61"/>
      <c r="H11" s="63"/>
      <c r="I11" s="63"/>
      <c r="J11" s="63"/>
      <c r="K11" s="63"/>
      <c r="L11" s="1"/>
      <c r="N11" s="71"/>
      <c r="O11" s="74"/>
      <c r="P11" s="73"/>
      <c r="Q11" s="74"/>
      <c r="R11" s="74"/>
      <c r="S11" s="79"/>
      <c r="U11" s="63"/>
      <c r="V11" s="61"/>
      <c r="W11" s="61"/>
      <c r="X11" s="61"/>
      <c r="Y11" s="61"/>
      <c r="AA11" s="1"/>
      <c r="AB11" s="1"/>
      <c r="AC11" s="1"/>
    </row>
    <row r="12" spans="1:31">
      <c r="B12" s="63"/>
      <c r="C12" s="63"/>
      <c r="D12" s="63"/>
      <c r="E12" s="63"/>
      <c r="F12" s="1"/>
      <c r="G12" s="61"/>
      <c r="H12" s="1"/>
      <c r="I12" s="1"/>
      <c r="J12" s="63"/>
      <c r="K12" s="1"/>
      <c r="L12" s="1"/>
      <c r="N12" s="71"/>
      <c r="O12" s="74"/>
      <c r="P12" s="74"/>
      <c r="Q12" s="73"/>
      <c r="R12" s="74"/>
      <c r="S12" s="79"/>
      <c r="U12" s="63"/>
      <c r="V12" s="61"/>
      <c r="W12" s="61"/>
      <c r="X12" s="61"/>
      <c r="Y12" s="61"/>
      <c r="AA12" s="1"/>
      <c r="AB12" s="1"/>
      <c r="AC12" s="1"/>
    </row>
    <row r="13" spans="1:31">
      <c r="G13" s="61"/>
      <c r="H13" s="63"/>
      <c r="I13" s="63"/>
      <c r="J13" s="63"/>
      <c r="K13" s="63"/>
      <c r="L13" s="1"/>
      <c r="N13" s="71"/>
      <c r="O13" s="74"/>
      <c r="P13" s="74"/>
      <c r="Q13" s="74"/>
      <c r="R13" s="73"/>
      <c r="S13" s="79"/>
      <c r="U13" s="63"/>
      <c r="V13" s="61"/>
      <c r="W13" s="61"/>
      <c r="X13" s="61"/>
      <c r="Y13" s="61"/>
      <c r="AA13" s="1"/>
      <c r="AB13" s="1"/>
      <c r="AC13" s="1"/>
    </row>
    <row r="14" spans="1:31">
      <c r="A14" s="61"/>
      <c r="G14" s="61"/>
      <c r="H14" s="63"/>
      <c r="I14" s="63"/>
      <c r="J14" s="63"/>
      <c r="K14" s="63"/>
      <c r="L14" s="1"/>
      <c r="N14" s="71"/>
      <c r="O14" s="73"/>
      <c r="P14" s="74"/>
      <c r="Q14" s="74"/>
      <c r="R14" s="74"/>
      <c r="S14" s="79"/>
      <c r="U14" s="63"/>
      <c r="V14" s="61"/>
      <c r="W14" s="61"/>
      <c r="X14" s="61"/>
      <c r="Y14" s="61"/>
      <c r="AA14" s="1"/>
      <c r="AB14" s="1"/>
      <c r="AC14" s="1"/>
    </row>
    <row r="15" spans="1:31">
      <c r="A15" s="61"/>
      <c r="B15" s="63"/>
      <c r="G15" s="61"/>
      <c r="H15" s="63"/>
      <c r="I15" s="63"/>
      <c r="J15" s="63"/>
      <c r="K15" s="63"/>
      <c r="L15" s="1"/>
      <c r="N15" s="71"/>
      <c r="O15" s="74"/>
      <c r="P15" s="73"/>
      <c r="Q15" s="74"/>
      <c r="R15" s="74"/>
      <c r="S15" s="79"/>
      <c r="U15" s="63"/>
      <c r="V15" s="61"/>
      <c r="W15" s="61"/>
      <c r="X15" s="61"/>
      <c r="Y15" s="61"/>
    </row>
    <row r="16" spans="1:31">
      <c r="A16" s="61"/>
      <c r="B16" s="63"/>
      <c r="G16" s="61"/>
      <c r="H16" s="1"/>
      <c r="I16" s="1"/>
      <c r="J16" s="63"/>
      <c r="K16" s="1"/>
      <c r="L16" s="1"/>
      <c r="N16" s="71"/>
      <c r="O16" s="74"/>
      <c r="P16" s="74"/>
      <c r="Q16" s="73"/>
      <c r="R16" s="74"/>
      <c r="S16" s="79"/>
    </row>
    <row r="17" spans="1:21">
      <c r="A17" s="61"/>
      <c r="B17" s="63"/>
      <c r="G17" s="61"/>
      <c r="H17" s="63"/>
      <c r="I17" s="63"/>
      <c r="J17" s="63"/>
      <c r="K17" s="63"/>
      <c r="L17" s="1"/>
      <c r="N17" s="71"/>
      <c r="O17" s="74"/>
      <c r="P17" s="74"/>
      <c r="Q17" s="74"/>
      <c r="R17" s="73"/>
      <c r="S17" s="79"/>
      <c r="U17" s="1" t="s">
        <v>1285</v>
      </c>
    </row>
    <row r="18" spans="1:21">
      <c r="A18" s="61"/>
      <c r="B18" s="63"/>
      <c r="C18" s="63"/>
      <c r="D18" s="63"/>
      <c r="E18" s="63"/>
      <c r="F18" s="1"/>
      <c r="G18" s="61"/>
      <c r="H18" s="63"/>
      <c r="I18" s="63"/>
      <c r="J18" s="63"/>
      <c r="K18" s="63"/>
      <c r="L18" s="1"/>
      <c r="N18" s="71"/>
      <c r="O18" s="73"/>
      <c r="P18" s="74"/>
      <c r="Q18" s="74"/>
      <c r="R18" s="74"/>
      <c r="S18" s="79"/>
      <c r="U18" s="480" t="s">
        <v>1286</v>
      </c>
    </row>
    <row r="19" spans="1:21">
      <c r="A19" s="61"/>
      <c r="B19" s="63"/>
      <c r="C19" s="63"/>
      <c r="D19" s="63"/>
      <c r="E19" s="63"/>
      <c r="F19" s="1"/>
      <c r="G19" s="61"/>
      <c r="H19" s="63"/>
      <c r="I19" s="63"/>
      <c r="J19" s="63"/>
      <c r="K19" s="63"/>
      <c r="L19" s="1"/>
      <c r="N19" s="71"/>
      <c r="O19" s="74"/>
      <c r="P19" s="73"/>
      <c r="Q19" s="74"/>
      <c r="R19" s="74"/>
      <c r="S19" s="79"/>
      <c r="U19" s="480" t="s">
        <v>1287</v>
      </c>
    </row>
    <row r="20" spans="1:21">
      <c r="A20" s="61"/>
      <c r="B20" s="63"/>
      <c r="G20" s="61"/>
      <c r="H20" s="1"/>
      <c r="I20" s="1"/>
      <c r="J20" s="63"/>
      <c r="K20" s="1"/>
      <c r="L20" s="1"/>
      <c r="N20" s="71"/>
      <c r="O20" s="74"/>
      <c r="P20" s="74"/>
      <c r="Q20" s="73"/>
      <c r="R20" s="74"/>
      <c r="S20" s="79"/>
      <c r="U20" s="480" t="s">
        <v>1288</v>
      </c>
    </row>
    <row r="21" spans="1:21">
      <c r="G21" s="61"/>
      <c r="H21" s="63"/>
      <c r="I21" s="63"/>
      <c r="J21" s="63"/>
      <c r="K21" s="63"/>
      <c r="L21" s="1"/>
      <c r="N21" s="71"/>
      <c r="O21" s="74"/>
      <c r="P21" s="74"/>
      <c r="Q21" s="74"/>
      <c r="R21" s="73"/>
      <c r="S21" s="79"/>
      <c r="U21" s="480" t="s">
        <v>1289</v>
      </c>
    </row>
    <row r="22" spans="1:21">
      <c r="G22" s="61"/>
      <c r="H22" s="63"/>
      <c r="I22" s="63"/>
      <c r="J22" s="63"/>
      <c r="K22" s="63"/>
      <c r="L22" s="1"/>
      <c r="N22" s="71"/>
      <c r="O22" s="73"/>
      <c r="P22" s="74"/>
      <c r="Q22" s="74"/>
      <c r="R22" s="74"/>
      <c r="S22" s="79"/>
      <c r="U22" s="480" t="s">
        <v>1290</v>
      </c>
    </row>
    <row r="23" spans="1:21">
      <c r="G23" s="61"/>
      <c r="H23" s="63"/>
      <c r="I23" s="63"/>
      <c r="J23" s="63"/>
      <c r="K23" s="63"/>
      <c r="L23" s="1"/>
      <c r="N23" s="71"/>
      <c r="O23" s="74"/>
      <c r="P23" s="73"/>
      <c r="Q23" s="74"/>
      <c r="R23" s="74"/>
      <c r="S23" s="79"/>
      <c r="U23" s="480" t="s">
        <v>1291</v>
      </c>
    </row>
    <row r="24" spans="1:21">
      <c r="G24" s="61"/>
      <c r="H24" s="1"/>
      <c r="I24" s="1"/>
      <c r="J24" s="63"/>
      <c r="K24" s="1"/>
      <c r="L24" s="1"/>
      <c r="N24" s="71"/>
      <c r="O24" s="74"/>
      <c r="P24" s="74"/>
      <c r="Q24" s="73"/>
      <c r="R24" s="74"/>
      <c r="S24" s="79"/>
      <c r="U24" s="480" t="s">
        <v>1292</v>
      </c>
    </row>
    <row r="25" spans="1:21" ht="16" thickBot="1">
      <c r="A25" s="61"/>
      <c r="B25" s="63"/>
      <c r="C25" s="63"/>
      <c r="D25" s="63"/>
      <c r="E25" s="63"/>
      <c r="F25" s="1"/>
      <c r="G25" s="61"/>
      <c r="H25" s="63"/>
      <c r="I25" s="63"/>
      <c r="J25" s="63"/>
      <c r="K25" s="63"/>
      <c r="L25" s="1"/>
      <c r="N25" s="75"/>
      <c r="O25" s="76"/>
      <c r="P25" s="76"/>
      <c r="Q25" s="76"/>
      <c r="R25" s="77"/>
      <c r="S25" s="80"/>
    </row>
    <row r="26" spans="1:21">
      <c r="A26" s="61"/>
      <c r="B26" s="63"/>
      <c r="C26" s="63"/>
      <c r="D26" s="63"/>
      <c r="E26" s="63"/>
      <c r="F26" s="1"/>
      <c r="P26" s="63"/>
      <c r="Q26" s="63"/>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5">
    <tabColor theme="3"/>
  </sheetPr>
  <dimension ref="A1:B1"/>
  <sheetViews>
    <sheetView topLeftCell="A31" zoomScale="120" zoomScaleNormal="120" workbookViewId="0">
      <selection activeCell="B52" sqref="B52"/>
    </sheetView>
  </sheetViews>
  <sheetFormatPr baseColWidth="10" defaultColWidth="9.1640625" defaultRowHeight="15"/>
  <cols>
    <col min="1" max="1" width="10.33203125" style="1" customWidth="1"/>
    <col min="2" max="16384" width="9.1640625" style="1"/>
  </cols>
  <sheetData>
    <row r="1" spans="1:2">
      <c r="A1" s="295">
        <v>44088</v>
      </c>
      <c r="B1" s="82" t="s">
        <v>1984</v>
      </c>
    </row>
  </sheetData>
  <hyperlinks>
    <hyperlink ref="B1" r:id="rId1" xr:uid="{9C1FA9F2-A561-48EB-944F-FECEB76B14F3}"/>
  </hyperlinks>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7C617-D06F-476A-9938-8D63DE1862B0}">
  <sheetPr>
    <tabColor theme="3"/>
  </sheetPr>
  <dimension ref="A1:O1018"/>
  <sheetViews>
    <sheetView workbookViewId="0">
      <selection activeCell="B52" sqref="B52"/>
    </sheetView>
  </sheetViews>
  <sheetFormatPr baseColWidth="10" defaultColWidth="12.6640625" defaultRowHeight="15"/>
  <cols>
    <col min="1" max="1" width="10.5" style="240" customWidth="1"/>
    <col min="2" max="2" width="111.5" style="1" customWidth="1"/>
    <col min="3" max="3" width="16.5" style="12" customWidth="1"/>
    <col min="4" max="4" width="9" style="12" customWidth="1"/>
    <col min="5" max="5" width="30" style="12" customWidth="1"/>
    <col min="6" max="6" width="6.6640625" style="12" customWidth="1"/>
    <col min="7" max="7" width="12.1640625" style="12" customWidth="1"/>
    <col min="8" max="8" width="7.5" style="12" customWidth="1"/>
    <col min="9" max="10" width="8.5" style="12" customWidth="1"/>
    <col min="11" max="12" width="11.5" style="486" customWidth="1"/>
    <col min="13" max="14" width="12.6640625" style="486"/>
    <col min="15" max="15" width="4.5" style="1" customWidth="1"/>
    <col min="16" max="16384" width="12.6640625" style="1"/>
  </cols>
  <sheetData>
    <row r="1" spans="1:15">
      <c r="A1" s="479">
        <v>44012</v>
      </c>
      <c r="B1" s="16"/>
    </row>
    <row r="2" spans="1:15" s="11" customFormat="1" ht="32">
      <c r="A2" s="487" t="s">
        <v>497</v>
      </c>
      <c r="B2" s="11" t="s">
        <v>498</v>
      </c>
      <c r="C2" s="488" t="s">
        <v>567</v>
      </c>
      <c r="D2" s="488" t="s">
        <v>29</v>
      </c>
      <c r="E2" s="488" t="s">
        <v>28</v>
      </c>
      <c r="F2" s="487" t="s">
        <v>2289</v>
      </c>
      <c r="G2" s="11" t="s">
        <v>1638</v>
      </c>
      <c r="H2" s="487" t="s">
        <v>2237</v>
      </c>
      <c r="I2" s="487" t="s">
        <v>2236</v>
      </c>
      <c r="J2" s="11" t="s">
        <v>2043</v>
      </c>
      <c r="K2" s="489" t="s">
        <v>1638</v>
      </c>
      <c r="L2" s="490" t="s">
        <v>2237</v>
      </c>
      <c r="M2" s="490" t="s">
        <v>2236</v>
      </c>
      <c r="N2" s="489" t="s">
        <v>2043</v>
      </c>
      <c r="O2" s="487"/>
    </row>
    <row r="3" spans="1:15" s="11" customFormat="1">
      <c r="A3" s="491" t="s">
        <v>2483</v>
      </c>
      <c r="C3" s="1"/>
      <c r="D3" s="1"/>
      <c r="E3" s="1"/>
      <c r="F3" s="1"/>
      <c r="G3" s="1">
        <v>0</v>
      </c>
      <c r="H3" s="1">
        <v>0</v>
      </c>
      <c r="I3" s="1">
        <v>0</v>
      </c>
      <c r="J3" s="1">
        <v>0</v>
      </c>
      <c r="K3" s="486"/>
      <c r="L3" s="486"/>
      <c r="M3" s="486"/>
      <c r="N3" s="486"/>
      <c r="O3" s="1"/>
    </row>
    <row r="4" spans="1:15" s="11" customFormat="1" ht="16">
      <c r="A4" s="487" t="s">
        <v>2030</v>
      </c>
      <c r="B4" s="11" t="s">
        <v>2031</v>
      </c>
      <c r="C4" s="1">
        <v>8.5000000000000006E-2</v>
      </c>
      <c r="D4" s="1">
        <v>8.5000000000000006E-2</v>
      </c>
      <c r="E4" s="1" t="s">
        <v>2161</v>
      </c>
      <c r="F4" s="1"/>
      <c r="G4" s="1" t="s">
        <v>1835</v>
      </c>
      <c r="H4" s="1" t="s">
        <v>2161</v>
      </c>
      <c r="I4" s="1" t="s">
        <v>1636</v>
      </c>
      <c r="J4" s="1" t="s">
        <v>2158</v>
      </c>
      <c r="K4" s="492" t="str">
        <f t="shared" ref="K4:K12" si="0" xml:space="preserve"> _xlfn.IFS(ISNUMBER(SEARCH("Universal Credits",B4)),"UC",
ISNUMBER(SEARCH("Ravello",B4)),"Deprecated",
ISNUMBER(SEARCH("Cloud Machine",B4)),"Deprecated",
ISNUMBER(SEARCH("Compute",B4)),"Compute",
ISNUMBER(SEARCH("Load Balancer",B4)),"Network",
ISNUMBER(SEARCH("FastConnect",B4)),"Network",
ISNUMBER(SEARCH("Database OCPU",B4)),"CC OCPU",
ISNUMBER(SEARCH("at Customer",B4)),"CC",
ISNUMBER(SEARCH("Exadata Storage",B4)),"Exa Storage",
ISNUMBER(SEARCH("Storage",B4)),"Storage",
ISNUMBER(SEARCH("Block ",B4)),"Storage",
ISNUMBER(SEARCH("Autonomous Data Warehouse",B4)),"ADW",
ISNUMBER(SEARCH("Autonomous Transaction Processing",B4)),"ATP",
ISNUMBER(SEARCH("Database Exadata",B4)),"ExaCS",
ISNUMBER(SEARCH("Database",B4)),"DBaaS",
ISNUMBER(SEARCH("Essbase",B4)),"DBaaS",
ISNUMBER(SEARCH("integration",B4)),"Integration",
ISNUMBER(SEARCH("SOA",B4)),"Integration",
ISNUMBER(SEARCH("Management Cloud",B4)),"Service",
ISNUMBER(SEARCH("Analytics",B4)),"Analytics",
ISNUMBER(SEARCH("Storage",B4)),"Storage",
ISNUMBER(SEARCH("Block ",B4)),"Storage",
ISNUMBER(SEARCH("Identity",B4)),"Platform",
ISNUMBER(SEARCH("Content",B4)),"Platform",
ISNUMBER(SEARCH("Weblogic",B4)),"Platform",
ISNUMBER(SEARCH("Digital Assistant",B4)),"Platform",
ISNUMBER(SEARCH("Advance",B4)),"New",
ISNUMBER(SEARCH("Limited",B4)),"Classic",
ISNUMBER(SEARCH("Classic",B4)),"Classic",
ISNUMBER(SEARCH("Government",B4)),"Government",
ISNUMBER(SEARCH("Metered",B4)),"Deprecated",
VALUE(RIGHT(A4,5))&lt;88206,"Deprecated",
TRUE,"Service")</f>
        <v>Compute</v>
      </c>
      <c r="L4" s="486" t="s">
        <v>2161</v>
      </c>
      <c r="M4" s="486" t="str">
        <f t="shared" ref="M4:M67" si="1">_xlfn.IFS(K4="CC","CC",K4="Rapid Start","SRV",F4="Y","UC0",TRUE,"UC")</f>
        <v>UC</v>
      </c>
      <c r="N4" s="486" t="str">
        <f t="shared" ref="N4:N12" si="2">_xlfn.IFS(K4="Storage","IAAS",K4="Compute","IAAS",K4="Network","IAAS",K4="Service","IAAS",L4="REQ","IAAS",TRUE,"PAAS")</f>
        <v>IAAS</v>
      </c>
      <c r="O4" s="1"/>
    </row>
    <row r="5" spans="1:15" s="11" customFormat="1" ht="16">
      <c r="A5" s="487" t="s">
        <v>2389</v>
      </c>
      <c r="B5" s="11" t="s">
        <v>2390</v>
      </c>
      <c r="C5" s="1">
        <v>4.3E-3</v>
      </c>
      <c r="D5" s="1">
        <v>4.3E-3</v>
      </c>
      <c r="E5" s="1" t="s">
        <v>2161</v>
      </c>
      <c r="F5" s="1"/>
      <c r="G5" s="1" t="s">
        <v>1835</v>
      </c>
      <c r="H5" s="1" t="s">
        <v>2161</v>
      </c>
      <c r="I5" s="1" t="s">
        <v>1636</v>
      </c>
      <c r="J5" s="1" t="s">
        <v>2158</v>
      </c>
      <c r="K5" s="492" t="str">
        <f t="shared" si="0"/>
        <v>Compute</v>
      </c>
      <c r="L5" s="486" t="s">
        <v>2161</v>
      </c>
      <c r="M5" s="486" t="str">
        <f t="shared" si="1"/>
        <v>UC</v>
      </c>
      <c r="N5" s="486" t="str">
        <f t="shared" si="2"/>
        <v>IAAS</v>
      </c>
      <c r="O5" s="1"/>
    </row>
    <row r="6" spans="1:15" s="11" customFormat="1" ht="16">
      <c r="A6" s="487" t="s">
        <v>2032</v>
      </c>
      <c r="B6" s="11" t="s">
        <v>2033</v>
      </c>
      <c r="C6" s="1">
        <v>4.2500000000000003E-2</v>
      </c>
      <c r="D6" s="1">
        <v>4.2500000000000003E-2</v>
      </c>
      <c r="E6" s="1" t="s">
        <v>2162</v>
      </c>
      <c r="F6" s="1"/>
      <c r="G6" s="1" t="s">
        <v>1840</v>
      </c>
      <c r="H6" s="1" t="s">
        <v>2162</v>
      </c>
      <c r="I6" s="1" t="s">
        <v>1636</v>
      </c>
      <c r="J6" s="1" t="s">
        <v>2158</v>
      </c>
      <c r="K6" s="492" t="str">
        <f t="shared" si="0"/>
        <v>Storage</v>
      </c>
      <c r="L6" s="486" t="s">
        <v>2162</v>
      </c>
      <c r="M6" s="486" t="str">
        <f t="shared" si="1"/>
        <v>UC</v>
      </c>
      <c r="N6" s="486" t="str">
        <f t="shared" si="2"/>
        <v>IAAS</v>
      </c>
      <c r="O6" s="1"/>
    </row>
    <row r="7" spans="1:15" s="11" customFormat="1" ht="16">
      <c r="A7" s="487" t="s">
        <v>2034</v>
      </c>
      <c r="B7" s="11" t="s">
        <v>2035</v>
      </c>
      <c r="C7" s="1">
        <v>8.5000000000000006E-2</v>
      </c>
      <c r="D7" s="1">
        <v>8.5000000000000006E-2</v>
      </c>
      <c r="E7" s="1" t="s">
        <v>2162</v>
      </c>
      <c r="F7" s="1"/>
      <c r="G7" s="1" t="s">
        <v>1840</v>
      </c>
      <c r="H7" s="1" t="s">
        <v>2161</v>
      </c>
      <c r="I7" s="1" t="s">
        <v>1636</v>
      </c>
      <c r="J7" s="1" t="s">
        <v>2158</v>
      </c>
      <c r="K7" s="492" t="str">
        <f t="shared" si="0"/>
        <v>Storage</v>
      </c>
      <c r="L7" s="486" t="s">
        <v>2161</v>
      </c>
      <c r="M7" s="486" t="str">
        <f t="shared" si="1"/>
        <v>UC</v>
      </c>
      <c r="N7" s="486" t="str">
        <f t="shared" si="2"/>
        <v>IAAS</v>
      </c>
      <c r="O7" s="1"/>
    </row>
    <row r="8" spans="1:15" s="11" customFormat="1" ht="16">
      <c r="A8" s="487" t="s">
        <v>2036</v>
      </c>
      <c r="B8" s="11" t="s">
        <v>2037</v>
      </c>
      <c r="C8" s="1">
        <v>2.0400000000000001E-2</v>
      </c>
      <c r="D8" s="1">
        <v>2.0400000000000001E-2</v>
      </c>
      <c r="E8" s="1" t="s">
        <v>2162</v>
      </c>
      <c r="F8" s="1"/>
      <c r="G8" s="1" t="s">
        <v>1840</v>
      </c>
      <c r="H8" s="1" t="s">
        <v>2161</v>
      </c>
      <c r="I8" s="1" t="s">
        <v>1636</v>
      </c>
      <c r="J8" s="1" t="s">
        <v>2158</v>
      </c>
      <c r="K8" s="492" t="str">
        <f t="shared" si="0"/>
        <v>Storage</v>
      </c>
      <c r="L8" s="486" t="s">
        <v>2161</v>
      </c>
      <c r="M8" s="486" t="str">
        <f t="shared" si="1"/>
        <v>UC</v>
      </c>
      <c r="N8" s="486" t="str">
        <f t="shared" si="2"/>
        <v>IAAS</v>
      </c>
      <c r="O8" s="1"/>
    </row>
    <row r="9" spans="1:15" s="11" customFormat="1" ht="16">
      <c r="A9" s="487" t="s">
        <v>1959</v>
      </c>
      <c r="B9" s="11" t="s">
        <v>1965</v>
      </c>
      <c r="C9" s="1">
        <v>0.1275</v>
      </c>
      <c r="D9" s="1">
        <v>0.1275</v>
      </c>
      <c r="E9" s="1" t="s">
        <v>2161</v>
      </c>
      <c r="F9" s="1"/>
      <c r="G9" s="1" t="s">
        <v>1835</v>
      </c>
      <c r="H9" s="1" t="s">
        <v>2162</v>
      </c>
      <c r="I9" s="1" t="s">
        <v>1636</v>
      </c>
      <c r="J9" s="1" t="s">
        <v>2158</v>
      </c>
      <c r="K9" s="492" t="str">
        <f t="shared" si="0"/>
        <v>Compute</v>
      </c>
      <c r="L9" s="486" t="s">
        <v>2162</v>
      </c>
      <c r="M9" s="486" t="str">
        <f t="shared" si="1"/>
        <v>UC</v>
      </c>
      <c r="N9" s="486" t="str">
        <f t="shared" si="2"/>
        <v>IAAS</v>
      </c>
      <c r="O9" s="1"/>
    </row>
    <row r="10" spans="1:15" s="11" customFormat="1" ht="16">
      <c r="A10" s="487" t="s">
        <v>1851</v>
      </c>
      <c r="B10" s="11" t="s">
        <v>1966</v>
      </c>
      <c r="C10" s="1">
        <v>0.1275</v>
      </c>
      <c r="D10" s="1">
        <v>0.1275</v>
      </c>
      <c r="E10" s="1" t="s">
        <v>2161</v>
      </c>
      <c r="F10" s="1"/>
      <c r="G10" s="1" t="s">
        <v>1835</v>
      </c>
      <c r="H10" s="1" t="s">
        <v>2162</v>
      </c>
      <c r="I10" s="1" t="s">
        <v>1636</v>
      </c>
      <c r="J10" s="1" t="s">
        <v>2158</v>
      </c>
      <c r="K10" s="492" t="str">
        <f t="shared" si="0"/>
        <v>Compute</v>
      </c>
      <c r="L10" s="486" t="s">
        <v>2162</v>
      </c>
      <c r="M10" s="486" t="str">
        <f t="shared" si="1"/>
        <v>UC</v>
      </c>
      <c r="N10" s="486" t="str">
        <f t="shared" si="2"/>
        <v>IAAS</v>
      </c>
      <c r="O10" s="1"/>
    </row>
    <row r="11" spans="1:15" s="11" customFormat="1" ht="16">
      <c r="A11" s="487" t="s">
        <v>1852</v>
      </c>
      <c r="B11" s="11" t="s">
        <v>1964</v>
      </c>
      <c r="C11" s="1">
        <v>2.5499999999999998E-2</v>
      </c>
      <c r="D11" s="1">
        <v>2.5499999999999998E-2</v>
      </c>
      <c r="E11" s="1" t="s">
        <v>2162</v>
      </c>
      <c r="F11" s="1"/>
      <c r="G11" s="1" t="s">
        <v>1840</v>
      </c>
      <c r="H11" s="1" t="s">
        <v>2162</v>
      </c>
      <c r="I11" s="1" t="s">
        <v>1636</v>
      </c>
      <c r="J11" s="1" t="s">
        <v>2158</v>
      </c>
      <c r="K11" s="492" t="str">
        <f t="shared" si="0"/>
        <v>Storage</v>
      </c>
      <c r="L11" s="486" t="s">
        <v>2162</v>
      </c>
      <c r="M11" s="486" t="str">
        <f t="shared" si="1"/>
        <v>UC</v>
      </c>
      <c r="N11" s="486" t="str">
        <f t="shared" si="2"/>
        <v>IAAS</v>
      </c>
      <c r="O11" s="1"/>
    </row>
    <row r="12" spans="1:15" s="11" customFormat="1" ht="16">
      <c r="A12" s="487" t="s">
        <v>2038</v>
      </c>
      <c r="B12" s="11" t="s">
        <v>2039</v>
      </c>
      <c r="C12" s="1">
        <v>2.1299999999999999E-2</v>
      </c>
      <c r="D12" s="1">
        <v>2.1299999999999999E-2</v>
      </c>
      <c r="E12" s="1" t="s">
        <v>2161</v>
      </c>
      <c r="F12" s="1"/>
      <c r="G12" s="1" t="s">
        <v>2313</v>
      </c>
      <c r="H12" s="1" t="s">
        <v>2161</v>
      </c>
      <c r="I12" s="1" t="s">
        <v>1636</v>
      </c>
      <c r="J12" s="1" t="s">
        <v>2158</v>
      </c>
      <c r="K12" s="492" t="str">
        <f t="shared" si="0"/>
        <v>Network</v>
      </c>
      <c r="L12" s="486" t="s">
        <v>2161</v>
      </c>
      <c r="M12" s="486" t="str">
        <f t="shared" si="1"/>
        <v>UC</v>
      </c>
      <c r="N12" s="486" t="str">
        <f t="shared" si="2"/>
        <v>IAAS</v>
      </c>
      <c r="O12" s="1"/>
    </row>
    <row r="13" spans="1:15" s="11" customFormat="1" ht="16">
      <c r="A13" s="493" t="s">
        <v>1226</v>
      </c>
      <c r="C13" s="1"/>
      <c r="D13" s="1"/>
      <c r="E13" s="1"/>
      <c r="F13" s="1"/>
      <c r="G13" s="1"/>
      <c r="H13" s="1"/>
      <c r="I13" s="1"/>
      <c r="J13" s="1"/>
      <c r="K13" s="492"/>
      <c r="L13" s="486"/>
      <c r="M13" s="486" t="str">
        <f t="shared" si="1"/>
        <v>UC</v>
      </c>
      <c r="N13" s="486"/>
      <c r="O13" s="1"/>
    </row>
    <row r="14" spans="1:15" ht="16">
      <c r="A14" s="240" t="s">
        <v>131</v>
      </c>
      <c r="B14" s="1" t="s">
        <v>132</v>
      </c>
      <c r="C14" s="1">
        <v>0</v>
      </c>
      <c r="D14" s="1">
        <v>1</v>
      </c>
      <c r="E14" s="1">
        <v>0</v>
      </c>
      <c r="F14" s="1" t="s">
        <v>2290</v>
      </c>
      <c r="G14" s="1" t="s">
        <v>2393</v>
      </c>
      <c r="H14" s="1" t="s">
        <v>2394</v>
      </c>
      <c r="I14" s="1" t="s">
        <v>1636</v>
      </c>
      <c r="J14" s="1" t="s">
        <v>2159</v>
      </c>
      <c r="K14" s="492" t="str">
        <f t="shared" ref="K14:K77" si="3" xml:space="preserve"> _xlfn.IFS(ISNUMBER(SEARCH("Universal Credits",B14)),"UC",
ISNUMBER(SEARCH("Ravello",B14)),"Deprecated",
ISNUMBER(SEARCH("Cloud Machine",B14)),"Deprecated",
ISNUMBER(SEARCH("Compute",B14)),"Compute",
ISNUMBER(SEARCH("Load Balancer",B14)),"Network",
ISNUMBER(SEARCH("FastConnect",B14)),"Network",
ISNUMBER(SEARCH("Database OCPU",B14)),"CC OCPU",
ISNUMBER(SEARCH("at Customer",B14)),"CC",
ISNUMBER(SEARCH("Exadata Storage",B14)),"Exa Storage",
ISNUMBER(SEARCH("Storage",B14)),"Storage",
ISNUMBER(SEARCH("Block ",B14)),"Storage",
ISNUMBER(SEARCH("Autonomous Data Warehouse",B14)),"ADW",
ISNUMBER(SEARCH("Autonomous Transaction Processing",B14)),"ATP",
ISNUMBER(SEARCH("Database Exadata",B14)),"ExaCS",
ISNUMBER(SEARCH("Database",B14)),"DBaaS",
ISNUMBER(SEARCH("Essbase",B14)),"DBaaS",
ISNUMBER(SEARCH("integration",B14)),"Integration",
ISNUMBER(SEARCH("SOA",B14)),"Integration",
ISNUMBER(SEARCH("Management Cloud",B14)),"Service",
ISNUMBER(SEARCH("Analytics",B14)),"Analytics",
ISNUMBER(SEARCH("Storage",B14)),"Storage",
ISNUMBER(SEARCH("Block ",B14)),"Storage",
ISNUMBER(SEARCH("Identity",B14)),"Platform",
ISNUMBER(SEARCH("Content",B14)),"Platform",
ISNUMBER(SEARCH("Weblogic",B14)),"Platform",
ISNUMBER(SEARCH("Digital Assistant",B14)),"Platform",
ISNUMBER(SEARCH("Advance",B14)),"New",
ISNUMBER(SEARCH("Limited",B14)),"Classic",
ISNUMBER(SEARCH("Classic",B14)),"Classic",
ISNUMBER(SEARCH("Government",B14)),"Government",
ISNUMBER(SEARCH("Metered",B14)),"Deprecated",
VALUE(RIGHT(A14,5))&lt;88206,"Deprecated",
TRUE,"Service")</f>
        <v>Deprecated</v>
      </c>
      <c r="L14" s="486" t="str">
        <f t="shared" ref="L14:L77" si="4">_xlfn.IFS(ISNUMBER(SEARCH("Hour",E14)),"HR",ISNUMBER(SEARCH("Gigabyte",E14)),"GB",ISNUMBER(SEARCH("Terabyte",E14)),"TB",ISNUMBER(SEARCH("Requests",E14)),"REQ",ISNUMBER(SEARCH("Each",E14)),"EA","TRUE","UNIT")</f>
        <v>UNIT</v>
      </c>
      <c r="M14" s="486" t="str">
        <f t="shared" si="1"/>
        <v>UC</v>
      </c>
      <c r="N14" s="486" t="str">
        <f t="shared" ref="N14:N77" si="5">_xlfn.IFS(K14="Storage","IAAS",K14="Compute","IAAS",K14="Network","IAAS",K14="Service","IAAS",L14="REQ","IAAS",TRUE,"PAAS")</f>
        <v>PAAS</v>
      </c>
    </row>
    <row r="15" spans="1:15" ht="16">
      <c r="A15" s="240" t="s">
        <v>134</v>
      </c>
      <c r="B15" s="1" t="s">
        <v>430</v>
      </c>
      <c r="C15" s="1">
        <v>0</v>
      </c>
      <c r="D15" s="1">
        <v>0</v>
      </c>
      <c r="E15" s="1">
        <v>0</v>
      </c>
      <c r="F15" s="1" t="s">
        <v>2290</v>
      </c>
      <c r="G15" s="1" t="s">
        <v>1840</v>
      </c>
      <c r="H15" s="1" t="s">
        <v>2394</v>
      </c>
      <c r="I15" s="1" t="s">
        <v>1636</v>
      </c>
      <c r="J15" s="1" t="s">
        <v>2158</v>
      </c>
      <c r="K15" s="492" t="str">
        <f t="shared" si="3"/>
        <v>Storage</v>
      </c>
      <c r="L15" s="486" t="str">
        <f t="shared" si="4"/>
        <v>UNIT</v>
      </c>
      <c r="M15" s="486" t="str">
        <f t="shared" si="1"/>
        <v>UC</v>
      </c>
      <c r="N15" s="486" t="str">
        <f t="shared" si="5"/>
        <v>IAAS</v>
      </c>
    </row>
    <row r="16" spans="1:15" ht="16">
      <c r="A16" s="240" t="s">
        <v>135</v>
      </c>
      <c r="B16" s="1" t="s">
        <v>136</v>
      </c>
      <c r="C16" s="1">
        <v>0</v>
      </c>
      <c r="D16" s="1">
        <v>0</v>
      </c>
      <c r="E16" s="1">
        <v>0</v>
      </c>
      <c r="F16" s="1" t="s">
        <v>2290</v>
      </c>
      <c r="G16" s="1" t="s">
        <v>1840</v>
      </c>
      <c r="H16" s="1" t="s">
        <v>2394</v>
      </c>
      <c r="I16" s="1" t="s">
        <v>1636</v>
      </c>
      <c r="J16" s="1" t="s">
        <v>2158</v>
      </c>
      <c r="K16" s="492" t="str">
        <f t="shared" si="3"/>
        <v>Storage</v>
      </c>
      <c r="L16" s="486" t="str">
        <f t="shared" si="4"/>
        <v>UNIT</v>
      </c>
      <c r="M16" s="486" t="str">
        <f t="shared" si="1"/>
        <v>UC</v>
      </c>
      <c r="N16" s="486" t="str">
        <f t="shared" si="5"/>
        <v>IAAS</v>
      </c>
    </row>
    <row r="17" spans="1:14" ht="16">
      <c r="A17" s="240" t="s">
        <v>137</v>
      </c>
      <c r="B17" s="1" t="s">
        <v>138</v>
      </c>
      <c r="C17" s="1">
        <v>0</v>
      </c>
      <c r="D17" s="1">
        <v>1</v>
      </c>
      <c r="E17" s="1">
        <v>0</v>
      </c>
      <c r="F17" s="1" t="s">
        <v>2290</v>
      </c>
      <c r="G17" s="1" t="s">
        <v>2309</v>
      </c>
      <c r="H17" s="1" t="s">
        <v>2394</v>
      </c>
      <c r="I17" s="1" t="s">
        <v>1636</v>
      </c>
      <c r="J17" s="1" t="s">
        <v>2159</v>
      </c>
      <c r="K17" s="492" t="str">
        <f t="shared" si="3"/>
        <v>DBaaS</v>
      </c>
      <c r="L17" s="486" t="str">
        <f t="shared" si="4"/>
        <v>UNIT</v>
      </c>
      <c r="M17" s="486" t="str">
        <f t="shared" si="1"/>
        <v>UC</v>
      </c>
      <c r="N17" s="486" t="str">
        <f t="shared" si="5"/>
        <v>PAAS</v>
      </c>
    </row>
    <row r="18" spans="1:14" ht="16">
      <c r="A18" s="240" t="s">
        <v>139</v>
      </c>
      <c r="B18" s="1" t="s">
        <v>429</v>
      </c>
      <c r="C18" s="1">
        <v>0</v>
      </c>
      <c r="D18" s="1">
        <v>0</v>
      </c>
      <c r="E18" s="1">
        <v>0</v>
      </c>
      <c r="F18" s="1" t="s">
        <v>2290</v>
      </c>
      <c r="G18" s="1" t="s">
        <v>1840</v>
      </c>
      <c r="H18" s="1" t="s">
        <v>2394</v>
      </c>
      <c r="I18" s="1" t="s">
        <v>1636</v>
      </c>
      <c r="J18" s="1" t="s">
        <v>2158</v>
      </c>
      <c r="K18" s="492" t="str">
        <f t="shared" si="3"/>
        <v>Storage</v>
      </c>
      <c r="L18" s="486" t="str">
        <f t="shared" si="4"/>
        <v>UNIT</v>
      </c>
      <c r="M18" s="486" t="str">
        <f t="shared" si="1"/>
        <v>UC</v>
      </c>
      <c r="N18" s="486" t="str">
        <f t="shared" si="5"/>
        <v>IAAS</v>
      </c>
    </row>
    <row r="19" spans="1:14" ht="16">
      <c r="A19" s="240" t="s">
        <v>140</v>
      </c>
      <c r="B19" s="1" t="s">
        <v>499</v>
      </c>
      <c r="C19" s="1">
        <v>0</v>
      </c>
      <c r="D19" s="1">
        <v>5.0000000000000001E-3</v>
      </c>
      <c r="E19" s="1" t="s">
        <v>2163</v>
      </c>
      <c r="F19" s="1" t="s">
        <v>2290</v>
      </c>
      <c r="G19" s="1" t="s">
        <v>1840</v>
      </c>
      <c r="H19" s="1" t="s">
        <v>2395</v>
      </c>
      <c r="I19" s="1" t="s">
        <v>1636</v>
      </c>
      <c r="J19" s="1" t="s">
        <v>2158</v>
      </c>
      <c r="K19" s="492" t="str">
        <f t="shared" si="3"/>
        <v>Storage</v>
      </c>
      <c r="L19" s="486" t="str">
        <f t="shared" si="4"/>
        <v>REQ</v>
      </c>
      <c r="M19" s="486" t="str">
        <f t="shared" si="1"/>
        <v>UC</v>
      </c>
      <c r="N19" s="486" t="str">
        <f t="shared" si="5"/>
        <v>IAAS</v>
      </c>
    </row>
    <row r="20" spans="1:14" ht="16">
      <c r="A20" s="240" t="s">
        <v>142</v>
      </c>
      <c r="B20" s="1" t="s">
        <v>44</v>
      </c>
      <c r="C20" s="1">
        <v>0</v>
      </c>
      <c r="D20" s="1">
        <v>4.0000000000000001E-3</v>
      </c>
      <c r="E20" s="1" t="s">
        <v>2164</v>
      </c>
      <c r="F20" s="1" t="s">
        <v>2290</v>
      </c>
      <c r="G20" s="1" t="s">
        <v>1840</v>
      </c>
      <c r="H20" s="1" t="s">
        <v>2395</v>
      </c>
      <c r="I20" s="1" t="s">
        <v>1636</v>
      </c>
      <c r="J20" s="1" t="s">
        <v>2158</v>
      </c>
      <c r="K20" s="492" t="str">
        <f t="shared" si="3"/>
        <v>Storage</v>
      </c>
      <c r="L20" s="486" t="str">
        <f t="shared" si="4"/>
        <v>REQ</v>
      </c>
      <c r="M20" s="486" t="str">
        <f t="shared" si="1"/>
        <v>UC</v>
      </c>
      <c r="N20" s="486" t="str">
        <f t="shared" si="5"/>
        <v>IAAS</v>
      </c>
    </row>
    <row r="21" spans="1:14" ht="16">
      <c r="A21" s="240" t="s">
        <v>144</v>
      </c>
      <c r="B21" s="1" t="s">
        <v>145</v>
      </c>
      <c r="C21" s="1">
        <v>0</v>
      </c>
      <c r="D21" s="1">
        <v>0</v>
      </c>
      <c r="E21" s="1">
        <v>0</v>
      </c>
      <c r="F21" s="1" t="s">
        <v>2290</v>
      </c>
      <c r="G21" s="1" t="s">
        <v>2309</v>
      </c>
      <c r="H21" s="1" t="s">
        <v>2394</v>
      </c>
      <c r="I21" s="1" t="s">
        <v>1636</v>
      </c>
      <c r="J21" s="1" t="s">
        <v>2159</v>
      </c>
      <c r="K21" s="492" t="str">
        <f t="shared" si="3"/>
        <v>DBaaS</v>
      </c>
      <c r="L21" s="486" t="str">
        <f t="shared" si="4"/>
        <v>UNIT</v>
      </c>
      <c r="M21" s="486" t="str">
        <f t="shared" si="1"/>
        <v>UC</v>
      </c>
      <c r="N21" s="486" t="str">
        <f t="shared" si="5"/>
        <v>PAAS</v>
      </c>
    </row>
    <row r="22" spans="1:14" ht="16">
      <c r="A22" s="240" t="s">
        <v>146</v>
      </c>
      <c r="B22" s="1" t="s">
        <v>141</v>
      </c>
      <c r="C22" s="1">
        <v>0</v>
      </c>
      <c r="D22" s="1">
        <v>5.0000000000000001E-3</v>
      </c>
      <c r="E22" s="1" t="s">
        <v>2163</v>
      </c>
      <c r="F22" s="1" t="s">
        <v>2290</v>
      </c>
      <c r="G22" s="1" t="s">
        <v>2393</v>
      </c>
      <c r="H22" s="1" t="s">
        <v>2395</v>
      </c>
      <c r="I22" s="1" t="s">
        <v>1636</v>
      </c>
      <c r="J22" s="1" t="s">
        <v>2158</v>
      </c>
      <c r="K22" s="492" t="str">
        <f t="shared" si="3"/>
        <v>Deprecated</v>
      </c>
      <c r="L22" s="486" t="str">
        <f t="shared" si="4"/>
        <v>REQ</v>
      </c>
      <c r="M22" s="486" t="str">
        <f t="shared" si="1"/>
        <v>UC</v>
      </c>
      <c r="N22" s="486" t="str">
        <f t="shared" si="5"/>
        <v>IAAS</v>
      </c>
    </row>
    <row r="23" spans="1:14" ht="16">
      <c r="A23" s="240" t="s">
        <v>147</v>
      </c>
      <c r="B23" s="1" t="s">
        <v>143</v>
      </c>
      <c r="C23" s="1">
        <v>0</v>
      </c>
      <c r="D23" s="1">
        <v>4.0000000000000001E-3</v>
      </c>
      <c r="E23" s="1" t="s">
        <v>2164</v>
      </c>
      <c r="F23" s="1" t="s">
        <v>2290</v>
      </c>
      <c r="G23" s="1" t="s">
        <v>2393</v>
      </c>
      <c r="H23" s="1" t="s">
        <v>2395</v>
      </c>
      <c r="I23" s="1" t="s">
        <v>1636</v>
      </c>
      <c r="J23" s="1" t="s">
        <v>2158</v>
      </c>
      <c r="K23" s="492" t="str">
        <f t="shared" si="3"/>
        <v>Deprecated</v>
      </c>
      <c r="L23" s="486" t="str">
        <f t="shared" si="4"/>
        <v>REQ</v>
      </c>
      <c r="M23" s="486" t="str">
        <f t="shared" si="1"/>
        <v>UC</v>
      </c>
      <c r="N23" s="486" t="str">
        <f t="shared" si="5"/>
        <v>IAAS</v>
      </c>
    </row>
    <row r="24" spans="1:14" ht="16">
      <c r="A24" s="240" t="s">
        <v>148</v>
      </c>
      <c r="B24" s="1" t="s">
        <v>500</v>
      </c>
      <c r="C24" s="1">
        <v>0</v>
      </c>
      <c r="D24" s="1">
        <v>1</v>
      </c>
      <c r="E24" s="1">
        <v>0</v>
      </c>
      <c r="F24" s="1" t="s">
        <v>2290</v>
      </c>
      <c r="G24" s="1" t="s">
        <v>2393</v>
      </c>
      <c r="H24" s="1" t="s">
        <v>2394</v>
      </c>
      <c r="I24" s="1" t="s">
        <v>1636</v>
      </c>
      <c r="J24" s="1" t="s">
        <v>2159</v>
      </c>
      <c r="K24" s="492" t="str">
        <f t="shared" si="3"/>
        <v>Deprecated</v>
      </c>
      <c r="L24" s="486" t="str">
        <f t="shared" si="4"/>
        <v>UNIT</v>
      </c>
      <c r="M24" s="486" t="str">
        <f t="shared" si="1"/>
        <v>UC</v>
      </c>
      <c r="N24" s="486" t="str">
        <f t="shared" si="5"/>
        <v>PAAS</v>
      </c>
    </row>
    <row r="25" spans="1:14" ht="16">
      <c r="A25" s="240" t="s">
        <v>149</v>
      </c>
      <c r="B25" s="1" t="s">
        <v>501</v>
      </c>
      <c r="C25" s="1">
        <v>0</v>
      </c>
      <c r="D25" s="1">
        <v>0</v>
      </c>
      <c r="E25" s="1">
        <v>0</v>
      </c>
      <c r="F25" s="1" t="s">
        <v>2290</v>
      </c>
      <c r="G25" s="1" t="s">
        <v>1835</v>
      </c>
      <c r="H25" s="1" t="s">
        <v>2394</v>
      </c>
      <c r="I25" s="1" t="s">
        <v>1636</v>
      </c>
      <c r="J25" s="1" t="s">
        <v>2158</v>
      </c>
      <c r="K25" s="492" t="str">
        <f t="shared" si="3"/>
        <v>Compute</v>
      </c>
      <c r="L25" s="486" t="str">
        <f t="shared" si="4"/>
        <v>UNIT</v>
      </c>
      <c r="M25" s="486" t="str">
        <f t="shared" si="1"/>
        <v>UC</v>
      </c>
      <c r="N25" s="486" t="str">
        <f t="shared" si="5"/>
        <v>IAAS</v>
      </c>
    </row>
    <row r="26" spans="1:14" ht="16">
      <c r="A26" s="240" t="s">
        <v>150</v>
      </c>
      <c r="B26" s="1" t="s">
        <v>502</v>
      </c>
      <c r="C26" s="1">
        <v>0</v>
      </c>
      <c r="D26" s="1">
        <v>5.0000000000000001E-3</v>
      </c>
      <c r="E26" s="1" t="s">
        <v>2165</v>
      </c>
      <c r="F26" s="1" t="s">
        <v>2290</v>
      </c>
      <c r="G26" s="1" t="s">
        <v>1835</v>
      </c>
      <c r="H26" s="1" t="s">
        <v>2161</v>
      </c>
      <c r="I26" s="1" t="s">
        <v>1636</v>
      </c>
      <c r="J26" s="1" t="s">
        <v>2158</v>
      </c>
      <c r="K26" s="492" t="str">
        <f t="shared" si="3"/>
        <v>Compute</v>
      </c>
      <c r="L26" s="486" t="str">
        <f t="shared" si="4"/>
        <v>HR</v>
      </c>
      <c r="M26" s="486" t="str">
        <f t="shared" si="1"/>
        <v>UC</v>
      </c>
      <c r="N26" s="486" t="str">
        <f t="shared" si="5"/>
        <v>IAAS</v>
      </c>
    </row>
    <row r="27" spans="1:14" ht="16">
      <c r="A27" s="240" t="s">
        <v>151</v>
      </c>
      <c r="B27" s="1" t="s">
        <v>503</v>
      </c>
      <c r="C27" s="1">
        <v>0</v>
      </c>
      <c r="D27" s="1">
        <v>5.0000000000000001E-3</v>
      </c>
      <c r="E27" s="1" t="s">
        <v>2165</v>
      </c>
      <c r="F27" s="1" t="s">
        <v>2290</v>
      </c>
      <c r="G27" s="1" t="s">
        <v>1835</v>
      </c>
      <c r="H27" s="1" t="s">
        <v>2161</v>
      </c>
      <c r="I27" s="1" t="s">
        <v>1636</v>
      </c>
      <c r="J27" s="1" t="s">
        <v>2158</v>
      </c>
      <c r="K27" s="492" t="str">
        <f t="shared" si="3"/>
        <v>Compute</v>
      </c>
      <c r="L27" s="486" t="str">
        <f t="shared" si="4"/>
        <v>HR</v>
      </c>
      <c r="M27" s="486" t="str">
        <f t="shared" si="1"/>
        <v>UC</v>
      </c>
      <c r="N27" s="486" t="str">
        <f t="shared" si="5"/>
        <v>IAAS</v>
      </c>
    </row>
    <row r="28" spans="1:14" ht="16">
      <c r="A28" s="240" t="s">
        <v>152</v>
      </c>
      <c r="B28" s="1" t="s">
        <v>504</v>
      </c>
      <c r="C28" s="1">
        <v>0</v>
      </c>
      <c r="D28" s="1">
        <v>0.05</v>
      </c>
      <c r="E28" s="1" t="s">
        <v>2166</v>
      </c>
      <c r="F28" s="1" t="s">
        <v>2290</v>
      </c>
      <c r="G28" s="1" t="s">
        <v>1840</v>
      </c>
      <c r="H28" s="1" t="s">
        <v>2162</v>
      </c>
      <c r="I28" s="1" t="s">
        <v>1636</v>
      </c>
      <c r="J28" s="1" t="s">
        <v>2158</v>
      </c>
      <c r="K28" s="492" t="str">
        <f t="shared" si="3"/>
        <v>Storage</v>
      </c>
      <c r="L28" s="486" t="str">
        <f t="shared" si="4"/>
        <v>GB</v>
      </c>
      <c r="M28" s="486" t="str">
        <f t="shared" si="1"/>
        <v>UC</v>
      </c>
      <c r="N28" s="486" t="str">
        <f t="shared" si="5"/>
        <v>IAAS</v>
      </c>
    </row>
    <row r="29" spans="1:14" ht="16">
      <c r="A29" s="240" t="s">
        <v>153</v>
      </c>
      <c r="B29" s="1" t="s">
        <v>505</v>
      </c>
      <c r="C29" s="1">
        <v>0</v>
      </c>
      <c r="D29" s="1">
        <v>0.05</v>
      </c>
      <c r="E29" s="1" t="s">
        <v>2167</v>
      </c>
      <c r="F29" s="1" t="s">
        <v>2290</v>
      </c>
      <c r="G29" s="1" t="s">
        <v>1840</v>
      </c>
      <c r="H29" s="1" t="s">
        <v>2395</v>
      </c>
      <c r="I29" s="1" t="s">
        <v>1636</v>
      </c>
      <c r="J29" s="1" t="s">
        <v>2158</v>
      </c>
      <c r="K29" s="492" t="str">
        <f t="shared" si="3"/>
        <v>Storage</v>
      </c>
      <c r="L29" s="486" t="str">
        <f t="shared" si="4"/>
        <v>REQ</v>
      </c>
      <c r="M29" s="486" t="str">
        <f t="shared" si="1"/>
        <v>UC</v>
      </c>
      <c r="N29" s="486" t="str">
        <f t="shared" si="5"/>
        <v>IAAS</v>
      </c>
    </row>
    <row r="30" spans="1:14" ht="16">
      <c r="A30" s="240" t="s">
        <v>154</v>
      </c>
      <c r="B30" s="1" t="s">
        <v>155</v>
      </c>
      <c r="C30" s="1">
        <v>0</v>
      </c>
      <c r="D30" s="1">
        <v>400</v>
      </c>
      <c r="E30" s="1" t="s">
        <v>2168</v>
      </c>
      <c r="F30" s="1" t="s">
        <v>2290</v>
      </c>
      <c r="G30" s="1" t="s">
        <v>2309</v>
      </c>
      <c r="H30" s="1" t="s">
        <v>2394</v>
      </c>
      <c r="I30" s="1" t="s">
        <v>1636</v>
      </c>
      <c r="J30" s="1" t="s">
        <v>2159</v>
      </c>
      <c r="K30" s="492" t="str">
        <f t="shared" si="3"/>
        <v>DBaaS</v>
      </c>
      <c r="L30" s="486" t="str">
        <f t="shared" si="4"/>
        <v>UNIT</v>
      </c>
      <c r="M30" s="486" t="str">
        <f t="shared" si="1"/>
        <v>UC</v>
      </c>
      <c r="N30" s="486" t="str">
        <f t="shared" si="5"/>
        <v>PAAS</v>
      </c>
    </row>
    <row r="31" spans="1:14" ht="16">
      <c r="A31" s="240" t="s">
        <v>156</v>
      </c>
      <c r="B31" s="1">
        <v>0</v>
      </c>
      <c r="C31" s="1">
        <v>0</v>
      </c>
      <c r="D31" s="1">
        <v>0.67200000000000004</v>
      </c>
      <c r="E31" s="1" t="s">
        <v>49</v>
      </c>
      <c r="F31" s="1" t="s">
        <v>2290</v>
      </c>
      <c r="G31" s="1" t="s">
        <v>2393</v>
      </c>
      <c r="H31" s="1" t="s">
        <v>2161</v>
      </c>
      <c r="I31" s="1" t="s">
        <v>1636</v>
      </c>
      <c r="J31" s="1" t="s">
        <v>2159</v>
      </c>
      <c r="K31" s="492" t="str">
        <f t="shared" si="3"/>
        <v>Deprecated</v>
      </c>
      <c r="L31" s="486" t="str">
        <f t="shared" si="4"/>
        <v>HR</v>
      </c>
      <c r="M31" s="486" t="str">
        <f t="shared" si="1"/>
        <v>UC</v>
      </c>
      <c r="N31" s="486" t="str">
        <f t="shared" si="5"/>
        <v>PAAS</v>
      </c>
    </row>
    <row r="32" spans="1:14" ht="16">
      <c r="A32" s="240" t="s">
        <v>157</v>
      </c>
      <c r="B32" s="1" t="s">
        <v>158</v>
      </c>
      <c r="C32" s="1">
        <v>0</v>
      </c>
      <c r="D32" s="1">
        <v>1500</v>
      </c>
      <c r="E32" s="1" t="s">
        <v>2168</v>
      </c>
      <c r="F32" s="1" t="s">
        <v>2290</v>
      </c>
      <c r="G32" s="1" t="s">
        <v>2309</v>
      </c>
      <c r="H32" s="1" t="s">
        <v>2394</v>
      </c>
      <c r="I32" s="1" t="s">
        <v>1636</v>
      </c>
      <c r="J32" s="1" t="s">
        <v>2159</v>
      </c>
      <c r="K32" s="492" t="str">
        <f t="shared" si="3"/>
        <v>DBaaS</v>
      </c>
      <c r="L32" s="486" t="str">
        <f t="shared" si="4"/>
        <v>UNIT</v>
      </c>
      <c r="M32" s="486" t="str">
        <f t="shared" si="1"/>
        <v>UC</v>
      </c>
      <c r="N32" s="486" t="str">
        <f t="shared" si="5"/>
        <v>PAAS</v>
      </c>
    </row>
    <row r="33" spans="1:14" ht="16">
      <c r="A33" s="240" t="s">
        <v>159</v>
      </c>
      <c r="B33" s="1">
        <v>0</v>
      </c>
      <c r="C33" s="1">
        <v>0</v>
      </c>
      <c r="D33" s="1">
        <v>2.52</v>
      </c>
      <c r="E33" s="1" t="s">
        <v>49</v>
      </c>
      <c r="F33" s="1" t="s">
        <v>2290</v>
      </c>
      <c r="G33" s="1" t="s">
        <v>2393</v>
      </c>
      <c r="H33" s="1" t="s">
        <v>2161</v>
      </c>
      <c r="I33" s="1" t="s">
        <v>1636</v>
      </c>
      <c r="J33" s="1" t="s">
        <v>2159</v>
      </c>
      <c r="K33" s="492" t="str">
        <f t="shared" si="3"/>
        <v>Deprecated</v>
      </c>
      <c r="L33" s="486" t="str">
        <f t="shared" si="4"/>
        <v>HR</v>
      </c>
      <c r="M33" s="486" t="str">
        <f t="shared" si="1"/>
        <v>UC</v>
      </c>
      <c r="N33" s="486" t="str">
        <f t="shared" si="5"/>
        <v>PAAS</v>
      </c>
    </row>
    <row r="34" spans="1:14" ht="16">
      <c r="A34" s="240" t="s">
        <v>160</v>
      </c>
      <c r="B34" s="1" t="s">
        <v>161</v>
      </c>
      <c r="C34" s="1">
        <v>0</v>
      </c>
      <c r="D34" s="1">
        <v>2000</v>
      </c>
      <c r="E34" s="1" t="s">
        <v>2168</v>
      </c>
      <c r="F34" s="1" t="s">
        <v>2290</v>
      </c>
      <c r="G34" s="1" t="s">
        <v>2309</v>
      </c>
      <c r="H34" s="1" t="s">
        <v>2394</v>
      </c>
      <c r="I34" s="1" t="s">
        <v>1636</v>
      </c>
      <c r="J34" s="1" t="s">
        <v>2159</v>
      </c>
      <c r="K34" s="492" t="str">
        <f t="shared" si="3"/>
        <v>DBaaS</v>
      </c>
      <c r="L34" s="486" t="str">
        <f t="shared" si="4"/>
        <v>UNIT</v>
      </c>
      <c r="M34" s="486" t="str">
        <f t="shared" si="1"/>
        <v>UC</v>
      </c>
      <c r="N34" s="486" t="str">
        <f t="shared" si="5"/>
        <v>PAAS</v>
      </c>
    </row>
    <row r="35" spans="1:14" ht="16">
      <c r="A35" s="240" t="s">
        <v>162</v>
      </c>
      <c r="B35" s="1">
        <v>0</v>
      </c>
      <c r="C35" s="1">
        <v>0</v>
      </c>
      <c r="D35" s="1">
        <v>3.36</v>
      </c>
      <c r="E35" s="1" t="s">
        <v>49</v>
      </c>
      <c r="F35" s="1" t="s">
        <v>2290</v>
      </c>
      <c r="G35" s="1" t="s">
        <v>2393</v>
      </c>
      <c r="H35" s="1" t="s">
        <v>2161</v>
      </c>
      <c r="I35" s="1" t="s">
        <v>1636</v>
      </c>
      <c r="J35" s="1" t="s">
        <v>2159</v>
      </c>
      <c r="K35" s="492" t="str">
        <f t="shared" si="3"/>
        <v>Deprecated</v>
      </c>
      <c r="L35" s="486" t="str">
        <f t="shared" si="4"/>
        <v>HR</v>
      </c>
      <c r="M35" s="486" t="str">
        <f t="shared" si="1"/>
        <v>UC</v>
      </c>
      <c r="N35" s="486" t="str">
        <f t="shared" si="5"/>
        <v>PAAS</v>
      </c>
    </row>
    <row r="36" spans="1:14" ht="16">
      <c r="A36" s="240" t="s">
        <v>163</v>
      </c>
      <c r="B36" s="1" t="s">
        <v>164</v>
      </c>
      <c r="C36" s="1">
        <v>0</v>
      </c>
      <c r="D36" s="1">
        <v>3000</v>
      </c>
      <c r="E36" s="1" t="s">
        <v>2168</v>
      </c>
      <c r="F36" s="1" t="s">
        <v>2290</v>
      </c>
      <c r="G36" s="1" t="s">
        <v>2309</v>
      </c>
      <c r="H36" s="1" t="s">
        <v>2394</v>
      </c>
      <c r="I36" s="1" t="s">
        <v>1636</v>
      </c>
      <c r="J36" s="1" t="s">
        <v>2159</v>
      </c>
      <c r="K36" s="492" t="str">
        <f t="shared" si="3"/>
        <v>DBaaS</v>
      </c>
      <c r="L36" s="486" t="str">
        <f t="shared" si="4"/>
        <v>UNIT</v>
      </c>
      <c r="M36" s="486" t="str">
        <f t="shared" si="1"/>
        <v>UC</v>
      </c>
      <c r="N36" s="486" t="str">
        <f t="shared" si="5"/>
        <v>PAAS</v>
      </c>
    </row>
    <row r="37" spans="1:14" ht="16">
      <c r="A37" s="240" t="s">
        <v>165</v>
      </c>
      <c r="B37" s="1">
        <v>0</v>
      </c>
      <c r="C37" s="1">
        <v>0</v>
      </c>
      <c r="D37" s="1">
        <v>5.04</v>
      </c>
      <c r="E37" s="1" t="s">
        <v>49</v>
      </c>
      <c r="F37" s="1" t="s">
        <v>2290</v>
      </c>
      <c r="G37" s="1" t="s">
        <v>2393</v>
      </c>
      <c r="H37" s="1" t="s">
        <v>2161</v>
      </c>
      <c r="I37" s="1" t="s">
        <v>1636</v>
      </c>
      <c r="J37" s="1" t="s">
        <v>2159</v>
      </c>
      <c r="K37" s="492" t="str">
        <f t="shared" si="3"/>
        <v>Deprecated</v>
      </c>
      <c r="L37" s="486" t="str">
        <f t="shared" si="4"/>
        <v>HR</v>
      </c>
      <c r="M37" s="486" t="str">
        <f t="shared" si="1"/>
        <v>UC</v>
      </c>
      <c r="N37" s="486" t="str">
        <f t="shared" si="5"/>
        <v>PAAS</v>
      </c>
    </row>
    <row r="38" spans="1:14" ht="16">
      <c r="A38" s="240" t="s">
        <v>166</v>
      </c>
      <c r="B38" s="1" t="s">
        <v>167</v>
      </c>
      <c r="C38" s="1">
        <v>0</v>
      </c>
      <c r="D38" s="1">
        <v>600</v>
      </c>
      <c r="E38" s="1" t="s">
        <v>2168</v>
      </c>
      <c r="F38" s="1" t="s">
        <v>2290</v>
      </c>
      <c r="G38" s="1" t="s">
        <v>2309</v>
      </c>
      <c r="H38" s="1" t="s">
        <v>2394</v>
      </c>
      <c r="I38" s="1" t="s">
        <v>1636</v>
      </c>
      <c r="J38" s="1" t="s">
        <v>2159</v>
      </c>
      <c r="K38" s="492" t="str">
        <f t="shared" si="3"/>
        <v>DBaaS</v>
      </c>
      <c r="L38" s="486" t="str">
        <f t="shared" si="4"/>
        <v>UNIT</v>
      </c>
      <c r="M38" s="486" t="str">
        <f t="shared" si="1"/>
        <v>UC</v>
      </c>
      <c r="N38" s="486" t="str">
        <f t="shared" si="5"/>
        <v>PAAS</v>
      </c>
    </row>
    <row r="39" spans="1:14" ht="16">
      <c r="A39" s="240" t="s">
        <v>168</v>
      </c>
      <c r="B39" s="1">
        <v>0</v>
      </c>
      <c r="C39" s="1">
        <v>0</v>
      </c>
      <c r="D39" s="1">
        <v>1.008</v>
      </c>
      <c r="E39" s="1" t="s">
        <v>49</v>
      </c>
      <c r="F39" s="1" t="s">
        <v>2290</v>
      </c>
      <c r="G39" s="1" t="s">
        <v>2393</v>
      </c>
      <c r="H39" s="1" t="s">
        <v>2161</v>
      </c>
      <c r="I39" s="1" t="s">
        <v>1636</v>
      </c>
      <c r="J39" s="1" t="s">
        <v>2159</v>
      </c>
      <c r="K39" s="492" t="str">
        <f t="shared" si="3"/>
        <v>Deprecated</v>
      </c>
      <c r="L39" s="486" t="str">
        <f t="shared" si="4"/>
        <v>HR</v>
      </c>
      <c r="M39" s="486" t="str">
        <f t="shared" si="1"/>
        <v>UC</v>
      </c>
      <c r="N39" s="486" t="str">
        <f t="shared" si="5"/>
        <v>PAAS</v>
      </c>
    </row>
    <row r="40" spans="1:14" ht="16">
      <c r="A40" s="240" t="s">
        <v>169</v>
      </c>
      <c r="B40" s="1" t="s">
        <v>170</v>
      </c>
      <c r="C40" s="1">
        <v>0</v>
      </c>
      <c r="D40" s="1">
        <v>3000</v>
      </c>
      <c r="E40" s="1" t="s">
        <v>2168</v>
      </c>
      <c r="F40" s="1" t="s">
        <v>2290</v>
      </c>
      <c r="G40" s="1" t="s">
        <v>2309</v>
      </c>
      <c r="H40" s="1" t="s">
        <v>2394</v>
      </c>
      <c r="I40" s="1" t="s">
        <v>1636</v>
      </c>
      <c r="J40" s="1" t="s">
        <v>2159</v>
      </c>
      <c r="K40" s="492" t="str">
        <f t="shared" si="3"/>
        <v>DBaaS</v>
      </c>
      <c r="L40" s="486" t="str">
        <f t="shared" si="4"/>
        <v>UNIT</v>
      </c>
      <c r="M40" s="486" t="str">
        <f t="shared" si="1"/>
        <v>UC</v>
      </c>
      <c r="N40" s="486" t="str">
        <f t="shared" si="5"/>
        <v>PAAS</v>
      </c>
    </row>
    <row r="41" spans="1:14" ht="16">
      <c r="A41" s="240" t="s">
        <v>171</v>
      </c>
      <c r="B41" s="1">
        <v>0</v>
      </c>
      <c r="C41" s="1">
        <v>0</v>
      </c>
      <c r="D41" s="1">
        <v>5.04</v>
      </c>
      <c r="E41" s="1" t="s">
        <v>49</v>
      </c>
      <c r="F41" s="1" t="s">
        <v>2290</v>
      </c>
      <c r="G41" s="1" t="s">
        <v>2393</v>
      </c>
      <c r="H41" s="1" t="s">
        <v>2161</v>
      </c>
      <c r="I41" s="1" t="s">
        <v>1636</v>
      </c>
      <c r="J41" s="1" t="s">
        <v>2159</v>
      </c>
      <c r="K41" s="492" t="str">
        <f t="shared" si="3"/>
        <v>Deprecated</v>
      </c>
      <c r="L41" s="486" t="str">
        <f t="shared" si="4"/>
        <v>HR</v>
      </c>
      <c r="M41" s="486" t="str">
        <f t="shared" si="1"/>
        <v>UC</v>
      </c>
      <c r="N41" s="486" t="str">
        <f t="shared" si="5"/>
        <v>PAAS</v>
      </c>
    </row>
    <row r="42" spans="1:14" ht="16">
      <c r="A42" s="240" t="s">
        <v>172</v>
      </c>
      <c r="B42" s="1" t="s">
        <v>173</v>
      </c>
      <c r="C42" s="1">
        <v>0</v>
      </c>
      <c r="D42" s="1">
        <v>4000</v>
      </c>
      <c r="E42" s="1" t="s">
        <v>2168</v>
      </c>
      <c r="F42" s="1" t="s">
        <v>2290</v>
      </c>
      <c r="G42" s="1" t="s">
        <v>2309</v>
      </c>
      <c r="H42" s="1" t="s">
        <v>2394</v>
      </c>
      <c r="I42" s="1" t="s">
        <v>1636</v>
      </c>
      <c r="J42" s="1" t="s">
        <v>2159</v>
      </c>
      <c r="K42" s="492" t="str">
        <f t="shared" si="3"/>
        <v>DBaaS</v>
      </c>
      <c r="L42" s="486" t="str">
        <f t="shared" si="4"/>
        <v>UNIT</v>
      </c>
      <c r="M42" s="486" t="str">
        <f t="shared" si="1"/>
        <v>UC</v>
      </c>
      <c r="N42" s="486" t="str">
        <f t="shared" si="5"/>
        <v>PAAS</v>
      </c>
    </row>
    <row r="43" spans="1:14" ht="16">
      <c r="A43" s="240" t="s">
        <v>174</v>
      </c>
      <c r="B43" s="1">
        <v>0</v>
      </c>
      <c r="C43" s="1">
        <v>0</v>
      </c>
      <c r="D43" s="1">
        <v>6.72</v>
      </c>
      <c r="E43" s="1" t="s">
        <v>49</v>
      </c>
      <c r="F43" s="1" t="s">
        <v>2290</v>
      </c>
      <c r="G43" s="1" t="s">
        <v>2393</v>
      </c>
      <c r="H43" s="1" t="s">
        <v>2161</v>
      </c>
      <c r="I43" s="1" t="s">
        <v>1636</v>
      </c>
      <c r="J43" s="1" t="s">
        <v>2159</v>
      </c>
      <c r="K43" s="492" t="str">
        <f t="shared" si="3"/>
        <v>Deprecated</v>
      </c>
      <c r="L43" s="486" t="str">
        <f t="shared" si="4"/>
        <v>HR</v>
      </c>
      <c r="M43" s="486" t="str">
        <f t="shared" si="1"/>
        <v>UC</v>
      </c>
      <c r="N43" s="486" t="str">
        <f t="shared" si="5"/>
        <v>PAAS</v>
      </c>
    </row>
    <row r="44" spans="1:14" ht="16">
      <c r="A44" s="240" t="s">
        <v>175</v>
      </c>
      <c r="B44" s="1">
        <v>0</v>
      </c>
      <c r="C44" s="1">
        <v>0</v>
      </c>
      <c r="D44" s="1">
        <v>5000</v>
      </c>
      <c r="E44" s="1" t="s">
        <v>2168</v>
      </c>
      <c r="F44" s="1" t="s">
        <v>2290</v>
      </c>
      <c r="G44" s="1" t="s">
        <v>2393</v>
      </c>
      <c r="H44" s="1" t="s">
        <v>2394</v>
      </c>
      <c r="I44" s="1" t="s">
        <v>1636</v>
      </c>
      <c r="J44" s="1" t="s">
        <v>2159</v>
      </c>
      <c r="K44" s="492" t="str">
        <f t="shared" si="3"/>
        <v>Deprecated</v>
      </c>
      <c r="L44" s="486" t="str">
        <f t="shared" si="4"/>
        <v>UNIT</v>
      </c>
      <c r="M44" s="486" t="str">
        <f t="shared" si="1"/>
        <v>UC</v>
      </c>
      <c r="N44" s="486" t="str">
        <f t="shared" si="5"/>
        <v>PAAS</v>
      </c>
    </row>
    <row r="45" spans="1:14" ht="16">
      <c r="A45" s="240" t="s">
        <v>176</v>
      </c>
      <c r="B45" s="1">
        <v>0</v>
      </c>
      <c r="C45" s="1">
        <v>0</v>
      </c>
      <c r="D45" s="1">
        <v>8.4009999999999998</v>
      </c>
      <c r="E45" s="1" t="s">
        <v>49</v>
      </c>
      <c r="F45" s="1" t="s">
        <v>2290</v>
      </c>
      <c r="G45" s="1" t="s">
        <v>2393</v>
      </c>
      <c r="H45" s="1" t="s">
        <v>2161</v>
      </c>
      <c r="I45" s="1" t="s">
        <v>1636</v>
      </c>
      <c r="J45" s="1" t="s">
        <v>2159</v>
      </c>
      <c r="K45" s="492" t="str">
        <f t="shared" si="3"/>
        <v>Deprecated</v>
      </c>
      <c r="L45" s="486" t="str">
        <f t="shared" si="4"/>
        <v>HR</v>
      </c>
      <c r="M45" s="486" t="str">
        <f t="shared" si="1"/>
        <v>UC</v>
      </c>
      <c r="N45" s="486" t="str">
        <f t="shared" si="5"/>
        <v>PAAS</v>
      </c>
    </row>
    <row r="46" spans="1:14" ht="16">
      <c r="A46" s="240" t="s">
        <v>177</v>
      </c>
      <c r="B46" s="1" t="s">
        <v>178</v>
      </c>
      <c r="C46" s="1">
        <v>0</v>
      </c>
      <c r="D46" s="1">
        <v>500</v>
      </c>
      <c r="E46" s="1" t="s">
        <v>2168</v>
      </c>
      <c r="F46" s="1" t="s">
        <v>2290</v>
      </c>
      <c r="G46" s="1" t="s">
        <v>2309</v>
      </c>
      <c r="H46" s="1" t="s">
        <v>2394</v>
      </c>
      <c r="I46" s="1" t="s">
        <v>1636</v>
      </c>
      <c r="J46" s="1" t="s">
        <v>2159</v>
      </c>
      <c r="K46" s="492" t="str">
        <f t="shared" si="3"/>
        <v>DBaaS</v>
      </c>
      <c r="L46" s="486" t="str">
        <f t="shared" si="4"/>
        <v>UNIT</v>
      </c>
      <c r="M46" s="486" t="str">
        <f t="shared" si="1"/>
        <v>UC</v>
      </c>
      <c r="N46" s="486" t="str">
        <f t="shared" si="5"/>
        <v>PAAS</v>
      </c>
    </row>
    <row r="47" spans="1:14" ht="16">
      <c r="A47" s="240" t="s">
        <v>179</v>
      </c>
      <c r="B47" s="1">
        <v>0</v>
      </c>
      <c r="C47" s="1">
        <v>0</v>
      </c>
      <c r="D47" s="1">
        <v>0.84</v>
      </c>
      <c r="E47" s="1" t="s">
        <v>49</v>
      </c>
      <c r="F47" s="1" t="s">
        <v>2290</v>
      </c>
      <c r="G47" s="1" t="s">
        <v>2393</v>
      </c>
      <c r="H47" s="1" t="s">
        <v>2161</v>
      </c>
      <c r="I47" s="1" t="s">
        <v>1636</v>
      </c>
      <c r="J47" s="1" t="s">
        <v>2159</v>
      </c>
      <c r="K47" s="492" t="str">
        <f t="shared" si="3"/>
        <v>Deprecated</v>
      </c>
      <c r="L47" s="486" t="str">
        <f t="shared" si="4"/>
        <v>HR</v>
      </c>
      <c r="M47" s="486" t="str">
        <f t="shared" si="1"/>
        <v>UC</v>
      </c>
      <c r="N47" s="486" t="str">
        <f t="shared" si="5"/>
        <v>PAAS</v>
      </c>
    </row>
    <row r="48" spans="1:14" ht="16">
      <c r="A48" s="240" t="s">
        <v>180</v>
      </c>
      <c r="B48" s="1" t="s">
        <v>181</v>
      </c>
      <c r="C48" s="1">
        <v>0</v>
      </c>
      <c r="D48" s="1">
        <v>1600</v>
      </c>
      <c r="E48" s="1" t="s">
        <v>2168</v>
      </c>
      <c r="F48" s="1" t="s">
        <v>2290</v>
      </c>
      <c r="G48" s="1" t="s">
        <v>2309</v>
      </c>
      <c r="H48" s="1" t="s">
        <v>2394</v>
      </c>
      <c r="I48" s="1" t="s">
        <v>1636</v>
      </c>
      <c r="J48" s="1" t="s">
        <v>2159</v>
      </c>
      <c r="K48" s="492" t="str">
        <f t="shared" si="3"/>
        <v>DBaaS</v>
      </c>
      <c r="L48" s="486" t="str">
        <f t="shared" si="4"/>
        <v>UNIT</v>
      </c>
      <c r="M48" s="486" t="str">
        <f t="shared" si="1"/>
        <v>UC</v>
      </c>
      <c r="N48" s="486" t="str">
        <f t="shared" si="5"/>
        <v>PAAS</v>
      </c>
    </row>
    <row r="49" spans="1:14" ht="16">
      <c r="A49" s="240" t="s">
        <v>182</v>
      </c>
      <c r="B49" s="1">
        <v>0</v>
      </c>
      <c r="C49" s="1">
        <v>0</v>
      </c>
      <c r="D49" s="1">
        <v>2.6880000000000002</v>
      </c>
      <c r="E49" s="1" t="s">
        <v>49</v>
      </c>
      <c r="F49" s="1" t="s">
        <v>2290</v>
      </c>
      <c r="G49" s="1" t="s">
        <v>2393</v>
      </c>
      <c r="H49" s="1" t="s">
        <v>2161</v>
      </c>
      <c r="I49" s="1" t="s">
        <v>1636</v>
      </c>
      <c r="J49" s="1" t="s">
        <v>2159</v>
      </c>
      <c r="K49" s="492" t="str">
        <f t="shared" si="3"/>
        <v>Deprecated</v>
      </c>
      <c r="L49" s="486" t="str">
        <f t="shared" si="4"/>
        <v>HR</v>
      </c>
      <c r="M49" s="486" t="str">
        <f t="shared" si="1"/>
        <v>UC</v>
      </c>
      <c r="N49" s="486" t="str">
        <f t="shared" si="5"/>
        <v>PAAS</v>
      </c>
    </row>
    <row r="50" spans="1:14" ht="16">
      <c r="A50" s="240" t="s">
        <v>183</v>
      </c>
      <c r="B50" s="1">
        <v>0</v>
      </c>
      <c r="C50" s="1">
        <v>0</v>
      </c>
      <c r="D50" s="1">
        <v>2100</v>
      </c>
      <c r="E50" s="1" t="s">
        <v>2168</v>
      </c>
      <c r="F50" s="1" t="s">
        <v>2290</v>
      </c>
      <c r="G50" s="1" t="s">
        <v>2393</v>
      </c>
      <c r="H50" s="1" t="s">
        <v>2394</v>
      </c>
      <c r="I50" s="1" t="s">
        <v>1636</v>
      </c>
      <c r="J50" s="1" t="s">
        <v>2159</v>
      </c>
      <c r="K50" s="492" t="str">
        <f t="shared" si="3"/>
        <v>Deprecated</v>
      </c>
      <c r="L50" s="486" t="str">
        <f t="shared" si="4"/>
        <v>UNIT</v>
      </c>
      <c r="M50" s="486" t="str">
        <f t="shared" si="1"/>
        <v>UC</v>
      </c>
      <c r="N50" s="486" t="str">
        <f t="shared" si="5"/>
        <v>PAAS</v>
      </c>
    </row>
    <row r="51" spans="1:14" ht="16">
      <c r="A51" s="240" t="s">
        <v>184</v>
      </c>
      <c r="B51" s="1">
        <v>0</v>
      </c>
      <c r="C51" s="1">
        <v>0</v>
      </c>
      <c r="D51" s="1">
        <v>3.528</v>
      </c>
      <c r="E51" s="1" t="s">
        <v>49</v>
      </c>
      <c r="F51" s="1" t="s">
        <v>2290</v>
      </c>
      <c r="G51" s="1" t="s">
        <v>2393</v>
      </c>
      <c r="H51" s="1" t="s">
        <v>2161</v>
      </c>
      <c r="I51" s="1" t="s">
        <v>1636</v>
      </c>
      <c r="J51" s="1" t="s">
        <v>2159</v>
      </c>
      <c r="K51" s="492" t="str">
        <f t="shared" si="3"/>
        <v>Deprecated</v>
      </c>
      <c r="L51" s="486" t="str">
        <f t="shared" si="4"/>
        <v>HR</v>
      </c>
      <c r="M51" s="486" t="str">
        <f t="shared" si="1"/>
        <v>UC</v>
      </c>
      <c r="N51" s="486" t="str">
        <f t="shared" si="5"/>
        <v>PAAS</v>
      </c>
    </row>
    <row r="52" spans="1:14" ht="16">
      <c r="A52" s="240" t="s">
        <v>185</v>
      </c>
      <c r="B52" s="1" t="s">
        <v>186</v>
      </c>
      <c r="C52" s="1">
        <v>0</v>
      </c>
      <c r="D52" s="1">
        <v>3100</v>
      </c>
      <c r="E52" s="1" t="s">
        <v>2168</v>
      </c>
      <c r="F52" s="1" t="s">
        <v>2290</v>
      </c>
      <c r="G52" s="1" t="s">
        <v>2309</v>
      </c>
      <c r="H52" s="1" t="s">
        <v>2394</v>
      </c>
      <c r="I52" s="1" t="s">
        <v>1636</v>
      </c>
      <c r="J52" s="1" t="s">
        <v>2159</v>
      </c>
      <c r="K52" s="492" t="str">
        <f t="shared" si="3"/>
        <v>DBaaS</v>
      </c>
      <c r="L52" s="486" t="str">
        <f t="shared" si="4"/>
        <v>UNIT</v>
      </c>
      <c r="M52" s="486" t="str">
        <f t="shared" si="1"/>
        <v>UC</v>
      </c>
      <c r="N52" s="486" t="str">
        <f t="shared" si="5"/>
        <v>PAAS</v>
      </c>
    </row>
    <row r="53" spans="1:14" ht="16">
      <c r="A53" s="240" t="s">
        <v>187</v>
      </c>
      <c r="B53" s="1">
        <v>0</v>
      </c>
      <c r="C53" s="1">
        <v>0</v>
      </c>
      <c r="D53" s="1">
        <v>5.2080000000000002</v>
      </c>
      <c r="E53" s="1" t="s">
        <v>49</v>
      </c>
      <c r="F53" s="1" t="s">
        <v>2290</v>
      </c>
      <c r="G53" s="1" t="s">
        <v>2393</v>
      </c>
      <c r="H53" s="1" t="s">
        <v>2161</v>
      </c>
      <c r="I53" s="1" t="s">
        <v>1636</v>
      </c>
      <c r="J53" s="1" t="s">
        <v>2159</v>
      </c>
      <c r="K53" s="492" t="str">
        <f t="shared" si="3"/>
        <v>Deprecated</v>
      </c>
      <c r="L53" s="486" t="str">
        <f t="shared" si="4"/>
        <v>HR</v>
      </c>
      <c r="M53" s="486" t="str">
        <f t="shared" si="1"/>
        <v>UC</v>
      </c>
      <c r="N53" s="486" t="str">
        <f t="shared" si="5"/>
        <v>PAAS</v>
      </c>
    </row>
    <row r="54" spans="1:14" ht="16">
      <c r="A54" s="240" t="s">
        <v>188</v>
      </c>
      <c r="B54" s="1" t="s">
        <v>189</v>
      </c>
      <c r="C54" s="1">
        <v>0</v>
      </c>
      <c r="D54" s="1">
        <v>700</v>
      </c>
      <c r="E54" s="1" t="s">
        <v>2168</v>
      </c>
      <c r="F54" s="1" t="s">
        <v>2290</v>
      </c>
      <c r="G54" s="1" t="s">
        <v>2309</v>
      </c>
      <c r="H54" s="1" t="s">
        <v>2394</v>
      </c>
      <c r="I54" s="1" t="s">
        <v>1636</v>
      </c>
      <c r="J54" s="1" t="s">
        <v>2159</v>
      </c>
      <c r="K54" s="492" t="str">
        <f t="shared" si="3"/>
        <v>DBaaS</v>
      </c>
      <c r="L54" s="486" t="str">
        <f t="shared" si="4"/>
        <v>UNIT</v>
      </c>
      <c r="M54" s="486" t="str">
        <f t="shared" si="1"/>
        <v>UC</v>
      </c>
      <c r="N54" s="486" t="str">
        <f t="shared" si="5"/>
        <v>PAAS</v>
      </c>
    </row>
    <row r="55" spans="1:14" ht="16">
      <c r="A55" s="240" t="s">
        <v>190</v>
      </c>
      <c r="B55" s="1">
        <v>0</v>
      </c>
      <c r="C55" s="1">
        <v>0</v>
      </c>
      <c r="D55" s="1">
        <v>1.1759999999999999</v>
      </c>
      <c r="E55" s="1" t="s">
        <v>49</v>
      </c>
      <c r="F55" s="1" t="s">
        <v>2290</v>
      </c>
      <c r="G55" s="1" t="s">
        <v>2393</v>
      </c>
      <c r="H55" s="1" t="s">
        <v>2161</v>
      </c>
      <c r="I55" s="1" t="s">
        <v>1636</v>
      </c>
      <c r="J55" s="1" t="s">
        <v>2159</v>
      </c>
      <c r="K55" s="492" t="str">
        <f t="shared" si="3"/>
        <v>Deprecated</v>
      </c>
      <c r="L55" s="486" t="str">
        <f t="shared" si="4"/>
        <v>HR</v>
      </c>
      <c r="M55" s="486" t="str">
        <f t="shared" si="1"/>
        <v>UC</v>
      </c>
      <c r="N55" s="486" t="str">
        <f t="shared" si="5"/>
        <v>PAAS</v>
      </c>
    </row>
    <row r="56" spans="1:14" ht="16">
      <c r="A56" s="240" t="s">
        <v>191</v>
      </c>
      <c r="B56" s="1" t="s">
        <v>192</v>
      </c>
      <c r="C56" s="1">
        <v>0</v>
      </c>
      <c r="D56" s="1">
        <v>3100</v>
      </c>
      <c r="E56" s="1" t="s">
        <v>2168</v>
      </c>
      <c r="F56" s="1" t="s">
        <v>2290</v>
      </c>
      <c r="G56" s="1" t="s">
        <v>2309</v>
      </c>
      <c r="H56" s="1" t="s">
        <v>2394</v>
      </c>
      <c r="I56" s="1" t="s">
        <v>1636</v>
      </c>
      <c r="J56" s="1" t="s">
        <v>2159</v>
      </c>
      <c r="K56" s="492" t="str">
        <f t="shared" si="3"/>
        <v>DBaaS</v>
      </c>
      <c r="L56" s="486" t="str">
        <f t="shared" si="4"/>
        <v>UNIT</v>
      </c>
      <c r="M56" s="486" t="str">
        <f t="shared" si="1"/>
        <v>UC</v>
      </c>
      <c r="N56" s="486" t="str">
        <f t="shared" si="5"/>
        <v>PAAS</v>
      </c>
    </row>
    <row r="57" spans="1:14" ht="16">
      <c r="A57" s="240" t="s">
        <v>193</v>
      </c>
      <c r="B57" s="1">
        <v>0</v>
      </c>
      <c r="C57" s="1">
        <v>0</v>
      </c>
      <c r="D57" s="1">
        <v>5.2080000000000002</v>
      </c>
      <c r="E57" s="1" t="s">
        <v>49</v>
      </c>
      <c r="F57" s="1" t="s">
        <v>2290</v>
      </c>
      <c r="G57" s="1" t="s">
        <v>2393</v>
      </c>
      <c r="H57" s="1" t="s">
        <v>2161</v>
      </c>
      <c r="I57" s="1" t="s">
        <v>1636</v>
      </c>
      <c r="J57" s="1" t="s">
        <v>2159</v>
      </c>
      <c r="K57" s="492" t="str">
        <f t="shared" si="3"/>
        <v>Deprecated</v>
      </c>
      <c r="L57" s="486" t="str">
        <f t="shared" si="4"/>
        <v>HR</v>
      </c>
      <c r="M57" s="486" t="str">
        <f t="shared" si="1"/>
        <v>UC</v>
      </c>
      <c r="N57" s="486" t="str">
        <f t="shared" si="5"/>
        <v>PAAS</v>
      </c>
    </row>
    <row r="58" spans="1:14" ht="16">
      <c r="A58" s="240" t="s">
        <v>194</v>
      </c>
      <c r="B58" s="1" t="s">
        <v>195</v>
      </c>
      <c r="C58" s="1">
        <v>0</v>
      </c>
      <c r="D58" s="1">
        <v>4100</v>
      </c>
      <c r="E58" s="1" t="s">
        <v>2168</v>
      </c>
      <c r="F58" s="1" t="s">
        <v>2290</v>
      </c>
      <c r="G58" s="1" t="s">
        <v>2309</v>
      </c>
      <c r="H58" s="1" t="s">
        <v>2394</v>
      </c>
      <c r="I58" s="1" t="s">
        <v>1636</v>
      </c>
      <c r="J58" s="1" t="s">
        <v>2159</v>
      </c>
      <c r="K58" s="492" t="str">
        <f t="shared" si="3"/>
        <v>DBaaS</v>
      </c>
      <c r="L58" s="486" t="str">
        <f t="shared" si="4"/>
        <v>UNIT</v>
      </c>
      <c r="M58" s="486" t="str">
        <f t="shared" si="1"/>
        <v>UC</v>
      </c>
      <c r="N58" s="486" t="str">
        <f t="shared" si="5"/>
        <v>PAAS</v>
      </c>
    </row>
    <row r="59" spans="1:14" ht="16">
      <c r="A59" s="240" t="s">
        <v>196</v>
      </c>
      <c r="B59" s="1">
        <v>0</v>
      </c>
      <c r="C59" s="1">
        <v>0</v>
      </c>
      <c r="D59" s="1">
        <v>6.8879999999999999</v>
      </c>
      <c r="E59" s="1" t="s">
        <v>49</v>
      </c>
      <c r="F59" s="1" t="s">
        <v>2290</v>
      </c>
      <c r="G59" s="1" t="s">
        <v>2393</v>
      </c>
      <c r="H59" s="1" t="s">
        <v>2161</v>
      </c>
      <c r="I59" s="1" t="s">
        <v>1636</v>
      </c>
      <c r="J59" s="1" t="s">
        <v>2159</v>
      </c>
      <c r="K59" s="492" t="str">
        <f t="shared" si="3"/>
        <v>Deprecated</v>
      </c>
      <c r="L59" s="486" t="str">
        <f t="shared" si="4"/>
        <v>HR</v>
      </c>
      <c r="M59" s="486" t="str">
        <f t="shared" si="1"/>
        <v>UC</v>
      </c>
      <c r="N59" s="486" t="str">
        <f t="shared" si="5"/>
        <v>PAAS</v>
      </c>
    </row>
    <row r="60" spans="1:14" ht="16">
      <c r="A60" s="240" t="s">
        <v>197</v>
      </c>
      <c r="B60" s="1" t="s">
        <v>198</v>
      </c>
      <c r="C60" s="1">
        <v>0</v>
      </c>
      <c r="D60" s="1">
        <v>5100</v>
      </c>
      <c r="E60" s="1" t="s">
        <v>2168</v>
      </c>
      <c r="F60" s="1" t="s">
        <v>2290</v>
      </c>
      <c r="G60" s="1" t="s">
        <v>2309</v>
      </c>
      <c r="H60" s="1" t="s">
        <v>2394</v>
      </c>
      <c r="I60" s="1" t="s">
        <v>1636</v>
      </c>
      <c r="J60" s="1" t="s">
        <v>2159</v>
      </c>
      <c r="K60" s="492" t="str">
        <f t="shared" si="3"/>
        <v>DBaaS</v>
      </c>
      <c r="L60" s="486" t="str">
        <f t="shared" si="4"/>
        <v>UNIT</v>
      </c>
      <c r="M60" s="486" t="str">
        <f t="shared" si="1"/>
        <v>UC</v>
      </c>
      <c r="N60" s="486" t="str">
        <f t="shared" si="5"/>
        <v>PAAS</v>
      </c>
    </row>
    <row r="61" spans="1:14" ht="16">
      <c r="A61" s="240" t="s">
        <v>199</v>
      </c>
      <c r="B61" s="1">
        <v>0</v>
      </c>
      <c r="C61" s="1">
        <v>0</v>
      </c>
      <c r="D61" s="1">
        <v>8.5690000000000008</v>
      </c>
      <c r="E61" s="1" t="s">
        <v>49</v>
      </c>
      <c r="F61" s="1" t="s">
        <v>2290</v>
      </c>
      <c r="G61" s="1" t="s">
        <v>2393</v>
      </c>
      <c r="H61" s="1" t="s">
        <v>2161</v>
      </c>
      <c r="I61" s="1" t="s">
        <v>1636</v>
      </c>
      <c r="J61" s="1" t="s">
        <v>2159</v>
      </c>
      <c r="K61" s="492" t="str">
        <f t="shared" si="3"/>
        <v>Deprecated</v>
      </c>
      <c r="L61" s="486" t="str">
        <f t="shared" si="4"/>
        <v>HR</v>
      </c>
      <c r="M61" s="486" t="str">
        <f t="shared" si="1"/>
        <v>UC</v>
      </c>
      <c r="N61" s="486" t="str">
        <f t="shared" si="5"/>
        <v>PAAS</v>
      </c>
    </row>
    <row r="62" spans="1:14" ht="16">
      <c r="A62" s="240" t="s">
        <v>200</v>
      </c>
      <c r="B62" s="1" t="s">
        <v>201</v>
      </c>
      <c r="C62" s="1">
        <v>0</v>
      </c>
      <c r="D62" s="1">
        <v>300</v>
      </c>
      <c r="E62" s="1" t="s">
        <v>2168</v>
      </c>
      <c r="F62" s="1" t="s">
        <v>2290</v>
      </c>
      <c r="G62" s="1" t="s">
        <v>2393</v>
      </c>
      <c r="H62" s="1" t="s">
        <v>2394</v>
      </c>
      <c r="I62" s="1" t="s">
        <v>1636</v>
      </c>
      <c r="J62" s="1" t="s">
        <v>2159</v>
      </c>
      <c r="K62" s="492" t="str">
        <f t="shared" si="3"/>
        <v>Deprecated</v>
      </c>
      <c r="L62" s="486" t="str">
        <f t="shared" si="4"/>
        <v>UNIT</v>
      </c>
      <c r="M62" s="486" t="str">
        <f t="shared" si="1"/>
        <v>UC</v>
      </c>
      <c r="N62" s="486" t="str">
        <f t="shared" si="5"/>
        <v>PAAS</v>
      </c>
    </row>
    <row r="63" spans="1:14" ht="16">
      <c r="A63" s="240" t="s">
        <v>202</v>
      </c>
      <c r="B63" s="1">
        <v>0</v>
      </c>
      <c r="C63" s="1">
        <v>0</v>
      </c>
      <c r="D63" s="1">
        <v>0.5</v>
      </c>
      <c r="E63" s="1" t="s">
        <v>49</v>
      </c>
      <c r="F63" s="1" t="s">
        <v>2290</v>
      </c>
      <c r="G63" s="1" t="s">
        <v>2393</v>
      </c>
      <c r="H63" s="1" t="s">
        <v>2161</v>
      </c>
      <c r="I63" s="1" t="s">
        <v>1636</v>
      </c>
      <c r="J63" s="1" t="s">
        <v>2159</v>
      </c>
      <c r="K63" s="492" t="str">
        <f t="shared" si="3"/>
        <v>Deprecated</v>
      </c>
      <c r="L63" s="486" t="str">
        <f t="shared" si="4"/>
        <v>HR</v>
      </c>
      <c r="M63" s="486" t="str">
        <f t="shared" si="1"/>
        <v>UC</v>
      </c>
      <c r="N63" s="486" t="str">
        <f t="shared" si="5"/>
        <v>PAAS</v>
      </c>
    </row>
    <row r="64" spans="1:14" ht="16">
      <c r="A64" s="240" t="s">
        <v>203</v>
      </c>
      <c r="B64" s="1" t="s">
        <v>204</v>
      </c>
      <c r="C64" s="1">
        <v>0</v>
      </c>
      <c r="D64" s="1">
        <v>800</v>
      </c>
      <c r="E64" s="1" t="s">
        <v>2168</v>
      </c>
      <c r="F64" s="1" t="s">
        <v>2290</v>
      </c>
      <c r="G64" s="1" t="s">
        <v>2393</v>
      </c>
      <c r="H64" s="1" t="s">
        <v>2394</v>
      </c>
      <c r="I64" s="1" t="s">
        <v>1636</v>
      </c>
      <c r="J64" s="1" t="s">
        <v>2159</v>
      </c>
      <c r="K64" s="492" t="str">
        <f t="shared" si="3"/>
        <v>Deprecated</v>
      </c>
      <c r="L64" s="486" t="str">
        <f t="shared" si="4"/>
        <v>UNIT</v>
      </c>
      <c r="M64" s="486" t="str">
        <f t="shared" si="1"/>
        <v>UC</v>
      </c>
      <c r="N64" s="486" t="str">
        <f t="shared" si="5"/>
        <v>PAAS</v>
      </c>
    </row>
    <row r="65" spans="1:14" ht="16">
      <c r="A65" s="240" t="s">
        <v>205</v>
      </c>
      <c r="B65" s="1">
        <v>0</v>
      </c>
      <c r="C65" s="1">
        <v>0</v>
      </c>
      <c r="D65" s="1">
        <v>1.34</v>
      </c>
      <c r="E65" s="1" t="s">
        <v>49</v>
      </c>
      <c r="F65" s="1" t="s">
        <v>2290</v>
      </c>
      <c r="G65" s="1" t="s">
        <v>2393</v>
      </c>
      <c r="H65" s="1" t="s">
        <v>2161</v>
      </c>
      <c r="I65" s="1" t="s">
        <v>1636</v>
      </c>
      <c r="J65" s="1" t="s">
        <v>2159</v>
      </c>
      <c r="K65" s="492" t="str">
        <f t="shared" si="3"/>
        <v>Deprecated</v>
      </c>
      <c r="L65" s="486" t="str">
        <f t="shared" si="4"/>
        <v>HR</v>
      </c>
      <c r="M65" s="486" t="str">
        <f t="shared" si="1"/>
        <v>UC</v>
      </c>
      <c r="N65" s="486" t="str">
        <f t="shared" si="5"/>
        <v>PAAS</v>
      </c>
    </row>
    <row r="66" spans="1:14" ht="16">
      <c r="A66" s="240" t="s">
        <v>206</v>
      </c>
      <c r="B66" s="1" t="s">
        <v>207</v>
      </c>
      <c r="C66" s="1">
        <v>0</v>
      </c>
      <c r="D66" s="1">
        <v>1400</v>
      </c>
      <c r="E66" s="1" t="s">
        <v>2168</v>
      </c>
      <c r="F66" s="1" t="s">
        <v>2290</v>
      </c>
      <c r="G66" s="1" t="s">
        <v>2393</v>
      </c>
      <c r="H66" s="1" t="s">
        <v>2394</v>
      </c>
      <c r="I66" s="1" t="s">
        <v>1636</v>
      </c>
      <c r="J66" s="1" t="s">
        <v>2159</v>
      </c>
      <c r="K66" s="492" t="str">
        <f t="shared" si="3"/>
        <v>Deprecated</v>
      </c>
      <c r="L66" s="486" t="str">
        <f t="shared" si="4"/>
        <v>UNIT</v>
      </c>
      <c r="M66" s="486" t="str">
        <f t="shared" si="1"/>
        <v>UC</v>
      </c>
      <c r="N66" s="486" t="str">
        <f t="shared" si="5"/>
        <v>PAAS</v>
      </c>
    </row>
    <row r="67" spans="1:14" ht="16">
      <c r="A67" s="240" t="s">
        <v>208</v>
      </c>
      <c r="B67" s="1">
        <v>0</v>
      </c>
      <c r="C67" s="1">
        <v>0</v>
      </c>
      <c r="D67" s="1">
        <v>2.35</v>
      </c>
      <c r="E67" s="1" t="s">
        <v>49</v>
      </c>
      <c r="F67" s="1" t="s">
        <v>2290</v>
      </c>
      <c r="G67" s="1" t="s">
        <v>2393</v>
      </c>
      <c r="H67" s="1" t="s">
        <v>2161</v>
      </c>
      <c r="I67" s="1" t="s">
        <v>1636</v>
      </c>
      <c r="J67" s="1" t="s">
        <v>2159</v>
      </c>
      <c r="K67" s="492" t="str">
        <f t="shared" si="3"/>
        <v>Deprecated</v>
      </c>
      <c r="L67" s="486" t="str">
        <f t="shared" si="4"/>
        <v>HR</v>
      </c>
      <c r="M67" s="486" t="str">
        <f t="shared" si="1"/>
        <v>UC</v>
      </c>
      <c r="N67" s="486" t="str">
        <f t="shared" si="5"/>
        <v>PAAS</v>
      </c>
    </row>
    <row r="68" spans="1:14" ht="16">
      <c r="A68" s="240" t="s">
        <v>209</v>
      </c>
      <c r="B68" s="1" t="s">
        <v>210</v>
      </c>
      <c r="C68" s="1">
        <v>0</v>
      </c>
      <c r="D68" s="1">
        <v>450</v>
      </c>
      <c r="E68" s="1" t="s">
        <v>2168</v>
      </c>
      <c r="F68" s="1" t="s">
        <v>2290</v>
      </c>
      <c r="G68" s="1" t="s">
        <v>2393</v>
      </c>
      <c r="H68" s="1" t="s">
        <v>2394</v>
      </c>
      <c r="I68" s="1" t="s">
        <v>1636</v>
      </c>
      <c r="J68" s="1" t="s">
        <v>2159</v>
      </c>
      <c r="K68" s="492" t="str">
        <f t="shared" si="3"/>
        <v>Deprecated</v>
      </c>
      <c r="L68" s="486" t="str">
        <f t="shared" si="4"/>
        <v>UNIT</v>
      </c>
      <c r="M68" s="486" t="str">
        <f t="shared" ref="M68:M131" si="6">_xlfn.IFS(K68="CC","CC",K68="Rapid Start","SRV",F68="Y","UC0",TRUE,"UC")</f>
        <v>UC</v>
      </c>
      <c r="N68" s="486" t="str">
        <f t="shared" si="5"/>
        <v>PAAS</v>
      </c>
    </row>
    <row r="69" spans="1:14" ht="16">
      <c r="A69" s="240" t="s">
        <v>211</v>
      </c>
      <c r="B69" s="1">
        <v>0</v>
      </c>
      <c r="C69" s="1">
        <v>0</v>
      </c>
      <c r="D69" s="1">
        <v>0.75</v>
      </c>
      <c r="E69" s="1" t="s">
        <v>49</v>
      </c>
      <c r="F69" s="1" t="s">
        <v>2290</v>
      </c>
      <c r="G69" s="1" t="s">
        <v>2393</v>
      </c>
      <c r="H69" s="1" t="s">
        <v>2161</v>
      </c>
      <c r="I69" s="1" t="s">
        <v>1636</v>
      </c>
      <c r="J69" s="1" t="s">
        <v>2159</v>
      </c>
      <c r="K69" s="492" t="str">
        <f t="shared" si="3"/>
        <v>Deprecated</v>
      </c>
      <c r="L69" s="486" t="str">
        <f t="shared" si="4"/>
        <v>HR</v>
      </c>
      <c r="M69" s="486" t="str">
        <f t="shared" si="6"/>
        <v>UC</v>
      </c>
      <c r="N69" s="486" t="str">
        <f t="shared" si="5"/>
        <v>PAAS</v>
      </c>
    </row>
    <row r="70" spans="1:14" ht="16">
      <c r="A70" s="240" t="s">
        <v>212</v>
      </c>
      <c r="B70" s="1" t="s">
        <v>213</v>
      </c>
      <c r="C70" s="1">
        <v>0</v>
      </c>
      <c r="D70" s="1">
        <v>1200</v>
      </c>
      <c r="E70" s="1" t="s">
        <v>2168</v>
      </c>
      <c r="F70" s="1" t="s">
        <v>2290</v>
      </c>
      <c r="G70" s="1" t="s">
        <v>2393</v>
      </c>
      <c r="H70" s="1" t="s">
        <v>2394</v>
      </c>
      <c r="I70" s="1" t="s">
        <v>1636</v>
      </c>
      <c r="J70" s="1" t="s">
        <v>2159</v>
      </c>
      <c r="K70" s="492" t="str">
        <f t="shared" si="3"/>
        <v>Deprecated</v>
      </c>
      <c r="L70" s="486" t="str">
        <f t="shared" si="4"/>
        <v>UNIT</v>
      </c>
      <c r="M70" s="486" t="str">
        <f t="shared" si="6"/>
        <v>UC</v>
      </c>
      <c r="N70" s="486" t="str">
        <f t="shared" si="5"/>
        <v>PAAS</v>
      </c>
    </row>
    <row r="71" spans="1:14" ht="16">
      <c r="A71" s="240" t="s">
        <v>214</v>
      </c>
      <c r="B71" s="1">
        <v>0</v>
      </c>
      <c r="C71" s="1">
        <v>0</v>
      </c>
      <c r="D71" s="1">
        <v>2.02</v>
      </c>
      <c r="E71" s="1" t="s">
        <v>49</v>
      </c>
      <c r="F71" s="1" t="s">
        <v>2290</v>
      </c>
      <c r="G71" s="1" t="s">
        <v>2393</v>
      </c>
      <c r="H71" s="1" t="s">
        <v>2161</v>
      </c>
      <c r="I71" s="1" t="s">
        <v>1636</v>
      </c>
      <c r="J71" s="1" t="s">
        <v>2159</v>
      </c>
      <c r="K71" s="492" t="str">
        <f t="shared" si="3"/>
        <v>Deprecated</v>
      </c>
      <c r="L71" s="486" t="str">
        <f t="shared" si="4"/>
        <v>HR</v>
      </c>
      <c r="M71" s="486" t="str">
        <f t="shared" si="6"/>
        <v>UC</v>
      </c>
      <c r="N71" s="486" t="str">
        <f t="shared" si="5"/>
        <v>PAAS</v>
      </c>
    </row>
    <row r="72" spans="1:14" ht="16">
      <c r="A72" s="240" t="s">
        <v>215</v>
      </c>
      <c r="B72" s="1" t="s">
        <v>216</v>
      </c>
      <c r="C72" s="1">
        <v>0</v>
      </c>
      <c r="D72" s="1">
        <v>2800</v>
      </c>
      <c r="E72" s="1" t="s">
        <v>2168</v>
      </c>
      <c r="F72" s="1" t="s">
        <v>2290</v>
      </c>
      <c r="G72" s="1" t="s">
        <v>2393</v>
      </c>
      <c r="H72" s="1" t="s">
        <v>2394</v>
      </c>
      <c r="I72" s="1" t="s">
        <v>1636</v>
      </c>
      <c r="J72" s="1" t="s">
        <v>2159</v>
      </c>
      <c r="K72" s="492" t="str">
        <f t="shared" si="3"/>
        <v>Deprecated</v>
      </c>
      <c r="L72" s="486" t="str">
        <f t="shared" si="4"/>
        <v>UNIT</v>
      </c>
      <c r="M72" s="486" t="str">
        <f t="shared" si="6"/>
        <v>UC</v>
      </c>
      <c r="N72" s="486" t="str">
        <f t="shared" si="5"/>
        <v>PAAS</v>
      </c>
    </row>
    <row r="73" spans="1:14" ht="16">
      <c r="A73" s="240" t="s">
        <v>217</v>
      </c>
      <c r="B73" s="1">
        <v>0</v>
      </c>
      <c r="C73" s="1">
        <v>0</v>
      </c>
      <c r="D73" s="1">
        <v>4.7</v>
      </c>
      <c r="E73" s="1" t="s">
        <v>49</v>
      </c>
      <c r="F73" s="1" t="s">
        <v>2290</v>
      </c>
      <c r="G73" s="1" t="s">
        <v>2393</v>
      </c>
      <c r="H73" s="1" t="s">
        <v>2161</v>
      </c>
      <c r="I73" s="1" t="s">
        <v>1636</v>
      </c>
      <c r="J73" s="1" t="s">
        <v>2159</v>
      </c>
      <c r="K73" s="492" t="str">
        <f t="shared" si="3"/>
        <v>Deprecated</v>
      </c>
      <c r="L73" s="486" t="str">
        <f t="shared" si="4"/>
        <v>HR</v>
      </c>
      <c r="M73" s="486" t="str">
        <f t="shared" si="6"/>
        <v>UC</v>
      </c>
      <c r="N73" s="486" t="str">
        <f t="shared" si="5"/>
        <v>PAAS</v>
      </c>
    </row>
    <row r="74" spans="1:14" ht="16">
      <c r="A74" s="240" t="s">
        <v>218</v>
      </c>
      <c r="B74" s="1" t="s">
        <v>219</v>
      </c>
      <c r="C74" s="1">
        <v>0</v>
      </c>
      <c r="D74" s="1">
        <v>400</v>
      </c>
      <c r="E74" s="1" t="s">
        <v>2168</v>
      </c>
      <c r="F74" s="1" t="s">
        <v>2290</v>
      </c>
      <c r="G74" s="1" t="s">
        <v>2393</v>
      </c>
      <c r="H74" s="1" t="s">
        <v>2394</v>
      </c>
      <c r="I74" s="1" t="s">
        <v>1636</v>
      </c>
      <c r="J74" s="1" t="s">
        <v>2159</v>
      </c>
      <c r="K74" s="492" t="str">
        <f t="shared" si="3"/>
        <v>Deprecated</v>
      </c>
      <c r="L74" s="486" t="str">
        <f t="shared" si="4"/>
        <v>UNIT</v>
      </c>
      <c r="M74" s="486" t="str">
        <f t="shared" si="6"/>
        <v>UC</v>
      </c>
      <c r="N74" s="486" t="str">
        <f t="shared" si="5"/>
        <v>PAAS</v>
      </c>
    </row>
    <row r="75" spans="1:14" ht="16">
      <c r="A75" s="240" t="s">
        <v>220</v>
      </c>
      <c r="B75" s="1">
        <v>0</v>
      </c>
      <c r="C75" s="1">
        <v>0</v>
      </c>
      <c r="D75" s="1">
        <v>0.67</v>
      </c>
      <c r="E75" s="1" t="s">
        <v>49</v>
      </c>
      <c r="F75" s="1" t="s">
        <v>2290</v>
      </c>
      <c r="G75" s="1" t="s">
        <v>2393</v>
      </c>
      <c r="H75" s="1" t="s">
        <v>2161</v>
      </c>
      <c r="I75" s="1" t="s">
        <v>1636</v>
      </c>
      <c r="J75" s="1" t="s">
        <v>2159</v>
      </c>
      <c r="K75" s="492" t="str">
        <f t="shared" si="3"/>
        <v>Deprecated</v>
      </c>
      <c r="L75" s="486" t="str">
        <f t="shared" si="4"/>
        <v>HR</v>
      </c>
      <c r="M75" s="486" t="str">
        <f t="shared" si="6"/>
        <v>UC</v>
      </c>
      <c r="N75" s="486" t="str">
        <f t="shared" si="5"/>
        <v>PAAS</v>
      </c>
    </row>
    <row r="76" spans="1:14" ht="16">
      <c r="A76" s="240" t="s">
        <v>221</v>
      </c>
      <c r="B76" s="1" t="s">
        <v>222</v>
      </c>
      <c r="C76" s="1">
        <v>0</v>
      </c>
      <c r="D76" s="1">
        <v>900</v>
      </c>
      <c r="E76" s="1" t="s">
        <v>2168</v>
      </c>
      <c r="F76" s="1" t="s">
        <v>2290</v>
      </c>
      <c r="G76" s="1" t="s">
        <v>2393</v>
      </c>
      <c r="H76" s="1" t="s">
        <v>2394</v>
      </c>
      <c r="I76" s="1" t="s">
        <v>1636</v>
      </c>
      <c r="J76" s="1" t="s">
        <v>2159</v>
      </c>
      <c r="K76" s="492" t="str">
        <f t="shared" si="3"/>
        <v>Deprecated</v>
      </c>
      <c r="L76" s="486" t="str">
        <f t="shared" si="4"/>
        <v>UNIT</v>
      </c>
      <c r="M76" s="486" t="str">
        <f t="shared" si="6"/>
        <v>UC</v>
      </c>
      <c r="N76" s="486" t="str">
        <f t="shared" si="5"/>
        <v>PAAS</v>
      </c>
    </row>
    <row r="77" spans="1:14" ht="16">
      <c r="A77" s="240" t="s">
        <v>223</v>
      </c>
      <c r="B77" s="1">
        <v>0</v>
      </c>
      <c r="C77" s="1">
        <v>0</v>
      </c>
      <c r="D77" s="1">
        <v>1.51</v>
      </c>
      <c r="E77" s="1" t="s">
        <v>49</v>
      </c>
      <c r="F77" s="1" t="s">
        <v>2290</v>
      </c>
      <c r="G77" s="1" t="s">
        <v>2393</v>
      </c>
      <c r="H77" s="1" t="s">
        <v>2161</v>
      </c>
      <c r="I77" s="1" t="s">
        <v>1636</v>
      </c>
      <c r="J77" s="1" t="s">
        <v>2159</v>
      </c>
      <c r="K77" s="492" t="str">
        <f t="shared" si="3"/>
        <v>Deprecated</v>
      </c>
      <c r="L77" s="486" t="str">
        <f t="shared" si="4"/>
        <v>HR</v>
      </c>
      <c r="M77" s="486" t="str">
        <f t="shared" si="6"/>
        <v>UC</v>
      </c>
      <c r="N77" s="486" t="str">
        <f t="shared" si="5"/>
        <v>PAAS</v>
      </c>
    </row>
    <row r="78" spans="1:14" ht="16">
      <c r="A78" s="240" t="s">
        <v>224</v>
      </c>
      <c r="B78" s="1" t="s">
        <v>225</v>
      </c>
      <c r="C78" s="1">
        <v>0</v>
      </c>
      <c r="D78" s="1">
        <v>1500</v>
      </c>
      <c r="E78" s="1" t="s">
        <v>2168</v>
      </c>
      <c r="F78" s="1" t="s">
        <v>2290</v>
      </c>
      <c r="G78" s="1" t="s">
        <v>2393</v>
      </c>
      <c r="H78" s="1" t="s">
        <v>2394</v>
      </c>
      <c r="I78" s="1" t="s">
        <v>1636</v>
      </c>
      <c r="J78" s="1" t="s">
        <v>2159</v>
      </c>
      <c r="K78" s="492" t="str">
        <f t="shared" ref="K78:K141" si="7" xml:space="preserve"> _xlfn.IFS(ISNUMBER(SEARCH("Universal Credits",B78)),"UC",
ISNUMBER(SEARCH("Ravello",B78)),"Deprecated",
ISNUMBER(SEARCH("Cloud Machine",B78)),"Deprecated",
ISNUMBER(SEARCH("Compute",B78)),"Compute",
ISNUMBER(SEARCH("Load Balancer",B78)),"Network",
ISNUMBER(SEARCH("FastConnect",B78)),"Network",
ISNUMBER(SEARCH("Database OCPU",B78)),"CC OCPU",
ISNUMBER(SEARCH("at Customer",B78)),"CC",
ISNUMBER(SEARCH("Exadata Storage",B78)),"Exa Storage",
ISNUMBER(SEARCH("Storage",B78)),"Storage",
ISNUMBER(SEARCH("Block ",B78)),"Storage",
ISNUMBER(SEARCH("Autonomous Data Warehouse",B78)),"ADW",
ISNUMBER(SEARCH("Autonomous Transaction Processing",B78)),"ATP",
ISNUMBER(SEARCH("Database Exadata",B78)),"ExaCS",
ISNUMBER(SEARCH("Database",B78)),"DBaaS",
ISNUMBER(SEARCH("Essbase",B78)),"DBaaS",
ISNUMBER(SEARCH("integration",B78)),"Integration",
ISNUMBER(SEARCH("SOA",B78)),"Integration",
ISNUMBER(SEARCH("Management Cloud",B78)),"Service",
ISNUMBER(SEARCH("Analytics",B78)),"Analytics",
ISNUMBER(SEARCH("Storage",B78)),"Storage",
ISNUMBER(SEARCH("Block ",B78)),"Storage",
ISNUMBER(SEARCH("Identity",B78)),"Platform",
ISNUMBER(SEARCH("Content",B78)),"Platform",
ISNUMBER(SEARCH("Weblogic",B78)),"Platform",
ISNUMBER(SEARCH("Digital Assistant",B78)),"Platform",
ISNUMBER(SEARCH("Advance",B78)),"New",
ISNUMBER(SEARCH("Limited",B78)),"Classic",
ISNUMBER(SEARCH("Classic",B78)),"Classic",
ISNUMBER(SEARCH("Government",B78)),"Government",
ISNUMBER(SEARCH("Metered",B78)),"Deprecated",
VALUE(RIGHT(A78,5))&lt;88206,"Deprecated",
TRUE,"Service")</f>
        <v>Deprecated</v>
      </c>
      <c r="L78" s="486" t="str">
        <f t="shared" ref="L78:L141" si="8">_xlfn.IFS(ISNUMBER(SEARCH("Hour",E78)),"HR",ISNUMBER(SEARCH("Gigabyte",E78)),"GB",ISNUMBER(SEARCH("Terabyte",E78)),"TB",ISNUMBER(SEARCH("Requests",E78)),"REQ",ISNUMBER(SEARCH("Each",E78)),"EA","TRUE","UNIT")</f>
        <v>UNIT</v>
      </c>
      <c r="M78" s="486" t="str">
        <f t="shared" si="6"/>
        <v>UC</v>
      </c>
      <c r="N78" s="486" t="str">
        <f t="shared" ref="N78:N141" si="9">_xlfn.IFS(K78="Storage","IAAS",K78="Compute","IAAS",K78="Network","IAAS",K78="Service","IAAS",L78="REQ","IAAS",TRUE,"PAAS")</f>
        <v>PAAS</v>
      </c>
    </row>
    <row r="79" spans="1:14" ht="16">
      <c r="A79" s="240" t="s">
        <v>226</v>
      </c>
      <c r="B79" s="1">
        <v>0</v>
      </c>
      <c r="C79" s="1">
        <v>0</v>
      </c>
      <c r="D79" s="1">
        <v>2.52</v>
      </c>
      <c r="E79" s="1" t="s">
        <v>49</v>
      </c>
      <c r="F79" s="1" t="s">
        <v>2290</v>
      </c>
      <c r="G79" s="1" t="s">
        <v>2393</v>
      </c>
      <c r="H79" s="1" t="s">
        <v>2161</v>
      </c>
      <c r="I79" s="1" t="s">
        <v>1636</v>
      </c>
      <c r="J79" s="1" t="s">
        <v>2159</v>
      </c>
      <c r="K79" s="492" t="str">
        <f t="shared" si="7"/>
        <v>Deprecated</v>
      </c>
      <c r="L79" s="486" t="str">
        <f t="shared" si="8"/>
        <v>HR</v>
      </c>
      <c r="M79" s="486" t="str">
        <f t="shared" si="6"/>
        <v>UC</v>
      </c>
      <c r="N79" s="486" t="str">
        <f t="shared" si="9"/>
        <v>PAAS</v>
      </c>
    </row>
    <row r="80" spans="1:14" ht="16">
      <c r="A80" s="240" t="s">
        <v>227</v>
      </c>
      <c r="B80" s="1" t="s">
        <v>228</v>
      </c>
      <c r="C80" s="1">
        <v>0</v>
      </c>
      <c r="D80" s="1">
        <v>550</v>
      </c>
      <c r="E80" s="1" t="s">
        <v>2168</v>
      </c>
      <c r="F80" s="1" t="s">
        <v>2290</v>
      </c>
      <c r="G80" s="1" t="s">
        <v>2393</v>
      </c>
      <c r="H80" s="1" t="s">
        <v>2394</v>
      </c>
      <c r="I80" s="1" t="s">
        <v>1636</v>
      </c>
      <c r="J80" s="1" t="s">
        <v>2159</v>
      </c>
      <c r="K80" s="492" t="str">
        <f t="shared" si="7"/>
        <v>Deprecated</v>
      </c>
      <c r="L80" s="486" t="str">
        <f t="shared" si="8"/>
        <v>UNIT</v>
      </c>
      <c r="M80" s="486" t="str">
        <f t="shared" si="6"/>
        <v>UC</v>
      </c>
      <c r="N80" s="486" t="str">
        <f t="shared" si="9"/>
        <v>PAAS</v>
      </c>
    </row>
    <row r="81" spans="1:14" ht="16">
      <c r="A81" s="240" t="s">
        <v>229</v>
      </c>
      <c r="B81" s="1">
        <v>0</v>
      </c>
      <c r="C81" s="1">
        <v>0</v>
      </c>
      <c r="D81" s="1">
        <v>0.92</v>
      </c>
      <c r="E81" s="1" t="s">
        <v>49</v>
      </c>
      <c r="F81" s="1" t="s">
        <v>2290</v>
      </c>
      <c r="G81" s="1" t="s">
        <v>2393</v>
      </c>
      <c r="H81" s="1" t="s">
        <v>2161</v>
      </c>
      <c r="I81" s="1" t="s">
        <v>1636</v>
      </c>
      <c r="J81" s="1" t="s">
        <v>2159</v>
      </c>
      <c r="K81" s="492" t="str">
        <f t="shared" si="7"/>
        <v>Deprecated</v>
      </c>
      <c r="L81" s="486" t="str">
        <f t="shared" si="8"/>
        <v>HR</v>
      </c>
      <c r="M81" s="486" t="str">
        <f t="shared" si="6"/>
        <v>UC</v>
      </c>
      <c r="N81" s="486" t="str">
        <f t="shared" si="9"/>
        <v>PAAS</v>
      </c>
    </row>
    <row r="82" spans="1:14" ht="16">
      <c r="A82" s="240" t="s">
        <v>230</v>
      </c>
      <c r="B82" s="1" t="s">
        <v>231</v>
      </c>
      <c r="C82" s="1">
        <v>0</v>
      </c>
      <c r="D82" s="1">
        <v>1300</v>
      </c>
      <c r="E82" s="1" t="s">
        <v>2168</v>
      </c>
      <c r="F82" s="1" t="s">
        <v>2290</v>
      </c>
      <c r="G82" s="1" t="s">
        <v>2393</v>
      </c>
      <c r="H82" s="1" t="s">
        <v>2394</v>
      </c>
      <c r="I82" s="1" t="s">
        <v>1636</v>
      </c>
      <c r="J82" s="1" t="s">
        <v>2159</v>
      </c>
      <c r="K82" s="492" t="str">
        <f t="shared" si="7"/>
        <v>Deprecated</v>
      </c>
      <c r="L82" s="486" t="str">
        <f t="shared" si="8"/>
        <v>UNIT</v>
      </c>
      <c r="M82" s="486" t="str">
        <f t="shared" si="6"/>
        <v>UC</v>
      </c>
      <c r="N82" s="486" t="str">
        <f t="shared" si="9"/>
        <v>PAAS</v>
      </c>
    </row>
    <row r="83" spans="1:14" ht="16">
      <c r="A83" s="240" t="s">
        <v>232</v>
      </c>
      <c r="B83" s="1">
        <v>0</v>
      </c>
      <c r="C83" s="1">
        <v>0</v>
      </c>
      <c r="D83" s="1">
        <v>2.1800000000000002</v>
      </c>
      <c r="E83" s="1" t="s">
        <v>49</v>
      </c>
      <c r="F83" s="1" t="s">
        <v>2290</v>
      </c>
      <c r="G83" s="1" t="s">
        <v>2393</v>
      </c>
      <c r="H83" s="1" t="s">
        <v>2161</v>
      </c>
      <c r="I83" s="1" t="s">
        <v>1636</v>
      </c>
      <c r="J83" s="1" t="s">
        <v>2159</v>
      </c>
      <c r="K83" s="492" t="str">
        <f t="shared" si="7"/>
        <v>Deprecated</v>
      </c>
      <c r="L83" s="486" t="str">
        <f t="shared" si="8"/>
        <v>HR</v>
      </c>
      <c r="M83" s="486" t="str">
        <f t="shared" si="6"/>
        <v>UC</v>
      </c>
      <c r="N83" s="486" t="str">
        <f t="shared" si="9"/>
        <v>PAAS</v>
      </c>
    </row>
    <row r="84" spans="1:14" ht="16">
      <c r="A84" s="240" t="s">
        <v>233</v>
      </c>
      <c r="B84" s="1" t="s">
        <v>234</v>
      </c>
      <c r="C84" s="1">
        <v>0</v>
      </c>
      <c r="D84" s="1">
        <v>2900</v>
      </c>
      <c r="E84" s="1" t="s">
        <v>2168</v>
      </c>
      <c r="F84" s="1" t="s">
        <v>2290</v>
      </c>
      <c r="G84" s="1" t="s">
        <v>2393</v>
      </c>
      <c r="H84" s="1" t="s">
        <v>2394</v>
      </c>
      <c r="I84" s="1" t="s">
        <v>1636</v>
      </c>
      <c r="J84" s="1" t="s">
        <v>2159</v>
      </c>
      <c r="K84" s="492" t="str">
        <f t="shared" si="7"/>
        <v>Deprecated</v>
      </c>
      <c r="L84" s="486" t="str">
        <f t="shared" si="8"/>
        <v>UNIT</v>
      </c>
      <c r="M84" s="486" t="str">
        <f t="shared" si="6"/>
        <v>UC</v>
      </c>
      <c r="N84" s="486" t="str">
        <f t="shared" si="9"/>
        <v>PAAS</v>
      </c>
    </row>
    <row r="85" spans="1:14" ht="16">
      <c r="A85" s="240" t="s">
        <v>235</v>
      </c>
      <c r="B85" s="1">
        <v>0</v>
      </c>
      <c r="C85" s="1">
        <v>0</v>
      </c>
      <c r="D85" s="1">
        <v>4.87</v>
      </c>
      <c r="E85" s="1" t="s">
        <v>49</v>
      </c>
      <c r="F85" s="1" t="s">
        <v>2290</v>
      </c>
      <c r="G85" s="1" t="s">
        <v>2393</v>
      </c>
      <c r="H85" s="1" t="s">
        <v>2161</v>
      </c>
      <c r="I85" s="1" t="s">
        <v>1636</v>
      </c>
      <c r="J85" s="1" t="s">
        <v>2159</v>
      </c>
      <c r="K85" s="492" t="str">
        <f t="shared" si="7"/>
        <v>Deprecated</v>
      </c>
      <c r="L85" s="486" t="str">
        <f t="shared" si="8"/>
        <v>HR</v>
      </c>
      <c r="M85" s="486" t="str">
        <f t="shared" si="6"/>
        <v>UC</v>
      </c>
      <c r="N85" s="486" t="str">
        <f t="shared" si="9"/>
        <v>PAAS</v>
      </c>
    </row>
    <row r="86" spans="1:14" ht="16">
      <c r="A86" s="240" t="s">
        <v>236</v>
      </c>
      <c r="B86" s="1" t="s">
        <v>506</v>
      </c>
      <c r="C86" s="1">
        <v>0</v>
      </c>
      <c r="D86" s="1">
        <v>1E-3</v>
      </c>
      <c r="E86" s="1" t="s">
        <v>2166</v>
      </c>
      <c r="F86" s="1" t="s">
        <v>2290</v>
      </c>
      <c r="G86" s="1" t="s">
        <v>1840</v>
      </c>
      <c r="H86" s="1" t="s">
        <v>2162</v>
      </c>
      <c r="I86" s="1" t="s">
        <v>1636</v>
      </c>
      <c r="J86" s="1" t="s">
        <v>2158</v>
      </c>
      <c r="K86" s="492" t="str">
        <f t="shared" si="7"/>
        <v>Storage</v>
      </c>
      <c r="L86" s="486" t="str">
        <f t="shared" si="8"/>
        <v>GB</v>
      </c>
      <c r="M86" s="486" t="str">
        <f t="shared" si="6"/>
        <v>UC</v>
      </c>
      <c r="N86" s="486" t="str">
        <f t="shared" si="9"/>
        <v>IAAS</v>
      </c>
    </row>
    <row r="87" spans="1:14" ht="16">
      <c r="A87" s="240" t="s">
        <v>237</v>
      </c>
      <c r="B87" s="1" t="s">
        <v>507</v>
      </c>
      <c r="C87" s="1">
        <v>0</v>
      </c>
      <c r="D87" s="1">
        <v>5.0000000000000001E-3</v>
      </c>
      <c r="E87" s="1" t="s">
        <v>2166</v>
      </c>
      <c r="F87" s="1" t="s">
        <v>2290</v>
      </c>
      <c r="G87" s="1" t="s">
        <v>1840</v>
      </c>
      <c r="H87" s="1" t="s">
        <v>2162</v>
      </c>
      <c r="I87" s="1" t="s">
        <v>1636</v>
      </c>
      <c r="J87" s="1" t="s">
        <v>2158</v>
      </c>
      <c r="K87" s="492" t="str">
        <f t="shared" si="7"/>
        <v>Storage</v>
      </c>
      <c r="L87" s="486" t="str">
        <f t="shared" si="8"/>
        <v>GB</v>
      </c>
      <c r="M87" s="486" t="str">
        <f t="shared" si="6"/>
        <v>UC</v>
      </c>
      <c r="N87" s="486" t="str">
        <f t="shared" si="9"/>
        <v>IAAS</v>
      </c>
    </row>
    <row r="88" spans="1:14" ht="16">
      <c r="A88" s="240" t="s">
        <v>238</v>
      </c>
      <c r="B88" s="1" t="s">
        <v>508</v>
      </c>
      <c r="C88" s="1">
        <v>0</v>
      </c>
      <c r="D88" s="1">
        <v>0.02</v>
      </c>
      <c r="E88" s="1" t="s">
        <v>2169</v>
      </c>
      <c r="F88" s="1" t="s">
        <v>2290</v>
      </c>
      <c r="G88" s="1" t="s">
        <v>1840</v>
      </c>
      <c r="H88" s="1" t="s">
        <v>2162</v>
      </c>
      <c r="I88" s="1" t="s">
        <v>1636</v>
      </c>
      <c r="J88" s="1" t="s">
        <v>2158</v>
      </c>
      <c r="K88" s="492" t="str">
        <f t="shared" si="7"/>
        <v>Storage</v>
      </c>
      <c r="L88" s="486" t="str">
        <f t="shared" si="8"/>
        <v>GB</v>
      </c>
      <c r="M88" s="486" t="str">
        <f t="shared" si="6"/>
        <v>UC</v>
      </c>
      <c r="N88" s="486" t="str">
        <f t="shared" si="9"/>
        <v>IAAS</v>
      </c>
    </row>
    <row r="89" spans="1:14" ht="16">
      <c r="A89" s="240" t="s">
        <v>239</v>
      </c>
      <c r="B89" s="1" t="s">
        <v>509</v>
      </c>
      <c r="C89" s="1">
        <v>0</v>
      </c>
      <c r="D89" s="1">
        <v>3.0000000000000001E-3</v>
      </c>
      <c r="E89" s="1" t="s">
        <v>2166</v>
      </c>
      <c r="F89" s="1" t="s">
        <v>2290</v>
      </c>
      <c r="G89" s="1" t="s">
        <v>1840</v>
      </c>
      <c r="H89" s="1" t="s">
        <v>2162</v>
      </c>
      <c r="I89" s="1" t="s">
        <v>1636</v>
      </c>
      <c r="J89" s="1" t="s">
        <v>2158</v>
      </c>
      <c r="K89" s="492" t="str">
        <f t="shared" si="7"/>
        <v>Storage</v>
      </c>
      <c r="L89" s="486" t="str">
        <f t="shared" si="8"/>
        <v>GB</v>
      </c>
      <c r="M89" s="486" t="str">
        <f t="shared" si="6"/>
        <v>UC</v>
      </c>
      <c r="N89" s="486" t="str">
        <f t="shared" si="9"/>
        <v>IAAS</v>
      </c>
    </row>
    <row r="90" spans="1:14" ht="16">
      <c r="A90" s="240" t="s">
        <v>240</v>
      </c>
      <c r="B90" s="1" t="s">
        <v>510</v>
      </c>
      <c r="C90" s="1">
        <v>0</v>
      </c>
      <c r="D90" s="1">
        <v>0.05</v>
      </c>
      <c r="E90" s="1" t="s">
        <v>2163</v>
      </c>
      <c r="F90" s="1" t="s">
        <v>2290</v>
      </c>
      <c r="G90" s="1" t="s">
        <v>1840</v>
      </c>
      <c r="H90" s="1" t="s">
        <v>2395</v>
      </c>
      <c r="I90" s="1" t="s">
        <v>1636</v>
      </c>
      <c r="J90" s="1" t="s">
        <v>2158</v>
      </c>
      <c r="K90" s="492" t="str">
        <f t="shared" si="7"/>
        <v>Storage</v>
      </c>
      <c r="L90" s="486" t="str">
        <f t="shared" si="8"/>
        <v>REQ</v>
      </c>
      <c r="M90" s="486" t="str">
        <f t="shared" si="6"/>
        <v>UC</v>
      </c>
      <c r="N90" s="486" t="str">
        <f t="shared" si="9"/>
        <v>IAAS</v>
      </c>
    </row>
    <row r="91" spans="1:14" ht="16">
      <c r="A91" s="240" t="s">
        <v>3</v>
      </c>
      <c r="B91" s="1" t="s">
        <v>511</v>
      </c>
      <c r="C91" s="1">
        <v>0</v>
      </c>
      <c r="D91" s="1">
        <v>50</v>
      </c>
      <c r="E91" s="1" t="s">
        <v>2170</v>
      </c>
      <c r="F91" s="1" t="s">
        <v>2290</v>
      </c>
      <c r="G91" s="1" t="s">
        <v>1840</v>
      </c>
      <c r="H91" s="1" t="s">
        <v>2394</v>
      </c>
      <c r="I91" s="1" t="s">
        <v>1636</v>
      </c>
      <c r="J91" s="1" t="s">
        <v>2158</v>
      </c>
      <c r="K91" s="492" t="str">
        <f t="shared" si="7"/>
        <v>Storage</v>
      </c>
      <c r="L91" s="486" t="str">
        <f t="shared" si="8"/>
        <v>UNIT</v>
      </c>
      <c r="M91" s="486" t="str">
        <f t="shared" si="6"/>
        <v>UC</v>
      </c>
      <c r="N91" s="486" t="str">
        <f t="shared" si="9"/>
        <v>IAAS</v>
      </c>
    </row>
    <row r="92" spans="1:14" ht="16">
      <c r="A92" s="240" t="s">
        <v>4</v>
      </c>
      <c r="B92" s="1" t="s">
        <v>512</v>
      </c>
      <c r="C92" s="1">
        <v>0</v>
      </c>
      <c r="D92" s="1">
        <v>30</v>
      </c>
      <c r="E92" s="1" t="s">
        <v>2170</v>
      </c>
      <c r="F92" s="1" t="s">
        <v>2290</v>
      </c>
      <c r="G92" s="1" t="s">
        <v>1840</v>
      </c>
      <c r="H92" s="1" t="s">
        <v>2394</v>
      </c>
      <c r="I92" s="1" t="s">
        <v>1636</v>
      </c>
      <c r="J92" s="1" t="s">
        <v>2158</v>
      </c>
      <c r="K92" s="492" t="str">
        <f t="shared" si="7"/>
        <v>Storage</v>
      </c>
      <c r="L92" s="486" t="str">
        <f t="shared" si="8"/>
        <v>UNIT</v>
      </c>
      <c r="M92" s="486" t="str">
        <f t="shared" si="6"/>
        <v>UC</v>
      </c>
      <c r="N92" s="486" t="str">
        <f t="shared" si="9"/>
        <v>IAAS</v>
      </c>
    </row>
    <row r="93" spans="1:14" ht="16">
      <c r="A93" s="240" t="s">
        <v>242</v>
      </c>
      <c r="B93" s="1" t="s">
        <v>95</v>
      </c>
      <c r="C93" s="1">
        <v>0</v>
      </c>
      <c r="D93" s="1">
        <v>5500</v>
      </c>
      <c r="E93" s="1" t="s">
        <v>2168</v>
      </c>
      <c r="F93" s="1" t="s">
        <v>2290</v>
      </c>
      <c r="G93" s="1" t="s">
        <v>2391</v>
      </c>
      <c r="H93" s="1" t="s">
        <v>2394</v>
      </c>
      <c r="I93" s="1" t="s">
        <v>1636</v>
      </c>
      <c r="J93" s="1" t="s">
        <v>2159</v>
      </c>
      <c r="K93" s="492" t="str">
        <f t="shared" si="7"/>
        <v>Integration</v>
      </c>
      <c r="L93" s="486" t="str">
        <f t="shared" si="8"/>
        <v>UNIT</v>
      </c>
      <c r="M93" s="486" t="str">
        <f t="shared" si="6"/>
        <v>UC</v>
      </c>
      <c r="N93" s="486" t="str">
        <f t="shared" si="9"/>
        <v>PAAS</v>
      </c>
    </row>
    <row r="94" spans="1:14" ht="16">
      <c r="A94" s="240" t="s">
        <v>243</v>
      </c>
      <c r="B94" s="1" t="s">
        <v>244</v>
      </c>
      <c r="C94" s="1">
        <v>0</v>
      </c>
      <c r="D94" s="1">
        <v>3500</v>
      </c>
      <c r="E94" s="1" t="s">
        <v>2168</v>
      </c>
      <c r="F94" s="1" t="s">
        <v>2290</v>
      </c>
      <c r="G94" s="1" t="s">
        <v>2393</v>
      </c>
      <c r="H94" s="1" t="s">
        <v>2394</v>
      </c>
      <c r="I94" s="1" t="s">
        <v>1636</v>
      </c>
      <c r="J94" s="1" t="s">
        <v>2159</v>
      </c>
      <c r="K94" s="492" t="str">
        <f t="shared" si="7"/>
        <v>Deprecated</v>
      </c>
      <c r="L94" s="486" t="str">
        <f t="shared" si="8"/>
        <v>UNIT</v>
      </c>
      <c r="M94" s="486" t="str">
        <f t="shared" si="6"/>
        <v>UC</v>
      </c>
      <c r="N94" s="486" t="str">
        <f t="shared" si="9"/>
        <v>PAAS</v>
      </c>
    </row>
    <row r="95" spans="1:14" ht="16">
      <c r="A95" s="240" t="s">
        <v>245</v>
      </c>
      <c r="B95" s="1" t="s">
        <v>246</v>
      </c>
      <c r="C95" s="1">
        <v>0</v>
      </c>
      <c r="D95" s="1">
        <v>4500</v>
      </c>
      <c r="E95" s="1" t="s">
        <v>2168</v>
      </c>
      <c r="F95" s="1" t="s">
        <v>2290</v>
      </c>
      <c r="G95" s="1" t="s">
        <v>2393</v>
      </c>
      <c r="H95" s="1" t="s">
        <v>2394</v>
      </c>
      <c r="I95" s="1" t="s">
        <v>1636</v>
      </c>
      <c r="J95" s="1" t="s">
        <v>2159</v>
      </c>
      <c r="K95" s="492" t="str">
        <f t="shared" si="7"/>
        <v>Deprecated</v>
      </c>
      <c r="L95" s="486" t="str">
        <f t="shared" si="8"/>
        <v>UNIT</v>
      </c>
      <c r="M95" s="486" t="str">
        <f t="shared" si="6"/>
        <v>UC</v>
      </c>
      <c r="N95" s="486" t="str">
        <f t="shared" si="9"/>
        <v>PAAS</v>
      </c>
    </row>
    <row r="96" spans="1:14" ht="16">
      <c r="A96" s="240" t="s">
        <v>247</v>
      </c>
      <c r="B96" s="1" t="s">
        <v>248</v>
      </c>
      <c r="C96" s="1">
        <v>0</v>
      </c>
      <c r="D96" s="1">
        <v>300</v>
      </c>
      <c r="E96" s="1" t="s">
        <v>2171</v>
      </c>
      <c r="F96" s="1" t="s">
        <v>2290</v>
      </c>
      <c r="G96" s="1" t="s">
        <v>2309</v>
      </c>
      <c r="H96" s="1" t="s">
        <v>2394</v>
      </c>
      <c r="I96" s="1" t="s">
        <v>1636</v>
      </c>
      <c r="J96" s="1" t="s">
        <v>2159</v>
      </c>
      <c r="K96" s="492" t="str">
        <f t="shared" si="7"/>
        <v>DBaaS</v>
      </c>
      <c r="L96" s="486" t="str">
        <f t="shared" si="8"/>
        <v>UNIT</v>
      </c>
      <c r="M96" s="486" t="str">
        <f t="shared" si="6"/>
        <v>UC</v>
      </c>
      <c r="N96" s="486" t="str">
        <f t="shared" si="9"/>
        <v>PAAS</v>
      </c>
    </row>
    <row r="97" spans="1:14" ht="16">
      <c r="A97" s="240" t="s">
        <v>249</v>
      </c>
      <c r="B97" s="1" t="s">
        <v>250</v>
      </c>
      <c r="C97" s="1">
        <v>0</v>
      </c>
      <c r="D97" s="1">
        <v>1125</v>
      </c>
      <c r="E97" s="1" t="s">
        <v>2171</v>
      </c>
      <c r="F97" s="1" t="s">
        <v>2290</v>
      </c>
      <c r="G97" s="1" t="s">
        <v>2309</v>
      </c>
      <c r="H97" s="1" t="s">
        <v>2394</v>
      </c>
      <c r="I97" s="1" t="s">
        <v>1636</v>
      </c>
      <c r="J97" s="1" t="s">
        <v>2159</v>
      </c>
      <c r="K97" s="492" t="str">
        <f t="shared" si="7"/>
        <v>DBaaS</v>
      </c>
      <c r="L97" s="486" t="str">
        <f t="shared" si="8"/>
        <v>UNIT</v>
      </c>
      <c r="M97" s="486" t="str">
        <f t="shared" si="6"/>
        <v>UC</v>
      </c>
      <c r="N97" s="486" t="str">
        <f t="shared" si="9"/>
        <v>PAAS</v>
      </c>
    </row>
    <row r="98" spans="1:14" ht="16">
      <c r="A98" s="240" t="s">
        <v>251</v>
      </c>
      <c r="B98" s="1" t="s">
        <v>252</v>
      </c>
      <c r="C98" s="1">
        <v>0</v>
      </c>
      <c r="D98" s="1">
        <v>225</v>
      </c>
      <c r="E98" s="1" t="s">
        <v>2171</v>
      </c>
      <c r="F98" s="1" t="s">
        <v>2290</v>
      </c>
      <c r="G98" s="1" t="s">
        <v>2393</v>
      </c>
      <c r="H98" s="1" t="s">
        <v>2394</v>
      </c>
      <c r="I98" s="1" t="s">
        <v>1636</v>
      </c>
      <c r="J98" s="1" t="s">
        <v>2159</v>
      </c>
      <c r="K98" s="492" t="str">
        <f t="shared" si="7"/>
        <v>Deprecated</v>
      </c>
      <c r="L98" s="486" t="str">
        <f t="shared" si="8"/>
        <v>UNIT</v>
      </c>
      <c r="M98" s="486" t="str">
        <f t="shared" si="6"/>
        <v>UC</v>
      </c>
      <c r="N98" s="486" t="str">
        <f t="shared" si="9"/>
        <v>PAAS</v>
      </c>
    </row>
    <row r="99" spans="1:14" ht="16">
      <c r="A99" s="240" t="s">
        <v>6</v>
      </c>
      <c r="B99" s="1" t="s">
        <v>253</v>
      </c>
      <c r="C99" s="1">
        <v>0</v>
      </c>
      <c r="D99" s="1">
        <v>600</v>
      </c>
      <c r="E99" s="1" t="s">
        <v>2171</v>
      </c>
      <c r="F99" s="1" t="s">
        <v>2290</v>
      </c>
      <c r="G99" s="1" t="s">
        <v>2393</v>
      </c>
      <c r="H99" s="1" t="s">
        <v>2394</v>
      </c>
      <c r="I99" s="1" t="s">
        <v>1636</v>
      </c>
      <c r="J99" s="1" t="s">
        <v>2159</v>
      </c>
      <c r="K99" s="492" t="str">
        <f t="shared" si="7"/>
        <v>Deprecated</v>
      </c>
      <c r="L99" s="486" t="str">
        <f t="shared" si="8"/>
        <v>UNIT</v>
      </c>
      <c r="M99" s="486" t="str">
        <f t="shared" si="6"/>
        <v>UC</v>
      </c>
      <c r="N99" s="486" t="str">
        <f t="shared" si="9"/>
        <v>PAAS</v>
      </c>
    </row>
    <row r="100" spans="1:14" ht="16">
      <c r="A100" s="240" t="s">
        <v>254</v>
      </c>
      <c r="B100" s="1" t="s">
        <v>255</v>
      </c>
      <c r="C100" s="1">
        <v>0</v>
      </c>
      <c r="D100" s="1">
        <v>1500</v>
      </c>
      <c r="E100" s="1" t="s">
        <v>2171</v>
      </c>
      <c r="F100" s="1" t="s">
        <v>2290</v>
      </c>
      <c r="G100" s="1" t="s">
        <v>2309</v>
      </c>
      <c r="H100" s="1" t="s">
        <v>2394</v>
      </c>
      <c r="I100" s="1" t="s">
        <v>1636</v>
      </c>
      <c r="J100" s="1" t="s">
        <v>2159</v>
      </c>
      <c r="K100" s="492" t="str">
        <f t="shared" si="7"/>
        <v>DBaaS</v>
      </c>
      <c r="L100" s="486" t="str">
        <f t="shared" si="8"/>
        <v>UNIT</v>
      </c>
      <c r="M100" s="486" t="str">
        <f t="shared" si="6"/>
        <v>UC</v>
      </c>
      <c r="N100" s="486" t="str">
        <f t="shared" si="9"/>
        <v>PAAS</v>
      </c>
    </row>
    <row r="101" spans="1:14" ht="16">
      <c r="A101" s="240" t="s">
        <v>256</v>
      </c>
      <c r="B101" s="1" t="s">
        <v>257</v>
      </c>
      <c r="C101" s="1">
        <v>0</v>
      </c>
      <c r="D101" s="1">
        <v>2250</v>
      </c>
      <c r="E101" s="1" t="s">
        <v>2171</v>
      </c>
      <c r="F101" s="1" t="s">
        <v>2290</v>
      </c>
      <c r="G101" s="1" t="s">
        <v>2309</v>
      </c>
      <c r="H101" s="1" t="s">
        <v>2394</v>
      </c>
      <c r="I101" s="1" t="s">
        <v>1636</v>
      </c>
      <c r="J101" s="1" t="s">
        <v>2159</v>
      </c>
      <c r="K101" s="492" t="str">
        <f t="shared" si="7"/>
        <v>DBaaS</v>
      </c>
      <c r="L101" s="486" t="str">
        <f t="shared" si="8"/>
        <v>UNIT</v>
      </c>
      <c r="M101" s="486" t="str">
        <f t="shared" si="6"/>
        <v>UC</v>
      </c>
      <c r="N101" s="486" t="str">
        <f t="shared" si="9"/>
        <v>PAAS</v>
      </c>
    </row>
    <row r="102" spans="1:14" ht="16">
      <c r="A102" s="240" t="s">
        <v>258</v>
      </c>
      <c r="B102" s="1" t="s">
        <v>259</v>
      </c>
      <c r="C102" s="1">
        <v>0</v>
      </c>
      <c r="D102" s="1">
        <v>300</v>
      </c>
      <c r="E102" s="1" t="s">
        <v>2171</v>
      </c>
      <c r="F102" s="1" t="s">
        <v>2290</v>
      </c>
      <c r="G102" s="1" t="s">
        <v>2309</v>
      </c>
      <c r="H102" s="1" t="s">
        <v>2394</v>
      </c>
      <c r="I102" s="1" t="s">
        <v>1636</v>
      </c>
      <c r="J102" s="1" t="s">
        <v>2159</v>
      </c>
      <c r="K102" s="492" t="str">
        <f t="shared" si="7"/>
        <v>DBaaS</v>
      </c>
      <c r="L102" s="486" t="str">
        <f t="shared" si="8"/>
        <v>UNIT</v>
      </c>
      <c r="M102" s="486" t="str">
        <f t="shared" si="6"/>
        <v>UC</v>
      </c>
      <c r="N102" s="486" t="str">
        <f t="shared" si="9"/>
        <v>PAAS</v>
      </c>
    </row>
    <row r="103" spans="1:14" ht="16">
      <c r="A103" s="240" t="s">
        <v>260</v>
      </c>
      <c r="B103" s="1" t="s">
        <v>261</v>
      </c>
      <c r="C103" s="1">
        <v>0</v>
      </c>
      <c r="D103" s="1">
        <v>1500</v>
      </c>
      <c r="E103" s="1" t="s">
        <v>2171</v>
      </c>
      <c r="F103" s="1" t="s">
        <v>2290</v>
      </c>
      <c r="G103" s="1" t="s">
        <v>2309</v>
      </c>
      <c r="H103" s="1" t="s">
        <v>2394</v>
      </c>
      <c r="I103" s="1" t="s">
        <v>1636</v>
      </c>
      <c r="J103" s="1" t="s">
        <v>2159</v>
      </c>
      <c r="K103" s="492" t="str">
        <f t="shared" si="7"/>
        <v>DBaaS</v>
      </c>
      <c r="L103" s="486" t="str">
        <f t="shared" si="8"/>
        <v>UNIT</v>
      </c>
      <c r="M103" s="486" t="str">
        <f t="shared" si="6"/>
        <v>UC</v>
      </c>
      <c r="N103" s="486" t="str">
        <f t="shared" si="9"/>
        <v>PAAS</v>
      </c>
    </row>
    <row r="104" spans="1:14" ht="16">
      <c r="A104" s="240" t="s">
        <v>262</v>
      </c>
      <c r="B104" s="1" t="s">
        <v>263</v>
      </c>
      <c r="C104" s="1">
        <v>0</v>
      </c>
      <c r="D104" s="1">
        <v>2000</v>
      </c>
      <c r="E104" s="1" t="s">
        <v>2171</v>
      </c>
      <c r="F104" s="1" t="s">
        <v>2290</v>
      </c>
      <c r="G104" s="1" t="s">
        <v>2309</v>
      </c>
      <c r="H104" s="1" t="s">
        <v>2394</v>
      </c>
      <c r="I104" s="1" t="s">
        <v>1636</v>
      </c>
      <c r="J104" s="1" t="s">
        <v>2159</v>
      </c>
      <c r="K104" s="492" t="str">
        <f t="shared" si="7"/>
        <v>DBaaS</v>
      </c>
      <c r="L104" s="486" t="str">
        <f t="shared" si="8"/>
        <v>UNIT</v>
      </c>
      <c r="M104" s="486" t="str">
        <f t="shared" si="6"/>
        <v>UC</v>
      </c>
      <c r="N104" s="486" t="str">
        <f t="shared" si="9"/>
        <v>PAAS</v>
      </c>
    </row>
    <row r="105" spans="1:14" ht="16">
      <c r="A105" s="240" t="s">
        <v>5</v>
      </c>
      <c r="B105" s="1" t="s">
        <v>1872</v>
      </c>
      <c r="C105" s="1">
        <v>0</v>
      </c>
      <c r="D105" s="1">
        <v>2500</v>
      </c>
      <c r="E105" s="1" t="s">
        <v>2171</v>
      </c>
      <c r="F105" s="1" t="s">
        <v>2290</v>
      </c>
      <c r="G105" s="1" t="s">
        <v>2309</v>
      </c>
      <c r="H105" s="1" t="s">
        <v>2394</v>
      </c>
      <c r="I105" s="1" t="s">
        <v>1636</v>
      </c>
      <c r="J105" s="1" t="s">
        <v>2159</v>
      </c>
      <c r="K105" s="492" t="str">
        <f t="shared" si="7"/>
        <v>DBaaS</v>
      </c>
      <c r="L105" s="486" t="str">
        <f t="shared" si="8"/>
        <v>UNIT</v>
      </c>
      <c r="M105" s="486" t="str">
        <f t="shared" si="6"/>
        <v>UC</v>
      </c>
      <c r="N105" s="486" t="str">
        <f t="shared" si="9"/>
        <v>PAAS</v>
      </c>
    </row>
    <row r="106" spans="1:14" ht="16">
      <c r="A106" s="240" t="s">
        <v>264</v>
      </c>
      <c r="B106" s="1" t="s">
        <v>265</v>
      </c>
      <c r="C106" s="1">
        <v>0</v>
      </c>
      <c r="D106" s="1">
        <v>375</v>
      </c>
      <c r="E106" s="1" t="s">
        <v>2171</v>
      </c>
      <c r="F106" s="1" t="s">
        <v>2290</v>
      </c>
      <c r="G106" s="1" t="s">
        <v>2309</v>
      </c>
      <c r="H106" s="1" t="s">
        <v>2394</v>
      </c>
      <c r="I106" s="1" t="s">
        <v>1636</v>
      </c>
      <c r="J106" s="1" t="s">
        <v>2159</v>
      </c>
      <c r="K106" s="492" t="str">
        <f t="shared" si="7"/>
        <v>DBaaS</v>
      </c>
      <c r="L106" s="486" t="str">
        <f t="shared" si="8"/>
        <v>UNIT</v>
      </c>
      <c r="M106" s="486" t="str">
        <f t="shared" si="6"/>
        <v>UC</v>
      </c>
      <c r="N106" s="486" t="str">
        <f t="shared" si="9"/>
        <v>PAAS</v>
      </c>
    </row>
    <row r="107" spans="1:14" ht="16">
      <c r="A107" s="240" t="s">
        <v>266</v>
      </c>
      <c r="B107" s="1" t="s">
        <v>267</v>
      </c>
      <c r="C107" s="1">
        <v>0</v>
      </c>
      <c r="D107" s="1">
        <v>1200</v>
      </c>
      <c r="E107" s="1" t="s">
        <v>2171</v>
      </c>
      <c r="F107" s="1" t="s">
        <v>2290</v>
      </c>
      <c r="G107" s="1" t="s">
        <v>2309</v>
      </c>
      <c r="H107" s="1" t="s">
        <v>2394</v>
      </c>
      <c r="I107" s="1" t="s">
        <v>1636</v>
      </c>
      <c r="J107" s="1" t="s">
        <v>2159</v>
      </c>
      <c r="K107" s="492" t="str">
        <f t="shared" si="7"/>
        <v>DBaaS</v>
      </c>
      <c r="L107" s="486" t="str">
        <f t="shared" si="8"/>
        <v>UNIT</v>
      </c>
      <c r="M107" s="486" t="str">
        <f t="shared" si="6"/>
        <v>UC</v>
      </c>
      <c r="N107" s="486" t="str">
        <f t="shared" si="9"/>
        <v>PAAS</v>
      </c>
    </row>
    <row r="108" spans="1:14" ht="16">
      <c r="A108" s="240" t="s">
        <v>268</v>
      </c>
      <c r="B108" s="1" t="s">
        <v>269</v>
      </c>
      <c r="C108" s="1">
        <v>0</v>
      </c>
      <c r="D108" s="1">
        <v>1575</v>
      </c>
      <c r="E108" s="1" t="s">
        <v>2171</v>
      </c>
      <c r="F108" s="1" t="s">
        <v>2290</v>
      </c>
      <c r="G108" s="1" t="s">
        <v>2309</v>
      </c>
      <c r="H108" s="1" t="s">
        <v>2394</v>
      </c>
      <c r="I108" s="1" t="s">
        <v>1636</v>
      </c>
      <c r="J108" s="1" t="s">
        <v>2159</v>
      </c>
      <c r="K108" s="492" t="str">
        <f t="shared" si="7"/>
        <v>DBaaS</v>
      </c>
      <c r="L108" s="486" t="str">
        <f t="shared" si="8"/>
        <v>UNIT</v>
      </c>
      <c r="M108" s="486" t="str">
        <f t="shared" si="6"/>
        <v>UC</v>
      </c>
      <c r="N108" s="486" t="str">
        <f t="shared" si="9"/>
        <v>PAAS</v>
      </c>
    </row>
    <row r="109" spans="1:14" ht="16">
      <c r="A109" s="240" t="s">
        <v>270</v>
      </c>
      <c r="B109" s="1" t="s">
        <v>271</v>
      </c>
      <c r="C109" s="1">
        <v>0</v>
      </c>
      <c r="D109" s="1">
        <v>2325</v>
      </c>
      <c r="E109" s="1" t="s">
        <v>2171</v>
      </c>
      <c r="F109" s="1" t="s">
        <v>2290</v>
      </c>
      <c r="G109" s="1" t="s">
        <v>2309</v>
      </c>
      <c r="H109" s="1" t="s">
        <v>2394</v>
      </c>
      <c r="I109" s="1" t="s">
        <v>1636</v>
      </c>
      <c r="J109" s="1" t="s">
        <v>2159</v>
      </c>
      <c r="K109" s="492" t="str">
        <f t="shared" si="7"/>
        <v>DBaaS</v>
      </c>
      <c r="L109" s="486" t="str">
        <f t="shared" si="8"/>
        <v>UNIT</v>
      </c>
      <c r="M109" s="486" t="str">
        <f t="shared" si="6"/>
        <v>UC</v>
      </c>
      <c r="N109" s="486" t="str">
        <f t="shared" si="9"/>
        <v>PAAS</v>
      </c>
    </row>
    <row r="110" spans="1:14" ht="16">
      <c r="A110" s="240" t="s">
        <v>272</v>
      </c>
      <c r="B110" s="1" t="s">
        <v>273</v>
      </c>
      <c r="C110" s="1">
        <v>0</v>
      </c>
      <c r="D110" s="1">
        <v>525</v>
      </c>
      <c r="E110" s="1" t="s">
        <v>2171</v>
      </c>
      <c r="F110" s="1" t="s">
        <v>2290</v>
      </c>
      <c r="G110" s="1" t="s">
        <v>2309</v>
      </c>
      <c r="H110" s="1" t="s">
        <v>2394</v>
      </c>
      <c r="I110" s="1" t="s">
        <v>1636</v>
      </c>
      <c r="J110" s="1" t="s">
        <v>2159</v>
      </c>
      <c r="K110" s="492" t="str">
        <f t="shared" si="7"/>
        <v>DBaaS</v>
      </c>
      <c r="L110" s="486" t="str">
        <f t="shared" si="8"/>
        <v>UNIT</v>
      </c>
      <c r="M110" s="486" t="str">
        <f t="shared" si="6"/>
        <v>UC</v>
      </c>
      <c r="N110" s="486" t="str">
        <f t="shared" si="9"/>
        <v>PAAS</v>
      </c>
    </row>
    <row r="111" spans="1:14" ht="16">
      <c r="A111" s="240" t="s">
        <v>274</v>
      </c>
      <c r="B111" s="1" t="s">
        <v>275</v>
      </c>
      <c r="C111" s="1">
        <v>0</v>
      </c>
      <c r="D111" s="1">
        <v>2325</v>
      </c>
      <c r="E111" s="1" t="s">
        <v>2171</v>
      </c>
      <c r="F111" s="1" t="s">
        <v>2290</v>
      </c>
      <c r="G111" s="1" t="s">
        <v>2309</v>
      </c>
      <c r="H111" s="1" t="s">
        <v>2394</v>
      </c>
      <c r="I111" s="1" t="s">
        <v>1636</v>
      </c>
      <c r="J111" s="1" t="s">
        <v>2159</v>
      </c>
      <c r="K111" s="492" t="str">
        <f t="shared" si="7"/>
        <v>DBaaS</v>
      </c>
      <c r="L111" s="486" t="str">
        <f t="shared" si="8"/>
        <v>UNIT</v>
      </c>
      <c r="M111" s="486" t="str">
        <f t="shared" si="6"/>
        <v>UC</v>
      </c>
      <c r="N111" s="486" t="str">
        <f t="shared" si="9"/>
        <v>PAAS</v>
      </c>
    </row>
    <row r="112" spans="1:14" ht="16">
      <c r="A112" s="240" t="s">
        <v>276</v>
      </c>
      <c r="B112" s="1" t="s">
        <v>277</v>
      </c>
      <c r="C112" s="1">
        <v>0</v>
      </c>
      <c r="D112" s="1">
        <v>3075</v>
      </c>
      <c r="E112" s="1" t="s">
        <v>2171</v>
      </c>
      <c r="F112" s="1" t="s">
        <v>2290</v>
      </c>
      <c r="G112" s="1" t="s">
        <v>2309</v>
      </c>
      <c r="H112" s="1" t="s">
        <v>2394</v>
      </c>
      <c r="I112" s="1" t="s">
        <v>1636</v>
      </c>
      <c r="J112" s="1" t="s">
        <v>2159</v>
      </c>
      <c r="K112" s="492" t="str">
        <f t="shared" si="7"/>
        <v>DBaaS</v>
      </c>
      <c r="L112" s="486" t="str">
        <f t="shared" si="8"/>
        <v>UNIT</v>
      </c>
      <c r="M112" s="486" t="str">
        <f t="shared" si="6"/>
        <v>UC</v>
      </c>
      <c r="N112" s="486" t="str">
        <f t="shared" si="9"/>
        <v>PAAS</v>
      </c>
    </row>
    <row r="113" spans="1:14" ht="16">
      <c r="A113" s="240" t="s">
        <v>10</v>
      </c>
      <c r="B113" s="1" t="s">
        <v>9</v>
      </c>
      <c r="C113" s="1">
        <v>0</v>
      </c>
      <c r="D113" s="1">
        <v>3825</v>
      </c>
      <c r="E113" s="1" t="s">
        <v>2171</v>
      </c>
      <c r="F113" s="1" t="s">
        <v>2290</v>
      </c>
      <c r="G113" s="1" t="s">
        <v>2309</v>
      </c>
      <c r="H113" s="1" t="s">
        <v>2394</v>
      </c>
      <c r="I113" s="1" t="s">
        <v>1636</v>
      </c>
      <c r="J113" s="1" t="s">
        <v>2159</v>
      </c>
      <c r="K113" s="492" t="str">
        <f t="shared" si="7"/>
        <v>DBaaS</v>
      </c>
      <c r="L113" s="486" t="str">
        <f t="shared" si="8"/>
        <v>UNIT</v>
      </c>
      <c r="M113" s="486" t="str">
        <f t="shared" si="6"/>
        <v>UC</v>
      </c>
      <c r="N113" s="486" t="str">
        <f t="shared" si="9"/>
        <v>PAAS</v>
      </c>
    </row>
    <row r="114" spans="1:14" ht="16">
      <c r="A114" s="240" t="s">
        <v>278</v>
      </c>
      <c r="B114" s="1" t="s">
        <v>279</v>
      </c>
      <c r="C114" s="1">
        <v>0</v>
      </c>
      <c r="D114" s="1">
        <v>33</v>
      </c>
      <c r="E114" s="1" t="s">
        <v>2170</v>
      </c>
      <c r="F114" s="1" t="s">
        <v>2290</v>
      </c>
      <c r="G114" s="1" t="s">
        <v>2309</v>
      </c>
      <c r="H114" s="1" t="s">
        <v>2394</v>
      </c>
      <c r="I114" s="1" t="s">
        <v>1636</v>
      </c>
      <c r="J114" s="1" t="s">
        <v>2159</v>
      </c>
      <c r="K114" s="492" t="str">
        <f t="shared" si="7"/>
        <v>DBaaS</v>
      </c>
      <c r="L114" s="486" t="str">
        <f t="shared" si="8"/>
        <v>UNIT</v>
      </c>
      <c r="M114" s="486" t="str">
        <f t="shared" si="6"/>
        <v>UC</v>
      </c>
      <c r="N114" s="486" t="str">
        <f t="shared" si="9"/>
        <v>PAAS</v>
      </c>
    </row>
    <row r="115" spans="1:14">
      <c r="A115" s="1" t="s">
        <v>280</v>
      </c>
      <c r="B115" s="1" t="s">
        <v>281</v>
      </c>
      <c r="C115" s="1">
        <v>0</v>
      </c>
      <c r="D115" s="1">
        <v>225</v>
      </c>
      <c r="E115" s="1" t="s">
        <v>2171</v>
      </c>
      <c r="F115" s="1" t="s">
        <v>2290</v>
      </c>
      <c r="G115" s="1" t="s">
        <v>2393</v>
      </c>
      <c r="H115" s="1" t="s">
        <v>2394</v>
      </c>
      <c r="I115" s="1" t="s">
        <v>1636</v>
      </c>
      <c r="J115" s="1" t="s">
        <v>2159</v>
      </c>
      <c r="K115" s="492" t="str">
        <f t="shared" si="7"/>
        <v>Deprecated</v>
      </c>
      <c r="L115" s="486" t="str">
        <f t="shared" si="8"/>
        <v>UNIT</v>
      </c>
      <c r="M115" s="486" t="str">
        <f t="shared" si="6"/>
        <v>UC</v>
      </c>
      <c r="N115" s="486" t="str">
        <f t="shared" si="9"/>
        <v>PAAS</v>
      </c>
    </row>
    <row r="116" spans="1:14">
      <c r="A116" s="1" t="s">
        <v>282</v>
      </c>
      <c r="B116" s="1" t="s">
        <v>283</v>
      </c>
      <c r="C116" s="1">
        <v>0</v>
      </c>
      <c r="D116" s="1">
        <v>600</v>
      </c>
      <c r="E116" s="1" t="s">
        <v>2171</v>
      </c>
      <c r="F116" s="1" t="s">
        <v>2290</v>
      </c>
      <c r="G116" s="1" t="s">
        <v>2393</v>
      </c>
      <c r="H116" s="1" t="s">
        <v>2394</v>
      </c>
      <c r="I116" s="1" t="s">
        <v>1636</v>
      </c>
      <c r="J116" s="1" t="s">
        <v>2159</v>
      </c>
      <c r="K116" s="492" t="str">
        <f t="shared" si="7"/>
        <v>Deprecated</v>
      </c>
      <c r="L116" s="486" t="str">
        <f t="shared" si="8"/>
        <v>UNIT</v>
      </c>
      <c r="M116" s="486" t="str">
        <f t="shared" si="6"/>
        <v>UC</v>
      </c>
      <c r="N116" s="486" t="str">
        <f t="shared" si="9"/>
        <v>PAAS</v>
      </c>
    </row>
    <row r="117" spans="1:14">
      <c r="A117" s="1" t="s">
        <v>284</v>
      </c>
      <c r="B117" s="1" t="s">
        <v>285</v>
      </c>
      <c r="C117" s="1">
        <v>0</v>
      </c>
      <c r="D117" s="1">
        <v>1050</v>
      </c>
      <c r="E117" s="1" t="s">
        <v>2171</v>
      </c>
      <c r="F117" s="1" t="s">
        <v>2290</v>
      </c>
      <c r="G117" s="1" t="s">
        <v>2393</v>
      </c>
      <c r="H117" s="1" t="s">
        <v>2394</v>
      </c>
      <c r="I117" s="1" t="s">
        <v>1636</v>
      </c>
      <c r="J117" s="1" t="s">
        <v>2159</v>
      </c>
      <c r="K117" s="492" t="str">
        <f t="shared" si="7"/>
        <v>Deprecated</v>
      </c>
      <c r="L117" s="486" t="str">
        <f t="shared" si="8"/>
        <v>UNIT</v>
      </c>
      <c r="M117" s="486" t="str">
        <f t="shared" si="6"/>
        <v>UC</v>
      </c>
      <c r="N117" s="486" t="str">
        <f t="shared" si="9"/>
        <v>PAAS</v>
      </c>
    </row>
    <row r="118" spans="1:14">
      <c r="A118" s="1" t="s">
        <v>286</v>
      </c>
      <c r="B118" s="1" t="s">
        <v>287</v>
      </c>
      <c r="C118" s="1">
        <v>0</v>
      </c>
      <c r="D118" s="1">
        <v>1400</v>
      </c>
      <c r="E118" s="1" t="s">
        <v>2171</v>
      </c>
      <c r="F118" s="1" t="s">
        <v>2290</v>
      </c>
      <c r="G118" s="1" t="s">
        <v>2393</v>
      </c>
      <c r="H118" s="1" t="s">
        <v>2394</v>
      </c>
      <c r="I118" s="1" t="s">
        <v>1636</v>
      </c>
      <c r="J118" s="1" t="s">
        <v>2159</v>
      </c>
      <c r="K118" s="492" t="str">
        <f t="shared" si="7"/>
        <v>Deprecated</v>
      </c>
      <c r="L118" s="486" t="str">
        <f t="shared" si="8"/>
        <v>UNIT</v>
      </c>
      <c r="M118" s="486" t="str">
        <f t="shared" si="6"/>
        <v>UC</v>
      </c>
      <c r="N118" s="486" t="str">
        <f t="shared" si="9"/>
        <v>PAAS</v>
      </c>
    </row>
    <row r="119" spans="1:14">
      <c r="A119" s="1" t="s">
        <v>288</v>
      </c>
      <c r="B119" s="1" t="s">
        <v>289</v>
      </c>
      <c r="C119" s="1">
        <v>0</v>
      </c>
      <c r="D119" s="1">
        <v>300</v>
      </c>
      <c r="E119" s="1" t="s">
        <v>2171</v>
      </c>
      <c r="F119" s="1" t="s">
        <v>2290</v>
      </c>
      <c r="G119" s="1" t="s">
        <v>2393</v>
      </c>
      <c r="H119" s="1" t="s">
        <v>2394</v>
      </c>
      <c r="I119" s="1" t="s">
        <v>1636</v>
      </c>
      <c r="J119" s="1" t="s">
        <v>2159</v>
      </c>
      <c r="K119" s="492" t="str">
        <f t="shared" si="7"/>
        <v>Deprecated</v>
      </c>
      <c r="L119" s="486" t="str">
        <f t="shared" si="8"/>
        <v>UNIT</v>
      </c>
      <c r="M119" s="486" t="str">
        <f t="shared" si="6"/>
        <v>UC</v>
      </c>
      <c r="N119" s="486" t="str">
        <f t="shared" si="9"/>
        <v>PAAS</v>
      </c>
    </row>
    <row r="120" spans="1:14">
      <c r="A120" s="1" t="s">
        <v>290</v>
      </c>
      <c r="B120" s="1" t="s">
        <v>291</v>
      </c>
      <c r="C120" s="1">
        <v>0</v>
      </c>
      <c r="D120" s="1">
        <v>675</v>
      </c>
      <c r="E120" s="1" t="s">
        <v>2171</v>
      </c>
      <c r="F120" s="1" t="s">
        <v>2290</v>
      </c>
      <c r="G120" s="1" t="s">
        <v>2393</v>
      </c>
      <c r="H120" s="1" t="s">
        <v>2394</v>
      </c>
      <c r="I120" s="1" t="s">
        <v>1636</v>
      </c>
      <c r="J120" s="1" t="s">
        <v>2159</v>
      </c>
      <c r="K120" s="492" t="str">
        <f t="shared" si="7"/>
        <v>Deprecated</v>
      </c>
      <c r="L120" s="486" t="str">
        <f t="shared" si="8"/>
        <v>UNIT</v>
      </c>
      <c r="M120" s="486" t="str">
        <f t="shared" si="6"/>
        <v>UC</v>
      </c>
      <c r="N120" s="486" t="str">
        <f t="shared" si="9"/>
        <v>PAAS</v>
      </c>
    </row>
    <row r="121" spans="1:14">
      <c r="A121" s="1" t="s">
        <v>292</v>
      </c>
      <c r="B121" s="1" t="s">
        <v>293</v>
      </c>
      <c r="C121" s="1">
        <v>0</v>
      </c>
      <c r="D121" s="1">
        <v>1125</v>
      </c>
      <c r="E121" s="1" t="s">
        <v>2171</v>
      </c>
      <c r="F121" s="1" t="s">
        <v>2290</v>
      </c>
      <c r="G121" s="1" t="s">
        <v>2393</v>
      </c>
      <c r="H121" s="1" t="s">
        <v>2394</v>
      </c>
      <c r="I121" s="1" t="s">
        <v>1636</v>
      </c>
      <c r="J121" s="1" t="s">
        <v>2159</v>
      </c>
      <c r="K121" s="492" t="str">
        <f t="shared" si="7"/>
        <v>Deprecated</v>
      </c>
      <c r="L121" s="486" t="str">
        <f t="shared" si="8"/>
        <v>UNIT</v>
      </c>
      <c r="M121" s="486" t="str">
        <f t="shared" si="6"/>
        <v>UC</v>
      </c>
      <c r="N121" s="486" t="str">
        <f t="shared" si="9"/>
        <v>PAAS</v>
      </c>
    </row>
    <row r="122" spans="1:14">
      <c r="A122" s="1" t="s">
        <v>294</v>
      </c>
      <c r="B122" s="1" t="s">
        <v>295</v>
      </c>
      <c r="C122" s="1">
        <v>0</v>
      </c>
      <c r="D122" s="1">
        <v>413</v>
      </c>
      <c r="E122" s="1" t="s">
        <v>2171</v>
      </c>
      <c r="F122" s="1" t="s">
        <v>2290</v>
      </c>
      <c r="G122" s="1" t="s">
        <v>2393</v>
      </c>
      <c r="H122" s="1" t="s">
        <v>2394</v>
      </c>
      <c r="I122" s="1" t="s">
        <v>1636</v>
      </c>
      <c r="J122" s="1" t="s">
        <v>2159</v>
      </c>
      <c r="K122" s="492" t="str">
        <f t="shared" si="7"/>
        <v>Deprecated</v>
      </c>
      <c r="L122" s="486" t="str">
        <f t="shared" si="8"/>
        <v>UNIT</v>
      </c>
      <c r="M122" s="486" t="str">
        <f t="shared" si="6"/>
        <v>UC</v>
      </c>
      <c r="N122" s="486" t="str">
        <f t="shared" si="9"/>
        <v>PAAS</v>
      </c>
    </row>
    <row r="123" spans="1:14">
      <c r="A123" s="1" t="s">
        <v>296</v>
      </c>
      <c r="B123" s="1" t="s">
        <v>297</v>
      </c>
      <c r="C123" s="1">
        <v>0</v>
      </c>
      <c r="D123" s="1">
        <v>975</v>
      </c>
      <c r="E123" s="1" t="s">
        <v>2171</v>
      </c>
      <c r="F123" s="1" t="s">
        <v>2290</v>
      </c>
      <c r="G123" s="1" t="s">
        <v>2393</v>
      </c>
      <c r="H123" s="1" t="s">
        <v>2394</v>
      </c>
      <c r="I123" s="1" t="s">
        <v>1636</v>
      </c>
      <c r="J123" s="1" t="s">
        <v>2159</v>
      </c>
      <c r="K123" s="492" t="str">
        <f t="shared" si="7"/>
        <v>Deprecated</v>
      </c>
      <c r="L123" s="486" t="str">
        <f t="shared" si="8"/>
        <v>UNIT</v>
      </c>
      <c r="M123" s="486" t="str">
        <f t="shared" si="6"/>
        <v>UC</v>
      </c>
      <c r="N123" s="486" t="str">
        <f t="shared" si="9"/>
        <v>PAAS</v>
      </c>
    </row>
    <row r="124" spans="1:14">
      <c r="A124" s="1" t="s">
        <v>298</v>
      </c>
      <c r="B124" s="1" t="s">
        <v>299</v>
      </c>
      <c r="C124" s="1">
        <v>0</v>
      </c>
      <c r="D124" s="1">
        <v>2175</v>
      </c>
      <c r="E124" s="1" t="s">
        <v>2171</v>
      </c>
      <c r="F124" s="1" t="s">
        <v>2290</v>
      </c>
      <c r="G124" s="1" t="s">
        <v>2393</v>
      </c>
      <c r="H124" s="1" t="s">
        <v>2394</v>
      </c>
      <c r="I124" s="1" t="s">
        <v>1636</v>
      </c>
      <c r="J124" s="1" t="s">
        <v>2159</v>
      </c>
      <c r="K124" s="492" t="str">
        <f t="shared" si="7"/>
        <v>Deprecated</v>
      </c>
      <c r="L124" s="486" t="str">
        <f t="shared" si="8"/>
        <v>UNIT</v>
      </c>
      <c r="M124" s="486" t="str">
        <f t="shared" si="6"/>
        <v>UC</v>
      </c>
      <c r="N124" s="486" t="str">
        <f t="shared" si="9"/>
        <v>PAAS</v>
      </c>
    </row>
    <row r="125" spans="1:14">
      <c r="A125" s="1" t="s">
        <v>300</v>
      </c>
      <c r="B125" s="1">
        <v>0</v>
      </c>
      <c r="C125" s="1">
        <v>0</v>
      </c>
      <c r="D125" s="1">
        <v>0.1</v>
      </c>
      <c r="E125" s="1" t="s">
        <v>2172</v>
      </c>
      <c r="F125" s="1" t="s">
        <v>2290</v>
      </c>
      <c r="G125" s="1" t="s">
        <v>2393</v>
      </c>
      <c r="H125" s="1" t="s">
        <v>2161</v>
      </c>
      <c r="I125" s="1" t="s">
        <v>1636</v>
      </c>
      <c r="J125" s="1" t="s">
        <v>2159</v>
      </c>
      <c r="K125" s="492" t="str">
        <f t="shared" si="7"/>
        <v>Deprecated</v>
      </c>
      <c r="L125" s="486" t="str">
        <f t="shared" si="8"/>
        <v>HR</v>
      </c>
      <c r="M125" s="486" t="str">
        <f t="shared" si="6"/>
        <v>UC</v>
      </c>
      <c r="N125" s="486" t="str">
        <f t="shared" si="9"/>
        <v>PAAS</v>
      </c>
    </row>
    <row r="126" spans="1:14">
      <c r="A126" s="1" t="s">
        <v>301</v>
      </c>
      <c r="B126" s="1" t="s">
        <v>302</v>
      </c>
      <c r="C126" s="1">
        <v>0</v>
      </c>
      <c r="D126" s="1">
        <v>60</v>
      </c>
      <c r="E126" s="1" t="s">
        <v>2173</v>
      </c>
      <c r="F126" s="1" t="s">
        <v>2290</v>
      </c>
      <c r="G126" s="1" t="s">
        <v>2393</v>
      </c>
      <c r="H126" s="1" t="s">
        <v>2162</v>
      </c>
      <c r="I126" s="1" t="s">
        <v>1636</v>
      </c>
      <c r="J126" s="1" t="s">
        <v>2159</v>
      </c>
      <c r="K126" s="492" t="str">
        <f t="shared" si="7"/>
        <v>Deprecated</v>
      </c>
      <c r="L126" s="486" t="str">
        <f t="shared" si="8"/>
        <v>GB</v>
      </c>
      <c r="M126" s="486" t="str">
        <f t="shared" si="6"/>
        <v>UC</v>
      </c>
      <c r="N126" s="486" t="str">
        <f t="shared" si="9"/>
        <v>PAAS</v>
      </c>
    </row>
    <row r="127" spans="1:14">
      <c r="A127" s="1" t="s">
        <v>303</v>
      </c>
      <c r="B127" s="1" t="s">
        <v>304</v>
      </c>
      <c r="C127" s="1">
        <v>0</v>
      </c>
      <c r="D127" s="1">
        <v>130</v>
      </c>
      <c r="E127" s="1" t="s">
        <v>2174</v>
      </c>
      <c r="F127" s="1" t="s">
        <v>2290</v>
      </c>
      <c r="G127" s="1" t="s">
        <v>2393</v>
      </c>
      <c r="H127" s="1" t="s">
        <v>2394</v>
      </c>
      <c r="I127" s="1" t="s">
        <v>1636</v>
      </c>
      <c r="J127" s="1" t="s">
        <v>2159</v>
      </c>
      <c r="K127" s="492" t="str">
        <f t="shared" si="7"/>
        <v>Deprecated</v>
      </c>
      <c r="L127" s="486" t="str">
        <f t="shared" si="8"/>
        <v>UNIT</v>
      </c>
      <c r="M127" s="486" t="str">
        <f t="shared" si="6"/>
        <v>UC</v>
      </c>
      <c r="N127" s="486" t="str">
        <f t="shared" si="9"/>
        <v>PAAS</v>
      </c>
    </row>
    <row r="128" spans="1:14">
      <c r="A128" s="1" t="s">
        <v>305</v>
      </c>
      <c r="B128" s="1" t="s">
        <v>306</v>
      </c>
      <c r="C128" s="1">
        <v>0</v>
      </c>
      <c r="D128" s="1">
        <v>100</v>
      </c>
      <c r="E128" s="1" t="s">
        <v>2174</v>
      </c>
      <c r="F128" s="1" t="s">
        <v>2290</v>
      </c>
      <c r="G128" s="1" t="s">
        <v>2393</v>
      </c>
      <c r="H128" s="1" t="s">
        <v>2394</v>
      </c>
      <c r="I128" s="1" t="s">
        <v>1636</v>
      </c>
      <c r="J128" s="1" t="s">
        <v>2159</v>
      </c>
      <c r="K128" s="492" t="str">
        <f t="shared" si="7"/>
        <v>Deprecated</v>
      </c>
      <c r="L128" s="486" t="str">
        <f t="shared" si="8"/>
        <v>UNIT</v>
      </c>
      <c r="M128" s="486" t="str">
        <f t="shared" si="6"/>
        <v>UC</v>
      </c>
      <c r="N128" s="486" t="str">
        <f t="shared" si="9"/>
        <v>PAAS</v>
      </c>
    </row>
    <row r="129" spans="1:14">
      <c r="A129" s="1" t="s">
        <v>307</v>
      </c>
      <c r="B129" s="1" t="s">
        <v>308</v>
      </c>
      <c r="C129" s="1">
        <v>0</v>
      </c>
      <c r="D129" s="1">
        <v>0.1</v>
      </c>
      <c r="E129" s="1" t="s">
        <v>2175</v>
      </c>
      <c r="F129" s="1" t="s">
        <v>2290</v>
      </c>
      <c r="G129" s="1" t="s">
        <v>1840</v>
      </c>
      <c r="H129" s="1" t="s">
        <v>2162</v>
      </c>
      <c r="I129" s="1" t="s">
        <v>1636</v>
      </c>
      <c r="J129" s="1" t="s">
        <v>2158</v>
      </c>
      <c r="K129" s="492" t="str">
        <f t="shared" si="7"/>
        <v>Storage</v>
      </c>
      <c r="L129" s="486" t="str">
        <f t="shared" si="8"/>
        <v>GB</v>
      </c>
      <c r="M129" s="486" t="str">
        <f t="shared" si="6"/>
        <v>UC</v>
      </c>
      <c r="N129" s="486" t="str">
        <f t="shared" si="9"/>
        <v>IAAS</v>
      </c>
    </row>
    <row r="130" spans="1:14">
      <c r="A130" s="1" t="s">
        <v>31</v>
      </c>
      <c r="B130" s="1" t="s">
        <v>309</v>
      </c>
      <c r="C130" s="1">
        <v>0</v>
      </c>
      <c r="D130" s="1">
        <v>200</v>
      </c>
      <c r="E130" s="1" t="s">
        <v>2176</v>
      </c>
      <c r="F130" s="1" t="s">
        <v>2290</v>
      </c>
      <c r="G130" s="1" t="s">
        <v>2393</v>
      </c>
      <c r="H130" s="1" t="s">
        <v>2394</v>
      </c>
      <c r="I130" s="1" t="s">
        <v>1636</v>
      </c>
      <c r="J130" s="1" t="s">
        <v>2159</v>
      </c>
      <c r="K130" s="492" t="str">
        <f t="shared" si="7"/>
        <v>Deprecated</v>
      </c>
      <c r="L130" s="486" t="str">
        <f t="shared" si="8"/>
        <v>UNIT</v>
      </c>
      <c r="M130" s="486" t="str">
        <f t="shared" si="6"/>
        <v>UC</v>
      </c>
      <c r="N130" s="486" t="str">
        <f t="shared" si="9"/>
        <v>PAAS</v>
      </c>
    </row>
    <row r="131" spans="1:14">
      <c r="A131" s="1" t="s">
        <v>30</v>
      </c>
      <c r="B131" s="1" t="s">
        <v>310</v>
      </c>
      <c r="C131" s="1">
        <v>0</v>
      </c>
      <c r="D131" s="1">
        <v>1300</v>
      </c>
      <c r="E131" s="1" t="s">
        <v>2177</v>
      </c>
      <c r="F131" s="1" t="s">
        <v>2290</v>
      </c>
      <c r="G131" s="1" t="s">
        <v>2391</v>
      </c>
      <c r="H131" s="1" t="s">
        <v>2394</v>
      </c>
      <c r="I131" s="1" t="s">
        <v>1636</v>
      </c>
      <c r="J131" s="1" t="s">
        <v>2159</v>
      </c>
      <c r="K131" s="492" t="str">
        <f t="shared" si="7"/>
        <v>Integration</v>
      </c>
      <c r="L131" s="486" t="str">
        <f t="shared" si="8"/>
        <v>UNIT</v>
      </c>
      <c r="M131" s="486" t="str">
        <f t="shared" si="6"/>
        <v>UC</v>
      </c>
      <c r="N131" s="486" t="str">
        <f t="shared" si="9"/>
        <v>PAAS</v>
      </c>
    </row>
    <row r="132" spans="1:14">
      <c r="A132" s="1" t="s">
        <v>311</v>
      </c>
      <c r="B132" s="1" t="s">
        <v>312</v>
      </c>
      <c r="C132" s="1">
        <v>0</v>
      </c>
      <c r="D132" s="1">
        <v>80000</v>
      </c>
      <c r="E132" s="1" t="s">
        <v>2178</v>
      </c>
      <c r="F132" s="1" t="s">
        <v>2290</v>
      </c>
      <c r="G132" s="1" t="s">
        <v>1838</v>
      </c>
      <c r="H132" s="1" t="s">
        <v>2394</v>
      </c>
      <c r="I132" s="1" t="s">
        <v>1636</v>
      </c>
      <c r="J132" s="1" t="s">
        <v>2159</v>
      </c>
      <c r="K132" s="492" t="str">
        <f t="shared" si="7"/>
        <v>ExaCS</v>
      </c>
      <c r="L132" s="486" t="str">
        <f t="shared" si="8"/>
        <v>UNIT</v>
      </c>
      <c r="M132" s="486" t="str">
        <f t="shared" ref="M132:M195" si="10">_xlfn.IFS(K132="CC","CC",K132="Rapid Start","SRV",F132="Y","UC0",TRUE,"UC")</f>
        <v>UC</v>
      </c>
      <c r="N132" s="486" t="str">
        <f t="shared" si="9"/>
        <v>PAAS</v>
      </c>
    </row>
    <row r="133" spans="1:14">
      <c r="A133" s="1" t="s">
        <v>313</v>
      </c>
      <c r="B133" s="1" t="s">
        <v>314</v>
      </c>
      <c r="C133" s="1">
        <v>0</v>
      </c>
      <c r="D133" s="1">
        <v>280000</v>
      </c>
      <c r="E133" s="1" t="s">
        <v>2178</v>
      </c>
      <c r="F133" s="1" t="s">
        <v>2290</v>
      </c>
      <c r="G133" s="1" t="s">
        <v>1838</v>
      </c>
      <c r="H133" s="1" t="s">
        <v>2394</v>
      </c>
      <c r="I133" s="1" t="s">
        <v>1636</v>
      </c>
      <c r="J133" s="1" t="s">
        <v>2159</v>
      </c>
      <c r="K133" s="492" t="str">
        <f t="shared" si="7"/>
        <v>ExaCS</v>
      </c>
      <c r="L133" s="486" t="str">
        <f t="shared" si="8"/>
        <v>UNIT</v>
      </c>
      <c r="M133" s="486" t="str">
        <f t="shared" si="10"/>
        <v>UC</v>
      </c>
      <c r="N133" s="486" t="str">
        <f t="shared" si="9"/>
        <v>PAAS</v>
      </c>
    </row>
    <row r="134" spans="1:14">
      <c r="A134" s="1" t="s">
        <v>315</v>
      </c>
      <c r="B134" s="1" t="s">
        <v>316</v>
      </c>
      <c r="C134" s="1">
        <v>0</v>
      </c>
      <c r="D134" s="1">
        <v>560000</v>
      </c>
      <c r="E134" s="1" t="s">
        <v>2178</v>
      </c>
      <c r="F134" s="1" t="s">
        <v>2290</v>
      </c>
      <c r="G134" s="1" t="s">
        <v>1838</v>
      </c>
      <c r="H134" s="1" t="s">
        <v>2394</v>
      </c>
      <c r="I134" s="1" t="s">
        <v>1636</v>
      </c>
      <c r="J134" s="1" t="s">
        <v>2159</v>
      </c>
      <c r="K134" s="492" t="str">
        <f t="shared" si="7"/>
        <v>ExaCS</v>
      </c>
      <c r="L134" s="486" t="str">
        <f t="shared" si="8"/>
        <v>UNIT</v>
      </c>
      <c r="M134" s="486" t="str">
        <f t="shared" si="10"/>
        <v>UC</v>
      </c>
      <c r="N134" s="486" t="str">
        <f t="shared" si="9"/>
        <v>PAAS</v>
      </c>
    </row>
    <row r="135" spans="1:14">
      <c r="A135" s="1" t="s">
        <v>317</v>
      </c>
      <c r="B135" s="1" t="s">
        <v>318</v>
      </c>
      <c r="C135" s="1">
        <v>0</v>
      </c>
      <c r="D135" s="1">
        <v>5000</v>
      </c>
      <c r="E135" s="1" t="s">
        <v>2168</v>
      </c>
      <c r="F135" s="1" t="s">
        <v>2290</v>
      </c>
      <c r="G135" s="1" t="s">
        <v>1838</v>
      </c>
      <c r="H135" s="1" t="s">
        <v>2394</v>
      </c>
      <c r="I135" s="1" t="s">
        <v>1636</v>
      </c>
      <c r="J135" s="1" t="s">
        <v>2159</v>
      </c>
      <c r="K135" s="492" t="str">
        <f t="shared" si="7"/>
        <v>ExaCS</v>
      </c>
      <c r="L135" s="486" t="str">
        <f t="shared" si="8"/>
        <v>UNIT</v>
      </c>
      <c r="M135" s="486" t="str">
        <f t="shared" si="10"/>
        <v>UC</v>
      </c>
      <c r="N135" s="486" t="str">
        <f t="shared" si="9"/>
        <v>PAAS</v>
      </c>
    </row>
    <row r="136" spans="1:14">
      <c r="A136" s="1" t="s">
        <v>319</v>
      </c>
      <c r="B136" s="1" t="s">
        <v>320</v>
      </c>
      <c r="C136" s="1">
        <v>0</v>
      </c>
      <c r="D136" s="1">
        <v>0.53</v>
      </c>
      <c r="E136" s="1" t="s">
        <v>2179</v>
      </c>
      <c r="F136" s="1" t="s">
        <v>2290</v>
      </c>
      <c r="G136" s="1" t="s">
        <v>2393</v>
      </c>
      <c r="H136" s="1" t="s">
        <v>2394</v>
      </c>
      <c r="I136" s="1" t="s">
        <v>1636</v>
      </c>
      <c r="J136" s="1" t="s">
        <v>2159</v>
      </c>
      <c r="K136" s="492" t="str">
        <f t="shared" si="7"/>
        <v>Deprecated</v>
      </c>
      <c r="L136" s="486" t="str">
        <f t="shared" si="8"/>
        <v>UNIT</v>
      </c>
      <c r="M136" s="486" t="str">
        <f t="shared" si="10"/>
        <v>UC</v>
      </c>
      <c r="N136" s="486" t="str">
        <f t="shared" si="9"/>
        <v>PAAS</v>
      </c>
    </row>
    <row r="137" spans="1:14">
      <c r="A137" s="1" t="s">
        <v>321</v>
      </c>
      <c r="B137" s="1" t="s">
        <v>322</v>
      </c>
      <c r="C137" s="1">
        <v>0</v>
      </c>
      <c r="D137" s="1">
        <v>1.07</v>
      </c>
      <c r="E137" s="1" t="s">
        <v>2179</v>
      </c>
      <c r="F137" s="1" t="s">
        <v>2290</v>
      </c>
      <c r="G137" s="1" t="s">
        <v>2393</v>
      </c>
      <c r="H137" s="1" t="s">
        <v>2394</v>
      </c>
      <c r="I137" s="1" t="s">
        <v>1636</v>
      </c>
      <c r="J137" s="1" t="s">
        <v>2159</v>
      </c>
      <c r="K137" s="492" t="str">
        <f t="shared" si="7"/>
        <v>Deprecated</v>
      </c>
      <c r="L137" s="486" t="str">
        <f t="shared" si="8"/>
        <v>UNIT</v>
      </c>
      <c r="M137" s="486" t="str">
        <f t="shared" si="10"/>
        <v>UC</v>
      </c>
      <c r="N137" s="486" t="str">
        <f t="shared" si="9"/>
        <v>PAAS</v>
      </c>
    </row>
    <row r="138" spans="1:14">
      <c r="A138" s="1" t="s">
        <v>323</v>
      </c>
      <c r="B138" s="1" t="s">
        <v>324</v>
      </c>
      <c r="C138" s="1">
        <v>0</v>
      </c>
      <c r="D138" s="1">
        <v>2.67</v>
      </c>
      <c r="E138" s="1" t="s">
        <v>2179</v>
      </c>
      <c r="F138" s="1" t="s">
        <v>2290</v>
      </c>
      <c r="G138" s="1" t="s">
        <v>2393</v>
      </c>
      <c r="H138" s="1" t="s">
        <v>2394</v>
      </c>
      <c r="I138" s="1" t="s">
        <v>1636</v>
      </c>
      <c r="J138" s="1" t="s">
        <v>2159</v>
      </c>
      <c r="K138" s="492" t="str">
        <f t="shared" si="7"/>
        <v>Deprecated</v>
      </c>
      <c r="L138" s="486" t="str">
        <f t="shared" si="8"/>
        <v>UNIT</v>
      </c>
      <c r="M138" s="486" t="str">
        <f t="shared" si="10"/>
        <v>UC</v>
      </c>
      <c r="N138" s="486" t="str">
        <f t="shared" si="9"/>
        <v>PAAS</v>
      </c>
    </row>
    <row r="139" spans="1:14">
      <c r="A139" s="1" t="s">
        <v>325</v>
      </c>
      <c r="B139" s="1" t="s">
        <v>326</v>
      </c>
      <c r="C139" s="1">
        <v>0</v>
      </c>
      <c r="D139" s="1">
        <v>4</v>
      </c>
      <c r="E139" s="1" t="s">
        <v>2179</v>
      </c>
      <c r="F139" s="1" t="s">
        <v>2290</v>
      </c>
      <c r="G139" s="1" t="s">
        <v>2393</v>
      </c>
      <c r="H139" s="1" t="s">
        <v>2394</v>
      </c>
      <c r="I139" s="1" t="s">
        <v>1636</v>
      </c>
      <c r="J139" s="1" t="s">
        <v>2159</v>
      </c>
      <c r="K139" s="492" t="str">
        <f t="shared" si="7"/>
        <v>Deprecated</v>
      </c>
      <c r="L139" s="486" t="str">
        <f t="shared" si="8"/>
        <v>UNIT</v>
      </c>
      <c r="M139" s="486" t="str">
        <f t="shared" si="10"/>
        <v>UC</v>
      </c>
      <c r="N139" s="486" t="str">
        <f t="shared" si="9"/>
        <v>PAAS</v>
      </c>
    </row>
    <row r="140" spans="1:14">
      <c r="A140" s="1" t="s">
        <v>327</v>
      </c>
      <c r="B140" s="1" t="s">
        <v>328</v>
      </c>
      <c r="C140" s="1">
        <v>0</v>
      </c>
      <c r="D140" s="1">
        <v>2.7E-2</v>
      </c>
      <c r="E140" s="1" t="s">
        <v>2180</v>
      </c>
      <c r="F140" s="1" t="s">
        <v>2290</v>
      </c>
      <c r="G140" s="1" t="s">
        <v>2393</v>
      </c>
      <c r="H140" s="1" t="s">
        <v>2394</v>
      </c>
      <c r="I140" s="1" t="s">
        <v>1636</v>
      </c>
      <c r="J140" s="1" t="s">
        <v>2159</v>
      </c>
      <c r="K140" s="492" t="str">
        <f t="shared" si="7"/>
        <v>Deprecated</v>
      </c>
      <c r="L140" s="486" t="str">
        <f t="shared" si="8"/>
        <v>UNIT</v>
      </c>
      <c r="M140" s="486" t="str">
        <f t="shared" si="10"/>
        <v>UC</v>
      </c>
      <c r="N140" s="486" t="str">
        <f t="shared" si="9"/>
        <v>PAAS</v>
      </c>
    </row>
    <row r="141" spans="1:14">
      <c r="A141" s="1" t="s">
        <v>329</v>
      </c>
      <c r="B141" s="1" t="s">
        <v>330</v>
      </c>
      <c r="C141" s="1">
        <v>0</v>
      </c>
      <c r="D141" s="1">
        <v>5000</v>
      </c>
      <c r="E141" s="1" t="s">
        <v>2181</v>
      </c>
      <c r="F141" s="1" t="s">
        <v>2290</v>
      </c>
      <c r="G141" s="1" t="s">
        <v>2393</v>
      </c>
      <c r="H141" s="1" t="s">
        <v>2394</v>
      </c>
      <c r="I141" s="1" t="s">
        <v>1636</v>
      </c>
      <c r="J141" s="1" t="s">
        <v>2159</v>
      </c>
      <c r="K141" s="492" t="str">
        <f t="shared" si="7"/>
        <v>Deprecated</v>
      </c>
      <c r="L141" s="486" t="str">
        <f t="shared" si="8"/>
        <v>UNIT</v>
      </c>
      <c r="M141" s="486" t="str">
        <f t="shared" si="10"/>
        <v>UC</v>
      </c>
      <c r="N141" s="486" t="str">
        <f t="shared" si="9"/>
        <v>PAAS</v>
      </c>
    </row>
    <row r="142" spans="1:14">
      <c r="A142" s="1" t="s">
        <v>331</v>
      </c>
      <c r="B142" s="1" t="s">
        <v>332</v>
      </c>
      <c r="C142" s="1">
        <v>0</v>
      </c>
      <c r="D142" s="1">
        <v>30</v>
      </c>
      <c r="E142" s="1" t="s">
        <v>2176</v>
      </c>
      <c r="F142" s="1" t="s">
        <v>2290</v>
      </c>
      <c r="G142" s="1" t="s">
        <v>2393</v>
      </c>
      <c r="H142" s="1" t="s">
        <v>2394</v>
      </c>
      <c r="I142" s="1" t="s">
        <v>1636</v>
      </c>
      <c r="J142" s="1" t="s">
        <v>2159</v>
      </c>
      <c r="K142" s="492" t="str">
        <f t="shared" ref="K142:K205" si="11" xml:space="preserve"> _xlfn.IFS(ISNUMBER(SEARCH("Universal Credits",B142)),"UC",
ISNUMBER(SEARCH("Ravello",B142)),"Deprecated",
ISNUMBER(SEARCH("Cloud Machine",B142)),"Deprecated",
ISNUMBER(SEARCH("Compute",B142)),"Compute",
ISNUMBER(SEARCH("Load Balancer",B142)),"Network",
ISNUMBER(SEARCH("FastConnect",B142)),"Network",
ISNUMBER(SEARCH("Database OCPU",B142)),"CC OCPU",
ISNUMBER(SEARCH("at Customer",B142)),"CC",
ISNUMBER(SEARCH("Exadata Storage",B142)),"Exa Storage",
ISNUMBER(SEARCH("Storage",B142)),"Storage",
ISNUMBER(SEARCH("Block ",B142)),"Storage",
ISNUMBER(SEARCH("Autonomous Data Warehouse",B142)),"ADW",
ISNUMBER(SEARCH("Autonomous Transaction Processing",B142)),"ATP",
ISNUMBER(SEARCH("Database Exadata",B142)),"ExaCS",
ISNUMBER(SEARCH("Database",B142)),"DBaaS",
ISNUMBER(SEARCH("Essbase",B142)),"DBaaS",
ISNUMBER(SEARCH("integration",B142)),"Integration",
ISNUMBER(SEARCH("SOA",B142)),"Integration",
ISNUMBER(SEARCH("Management Cloud",B142)),"Service",
ISNUMBER(SEARCH("Analytics",B142)),"Analytics",
ISNUMBER(SEARCH("Storage",B142)),"Storage",
ISNUMBER(SEARCH("Block ",B142)),"Storage",
ISNUMBER(SEARCH("Identity",B142)),"Platform",
ISNUMBER(SEARCH("Content",B142)),"Platform",
ISNUMBER(SEARCH("Weblogic",B142)),"Platform",
ISNUMBER(SEARCH("Digital Assistant",B142)),"Platform",
ISNUMBER(SEARCH("Advance",B142)),"New",
ISNUMBER(SEARCH("Limited",B142)),"Classic",
ISNUMBER(SEARCH("Classic",B142)),"Classic",
ISNUMBER(SEARCH("Government",B142)),"Government",
ISNUMBER(SEARCH("Metered",B142)),"Deprecated",
VALUE(RIGHT(A142,5))&lt;88206,"Deprecated",
TRUE,"Service")</f>
        <v>Deprecated</v>
      </c>
      <c r="L142" s="486" t="str">
        <f t="shared" ref="L142:L205" si="12">_xlfn.IFS(ISNUMBER(SEARCH("Hour",E142)),"HR",ISNUMBER(SEARCH("Gigabyte",E142)),"GB",ISNUMBER(SEARCH("Terabyte",E142)),"TB",ISNUMBER(SEARCH("Requests",E142)),"REQ",ISNUMBER(SEARCH("Each",E142)),"EA","TRUE","UNIT")</f>
        <v>UNIT</v>
      </c>
      <c r="M142" s="486" t="str">
        <f t="shared" si="10"/>
        <v>UC</v>
      </c>
      <c r="N142" s="486" t="str">
        <f t="shared" ref="N142:N205" si="13">_xlfn.IFS(K142="Storage","IAAS",K142="Compute","IAAS",K142="Network","IAAS",K142="Service","IAAS",L142="REQ","IAAS",TRUE,"PAAS")</f>
        <v>PAAS</v>
      </c>
    </row>
    <row r="143" spans="1:14">
      <c r="A143" s="1" t="s">
        <v>333</v>
      </c>
      <c r="B143" s="1" t="s">
        <v>334</v>
      </c>
      <c r="C143" s="1">
        <v>0</v>
      </c>
      <c r="D143" s="1">
        <v>20</v>
      </c>
      <c r="E143" s="1" t="s">
        <v>2182</v>
      </c>
      <c r="F143" s="1" t="s">
        <v>2290</v>
      </c>
      <c r="G143" s="1" t="s">
        <v>1840</v>
      </c>
      <c r="H143" s="1" t="s">
        <v>2394</v>
      </c>
      <c r="I143" s="1" t="s">
        <v>1636</v>
      </c>
      <c r="J143" s="1" t="s">
        <v>2158</v>
      </c>
      <c r="K143" s="492" t="str">
        <f t="shared" si="11"/>
        <v>Storage</v>
      </c>
      <c r="L143" s="486" t="str">
        <f t="shared" si="12"/>
        <v>UNIT</v>
      </c>
      <c r="M143" s="486" t="str">
        <f t="shared" si="10"/>
        <v>UC</v>
      </c>
      <c r="N143" s="486" t="str">
        <f t="shared" si="13"/>
        <v>IAAS</v>
      </c>
    </row>
    <row r="144" spans="1:14">
      <c r="A144" s="1" t="s">
        <v>335</v>
      </c>
      <c r="B144" s="1" t="s">
        <v>336</v>
      </c>
      <c r="C144" s="1">
        <v>0</v>
      </c>
      <c r="D144" s="1">
        <v>0.5</v>
      </c>
      <c r="E144" s="1" t="s">
        <v>2183</v>
      </c>
      <c r="F144" s="1" t="s">
        <v>2290</v>
      </c>
      <c r="G144" s="1" t="s">
        <v>2393</v>
      </c>
      <c r="H144" s="1" t="s">
        <v>2394</v>
      </c>
      <c r="I144" s="1" t="s">
        <v>1636</v>
      </c>
      <c r="J144" s="1" t="s">
        <v>2159</v>
      </c>
      <c r="K144" s="492" t="str">
        <f t="shared" si="11"/>
        <v>Deprecated</v>
      </c>
      <c r="L144" s="486" t="str">
        <f t="shared" si="12"/>
        <v>UNIT</v>
      </c>
      <c r="M144" s="486" t="str">
        <f t="shared" si="10"/>
        <v>UC</v>
      </c>
      <c r="N144" s="486" t="str">
        <f t="shared" si="13"/>
        <v>PAAS</v>
      </c>
    </row>
    <row r="145" spans="1:14">
      <c r="A145" s="1" t="s">
        <v>337</v>
      </c>
      <c r="B145" s="1" t="s">
        <v>338</v>
      </c>
      <c r="C145" s="1">
        <v>0</v>
      </c>
      <c r="D145" s="1">
        <v>2250</v>
      </c>
      <c r="E145" s="1" t="s">
        <v>2171</v>
      </c>
      <c r="F145" s="1" t="s">
        <v>2290</v>
      </c>
      <c r="G145" s="1" t="s">
        <v>2393</v>
      </c>
      <c r="H145" s="1" t="s">
        <v>2394</v>
      </c>
      <c r="I145" s="1" t="s">
        <v>1636</v>
      </c>
      <c r="J145" s="1" t="s">
        <v>2159</v>
      </c>
      <c r="K145" s="492" t="str">
        <f t="shared" si="11"/>
        <v>Deprecated</v>
      </c>
      <c r="L145" s="486" t="str">
        <f t="shared" si="12"/>
        <v>UNIT</v>
      </c>
      <c r="M145" s="486" t="str">
        <f t="shared" si="10"/>
        <v>UC</v>
      </c>
      <c r="N145" s="486" t="str">
        <f t="shared" si="13"/>
        <v>PAAS</v>
      </c>
    </row>
    <row r="146" spans="1:14">
      <c r="A146" s="1" t="s">
        <v>339</v>
      </c>
      <c r="B146" s="1" t="s">
        <v>340</v>
      </c>
      <c r="C146" s="1">
        <v>0</v>
      </c>
      <c r="D146" s="1">
        <v>2750</v>
      </c>
      <c r="E146" s="1" t="s">
        <v>2171</v>
      </c>
      <c r="F146" s="1" t="s">
        <v>2290</v>
      </c>
      <c r="G146" s="1" t="s">
        <v>2391</v>
      </c>
      <c r="H146" s="1" t="s">
        <v>2394</v>
      </c>
      <c r="I146" s="1" t="s">
        <v>1636</v>
      </c>
      <c r="J146" s="1" t="s">
        <v>2159</v>
      </c>
      <c r="K146" s="492" t="str">
        <f t="shared" si="11"/>
        <v>Integration</v>
      </c>
      <c r="L146" s="486" t="str">
        <f t="shared" si="12"/>
        <v>UNIT</v>
      </c>
      <c r="M146" s="486" t="str">
        <f t="shared" si="10"/>
        <v>UC</v>
      </c>
      <c r="N146" s="486" t="str">
        <f t="shared" si="13"/>
        <v>PAAS</v>
      </c>
    </row>
    <row r="147" spans="1:14">
      <c r="A147" s="1" t="s">
        <v>341</v>
      </c>
      <c r="B147" s="1" t="s">
        <v>342</v>
      </c>
      <c r="C147" s="1">
        <v>0</v>
      </c>
      <c r="D147" s="1">
        <v>1</v>
      </c>
      <c r="E147" s="1">
        <v>0</v>
      </c>
      <c r="F147" s="1" t="s">
        <v>2290</v>
      </c>
      <c r="G147" s="1" t="s">
        <v>2393</v>
      </c>
      <c r="H147" s="1" t="s">
        <v>2394</v>
      </c>
      <c r="I147" s="1" t="s">
        <v>1636</v>
      </c>
      <c r="J147" s="1" t="s">
        <v>2159</v>
      </c>
      <c r="K147" s="492" t="str">
        <f t="shared" si="11"/>
        <v>Deprecated</v>
      </c>
      <c r="L147" s="486" t="str">
        <f t="shared" si="12"/>
        <v>UNIT</v>
      </c>
      <c r="M147" s="486" t="str">
        <f t="shared" si="10"/>
        <v>UC</v>
      </c>
      <c r="N147" s="486" t="str">
        <f t="shared" si="13"/>
        <v>PAAS</v>
      </c>
    </row>
    <row r="148" spans="1:14">
      <c r="A148" s="1" t="s">
        <v>343</v>
      </c>
      <c r="B148" s="1" t="s">
        <v>344</v>
      </c>
      <c r="C148" s="1">
        <v>0</v>
      </c>
      <c r="D148" s="1">
        <v>1200</v>
      </c>
      <c r="E148" s="1" t="s">
        <v>2176</v>
      </c>
      <c r="F148" s="1" t="s">
        <v>2290</v>
      </c>
      <c r="G148" s="1" t="s">
        <v>2393</v>
      </c>
      <c r="H148" s="1" t="s">
        <v>2394</v>
      </c>
      <c r="I148" s="1" t="s">
        <v>1636</v>
      </c>
      <c r="J148" s="1" t="s">
        <v>2159</v>
      </c>
      <c r="K148" s="492" t="str">
        <f t="shared" si="11"/>
        <v>Deprecated</v>
      </c>
      <c r="L148" s="486" t="str">
        <f t="shared" si="12"/>
        <v>UNIT</v>
      </c>
      <c r="M148" s="486" t="str">
        <f t="shared" si="10"/>
        <v>UC</v>
      </c>
      <c r="N148" s="486" t="str">
        <f t="shared" si="13"/>
        <v>PAAS</v>
      </c>
    </row>
    <row r="149" spans="1:14">
      <c r="A149" s="1" t="s">
        <v>32</v>
      </c>
      <c r="B149" s="1" t="s">
        <v>345</v>
      </c>
      <c r="C149" s="1">
        <v>0</v>
      </c>
      <c r="D149" s="1">
        <v>60</v>
      </c>
      <c r="E149" s="1" t="s">
        <v>2176</v>
      </c>
      <c r="F149" s="1" t="s">
        <v>2290</v>
      </c>
      <c r="G149" s="1" t="s">
        <v>2393</v>
      </c>
      <c r="H149" s="1" t="s">
        <v>2394</v>
      </c>
      <c r="I149" s="1" t="s">
        <v>1636</v>
      </c>
      <c r="J149" s="1" t="s">
        <v>2159</v>
      </c>
      <c r="K149" s="492" t="str">
        <f t="shared" si="11"/>
        <v>Deprecated</v>
      </c>
      <c r="L149" s="486" t="str">
        <f t="shared" si="12"/>
        <v>UNIT</v>
      </c>
      <c r="M149" s="486" t="str">
        <f t="shared" si="10"/>
        <v>UC</v>
      </c>
      <c r="N149" s="486" t="str">
        <f t="shared" si="13"/>
        <v>PAAS</v>
      </c>
    </row>
    <row r="150" spans="1:14">
      <c r="A150" s="1" t="s">
        <v>33</v>
      </c>
      <c r="B150" s="1" t="s">
        <v>346</v>
      </c>
      <c r="C150" s="1">
        <v>0</v>
      </c>
      <c r="D150" s="1">
        <v>6</v>
      </c>
      <c r="E150" s="1" t="s">
        <v>2176</v>
      </c>
      <c r="F150" s="1" t="s">
        <v>2290</v>
      </c>
      <c r="G150" s="1" t="s">
        <v>2393</v>
      </c>
      <c r="H150" s="1" t="s">
        <v>2394</v>
      </c>
      <c r="I150" s="1" t="s">
        <v>1636</v>
      </c>
      <c r="J150" s="1" t="s">
        <v>2159</v>
      </c>
      <c r="K150" s="492" t="str">
        <f t="shared" si="11"/>
        <v>Deprecated</v>
      </c>
      <c r="L150" s="486" t="str">
        <f t="shared" si="12"/>
        <v>UNIT</v>
      </c>
      <c r="M150" s="486" t="str">
        <f t="shared" si="10"/>
        <v>UC</v>
      </c>
      <c r="N150" s="486" t="str">
        <f t="shared" si="13"/>
        <v>PAAS</v>
      </c>
    </row>
    <row r="151" spans="1:14">
      <c r="A151" s="1" t="s">
        <v>2</v>
      </c>
      <c r="B151" s="1" t="s">
        <v>562</v>
      </c>
      <c r="C151" s="1">
        <v>0</v>
      </c>
      <c r="D151" s="1">
        <v>75</v>
      </c>
      <c r="E151" s="1" t="s">
        <v>2168</v>
      </c>
      <c r="F151" s="1" t="s">
        <v>2290</v>
      </c>
      <c r="G151" s="1" t="s">
        <v>1835</v>
      </c>
      <c r="H151" s="1" t="s">
        <v>2394</v>
      </c>
      <c r="I151" s="1" t="s">
        <v>1636</v>
      </c>
      <c r="J151" s="1" t="s">
        <v>2158</v>
      </c>
      <c r="K151" s="492" t="str">
        <f t="shared" si="11"/>
        <v>Compute</v>
      </c>
      <c r="L151" s="486" t="str">
        <f t="shared" si="12"/>
        <v>UNIT</v>
      </c>
      <c r="M151" s="486" t="str">
        <f t="shared" si="10"/>
        <v>UC</v>
      </c>
      <c r="N151" s="486" t="str">
        <f t="shared" si="13"/>
        <v>IAAS</v>
      </c>
    </row>
    <row r="152" spans="1:14">
      <c r="A152" s="1" t="s">
        <v>347</v>
      </c>
      <c r="B152" s="1" t="s">
        <v>513</v>
      </c>
      <c r="C152" s="1">
        <v>0</v>
      </c>
      <c r="D152" s="1">
        <v>0.1</v>
      </c>
      <c r="E152" s="1" t="s">
        <v>49</v>
      </c>
      <c r="F152" s="1" t="s">
        <v>2290</v>
      </c>
      <c r="G152" s="1" t="s">
        <v>1835</v>
      </c>
      <c r="H152" s="1" t="s">
        <v>2161</v>
      </c>
      <c r="I152" s="1" t="s">
        <v>1636</v>
      </c>
      <c r="J152" s="1" t="s">
        <v>2158</v>
      </c>
      <c r="K152" s="492" t="str">
        <f t="shared" si="11"/>
        <v>Compute</v>
      </c>
      <c r="L152" s="486" t="str">
        <f t="shared" si="12"/>
        <v>HR</v>
      </c>
      <c r="M152" s="486" t="str">
        <f t="shared" si="10"/>
        <v>UC</v>
      </c>
      <c r="N152" s="486" t="str">
        <f t="shared" si="13"/>
        <v>IAAS</v>
      </c>
    </row>
    <row r="153" spans="1:14">
      <c r="A153" s="1" t="s">
        <v>8</v>
      </c>
      <c r="B153" s="1" t="s">
        <v>7</v>
      </c>
      <c r="C153" s="1">
        <v>0</v>
      </c>
      <c r="D153" s="1">
        <v>500</v>
      </c>
      <c r="E153" s="1" t="s">
        <v>2184</v>
      </c>
      <c r="F153" s="1" t="s">
        <v>2290</v>
      </c>
      <c r="G153" s="1" t="s">
        <v>2393</v>
      </c>
      <c r="H153" s="1" t="s">
        <v>2394</v>
      </c>
      <c r="I153" s="1" t="s">
        <v>1636</v>
      </c>
      <c r="J153" s="1" t="s">
        <v>2159</v>
      </c>
      <c r="K153" s="492" t="str">
        <f t="shared" si="11"/>
        <v>Deprecated</v>
      </c>
      <c r="L153" s="486" t="str">
        <f t="shared" si="12"/>
        <v>UNIT</v>
      </c>
      <c r="M153" s="486" t="str">
        <f t="shared" si="10"/>
        <v>UC</v>
      </c>
      <c r="N153" s="486" t="str">
        <f t="shared" si="13"/>
        <v>PAAS</v>
      </c>
    </row>
    <row r="154" spans="1:14">
      <c r="A154" s="1" t="s">
        <v>17</v>
      </c>
      <c r="B154" s="1" t="s">
        <v>514</v>
      </c>
      <c r="C154" s="1">
        <v>0</v>
      </c>
      <c r="D154" s="1">
        <v>7.4999999999999997E-2</v>
      </c>
      <c r="E154" s="1" t="s">
        <v>49</v>
      </c>
      <c r="F154" s="1" t="s">
        <v>2290</v>
      </c>
      <c r="G154" s="1" t="s">
        <v>1835</v>
      </c>
      <c r="H154" s="1" t="s">
        <v>2161</v>
      </c>
      <c r="I154" s="1" t="s">
        <v>1636</v>
      </c>
      <c r="J154" s="1" t="s">
        <v>2158</v>
      </c>
      <c r="K154" s="492" t="str">
        <f t="shared" si="11"/>
        <v>Compute</v>
      </c>
      <c r="L154" s="486" t="str">
        <f t="shared" si="12"/>
        <v>HR</v>
      </c>
      <c r="M154" s="486" t="str">
        <f t="shared" si="10"/>
        <v>UC</v>
      </c>
      <c r="N154" s="486" t="str">
        <f t="shared" si="13"/>
        <v>IAAS</v>
      </c>
    </row>
    <row r="155" spans="1:14">
      <c r="A155" s="1" t="s">
        <v>18</v>
      </c>
      <c r="B155" s="1" t="s">
        <v>515</v>
      </c>
      <c r="C155" s="1">
        <v>0</v>
      </c>
      <c r="D155" s="1">
        <v>0.15</v>
      </c>
      <c r="E155" s="1" t="s">
        <v>49</v>
      </c>
      <c r="F155" s="1" t="s">
        <v>2290</v>
      </c>
      <c r="G155" s="1" t="s">
        <v>1835</v>
      </c>
      <c r="H155" s="1" t="s">
        <v>2161</v>
      </c>
      <c r="I155" s="1" t="s">
        <v>1636</v>
      </c>
      <c r="J155" s="1" t="s">
        <v>2158</v>
      </c>
      <c r="K155" s="492" t="str">
        <f t="shared" si="11"/>
        <v>Compute</v>
      </c>
      <c r="L155" s="486" t="str">
        <f t="shared" si="12"/>
        <v>HR</v>
      </c>
      <c r="M155" s="486" t="str">
        <f t="shared" si="10"/>
        <v>UC</v>
      </c>
      <c r="N155" s="486" t="str">
        <f t="shared" si="13"/>
        <v>IAAS</v>
      </c>
    </row>
    <row r="156" spans="1:14">
      <c r="A156" s="1" t="s">
        <v>26</v>
      </c>
      <c r="B156" s="1" t="s">
        <v>516</v>
      </c>
      <c r="C156" s="1">
        <v>0</v>
      </c>
      <c r="D156" s="1">
        <v>7.4999999999999997E-2</v>
      </c>
      <c r="E156" s="1" t="s">
        <v>49</v>
      </c>
      <c r="F156" s="1" t="s">
        <v>2290</v>
      </c>
      <c r="G156" s="1" t="s">
        <v>1835</v>
      </c>
      <c r="H156" s="1" t="s">
        <v>2161</v>
      </c>
      <c r="I156" s="1" t="s">
        <v>1636</v>
      </c>
      <c r="J156" s="1" t="s">
        <v>2158</v>
      </c>
      <c r="K156" s="492" t="str">
        <f t="shared" si="11"/>
        <v>Compute</v>
      </c>
      <c r="L156" s="486" t="str">
        <f t="shared" si="12"/>
        <v>HR</v>
      </c>
      <c r="M156" s="486" t="str">
        <f t="shared" si="10"/>
        <v>UC</v>
      </c>
      <c r="N156" s="486" t="str">
        <f t="shared" si="13"/>
        <v>IAAS</v>
      </c>
    </row>
    <row r="157" spans="1:14">
      <c r="A157" s="1" t="s">
        <v>20</v>
      </c>
      <c r="B157" s="1" t="s">
        <v>517</v>
      </c>
      <c r="C157" s="1">
        <v>0</v>
      </c>
      <c r="D157" s="1">
        <v>0.03</v>
      </c>
      <c r="E157" s="1" t="s">
        <v>2175</v>
      </c>
      <c r="F157" s="1" t="s">
        <v>2290</v>
      </c>
      <c r="G157" s="1" t="s">
        <v>1840</v>
      </c>
      <c r="H157" s="1" t="s">
        <v>2162</v>
      </c>
      <c r="I157" s="1" t="s">
        <v>1636</v>
      </c>
      <c r="J157" s="1" t="s">
        <v>2158</v>
      </c>
      <c r="K157" s="492" t="str">
        <f t="shared" si="11"/>
        <v>Storage</v>
      </c>
      <c r="L157" s="486" t="str">
        <f t="shared" si="12"/>
        <v>GB</v>
      </c>
      <c r="M157" s="486" t="str">
        <f t="shared" si="10"/>
        <v>UC</v>
      </c>
      <c r="N157" s="486" t="str">
        <f t="shared" si="13"/>
        <v>IAAS</v>
      </c>
    </row>
    <row r="158" spans="1:14">
      <c r="A158" s="1" t="s">
        <v>348</v>
      </c>
      <c r="B158" s="1" t="s">
        <v>349</v>
      </c>
      <c r="C158" s="1">
        <v>0</v>
      </c>
      <c r="D158" s="1">
        <v>0.23300000000000001</v>
      </c>
      <c r="E158" s="1" t="s">
        <v>49</v>
      </c>
      <c r="F158" s="1" t="s">
        <v>2290</v>
      </c>
      <c r="G158" s="1" t="s">
        <v>2393</v>
      </c>
      <c r="H158" s="1" t="s">
        <v>2161</v>
      </c>
      <c r="I158" s="1" t="s">
        <v>1636</v>
      </c>
      <c r="J158" s="1" t="s">
        <v>2159</v>
      </c>
      <c r="K158" s="492" t="str">
        <f t="shared" si="11"/>
        <v>Deprecated</v>
      </c>
      <c r="L158" s="486" t="str">
        <f t="shared" si="12"/>
        <v>HR</v>
      </c>
      <c r="M158" s="486" t="str">
        <f t="shared" si="10"/>
        <v>UC</v>
      </c>
      <c r="N158" s="486" t="str">
        <f t="shared" si="13"/>
        <v>PAAS</v>
      </c>
    </row>
    <row r="159" spans="1:14">
      <c r="A159" s="1" t="s">
        <v>350</v>
      </c>
      <c r="B159" s="1" t="s">
        <v>351</v>
      </c>
      <c r="C159" s="1">
        <v>0</v>
      </c>
      <c r="D159" s="1">
        <v>45</v>
      </c>
      <c r="E159" s="1" t="s">
        <v>2185</v>
      </c>
      <c r="F159" s="1" t="s">
        <v>2290</v>
      </c>
      <c r="G159" s="1" t="s">
        <v>2393</v>
      </c>
      <c r="H159" s="1" t="s">
        <v>2162</v>
      </c>
      <c r="I159" s="1" t="s">
        <v>1636</v>
      </c>
      <c r="J159" s="1" t="s">
        <v>2159</v>
      </c>
      <c r="K159" s="492" t="str">
        <f t="shared" si="11"/>
        <v>Deprecated</v>
      </c>
      <c r="L159" s="486" t="str">
        <f t="shared" si="12"/>
        <v>GB</v>
      </c>
      <c r="M159" s="486" t="str">
        <f t="shared" si="10"/>
        <v>UC</v>
      </c>
      <c r="N159" s="486" t="str">
        <f t="shared" si="13"/>
        <v>PAAS</v>
      </c>
    </row>
    <row r="160" spans="1:14">
      <c r="A160" s="1" t="s">
        <v>352</v>
      </c>
      <c r="B160" s="1" t="s">
        <v>318</v>
      </c>
      <c r="C160" s="1">
        <v>0</v>
      </c>
      <c r="D160" s="1">
        <v>8.4009999999999998</v>
      </c>
      <c r="E160" s="1" t="s">
        <v>49</v>
      </c>
      <c r="F160" s="1" t="s">
        <v>2290</v>
      </c>
      <c r="G160" s="1" t="s">
        <v>1838</v>
      </c>
      <c r="H160" s="1" t="s">
        <v>2161</v>
      </c>
      <c r="I160" s="1" t="s">
        <v>1636</v>
      </c>
      <c r="J160" s="1" t="s">
        <v>2159</v>
      </c>
      <c r="K160" s="492" t="str">
        <f t="shared" si="11"/>
        <v>ExaCS</v>
      </c>
      <c r="L160" s="486" t="str">
        <f t="shared" si="12"/>
        <v>HR</v>
      </c>
      <c r="M160" s="486" t="str">
        <f t="shared" si="10"/>
        <v>UC</v>
      </c>
      <c r="N160" s="486" t="str">
        <f t="shared" si="13"/>
        <v>PAAS</v>
      </c>
    </row>
    <row r="161" spans="1:14">
      <c r="A161" s="1" t="s">
        <v>353</v>
      </c>
      <c r="B161" s="1" t="s">
        <v>354</v>
      </c>
      <c r="C161" s="1">
        <v>0</v>
      </c>
      <c r="D161" s="1">
        <v>0.4</v>
      </c>
      <c r="E161" s="1" t="s">
        <v>49</v>
      </c>
      <c r="F161" s="1" t="s">
        <v>2290</v>
      </c>
      <c r="G161" s="1" t="s">
        <v>2393</v>
      </c>
      <c r="H161" s="1" t="s">
        <v>2161</v>
      </c>
      <c r="I161" s="1" t="s">
        <v>1636</v>
      </c>
      <c r="J161" s="1" t="s">
        <v>2159</v>
      </c>
      <c r="K161" s="492" t="str">
        <f t="shared" si="11"/>
        <v>Deprecated</v>
      </c>
      <c r="L161" s="486" t="str">
        <f t="shared" si="12"/>
        <v>HR</v>
      </c>
      <c r="M161" s="486" t="str">
        <f t="shared" si="10"/>
        <v>UC</v>
      </c>
      <c r="N161" s="486" t="str">
        <f t="shared" si="13"/>
        <v>PAAS</v>
      </c>
    </row>
    <row r="162" spans="1:14">
      <c r="A162" s="1" t="s">
        <v>355</v>
      </c>
      <c r="B162" s="1" t="s">
        <v>518</v>
      </c>
      <c r="C162" s="1">
        <v>0</v>
      </c>
      <c r="D162" s="1">
        <v>0.14000000000000001</v>
      </c>
      <c r="E162" s="1" t="s">
        <v>2186</v>
      </c>
      <c r="F162" s="1" t="s">
        <v>2290</v>
      </c>
      <c r="G162" s="1" t="s">
        <v>2393</v>
      </c>
      <c r="H162" s="1" t="s">
        <v>2161</v>
      </c>
      <c r="I162" s="1" t="s">
        <v>1636</v>
      </c>
      <c r="J162" s="1" t="s">
        <v>2159</v>
      </c>
      <c r="K162" s="492" t="str">
        <f t="shared" si="11"/>
        <v>Deprecated</v>
      </c>
      <c r="L162" s="486" t="str">
        <f t="shared" si="12"/>
        <v>HR</v>
      </c>
      <c r="M162" s="486" t="str">
        <f t="shared" si="10"/>
        <v>UC</v>
      </c>
      <c r="N162" s="486" t="str">
        <f t="shared" si="13"/>
        <v>PAAS</v>
      </c>
    </row>
    <row r="163" spans="1:14">
      <c r="A163" s="1" t="s">
        <v>356</v>
      </c>
      <c r="B163" s="1" t="s">
        <v>519</v>
      </c>
      <c r="C163" s="1">
        <v>0</v>
      </c>
      <c r="D163" s="1">
        <v>0.27</v>
      </c>
      <c r="E163" s="1" t="s">
        <v>2186</v>
      </c>
      <c r="F163" s="1" t="s">
        <v>2290</v>
      </c>
      <c r="G163" s="1" t="s">
        <v>2393</v>
      </c>
      <c r="H163" s="1" t="s">
        <v>2161</v>
      </c>
      <c r="I163" s="1" t="s">
        <v>1636</v>
      </c>
      <c r="J163" s="1" t="s">
        <v>2159</v>
      </c>
      <c r="K163" s="492" t="str">
        <f t="shared" si="11"/>
        <v>Deprecated</v>
      </c>
      <c r="L163" s="486" t="str">
        <f t="shared" si="12"/>
        <v>HR</v>
      </c>
      <c r="M163" s="486" t="str">
        <f t="shared" si="10"/>
        <v>UC</v>
      </c>
      <c r="N163" s="486" t="str">
        <f t="shared" si="13"/>
        <v>PAAS</v>
      </c>
    </row>
    <row r="164" spans="1:14">
      <c r="A164" s="1" t="s">
        <v>357</v>
      </c>
      <c r="B164" s="1" t="s">
        <v>520</v>
      </c>
      <c r="C164" s="1">
        <v>0</v>
      </c>
      <c r="D164" s="1">
        <v>0.3</v>
      </c>
      <c r="E164" s="1" t="s">
        <v>2186</v>
      </c>
      <c r="F164" s="1" t="s">
        <v>2290</v>
      </c>
      <c r="G164" s="1" t="s">
        <v>2393</v>
      </c>
      <c r="H164" s="1" t="s">
        <v>2161</v>
      </c>
      <c r="I164" s="1" t="s">
        <v>1636</v>
      </c>
      <c r="J164" s="1" t="s">
        <v>2159</v>
      </c>
      <c r="K164" s="492" t="str">
        <f t="shared" si="11"/>
        <v>Deprecated</v>
      </c>
      <c r="L164" s="486" t="str">
        <f t="shared" si="12"/>
        <v>HR</v>
      </c>
      <c r="M164" s="486" t="str">
        <f t="shared" si="10"/>
        <v>UC</v>
      </c>
      <c r="N164" s="486" t="str">
        <f t="shared" si="13"/>
        <v>PAAS</v>
      </c>
    </row>
    <row r="165" spans="1:14">
      <c r="A165" s="1" t="s">
        <v>358</v>
      </c>
      <c r="B165" s="1" t="s">
        <v>521</v>
      </c>
      <c r="C165" s="1">
        <v>0</v>
      </c>
      <c r="D165" s="1">
        <v>0.21</v>
      </c>
      <c r="E165" s="1" t="s">
        <v>2186</v>
      </c>
      <c r="F165" s="1" t="s">
        <v>2290</v>
      </c>
      <c r="G165" s="1" t="s">
        <v>2393</v>
      </c>
      <c r="H165" s="1" t="s">
        <v>2161</v>
      </c>
      <c r="I165" s="1" t="s">
        <v>1636</v>
      </c>
      <c r="J165" s="1" t="s">
        <v>2159</v>
      </c>
      <c r="K165" s="492" t="str">
        <f t="shared" si="11"/>
        <v>Deprecated</v>
      </c>
      <c r="L165" s="486" t="str">
        <f t="shared" si="12"/>
        <v>HR</v>
      </c>
      <c r="M165" s="486" t="str">
        <f t="shared" si="10"/>
        <v>UC</v>
      </c>
      <c r="N165" s="486" t="str">
        <f t="shared" si="13"/>
        <v>PAAS</v>
      </c>
    </row>
    <row r="166" spans="1:14">
      <c r="A166" s="1" t="s">
        <v>359</v>
      </c>
      <c r="B166" s="1" t="s">
        <v>522</v>
      </c>
      <c r="C166" s="1">
        <v>0</v>
      </c>
      <c r="D166" s="1">
        <v>0.4</v>
      </c>
      <c r="E166" s="1" t="s">
        <v>2186</v>
      </c>
      <c r="F166" s="1" t="s">
        <v>2290</v>
      </c>
      <c r="G166" s="1" t="s">
        <v>2393</v>
      </c>
      <c r="H166" s="1" t="s">
        <v>2161</v>
      </c>
      <c r="I166" s="1" t="s">
        <v>1636</v>
      </c>
      <c r="J166" s="1" t="s">
        <v>2159</v>
      </c>
      <c r="K166" s="492" t="str">
        <f t="shared" si="11"/>
        <v>Deprecated</v>
      </c>
      <c r="L166" s="486" t="str">
        <f t="shared" si="12"/>
        <v>HR</v>
      </c>
      <c r="M166" s="486" t="str">
        <f t="shared" si="10"/>
        <v>UC</v>
      </c>
      <c r="N166" s="486" t="str">
        <f t="shared" si="13"/>
        <v>PAAS</v>
      </c>
    </row>
    <row r="167" spans="1:14">
      <c r="A167" s="1" t="s">
        <v>360</v>
      </c>
      <c r="B167" s="1" t="s">
        <v>523</v>
      </c>
      <c r="C167" s="1">
        <v>0</v>
      </c>
      <c r="D167" s="1">
        <v>0.3</v>
      </c>
      <c r="E167" s="1" t="s">
        <v>2186</v>
      </c>
      <c r="F167" s="1" t="s">
        <v>2290</v>
      </c>
      <c r="G167" s="1" t="s">
        <v>2393</v>
      </c>
      <c r="H167" s="1" t="s">
        <v>2161</v>
      </c>
      <c r="I167" s="1" t="s">
        <v>1636</v>
      </c>
      <c r="J167" s="1" t="s">
        <v>2159</v>
      </c>
      <c r="K167" s="492" t="str">
        <f t="shared" si="11"/>
        <v>Deprecated</v>
      </c>
      <c r="L167" s="486" t="str">
        <f t="shared" si="12"/>
        <v>HR</v>
      </c>
      <c r="M167" s="486" t="str">
        <f t="shared" si="10"/>
        <v>UC</v>
      </c>
      <c r="N167" s="486" t="str">
        <f t="shared" si="13"/>
        <v>PAAS</v>
      </c>
    </row>
    <row r="168" spans="1:14">
      <c r="A168" s="1" t="s">
        <v>361</v>
      </c>
      <c r="B168" s="1" t="s">
        <v>524</v>
      </c>
      <c r="C168" s="1">
        <v>0</v>
      </c>
      <c r="D168" s="1">
        <v>0.18</v>
      </c>
      <c r="E168" s="1" t="s">
        <v>2186</v>
      </c>
      <c r="F168" s="1" t="s">
        <v>2290</v>
      </c>
      <c r="G168" s="1" t="s">
        <v>2393</v>
      </c>
      <c r="H168" s="1" t="s">
        <v>2161</v>
      </c>
      <c r="I168" s="1" t="s">
        <v>1636</v>
      </c>
      <c r="J168" s="1" t="s">
        <v>2159</v>
      </c>
      <c r="K168" s="492" t="str">
        <f t="shared" si="11"/>
        <v>Deprecated</v>
      </c>
      <c r="L168" s="486" t="str">
        <f t="shared" si="12"/>
        <v>HR</v>
      </c>
      <c r="M168" s="486" t="str">
        <f t="shared" si="10"/>
        <v>UC</v>
      </c>
      <c r="N168" s="486" t="str">
        <f t="shared" si="13"/>
        <v>PAAS</v>
      </c>
    </row>
    <row r="169" spans="1:14">
      <c r="A169" s="1" t="s">
        <v>362</v>
      </c>
      <c r="B169" s="1" t="s">
        <v>525</v>
      </c>
      <c r="C169" s="1">
        <v>0</v>
      </c>
      <c r="D169" s="1">
        <v>0.34</v>
      </c>
      <c r="E169" s="1" t="s">
        <v>2186</v>
      </c>
      <c r="F169" s="1" t="s">
        <v>2290</v>
      </c>
      <c r="G169" s="1" t="s">
        <v>2393</v>
      </c>
      <c r="H169" s="1" t="s">
        <v>2161</v>
      </c>
      <c r="I169" s="1" t="s">
        <v>1636</v>
      </c>
      <c r="J169" s="1" t="s">
        <v>2159</v>
      </c>
      <c r="K169" s="492" t="str">
        <f t="shared" si="11"/>
        <v>Deprecated</v>
      </c>
      <c r="L169" s="486" t="str">
        <f t="shared" si="12"/>
        <v>HR</v>
      </c>
      <c r="M169" s="486" t="str">
        <f t="shared" si="10"/>
        <v>UC</v>
      </c>
      <c r="N169" s="486" t="str">
        <f t="shared" si="13"/>
        <v>PAAS</v>
      </c>
    </row>
    <row r="170" spans="1:14">
      <c r="A170" s="1" t="s">
        <v>363</v>
      </c>
      <c r="B170" s="1" t="s">
        <v>526</v>
      </c>
      <c r="C170" s="1">
        <v>0</v>
      </c>
      <c r="D170" s="1">
        <v>0.5</v>
      </c>
      <c r="E170" s="1" t="s">
        <v>2186</v>
      </c>
      <c r="F170" s="1" t="s">
        <v>2290</v>
      </c>
      <c r="G170" s="1" t="s">
        <v>2393</v>
      </c>
      <c r="H170" s="1" t="s">
        <v>2161</v>
      </c>
      <c r="I170" s="1" t="s">
        <v>1636</v>
      </c>
      <c r="J170" s="1" t="s">
        <v>2159</v>
      </c>
      <c r="K170" s="492" t="str">
        <f t="shared" si="11"/>
        <v>Deprecated</v>
      </c>
      <c r="L170" s="486" t="str">
        <f t="shared" si="12"/>
        <v>HR</v>
      </c>
      <c r="M170" s="486" t="str">
        <f t="shared" si="10"/>
        <v>UC</v>
      </c>
      <c r="N170" s="486" t="str">
        <f t="shared" si="13"/>
        <v>PAAS</v>
      </c>
    </row>
    <row r="171" spans="1:14">
      <c r="A171" s="1" t="s">
        <v>364</v>
      </c>
      <c r="B171" s="1" t="s">
        <v>527</v>
      </c>
      <c r="C171" s="1">
        <v>0</v>
      </c>
      <c r="D171" s="1">
        <v>0.24</v>
      </c>
      <c r="E171" s="1" t="s">
        <v>2186</v>
      </c>
      <c r="F171" s="1" t="s">
        <v>2290</v>
      </c>
      <c r="G171" s="1" t="s">
        <v>2393</v>
      </c>
      <c r="H171" s="1" t="s">
        <v>2161</v>
      </c>
      <c r="I171" s="1" t="s">
        <v>1636</v>
      </c>
      <c r="J171" s="1" t="s">
        <v>2159</v>
      </c>
      <c r="K171" s="492" t="str">
        <f t="shared" si="11"/>
        <v>Deprecated</v>
      </c>
      <c r="L171" s="486" t="str">
        <f t="shared" si="12"/>
        <v>HR</v>
      </c>
      <c r="M171" s="486" t="str">
        <f t="shared" si="10"/>
        <v>UC</v>
      </c>
      <c r="N171" s="486" t="str">
        <f t="shared" si="13"/>
        <v>PAAS</v>
      </c>
    </row>
    <row r="172" spans="1:14">
      <c r="A172" s="1" t="s">
        <v>365</v>
      </c>
      <c r="B172" s="1" t="s">
        <v>528</v>
      </c>
      <c r="C172" s="1">
        <v>0</v>
      </c>
      <c r="D172" s="1">
        <v>0.45</v>
      </c>
      <c r="E172" s="1" t="s">
        <v>2186</v>
      </c>
      <c r="F172" s="1" t="s">
        <v>2290</v>
      </c>
      <c r="G172" s="1" t="s">
        <v>2393</v>
      </c>
      <c r="H172" s="1" t="s">
        <v>2161</v>
      </c>
      <c r="I172" s="1" t="s">
        <v>1636</v>
      </c>
      <c r="J172" s="1" t="s">
        <v>2159</v>
      </c>
      <c r="K172" s="492" t="str">
        <f t="shared" si="11"/>
        <v>Deprecated</v>
      </c>
      <c r="L172" s="486" t="str">
        <f t="shared" si="12"/>
        <v>HR</v>
      </c>
      <c r="M172" s="486" t="str">
        <f t="shared" si="10"/>
        <v>UC</v>
      </c>
      <c r="N172" s="486" t="str">
        <f t="shared" si="13"/>
        <v>PAAS</v>
      </c>
    </row>
    <row r="173" spans="1:14">
      <c r="A173" s="1" t="s">
        <v>366</v>
      </c>
      <c r="B173" s="1" t="s">
        <v>529</v>
      </c>
      <c r="C173" s="1">
        <v>0</v>
      </c>
      <c r="D173" s="1">
        <v>0.5</v>
      </c>
      <c r="E173" s="1" t="s">
        <v>2186</v>
      </c>
      <c r="F173" s="1" t="s">
        <v>2290</v>
      </c>
      <c r="G173" s="1" t="s">
        <v>2393</v>
      </c>
      <c r="H173" s="1" t="s">
        <v>2161</v>
      </c>
      <c r="I173" s="1" t="s">
        <v>1636</v>
      </c>
      <c r="J173" s="1" t="s">
        <v>2159</v>
      </c>
      <c r="K173" s="492" t="str">
        <f t="shared" si="11"/>
        <v>Deprecated</v>
      </c>
      <c r="L173" s="486" t="str">
        <f t="shared" si="12"/>
        <v>HR</v>
      </c>
      <c r="M173" s="486" t="str">
        <f t="shared" si="10"/>
        <v>UC</v>
      </c>
      <c r="N173" s="486" t="str">
        <f t="shared" si="13"/>
        <v>PAAS</v>
      </c>
    </row>
    <row r="174" spans="1:14">
      <c r="A174" s="1" t="s">
        <v>367</v>
      </c>
      <c r="B174" s="1" t="s">
        <v>530</v>
      </c>
      <c r="C174" s="1">
        <v>0</v>
      </c>
      <c r="D174" s="1">
        <v>0.12</v>
      </c>
      <c r="E174" s="1" t="s">
        <v>2175</v>
      </c>
      <c r="F174" s="1" t="s">
        <v>2290</v>
      </c>
      <c r="G174" s="1" t="s">
        <v>2393</v>
      </c>
      <c r="H174" s="1" t="s">
        <v>2162</v>
      </c>
      <c r="I174" s="1" t="s">
        <v>1636</v>
      </c>
      <c r="J174" s="1" t="s">
        <v>2159</v>
      </c>
      <c r="K174" s="492" t="str">
        <f t="shared" si="11"/>
        <v>Deprecated</v>
      </c>
      <c r="L174" s="486" t="str">
        <f t="shared" si="12"/>
        <v>GB</v>
      </c>
      <c r="M174" s="486" t="str">
        <f t="shared" si="10"/>
        <v>UC</v>
      </c>
      <c r="N174" s="486" t="str">
        <f t="shared" si="13"/>
        <v>PAAS</v>
      </c>
    </row>
    <row r="175" spans="1:14">
      <c r="A175" s="1" t="s">
        <v>368</v>
      </c>
      <c r="B175" s="1" t="s">
        <v>531</v>
      </c>
      <c r="C175" s="1">
        <v>0</v>
      </c>
      <c r="D175" s="1">
        <v>0.12</v>
      </c>
      <c r="E175" s="1" t="s">
        <v>2175</v>
      </c>
      <c r="F175" s="1" t="s">
        <v>2290</v>
      </c>
      <c r="G175" s="1" t="s">
        <v>2393</v>
      </c>
      <c r="H175" s="1" t="s">
        <v>2162</v>
      </c>
      <c r="I175" s="1" t="s">
        <v>1636</v>
      </c>
      <c r="J175" s="1" t="s">
        <v>2159</v>
      </c>
      <c r="K175" s="492" t="str">
        <f t="shared" si="11"/>
        <v>Deprecated</v>
      </c>
      <c r="L175" s="486" t="str">
        <f t="shared" si="12"/>
        <v>GB</v>
      </c>
      <c r="M175" s="486" t="str">
        <f t="shared" si="10"/>
        <v>UC</v>
      </c>
      <c r="N175" s="486" t="str">
        <f t="shared" si="13"/>
        <v>PAAS</v>
      </c>
    </row>
    <row r="176" spans="1:14">
      <c r="A176" s="1" t="s">
        <v>369</v>
      </c>
      <c r="B176" s="1" t="s">
        <v>532</v>
      </c>
      <c r="C176" s="1">
        <v>0</v>
      </c>
      <c r="D176" s="1">
        <v>0.15</v>
      </c>
      <c r="E176" s="1" t="s">
        <v>2187</v>
      </c>
      <c r="F176" s="1" t="s">
        <v>2290</v>
      </c>
      <c r="G176" s="1" t="s">
        <v>2393</v>
      </c>
      <c r="H176" s="1" t="s">
        <v>2162</v>
      </c>
      <c r="I176" s="1" t="s">
        <v>1636</v>
      </c>
      <c r="J176" s="1" t="s">
        <v>2159</v>
      </c>
      <c r="K176" s="492" t="str">
        <f t="shared" si="11"/>
        <v>Deprecated</v>
      </c>
      <c r="L176" s="486" t="str">
        <f t="shared" si="12"/>
        <v>GB</v>
      </c>
      <c r="M176" s="486" t="str">
        <f t="shared" si="10"/>
        <v>UC</v>
      </c>
      <c r="N176" s="486" t="str">
        <f t="shared" si="13"/>
        <v>PAAS</v>
      </c>
    </row>
    <row r="177" spans="1:14">
      <c r="A177" s="1" t="s">
        <v>370</v>
      </c>
      <c r="B177" s="1" t="s">
        <v>533</v>
      </c>
      <c r="C177" s="1">
        <v>0</v>
      </c>
      <c r="D177" s="1">
        <v>0.01</v>
      </c>
      <c r="E177" s="1" t="s">
        <v>2188</v>
      </c>
      <c r="F177" s="1" t="s">
        <v>2290</v>
      </c>
      <c r="G177" s="1" t="s">
        <v>2393</v>
      </c>
      <c r="H177" s="1" t="s">
        <v>2161</v>
      </c>
      <c r="I177" s="1" t="s">
        <v>1636</v>
      </c>
      <c r="J177" s="1" t="s">
        <v>2159</v>
      </c>
      <c r="K177" s="492" t="str">
        <f t="shared" si="11"/>
        <v>Deprecated</v>
      </c>
      <c r="L177" s="486" t="str">
        <f t="shared" si="12"/>
        <v>HR</v>
      </c>
      <c r="M177" s="486" t="str">
        <f t="shared" si="10"/>
        <v>UC</v>
      </c>
      <c r="N177" s="486" t="str">
        <f t="shared" si="13"/>
        <v>PAAS</v>
      </c>
    </row>
    <row r="178" spans="1:14">
      <c r="A178" s="1" t="s">
        <v>371</v>
      </c>
      <c r="B178" s="1" t="s">
        <v>534</v>
      </c>
      <c r="C178" s="1">
        <v>0</v>
      </c>
      <c r="D178" s="1">
        <v>0.13439999999999999</v>
      </c>
      <c r="E178" s="1" t="s">
        <v>49</v>
      </c>
      <c r="F178" s="1" t="s">
        <v>2290</v>
      </c>
      <c r="G178" s="1" t="s">
        <v>2396</v>
      </c>
      <c r="H178" s="1" t="s">
        <v>2161</v>
      </c>
      <c r="I178" s="1" t="s">
        <v>1636</v>
      </c>
      <c r="J178" s="1" t="s">
        <v>2159</v>
      </c>
      <c r="K178" s="492" t="str">
        <f t="shared" si="11"/>
        <v>Classic</v>
      </c>
      <c r="L178" s="486" t="str">
        <f t="shared" si="12"/>
        <v>HR</v>
      </c>
      <c r="M178" s="486" t="str">
        <f t="shared" si="10"/>
        <v>UC</v>
      </c>
      <c r="N178" s="486" t="str">
        <f t="shared" si="13"/>
        <v>PAAS</v>
      </c>
    </row>
    <row r="179" spans="1:14">
      <c r="A179" s="1" t="s">
        <v>372</v>
      </c>
      <c r="B179" s="1">
        <v>0</v>
      </c>
      <c r="C179" s="1">
        <v>0</v>
      </c>
      <c r="D179" s="1">
        <v>6.72</v>
      </c>
      <c r="E179" s="1" t="s">
        <v>49</v>
      </c>
      <c r="F179" s="1" t="s">
        <v>2290</v>
      </c>
      <c r="G179" s="1" t="s">
        <v>2393</v>
      </c>
      <c r="H179" s="1" t="s">
        <v>2161</v>
      </c>
      <c r="I179" s="1" t="s">
        <v>1636</v>
      </c>
      <c r="J179" s="1" t="s">
        <v>2159</v>
      </c>
      <c r="K179" s="492" t="str">
        <f t="shared" si="11"/>
        <v>Deprecated</v>
      </c>
      <c r="L179" s="486" t="str">
        <f t="shared" si="12"/>
        <v>HR</v>
      </c>
      <c r="M179" s="486" t="str">
        <f t="shared" si="10"/>
        <v>UC</v>
      </c>
      <c r="N179" s="486" t="str">
        <f t="shared" si="13"/>
        <v>PAAS</v>
      </c>
    </row>
    <row r="180" spans="1:14">
      <c r="A180" s="1" t="s">
        <v>2258</v>
      </c>
      <c r="B180" s="1">
        <v>0</v>
      </c>
      <c r="C180" s="1" t="s">
        <v>566</v>
      </c>
      <c r="D180" s="1">
        <v>9.7449999999999992</v>
      </c>
      <c r="E180" s="1" t="s">
        <v>49</v>
      </c>
      <c r="F180" s="1" t="s">
        <v>2290</v>
      </c>
      <c r="G180" s="1" t="s">
        <v>2393</v>
      </c>
      <c r="H180" s="1" t="s">
        <v>2161</v>
      </c>
      <c r="I180" s="1" t="s">
        <v>1636</v>
      </c>
      <c r="J180" s="1" t="s">
        <v>2159</v>
      </c>
      <c r="K180" s="492" t="str">
        <f t="shared" si="11"/>
        <v>Deprecated</v>
      </c>
      <c r="L180" s="486" t="str">
        <f t="shared" si="12"/>
        <v>HR</v>
      </c>
      <c r="M180" s="486" t="str">
        <f t="shared" si="10"/>
        <v>UC</v>
      </c>
      <c r="N180" s="486" t="str">
        <f t="shared" si="13"/>
        <v>PAAS</v>
      </c>
    </row>
    <row r="181" spans="1:14">
      <c r="A181" s="1" t="s">
        <v>373</v>
      </c>
      <c r="B181" s="1" t="s">
        <v>374</v>
      </c>
      <c r="C181" s="1">
        <v>0</v>
      </c>
      <c r="D181" s="1">
        <v>4000</v>
      </c>
      <c r="E181" s="1" t="s">
        <v>2168</v>
      </c>
      <c r="F181" s="1" t="s">
        <v>2290</v>
      </c>
      <c r="G181" s="1" t="s">
        <v>2393</v>
      </c>
      <c r="H181" s="1" t="s">
        <v>2394</v>
      </c>
      <c r="I181" s="1" t="s">
        <v>1636</v>
      </c>
      <c r="J181" s="1" t="s">
        <v>2159</v>
      </c>
      <c r="K181" s="492" t="str">
        <f t="shared" si="11"/>
        <v>Deprecated</v>
      </c>
      <c r="L181" s="486" t="str">
        <f t="shared" si="12"/>
        <v>UNIT</v>
      </c>
      <c r="M181" s="486" t="str">
        <f t="shared" si="10"/>
        <v>UC</v>
      </c>
      <c r="N181" s="486" t="str">
        <f t="shared" si="13"/>
        <v>PAAS</v>
      </c>
    </row>
    <row r="182" spans="1:14">
      <c r="A182" s="1" t="s">
        <v>2259</v>
      </c>
      <c r="B182" s="1" t="s">
        <v>375</v>
      </c>
      <c r="C182" s="1">
        <v>0</v>
      </c>
      <c r="D182" s="1">
        <v>5800</v>
      </c>
      <c r="E182" s="1" t="s">
        <v>2168</v>
      </c>
      <c r="F182" s="1" t="s">
        <v>2290</v>
      </c>
      <c r="G182" s="1" t="s">
        <v>2393</v>
      </c>
      <c r="H182" s="1" t="s">
        <v>2394</v>
      </c>
      <c r="I182" s="1" t="s">
        <v>1636</v>
      </c>
      <c r="J182" s="1" t="s">
        <v>2159</v>
      </c>
      <c r="K182" s="492" t="str">
        <f t="shared" si="11"/>
        <v>Deprecated</v>
      </c>
      <c r="L182" s="486" t="str">
        <f t="shared" si="12"/>
        <v>UNIT</v>
      </c>
      <c r="M182" s="486" t="str">
        <f t="shared" si="10"/>
        <v>UC</v>
      </c>
      <c r="N182" s="486" t="str">
        <f t="shared" si="13"/>
        <v>PAAS</v>
      </c>
    </row>
    <row r="183" spans="1:14">
      <c r="A183" s="1" t="s">
        <v>21</v>
      </c>
      <c r="B183" s="1" t="s">
        <v>535</v>
      </c>
      <c r="C183" s="1">
        <v>0</v>
      </c>
      <c r="D183" s="1">
        <v>4.0000000000000001E-3</v>
      </c>
      <c r="E183" s="1" t="s">
        <v>2189</v>
      </c>
      <c r="F183" s="1" t="s">
        <v>2290</v>
      </c>
      <c r="G183" s="1" t="s">
        <v>1840</v>
      </c>
      <c r="H183" s="1" t="s">
        <v>2395</v>
      </c>
      <c r="I183" s="1" t="s">
        <v>1636</v>
      </c>
      <c r="J183" s="1" t="s">
        <v>2158</v>
      </c>
      <c r="K183" s="492" t="str">
        <f t="shared" si="11"/>
        <v>Storage</v>
      </c>
      <c r="L183" s="486" t="str">
        <f t="shared" si="12"/>
        <v>REQ</v>
      </c>
      <c r="M183" s="486" t="str">
        <f t="shared" si="10"/>
        <v>UC</v>
      </c>
      <c r="N183" s="486" t="str">
        <f t="shared" si="13"/>
        <v>IAAS</v>
      </c>
    </row>
    <row r="184" spans="1:14">
      <c r="A184" s="1" t="s">
        <v>22</v>
      </c>
      <c r="B184" s="1" t="s">
        <v>536</v>
      </c>
      <c r="C184" s="1">
        <v>0</v>
      </c>
      <c r="D184" s="1">
        <v>0.05</v>
      </c>
      <c r="E184" s="1" t="s">
        <v>2175</v>
      </c>
      <c r="F184" s="1" t="s">
        <v>2290</v>
      </c>
      <c r="G184" s="1" t="s">
        <v>1840</v>
      </c>
      <c r="H184" s="1" t="s">
        <v>2162</v>
      </c>
      <c r="I184" s="1" t="s">
        <v>1636</v>
      </c>
      <c r="J184" s="1" t="s">
        <v>2158</v>
      </c>
      <c r="K184" s="492" t="str">
        <f t="shared" si="11"/>
        <v>Storage</v>
      </c>
      <c r="L184" s="486" t="str">
        <f t="shared" si="12"/>
        <v>GB</v>
      </c>
      <c r="M184" s="486" t="str">
        <f t="shared" si="10"/>
        <v>UC</v>
      </c>
      <c r="N184" s="486" t="str">
        <f t="shared" si="13"/>
        <v>IAAS</v>
      </c>
    </row>
    <row r="185" spans="1:14">
      <c r="A185" s="1" t="s">
        <v>376</v>
      </c>
      <c r="B185" s="1" t="s">
        <v>537</v>
      </c>
      <c r="C185" s="1">
        <v>0</v>
      </c>
      <c r="D185" s="1">
        <v>0.01</v>
      </c>
      <c r="E185" s="1" t="s">
        <v>2187</v>
      </c>
      <c r="F185" s="1" t="s">
        <v>2290</v>
      </c>
      <c r="G185" s="1" t="s">
        <v>2393</v>
      </c>
      <c r="H185" s="1" t="s">
        <v>2162</v>
      </c>
      <c r="I185" s="1" t="s">
        <v>1636</v>
      </c>
      <c r="J185" s="1" t="s">
        <v>2159</v>
      </c>
      <c r="K185" s="492" t="str">
        <f t="shared" si="11"/>
        <v>Deprecated</v>
      </c>
      <c r="L185" s="486" t="str">
        <f t="shared" si="12"/>
        <v>GB</v>
      </c>
      <c r="M185" s="486" t="str">
        <f t="shared" si="10"/>
        <v>UC</v>
      </c>
      <c r="N185" s="486" t="str">
        <f t="shared" si="13"/>
        <v>PAAS</v>
      </c>
    </row>
    <row r="186" spans="1:14">
      <c r="A186" s="1" t="s">
        <v>15</v>
      </c>
      <c r="B186" s="1" t="s">
        <v>538</v>
      </c>
      <c r="C186" s="1">
        <v>0</v>
      </c>
      <c r="D186" s="1">
        <v>2.5000000000000001E-2</v>
      </c>
      <c r="E186" s="1" t="s">
        <v>2190</v>
      </c>
      <c r="F186" s="1" t="s">
        <v>2290</v>
      </c>
      <c r="G186" s="1" t="s">
        <v>2313</v>
      </c>
      <c r="H186" s="1" t="s">
        <v>2161</v>
      </c>
      <c r="I186" s="1" t="s">
        <v>1636</v>
      </c>
      <c r="J186" s="1" t="s">
        <v>2158</v>
      </c>
      <c r="K186" s="492" t="str">
        <f t="shared" si="11"/>
        <v>Network</v>
      </c>
      <c r="L186" s="486" t="str">
        <f t="shared" si="12"/>
        <v>HR</v>
      </c>
      <c r="M186" s="486" t="str">
        <f t="shared" si="10"/>
        <v>UC</v>
      </c>
      <c r="N186" s="486" t="str">
        <f t="shared" si="13"/>
        <v>IAAS</v>
      </c>
    </row>
    <row r="187" spans="1:14">
      <c r="A187" s="1" t="s">
        <v>16</v>
      </c>
      <c r="B187" s="1" t="s">
        <v>539</v>
      </c>
      <c r="C187" s="1">
        <v>0</v>
      </c>
      <c r="D187" s="1">
        <v>0.1</v>
      </c>
      <c r="E187" s="1" t="s">
        <v>2190</v>
      </c>
      <c r="F187" s="1" t="s">
        <v>2290</v>
      </c>
      <c r="G187" s="1" t="s">
        <v>2313</v>
      </c>
      <c r="H187" s="1" t="s">
        <v>2161</v>
      </c>
      <c r="I187" s="1" t="s">
        <v>1636</v>
      </c>
      <c r="J187" s="1" t="s">
        <v>2158</v>
      </c>
      <c r="K187" s="492" t="str">
        <f t="shared" si="11"/>
        <v>Network</v>
      </c>
      <c r="L187" s="486" t="str">
        <f t="shared" si="12"/>
        <v>HR</v>
      </c>
      <c r="M187" s="486" t="str">
        <f t="shared" si="10"/>
        <v>UC</v>
      </c>
      <c r="N187" s="486" t="str">
        <f t="shared" si="13"/>
        <v>IAAS</v>
      </c>
    </row>
    <row r="188" spans="1:14">
      <c r="A188" s="1" t="s">
        <v>377</v>
      </c>
      <c r="B188" s="1" t="s">
        <v>540</v>
      </c>
      <c r="C188" s="1">
        <v>0</v>
      </c>
      <c r="D188" s="1">
        <v>2</v>
      </c>
      <c r="E188" s="1" t="s">
        <v>2190</v>
      </c>
      <c r="F188" s="1" t="s">
        <v>2290</v>
      </c>
      <c r="G188" s="1" t="s">
        <v>2313</v>
      </c>
      <c r="H188" s="1" t="s">
        <v>2161</v>
      </c>
      <c r="I188" s="1" t="s">
        <v>1636</v>
      </c>
      <c r="J188" s="1" t="s">
        <v>2158</v>
      </c>
      <c r="K188" s="492" t="str">
        <f t="shared" si="11"/>
        <v>Network</v>
      </c>
      <c r="L188" s="486" t="str">
        <f t="shared" si="12"/>
        <v>HR</v>
      </c>
      <c r="M188" s="486" t="str">
        <f t="shared" si="10"/>
        <v>UC</v>
      </c>
      <c r="N188" s="486" t="str">
        <f t="shared" si="13"/>
        <v>IAAS</v>
      </c>
    </row>
    <row r="189" spans="1:14">
      <c r="A189" s="1" t="s">
        <v>378</v>
      </c>
      <c r="B189" s="1" t="s">
        <v>379</v>
      </c>
      <c r="C189" s="1">
        <v>0</v>
      </c>
      <c r="D189" s="1">
        <v>0.3226</v>
      </c>
      <c r="E189" s="1" t="s">
        <v>49</v>
      </c>
      <c r="F189" s="1" t="s">
        <v>2290</v>
      </c>
      <c r="G189" s="1" t="s">
        <v>1835</v>
      </c>
      <c r="H189" s="1" t="s">
        <v>2161</v>
      </c>
      <c r="I189" s="1" t="s">
        <v>1636</v>
      </c>
      <c r="J189" s="1" t="s">
        <v>2158</v>
      </c>
      <c r="K189" s="492" t="str">
        <f t="shared" si="11"/>
        <v>Compute</v>
      </c>
      <c r="L189" s="486" t="str">
        <f t="shared" si="12"/>
        <v>HR</v>
      </c>
      <c r="M189" s="486" t="str">
        <f t="shared" si="10"/>
        <v>UC</v>
      </c>
      <c r="N189" s="486" t="str">
        <f t="shared" si="13"/>
        <v>IAAS</v>
      </c>
    </row>
    <row r="190" spans="1:14">
      <c r="A190" s="1" t="s">
        <v>380</v>
      </c>
      <c r="B190" s="1" t="s">
        <v>381</v>
      </c>
      <c r="C190" s="1">
        <v>0</v>
      </c>
      <c r="D190" s="1">
        <v>6.5100000000000005E-2</v>
      </c>
      <c r="E190" s="1" t="s">
        <v>2175</v>
      </c>
      <c r="F190" s="1" t="s">
        <v>2290</v>
      </c>
      <c r="G190" s="1" t="s">
        <v>1835</v>
      </c>
      <c r="H190" s="1" t="s">
        <v>2162</v>
      </c>
      <c r="I190" s="1" t="s">
        <v>1636</v>
      </c>
      <c r="J190" s="1" t="s">
        <v>2158</v>
      </c>
      <c r="K190" s="492" t="str">
        <f t="shared" si="11"/>
        <v>Compute</v>
      </c>
      <c r="L190" s="486" t="str">
        <f t="shared" si="12"/>
        <v>GB</v>
      </c>
      <c r="M190" s="486" t="str">
        <f t="shared" si="10"/>
        <v>UC</v>
      </c>
      <c r="N190" s="486" t="str">
        <f t="shared" si="13"/>
        <v>IAAS</v>
      </c>
    </row>
    <row r="191" spans="1:14">
      <c r="A191" s="1" t="s">
        <v>382</v>
      </c>
      <c r="B191" s="1" t="s">
        <v>541</v>
      </c>
      <c r="C191" s="1">
        <v>0</v>
      </c>
      <c r="D191" s="1">
        <v>0.65</v>
      </c>
      <c r="E191" s="1" t="s">
        <v>2191</v>
      </c>
      <c r="F191" s="1" t="s">
        <v>2290</v>
      </c>
      <c r="G191" s="1" t="s">
        <v>1835</v>
      </c>
      <c r="H191" s="1" t="s">
        <v>2161</v>
      </c>
      <c r="I191" s="1" t="s">
        <v>1636</v>
      </c>
      <c r="J191" s="1" t="s">
        <v>2158</v>
      </c>
      <c r="K191" s="492" t="str">
        <f t="shared" si="11"/>
        <v>Compute</v>
      </c>
      <c r="L191" s="486" t="str">
        <f t="shared" si="12"/>
        <v>HR</v>
      </c>
      <c r="M191" s="486" t="str">
        <f t="shared" si="10"/>
        <v>UC</v>
      </c>
      <c r="N191" s="486" t="str">
        <f t="shared" si="13"/>
        <v>IAAS</v>
      </c>
    </row>
    <row r="192" spans="1:14">
      <c r="A192" s="1" t="s">
        <v>383</v>
      </c>
      <c r="B192" s="1" t="s">
        <v>542</v>
      </c>
      <c r="C192" s="1">
        <v>0</v>
      </c>
      <c r="D192" s="1">
        <v>0.15</v>
      </c>
      <c r="E192" s="1" t="s">
        <v>49</v>
      </c>
      <c r="F192" s="1" t="s">
        <v>2290</v>
      </c>
      <c r="G192" s="1" t="s">
        <v>1835</v>
      </c>
      <c r="H192" s="1" t="s">
        <v>2161</v>
      </c>
      <c r="I192" s="1" t="s">
        <v>1636</v>
      </c>
      <c r="J192" s="1" t="s">
        <v>2158</v>
      </c>
      <c r="K192" s="492" t="str">
        <f t="shared" si="11"/>
        <v>Compute</v>
      </c>
      <c r="L192" s="486" t="str">
        <f t="shared" si="12"/>
        <v>HR</v>
      </c>
      <c r="M192" s="486" t="str">
        <f t="shared" si="10"/>
        <v>UC</v>
      </c>
      <c r="N192" s="486" t="str">
        <f t="shared" si="13"/>
        <v>IAAS</v>
      </c>
    </row>
    <row r="193" spans="1:14">
      <c r="A193" s="1" t="s">
        <v>384</v>
      </c>
      <c r="B193" s="1" t="s">
        <v>385</v>
      </c>
      <c r="C193" s="1">
        <v>0</v>
      </c>
      <c r="D193" s="1">
        <v>5000</v>
      </c>
      <c r="E193" s="1" t="s">
        <v>2168</v>
      </c>
      <c r="F193" s="1" t="s">
        <v>2290</v>
      </c>
      <c r="G193" s="1" t="s">
        <v>2393</v>
      </c>
      <c r="H193" s="1" t="s">
        <v>2394</v>
      </c>
      <c r="I193" s="1" t="s">
        <v>1636</v>
      </c>
      <c r="J193" s="1" t="s">
        <v>2159</v>
      </c>
      <c r="K193" s="492" t="str">
        <f t="shared" si="11"/>
        <v>Deprecated</v>
      </c>
      <c r="L193" s="486" t="str">
        <f t="shared" si="12"/>
        <v>UNIT</v>
      </c>
      <c r="M193" s="486" t="str">
        <f t="shared" si="10"/>
        <v>UC</v>
      </c>
      <c r="N193" s="486" t="str">
        <f t="shared" si="13"/>
        <v>PAAS</v>
      </c>
    </row>
    <row r="194" spans="1:14">
      <c r="A194" s="1" t="s">
        <v>386</v>
      </c>
      <c r="B194" s="1">
        <v>0</v>
      </c>
      <c r="C194" s="1">
        <v>0</v>
      </c>
      <c r="D194" s="1">
        <v>8.4009999999999998</v>
      </c>
      <c r="E194" s="1" t="s">
        <v>49</v>
      </c>
      <c r="F194" s="1" t="s">
        <v>2290</v>
      </c>
      <c r="G194" s="1" t="s">
        <v>2393</v>
      </c>
      <c r="H194" s="1" t="s">
        <v>2161</v>
      </c>
      <c r="I194" s="1" t="s">
        <v>1636</v>
      </c>
      <c r="J194" s="1" t="s">
        <v>2159</v>
      </c>
      <c r="K194" s="492" t="str">
        <f t="shared" si="11"/>
        <v>Deprecated</v>
      </c>
      <c r="L194" s="486" t="str">
        <f t="shared" si="12"/>
        <v>HR</v>
      </c>
      <c r="M194" s="486" t="str">
        <f t="shared" si="10"/>
        <v>UC</v>
      </c>
      <c r="N194" s="486" t="str">
        <f t="shared" si="13"/>
        <v>PAAS</v>
      </c>
    </row>
    <row r="195" spans="1:14">
      <c r="A195" s="1" t="s">
        <v>387</v>
      </c>
      <c r="B195" s="1" t="s">
        <v>543</v>
      </c>
      <c r="C195" s="1">
        <v>0</v>
      </c>
      <c r="D195" s="1">
        <v>6.34</v>
      </c>
      <c r="E195" s="1" t="s">
        <v>2192</v>
      </c>
      <c r="F195" s="1" t="s">
        <v>2290</v>
      </c>
      <c r="G195" s="1" t="s">
        <v>2309</v>
      </c>
      <c r="H195" s="1" t="s">
        <v>2161</v>
      </c>
      <c r="I195" s="1" t="s">
        <v>1636</v>
      </c>
      <c r="J195" s="1" t="s">
        <v>2159</v>
      </c>
      <c r="K195" s="492" t="str">
        <f t="shared" si="11"/>
        <v>DBaaS</v>
      </c>
      <c r="L195" s="486" t="str">
        <f t="shared" si="12"/>
        <v>HR</v>
      </c>
      <c r="M195" s="486" t="str">
        <f t="shared" si="10"/>
        <v>UC</v>
      </c>
      <c r="N195" s="486" t="str">
        <f t="shared" si="13"/>
        <v>PAAS</v>
      </c>
    </row>
    <row r="196" spans="1:14">
      <c r="A196" s="1" t="s">
        <v>388</v>
      </c>
      <c r="B196" s="1" t="s">
        <v>978</v>
      </c>
      <c r="C196" s="1">
        <v>0</v>
      </c>
      <c r="D196" s="1">
        <v>14.4</v>
      </c>
      <c r="E196" s="1" t="s">
        <v>2192</v>
      </c>
      <c r="F196" s="1" t="s">
        <v>2290</v>
      </c>
      <c r="G196" s="1" t="s">
        <v>2309</v>
      </c>
      <c r="H196" s="1" t="s">
        <v>2161</v>
      </c>
      <c r="I196" s="1" t="s">
        <v>1636</v>
      </c>
      <c r="J196" s="1" t="s">
        <v>2159</v>
      </c>
      <c r="K196" s="492" t="str">
        <f t="shared" si="11"/>
        <v>DBaaS</v>
      </c>
      <c r="L196" s="486" t="str">
        <f t="shared" si="12"/>
        <v>HR</v>
      </c>
      <c r="M196" s="486" t="str">
        <f t="shared" ref="M196:M259" si="14">_xlfn.IFS(K196="CC","CC",K196="Rapid Start","SRV",F196="Y","UC0",TRUE,"UC")</f>
        <v>UC</v>
      </c>
      <c r="N196" s="486" t="str">
        <f t="shared" si="13"/>
        <v>PAAS</v>
      </c>
    </row>
    <row r="197" spans="1:14">
      <c r="A197" s="1" t="s">
        <v>389</v>
      </c>
      <c r="B197" s="1" t="s">
        <v>544</v>
      </c>
      <c r="C197" s="1">
        <v>0</v>
      </c>
      <c r="D197" s="1">
        <v>17.760000000000002</v>
      </c>
      <c r="E197" s="1" t="s">
        <v>2192</v>
      </c>
      <c r="F197" s="1" t="s">
        <v>2290</v>
      </c>
      <c r="G197" s="1" t="s">
        <v>2309</v>
      </c>
      <c r="H197" s="1" t="s">
        <v>2161</v>
      </c>
      <c r="I197" s="1" t="s">
        <v>1636</v>
      </c>
      <c r="J197" s="1" t="s">
        <v>2159</v>
      </c>
      <c r="K197" s="492" t="str">
        <f t="shared" si="11"/>
        <v>DBaaS</v>
      </c>
      <c r="L197" s="486" t="str">
        <f t="shared" si="12"/>
        <v>HR</v>
      </c>
      <c r="M197" s="486" t="str">
        <f t="shared" si="14"/>
        <v>UC</v>
      </c>
      <c r="N197" s="486" t="str">
        <f t="shared" si="13"/>
        <v>PAAS</v>
      </c>
    </row>
    <row r="198" spans="1:14">
      <c r="A198" s="1" t="s">
        <v>27</v>
      </c>
      <c r="B198" s="1" t="s">
        <v>545</v>
      </c>
      <c r="C198" s="1">
        <v>0</v>
      </c>
      <c r="D198" s="1">
        <v>21.12</v>
      </c>
      <c r="E198" s="1" t="s">
        <v>2192</v>
      </c>
      <c r="F198" s="1" t="s">
        <v>2290</v>
      </c>
      <c r="G198" s="1" t="s">
        <v>2309</v>
      </c>
      <c r="H198" s="1" t="s">
        <v>2161</v>
      </c>
      <c r="I198" s="1" t="s">
        <v>1636</v>
      </c>
      <c r="J198" s="1" t="s">
        <v>2159</v>
      </c>
      <c r="K198" s="492" t="str">
        <f t="shared" si="11"/>
        <v>DBaaS</v>
      </c>
      <c r="L198" s="486" t="str">
        <f t="shared" si="12"/>
        <v>HR</v>
      </c>
      <c r="M198" s="486" t="str">
        <f t="shared" si="14"/>
        <v>UC</v>
      </c>
      <c r="N198" s="486" t="str">
        <f t="shared" si="13"/>
        <v>PAAS</v>
      </c>
    </row>
    <row r="199" spans="1:14">
      <c r="A199" s="1" t="s">
        <v>390</v>
      </c>
      <c r="B199" s="1" t="s">
        <v>546</v>
      </c>
      <c r="C199" s="1">
        <v>0</v>
      </c>
      <c r="D199" s="1">
        <v>1.01</v>
      </c>
      <c r="E199" s="1" t="s">
        <v>49</v>
      </c>
      <c r="F199" s="1" t="s">
        <v>2290</v>
      </c>
      <c r="G199" s="1" t="s">
        <v>2309</v>
      </c>
      <c r="H199" s="1" t="s">
        <v>2161</v>
      </c>
      <c r="I199" s="1" t="s">
        <v>1636</v>
      </c>
      <c r="J199" s="1" t="s">
        <v>2159</v>
      </c>
      <c r="K199" s="492" t="str">
        <f t="shared" si="11"/>
        <v>DBaaS</v>
      </c>
      <c r="L199" s="486" t="str">
        <f t="shared" si="12"/>
        <v>HR</v>
      </c>
      <c r="M199" s="486" t="str">
        <f t="shared" si="14"/>
        <v>UC</v>
      </c>
      <c r="N199" s="486" t="str">
        <f t="shared" si="13"/>
        <v>PAAS</v>
      </c>
    </row>
    <row r="200" spans="1:14">
      <c r="A200" s="1" t="s">
        <v>391</v>
      </c>
      <c r="B200" s="1" t="s">
        <v>547</v>
      </c>
      <c r="C200" s="1">
        <v>0</v>
      </c>
      <c r="D200" s="1">
        <v>5.04</v>
      </c>
      <c r="E200" s="1" t="s">
        <v>49</v>
      </c>
      <c r="F200" s="1" t="s">
        <v>2290</v>
      </c>
      <c r="G200" s="1" t="s">
        <v>2309</v>
      </c>
      <c r="H200" s="1" t="s">
        <v>2161</v>
      </c>
      <c r="I200" s="1" t="s">
        <v>1636</v>
      </c>
      <c r="J200" s="1" t="s">
        <v>2159</v>
      </c>
      <c r="K200" s="492" t="str">
        <f t="shared" si="11"/>
        <v>DBaaS</v>
      </c>
      <c r="L200" s="486" t="str">
        <f t="shared" si="12"/>
        <v>HR</v>
      </c>
      <c r="M200" s="486" t="str">
        <f t="shared" si="14"/>
        <v>UC</v>
      </c>
      <c r="N200" s="486" t="str">
        <f t="shared" si="13"/>
        <v>PAAS</v>
      </c>
    </row>
    <row r="201" spans="1:14">
      <c r="A201" s="1" t="s">
        <v>392</v>
      </c>
      <c r="B201" s="1" t="s">
        <v>548</v>
      </c>
      <c r="C201" s="1">
        <v>0</v>
      </c>
      <c r="D201" s="1">
        <v>6.72</v>
      </c>
      <c r="E201" s="1" t="s">
        <v>49</v>
      </c>
      <c r="F201" s="1" t="s">
        <v>2290</v>
      </c>
      <c r="G201" s="1" t="s">
        <v>2309</v>
      </c>
      <c r="H201" s="1" t="s">
        <v>2161</v>
      </c>
      <c r="I201" s="1" t="s">
        <v>1636</v>
      </c>
      <c r="J201" s="1" t="s">
        <v>2159</v>
      </c>
      <c r="K201" s="492" t="str">
        <f t="shared" si="11"/>
        <v>DBaaS</v>
      </c>
      <c r="L201" s="486" t="str">
        <f t="shared" si="12"/>
        <v>HR</v>
      </c>
      <c r="M201" s="486" t="str">
        <f t="shared" si="14"/>
        <v>UC</v>
      </c>
      <c r="N201" s="486" t="str">
        <f t="shared" si="13"/>
        <v>PAAS</v>
      </c>
    </row>
    <row r="202" spans="1:14">
      <c r="A202" s="1" t="s">
        <v>25</v>
      </c>
      <c r="B202" s="1" t="s">
        <v>549</v>
      </c>
      <c r="C202" s="1">
        <v>0</v>
      </c>
      <c r="D202" s="1">
        <v>8.4</v>
      </c>
      <c r="E202" s="1" t="s">
        <v>49</v>
      </c>
      <c r="F202" s="1" t="s">
        <v>2290</v>
      </c>
      <c r="G202" s="1" t="s">
        <v>2309</v>
      </c>
      <c r="H202" s="1" t="s">
        <v>2161</v>
      </c>
      <c r="I202" s="1" t="s">
        <v>1636</v>
      </c>
      <c r="J202" s="1" t="s">
        <v>2159</v>
      </c>
      <c r="K202" s="492" t="str">
        <f t="shared" si="11"/>
        <v>DBaaS</v>
      </c>
      <c r="L202" s="486" t="str">
        <f t="shared" si="12"/>
        <v>HR</v>
      </c>
      <c r="M202" s="486" t="str">
        <f t="shared" si="14"/>
        <v>UC</v>
      </c>
      <c r="N202" s="486" t="str">
        <f t="shared" si="13"/>
        <v>PAAS</v>
      </c>
    </row>
    <row r="203" spans="1:14">
      <c r="A203" s="1" t="s">
        <v>2260</v>
      </c>
      <c r="B203" s="1" t="s">
        <v>393</v>
      </c>
      <c r="C203" s="1">
        <v>0</v>
      </c>
      <c r="D203" s="1">
        <v>18000</v>
      </c>
      <c r="E203" s="1" t="s">
        <v>2178</v>
      </c>
      <c r="F203" s="1" t="s">
        <v>2290</v>
      </c>
      <c r="G203" s="1" t="s">
        <v>2393</v>
      </c>
      <c r="H203" s="1" t="s">
        <v>2394</v>
      </c>
      <c r="I203" s="1" t="s">
        <v>1636</v>
      </c>
      <c r="J203" s="1" t="s">
        <v>2159</v>
      </c>
      <c r="K203" s="492" t="str">
        <f t="shared" si="11"/>
        <v>Deprecated</v>
      </c>
      <c r="L203" s="486" t="str">
        <f t="shared" si="12"/>
        <v>UNIT</v>
      </c>
      <c r="M203" s="486" t="str">
        <f t="shared" si="14"/>
        <v>UC</v>
      </c>
      <c r="N203" s="486" t="str">
        <f t="shared" si="13"/>
        <v>PAAS</v>
      </c>
    </row>
    <row r="204" spans="1:14">
      <c r="A204" s="1" t="s">
        <v>394</v>
      </c>
      <c r="B204" s="1" t="s">
        <v>395</v>
      </c>
      <c r="C204" s="1">
        <v>0</v>
      </c>
      <c r="D204" s="1">
        <v>0.3584</v>
      </c>
      <c r="E204" s="1" t="s">
        <v>49</v>
      </c>
      <c r="F204" s="1" t="s">
        <v>2290</v>
      </c>
      <c r="G204" s="1" t="s">
        <v>1835</v>
      </c>
      <c r="H204" s="1" t="s">
        <v>2161</v>
      </c>
      <c r="I204" s="1" t="s">
        <v>1636</v>
      </c>
      <c r="J204" s="1" t="s">
        <v>2158</v>
      </c>
      <c r="K204" s="492" t="str">
        <f t="shared" si="11"/>
        <v>Compute</v>
      </c>
      <c r="L204" s="486" t="str">
        <f t="shared" si="12"/>
        <v>HR</v>
      </c>
      <c r="M204" s="486" t="str">
        <f t="shared" si="14"/>
        <v>UC</v>
      </c>
      <c r="N204" s="486" t="str">
        <f t="shared" si="13"/>
        <v>IAAS</v>
      </c>
    </row>
    <row r="205" spans="1:14">
      <c r="A205" s="1" t="s">
        <v>396</v>
      </c>
      <c r="B205" s="1" t="s">
        <v>397</v>
      </c>
      <c r="C205" s="1">
        <v>0</v>
      </c>
      <c r="D205" s="1">
        <v>6000</v>
      </c>
      <c r="E205" s="1" t="s">
        <v>2168</v>
      </c>
      <c r="F205" s="1" t="s">
        <v>2290</v>
      </c>
      <c r="G205" s="1" t="s">
        <v>1839</v>
      </c>
      <c r="H205" s="1" t="s">
        <v>2394</v>
      </c>
      <c r="I205" s="1" t="s">
        <v>1636</v>
      </c>
      <c r="J205" s="1" t="s">
        <v>2159</v>
      </c>
      <c r="K205" s="492" t="str">
        <f t="shared" si="11"/>
        <v>Analytics</v>
      </c>
      <c r="L205" s="486" t="str">
        <f t="shared" si="12"/>
        <v>UNIT</v>
      </c>
      <c r="M205" s="486" t="str">
        <f t="shared" si="14"/>
        <v>UC</v>
      </c>
      <c r="N205" s="486" t="str">
        <f t="shared" si="13"/>
        <v>PAAS</v>
      </c>
    </row>
    <row r="206" spans="1:14">
      <c r="A206" s="1" t="s">
        <v>398</v>
      </c>
      <c r="B206" s="1">
        <v>0</v>
      </c>
      <c r="C206" s="1">
        <v>0</v>
      </c>
      <c r="D206" s="1">
        <v>10.081</v>
      </c>
      <c r="E206" s="1" t="s">
        <v>49</v>
      </c>
      <c r="F206" s="1" t="s">
        <v>2290</v>
      </c>
      <c r="G206" s="1" t="s">
        <v>2393</v>
      </c>
      <c r="H206" s="1" t="s">
        <v>2161</v>
      </c>
      <c r="I206" s="1" t="s">
        <v>1636</v>
      </c>
      <c r="J206" s="1" t="s">
        <v>2159</v>
      </c>
      <c r="K206" s="492" t="str">
        <f t="shared" ref="K206:K269" si="15" xml:space="preserve"> _xlfn.IFS(ISNUMBER(SEARCH("Universal Credits",B206)),"UC",
ISNUMBER(SEARCH("Ravello",B206)),"Deprecated",
ISNUMBER(SEARCH("Cloud Machine",B206)),"Deprecated",
ISNUMBER(SEARCH("Compute",B206)),"Compute",
ISNUMBER(SEARCH("Load Balancer",B206)),"Network",
ISNUMBER(SEARCH("FastConnect",B206)),"Network",
ISNUMBER(SEARCH("Database OCPU",B206)),"CC OCPU",
ISNUMBER(SEARCH("at Customer",B206)),"CC",
ISNUMBER(SEARCH("Exadata Storage",B206)),"Exa Storage",
ISNUMBER(SEARCH("Storage",B206)),"Storage",
ISNUMBER(SEARCH("Block ",B206)),"Storage",
ISNUMBER(SEARCH("Autonomous Data Warehouse",B206)),"ADW",
ISNUMBER(SEARCH("Autonomous Transaction Processing",B206)),"ATP",
ISNUMBER(SEARCH("Database Exadata",B206)),"ExaCS",
ISNUMBER(SEARCH("Database",B206)),"DBaaS",
ISNUMBER(SEARCH("Essbase",B206)),"DBaaS",
ISNUMBER(SEARCH("integration",B206)),"Integration",
ISNUMBER(SEARCH("SOA",B206)),"Integration",
ISNUMBER(SEARCH("Management Cloud",B206)),"Service",
ISNUMBER(SEARCH("Analytics",B206)),"Analytics",
ISNUMBER(SEARCH("Storage",B206)),"Storage",
ISNUMBER(SEARCH("Block ",B206)),"Storage",
ISNUMBER(SEARCH("Identity",B206)),"Platform",
ISNUMBER(SEARCH("Content",B206)),"Platform",
ISNUMBER(SEARCH("Weblogic",B206)),"Platform",
ISNUMBER(SEARCH("Digital Assistant",B206)),"Platform",
ISNUMBER(SEARCH("Advance",B206)),"New",
ISNUMBER(SEARCH("Limited",B206)),"Classic",
ISNUMBER(SEARCH("Classic",B206)),"Classic",
ISNUMBER(SEARCH("Government",B206)),"Government",
ISNUMBER(SEARCH("Metered",B206)),"Deprecated",
VALUE(RIGHT(A206,5))&lt;88206,"Deprecated",
TRUE,"Service")</f>
        <v>Deprecated</v>
      </c>
      <c r="L206" s="486" t="str">
        <f t="shared" ref="L206:L269" si="16">_xlfn.IFS(ISNUMBER(SEARCH("Hour",E206)),"HR",ISNUMBER(SEARCH("Gigabyte",E206)),"GB",ISNUMBER(SEARCH("Terabyte",E206)),"TB",ISNUMBER(SEARCH("Requests",E206)),"REQ",ISNUMBER(SEARCH("Each",E206)),"EA","TRUE","UNIT")</f>
        <v>HR</v>
      </c>
      <c r="M206" s="486" t="str">
        <f t="shared" si="14"/>
        <v>UC</v>
      </c>
      <c r="N206" s="486" t="str">
        <f t="shared" ref="N206:N269" si="17">_xlfn.IFS(K206="Storage","IAAS",K206="Compute","IAAS",K206="Network","IAAS",K206="Service","IAAS",L206="REQ","IAAS",TRUE,"PAAS")</f>
        <v>PAAS</v>
      </c>
    </row>
    <row r="207" spans="1:14">
      <c r="A207" s="1" t="s">
        <v>399</v>
      </c>
      <c r="B207" s="1" t="s">
        <v>400</v>
      </c>
      <c r="C207" s="1">
        <v>0</v>
      </c>
      <c r="D207" s="1">
        <v>12000</v>
      </c>
      <c r="E207" s="1" t="s">
        <v>2168</v>
      </c>
      <c r="F207" s="1" t="s">
        <v>2290</v>
      </c>
      <c r="G207" s="1" t="s">
        <v>1839</v>
      </c>
      <c r="H207" s="1" t="s">
        <v>2394</v>
      </c>
      <c r="I207" s="1" t="s">
        <v>1636</v>
      </c>
      <c r="J207" s="1" t="s">
        <v>2159</v>
      </c>
      <c r="K207" s="492" t="str">
        <f t="shared" si="15"/>
        <v>Analytics</v>
      </c>
      <c r="L207" s="486" t="str">
        <f t="shared" si="16"/>
        <v>UNIT</v>
      </c>
      <c r="M207" s="486" t="str">
        <f t="shared" si="14"/>
        <v>UC</v>
      </c>
      <c r="N207" s="486" t="str">
        <f t="shared" si="17"/>
        <v>PAAS</v>
      </c>
    </row>
    <row r="208" spans="1:14">
      <c r="A208" s="1" t="s">
        <v>401</v>
      </c>
      <c r="B208" s="1">
        <v>0</v>
      </c>
      <c r="C208" s="1">
        <v>0</v>
      </c>
      <c r="D208" s="1">
        <v>20.161000000000001</v>
      </c>
      <c r="E208" s="1" t="s">
        <v>49</v>
      </c>
      <c r="F208" s="1" t="s">
        <v>2290</v>
      </c>
      <c r="G208" s="1" t="s">
        <v>2393</v>
      </c>
      <c r="H208" s="1" t="s">
        <v>2161</v>
      </c>
      <c r="I208" s="1" t="s">
        <v>1636</v>
      </c>
      <c r="J208" s="1" t="s">
        <v>2159</v>
      </c>
      <c r="K208" s="492" t="str">
        <f t="shared" si="15"/>
        <v>Deprecated</v>
      </c>
      <c r="L208" s="486" t="str">
        <f t="shared" si="16"/>
        <v>HR</v>
      </c>
      <c r="M208" s="486" t="str">
        <f t="shared" si="14"/>
        <v>UC</v>
      </c>
      <c r="N208" s="486" t="str">
        <f t="shared" si="17"/>
        <v>PAAS</v>
      </c>
    </row>
    <row r="209" spans="1:14">
      <c r="A209" s="1" t="s">
        <v>402</v>
      </c>
      <c r="B209" s="1" t="s">
        <v>403</v>
      </c>
      <c r="C209" s="1">
        <v>0</v>
      </c>
      <c r="D209" s="1">
        <v>1</v>
      </c>
      <c r="E209" s="1">
        <v>0</v>
      </c>
      <c r="F209" s="1" t="s">
        <v>2290</v>
      </c>
      <c r="G209" s="1" t="s">
        <v>1839</v>
      </c>
      <c r="H209" s="1" t="s">
        <v>2394</v>
      </c>
      <c r="I209" s="1" t="s">
        <v>1636</v>
      </c>
      <c r="J209" s="1" t="s">
        <v>2159</v>
      </c>
      <c r="K209" s="492" t="str">
        <f t="shared" si="15"/>
        <v>Analytics</v>
      </c>
      <c r="L209" s="486" t="str">
        <f t="shared" si="16"/>
        <v>UNIT</v>
      </c>
      <c r="M209" s="486" t="str">
        <f t="shared" si="14"/>
        <v>UC</v>
      </c>
      <c r="N209" s="486" t="str">
        <f t="shared" si="17"/>
        <v>PAAS</v>
      </c>
    </row>
    <row r="210" spans="1:14">
      <c r="A210" s="1" t="s">
        <v>404</v>
      </c>
      <c r="B210" s="1" t="s">
        <v>405</v>
      </c>
      <c r="C210" s="1">
        <v>0</v>
      </c>
      <c r="D210" s="1">
        <v>6000</v>
      </c>
      <c r="E210" s="1" t="s">
        <v>2168</v>
      </c>
      <c r="F210" s="1" t="s">
        <v>2290</v>
      </c>
      <c r="G210" s="1" t="s">
        <v>2393</v>
      </c>
      <c r="H210" s="1" t="s">
        <v>2394</v>
      </c>
      <c r="I210" s="1" t="s">
        <v>1636</v>
      </c>
      <c r="J210" s="1" t="s">
        <v>2159</v>
      </c>
      <c r="K210" s="492" t="str">
        <f t="shared" si="15"/>
        <v>Deprecated</v>
      </c>
      <c r="L210" s="486" t="str">
        <f t="shared" si="16"/>
        <v>UNIT</v>
      </c>
      <c r="M210" s="486" t="str">
        <f t="shared" si="14"/>
        <v>UC</v>
      </c>
      <c r="N210" s="486" t="str">
        <f t="shared" si="17"/>
        <v>PAAS</v>
      </c>
    </row>
    <row r="211" spans="1:14">
      <c r="A211" s="1" t="s">
        <v>130</v>
      </c>
      <c r="B211" s="1">
        <v>0</v>
      </c>
      <c r="C211" s="1" t="s">
        <v>566</v>
      </c>
      <c r="D211" s="1">
        <v>10.081</v>
      </c>
      <c r="E211" s="1" t="s">
        <v>49</v>
      </c>
      <c r="F211" s="1" t="s">
        <v>2290</v>
      </c>
      <c r="G211" s="1" t="s">
        <v>2393</v>
      </c>
      <c r="H211" s="1" t="s">
        <v>2161</v>
      </c>
      <c r="I211" s="1" t="s">
        <v>1636</v>
      </c>
      <c r="J211" s="1" t="s">
        <v>2159</v>
      </c>
      <c r="K211" s="492" t="str">
        <f t="shared" si="15"/>
        <v>Deprecated</v>
      </c>
      <c r="L211" s="486" t="str">
        <f t="shared" si="16"/>
        <v>HR</v>
      </c>
      <c r="M211" s="486" t="str">
        <f t="shared" si="14"/>
        <v>UC</v>
      </c>
      <c r="N211" s="486" t="str">
        <f t="shared" si="17"/>
        <v>PAAS</v>
      </c>
    </row>
    <row r="212" spans="1:14">
      <c r="A212" s="1" t="s">
        <v>406</v>
      </c>
      <c r="B212" s="1" t="s">
        <v>407</v>
      </c>
      <c r="C212" s="1">
        <v>0</v>
      </c>
      <c r="D212" s="1">
        <v>110000</v>
      </c>
      <c r="E212" s="1" t="s">
        <v>2178</v>
      </c>
      <c r="F212" s="1" t="s">
        <v>2290</v>
      </c>
      <c r="G212" s="1" t="s">
        <v>1838</v>
      </c>
      <c r="H212" s="1" t="s">
        <v>2394</v>
      </c>
      <c r="I212" s="1" t="s">
        <v>1636</v>
      </c>
      <c r="J212" s="1" t="s">
        <v>2159</v>
      </c>
      <c r="K212" s="492" t="str">
        <f t="shared" si="15"/>
        <v>ExaCS</v>
      </c>
      <c r="L212" s="486" t="str">
        <f t="shared" si="16"/>
        <v>UNIT</v>
      </c>
      <c r="M212" s="486" t="str">
        <f t="shared" si="14"/>
        <v>UC</v>
      </c>
      <c r="N212" s="486" t="str">
        <f t="shared" si="17"/>
        <v>PAAS</v>
      </c>
    </row>
    <row r="213" spans="1:14">
      <c r="A213" s="1" t="s">
        <v>408</v>
      </c>
      <c r="B213" s="1" t="s">
        <v>409</v>
      </c>
      <c r="C213" s="1">
        <v>0</v>
      </c>
      <c r="D213" s="1">
        <v>220000</v>
      </c>
      <c r="E213" s="1" t="s">
        <v>2178</v>
      </c>
      <c r="F213" s="1" t="s">
        <v>2290</v>
      </c>
      <c r="G213" s="1" t="s">
        <v>1838</v>
      </c>
      <c r="H213" s="1" t="s">
        <v>2394</v>
      </c>
      <c r="I213" s="1" t="s">
        <v>1636</v>
      </c>
      <c r="J213" s="1" t="s">
        <v>2159</v>
      </c>
      <c r="K213" s="492" t="str">
        <f t="shared" si="15"/>
        <v>ExaCS</v>
      </c>
      <c r="L213" s="486" t="str">
        <f t="shared" si="16"/>
        <v>UNIT</v>
      </c>
      <c r="M213" s="486" t="str">
        <f t="shared" si="14"/>
        <v>UC</v>
      </c>
      <c r="N213" s="486" t="str">
        <f t="shared" si="17"/>
        <v>PAAS</v>
      </c>
    </row>
    <row r="214" spans="1:14">
      <c r="A214" s="1" t="s">
        <v>410</v>
      </c>
      <c r="B214" s="1" t="s">
        <v>411</v>
      </c>
      <c r="C214" s="1">
        <v>0</v>
      </c>
      <c r="D214" s="1">
        <v>440000</v>
      </c>
      <c r="E214" s="1" t="s">
        <v>2178</v>
      </c>
      <c r="F214" s="1" t="s">
        <v>2290</v>
      </c>
      <c r="G214" s="1" t="s">
        <v>1838</v>
      </c>
      <c r="H214" s="1" t="s">
        <v>2394</v>
      </c>
      <c r="I214" s="1" t="s">
        <v>1636</v>
      </c>
      <c r="J214" s="1" t="s">
        <v>2159</v>
      </c>
      <c r="K214" s="492" t="str">
        <f t="shared" si="15"/>
        <v>ExaCS</v>
      </c>
      <c r="L214" s="486" t="str">
        <f t="shared" si="16"/>
        <v>UNIT</v>
      </c>
      <c r="M214" s="486" t="str">
        <f t="shared" si="14"/>
        <v>UC</v>
      </c>
      <c r="N214" s="486" t="str">
        <f t="shared" si="17"/>
        <v>PAAS</v>
      </c>
    </row>
    <row r="215" spans="1:14">
      <c r="A215" s="1" t="s">
        <v>412</v>
      </c>
      <c r="B215" s="1" t="s">
        <v>550</v>
      </c>
      <c r="C215" s="1">
        <v>0</v>
      </c>
      <c r="D215" s="1">
        <v>0.1</v>
      </c>
      <c r="E215" s="1" t="s">
        <v>2175</v>
      </c>
      <c r="F215" s="1" t="s">
        <v>2290</v>
      </c>
      <c r="G215" s="1" t="s">
        <v>1840</v>
      </c>
      <c r="H215" s="1" t="s">
        <v>2162</v>
      </c>
      <c r="I215" s="1" t="s">
        <v>1636</v>
      </c>
      <c r="J215" s="1" t="s">
        <v>2158</v>
      </c>
      <c r="K215" s="492" t="str">
        <f t="shared" si="15"/>
        <v>Storage</v>
      </c>
      <c r="L215" s="486" t="str">
        <f t="shared" si="16"/>
        <v>GB</v>
      </c>
      <c r="M215" s="486" t="str">
        <f t="shared" si="14"/>
        <v>UC</v>
      </c>
      <c r="N215" s="486" t="str">
        <f t="shared" si="17"/>
        <v>IAAS</v>
      </c>
    </row>
    <row r="216" spans="1:14">
      <c r="A216" s="1" t="s">
        <v>1299</v>
      </c>
      <c r="B216" s="1" t="s">
        <v>1300</v>
      </c>
      <c r="C216" s="1">
        <v>0</v>
      </c>
      <c r="D216" s="1">
        <v>83335</v>
      </c>
      <c r="E216" s="1" t="s">
        <v>1154</v>
      </c>
      <c r="F216" s="1" t="s">
        <v>588</v>
      </c>
      <c r="G216" s="1" t="s">
        <v>2393</v>
      </c>
      <c r="H216" s="1" t="s">
        <v>2397</v>
      </c>
      <c r="I216" s="1" t="s">
        <v>2398</v>
      </c>
      <c r="J216" s="1" t="s">
        <v>2159</v>
      </c>
      <c r="K216" s="492" t="str">
        <f t="shared" si="15"/>
        <v>Deprecated</v>
      </c>
      <c r="L216" s="486" t="str">
        <f t="shared" si="16"/>
        <v>EA</v>
      </c>
      <c r="M216" s="486" t="str">
        <f t="shared" si="14"/>
        <v>UC0</v>
      </c>
      <c r="N216" s="486" t="str">
        <f t="shared" si="17"/>
        <v>PAAS</v>
      </c>
    </row>
    <row r="217" spans="1:14">
      <c r="A217" s="1" t="s">
        <v>1301</v>
      </c>
      <c r="B217" s="1" t="s">
        <v>1302</v>
      </c>
      <c r="C217" s="1">
        <v>0</v>
      </c>
      <c r="D217" s="1">
        <v>11760</v>
      </c>
      <c r="E217" s="1" t="s">
        <v>1154</v>
      </c>
      <c r="F217" s="1" t="s">
        <v>2290</v>
      </c>
      <c r="G217" s="1" t="s">
        <v>2393</v>
      </c>
      <c r="H217" s="1" t="s">
        <v>2397</v>
      </c>
      <c r="I217" s="1" t="s">
        <v>1636</v>
      </c>
      <c r="J217" s="1" t="s">
        <v>2159</v>
      </c>
      <c r="K217" s="492" t="str">
        <f t="shared" si="15"/>
        <v>Deprecated</v>
      </c>
      <c r="L217" s="486" t="str">
        <f t="shared" si="16"/>
        <v>EA</v>
      </c>
      <c r="M217" s="486" t="str">
        <f t="shared" si="14"/>
        <v>UC</v>
      </c>
      <c r="N217" s="486" t="str">
        <f t="shared" si="17"/>
        <v>PAAS</v>
      </c>
    </row>
    <row r="218" spans="1:14">
      <c r="A218" s="1" t="s">
        <v>1303</v>
      </c>
      <c r="B218" s="1" t="s">
        <v>1873</v>
      </c>
      <c r="C218" s="1">
        <v>0</v>
      </c>
      <c r="D218" s="1">
        <v>30090</v>
      </c>
      <c r="E218" s="1" t="s">
        <v>1154</v>
      </c>
      <c r="F218" s="1" t="s">
        <v>2290</v>
      </c>
      <c r="G218" s="1" t="s">
        <v>2393</v>
      </c>
      <c r="H218" s="1" t="s">
        <v>2397</v>
      </c>
      <c r="I218" s="1" t="s">
        <v>1636</v>
      </c>
      <c r="J218" s="1" t="s">
        <v>2159</v>
      </c>
      <c r="K218" s="492" t="str">
        <f t="shared" si="15"/>
        <v>Deprecated</v>
      </c>
      <c r="L218" s="486" t="str">
        <f t="shared" si="16"/>
        <v>EA</v>
      </c>
      <c r="M218" s="486" t="str">
        <f t="shared" si="14"/>
        <v>UC</v>
      </c>
      <c r="N218" s="486" t="str">
        <f t="shared" si="17"/>
        <v>PAAS</v>
      </c>
    </row>
    <row r="219" spans="1:14">
      <c r="A219" s="1" t="s">
        <v>1304</v>
      </c>
      <c r="B219" s="1" t="s">
        <v>1305</v>
      </c>
      <c r="C219" s="1">
        <v>0</v>
      </c>
      <c r="D219" s="1">
        <v>57150</v>
      </c>
      <c r="E219" s="1" t="s">
        <v>1154</v>
      </c>
      <c r="F219" s="1" t="s">
        <v>2290</v>
      </c>
      <c r="G219" s="1" t="s">
        <v>2393</v>
      </c>
      <c r="H219" s="1" t="s">
        <v>2397</v>
      </c>
      <c r="I219" s="1" t="s">
        <v>1636</v>
      </c>
      <c r="J219" s="1" t="s">
        <v>2159</v>
      </c>
      <c r="K219" s="492" t="str">
        <f t="shared" si="15"/>
        <v>Deprecated</v>
      </c>
      <c r="L219" s="486" t="str">
        <f t="shared" si="16"/>
        <v>EA</v>
      </c>
      <c r="M219" s="486" t="str">
        <f t="shared" si="14"/>
        <v>UC</v>
      </c>
      <c r="N219" s="486" t="str">
        <f t="shared" si="17"/>
        <v>PAAS</v>
      </c>
    </row>
    <row r="220" spans="1:14">
      <c r="A220" s="1" t="s">
        <v>19</v>
      </c>
      <c r="B220" s="1" t="s">
        <v>551</v>
      </c>
      <c r="C220" s="1">
        <v>0</v>
      </c>
      <c r="D220" s="1">
        <v>9.1999999999999998E-2</v>
      </c>
      <c r="E220" s="1" t="s">
        <v>49</v>
      </c>
      <c r="F220" s="1" t="s">
        <v>588</v>
      </c>
      <c r="G220" s="1" t="s">
        <v>1835</v>
      </c>
      <c r="H220" s="1" t="s">
        <v>2161</v>
      </c>
      <c r="I220" s="1" t="s">
        <v>2398</v>
      </c>
      <c r="J220" s="1" t="s">
        <v>2158</v>
      </c>
      <c r="K220" s="492" t="str">
        <f t="shared" si="15"/>
        <v>Compute</v>
      </c>
      <c r="L220" s="486" t="str">
        <f t="shared" si="16"/>
        <v>HR</v>
      </c>
      <c r="M220" s="486" t="str">
        <f t="shared" si="14"/>
        <v>UC0</v>
      </c>
      <c r="N220" s="486" t="str">
        <f t="shared" si="17"/>
        <v>IAAS</v>
      </c>
    </row>
    <row r="221" spans="1:14">
      <c r="A221" s="1" t="s">
        <v>413</v>
      </c>
      <c r="B221" s="1" t="s">
        <v>552</v>
      </c>
      <c r="C221" s="1">
        <v>0</v>
      </c>
      <c r="D221" s="1">
        <v>1.5</v>
      </c>
      <c r="E221" s="1" t="s">
        <v>2193</v>
      </c>
      <c r="F221" s="1" t="s">
        <v>2290</v>
      </c>
      <c r="G221" s="1" t="s">
        <v>2313</v>
      </c>
      <c r="H221" s="1" t="s">
        <v>2161</v>
      </c>
      <c r="I221" s="1" t="s">
        <v>1636</v>
      </c>
      <c r="J221" s="1" t="s">
        <v>2158</v>
      </c>
      <c r="K221" s="492" t="str">
        <f t="shared" si="15"/>
        <v>Network</v>
      </c>
      <c r="L221" s="486" t="str">
        <f t="shared" si="16"/>
        <v>HR</v>
      </c>
      <c r="M221" s="486" t="str">
        <f t="shared" si="14"/>
        <v>UC</v>
      </c>
      <c r="N221" s="486" t="str">
        <f t="shared" si="17"/>
        <v>IAAS</v>
      </c>
    </row>
    <row r="222" spans="1:14">
      <c r="A222" s="1" t="s">
        <v>23</v>
      </c>
      <c r="B222" s="1" t="s">
        <v>65</v>
      </c>
      <c r="C222" s="1">
        <v>0</v>
      </c>
      <c r="D222" s="1">
        <v>0.25</v>
      </c>
      <c r="E222" s="1" t="s">
        <v>2193</v>
      </c>
      <c r="F222" s="1" t="s">
        <v>2290</v>
      </c>
      <c r="G222" s="1" t="s">
        <v>2313</v>
      </c>
      <c r="H222" s="1" t="s">
        <v>2161</v>
      </c>
      <c r="I222" s="1" t="s">
        <v>1636</v>
      </c>
      <c r="J222" s="1" t="s">
        <v>2158</v>
      </c>
      <c r="K222" s="492" t="str">
        <f t="shared" si="15"/>
        <v>Network</v>
      </c>
      <c r="L222" s="486" t="str">
        <f t="shared" si="16"/>
        <v>HR</v>
      </c>
      <c r="M222" s="486" t="str">
        <f t="shared" si="14"/>
        <v>UC</v>
      </c>
      <c r="N222" s="486" t="str">
        <f t="shared" si="17"/>
        <v>IAAS</v>
      </c>
    </row>
    <row r="223" spans="1:14">
      <c r="A223" s="1" t="s">
        <v>414</v>
      </c>
      <c r="B223" s="1" t="s">
        <v>553</v>
      </c>
      <c r="C223" s="1">
        <v>0</v>
      </c>
      <c r="D223" s="1">
        <v>0.15</v>
      </c>
      <c r="E223" s="1" t="s">
        <v>49</v>
      </c>
      <c r="F223" s="1" t="s">
        <v>2290</v>
      </c>
      <c r="G223" s="1" t="s">
        <v>1835</v>
      </c>
      <c r="H223" s="1" t="s">
        <v>2161</v>
      </c>
      <c r="I223" s="1" t="s">
        <v>1636</v>
      </c>
      <c r="J223" s="1" t="s">
        <v>2158</v>
      </c>
      <c r="K223" s="492" t="str">
        <f t="shared" si="15"/>
        <v>Compute</v>
      </c>
      <c r="L223" s="486" t="str">
        <f t="shared" si="16"/>
        <v>HR</v>
      </c>
      <c r="M223" s="486" t="str">
        <f t="shared" si="14"/>
        <v>UC</v>
      </c>
      <c r="N223" s="486" t="str">
        <f t="shared" si="17"/>
        <v>IAAS</v>
      </c>
    </row>
    <row r="224" spans="1:14">
      <c r="A224" s="1" t="s">
        <v>415</v>
      </c>
      <c r="B224" s="1" t="s">
        <v>416</v>
      </c>
      <c r="C224" s="1">
        <v>0</v>
      </c>
      <c r="D224" s="1">
        <v>0.1</v>
      </c>
      <c r="E224" s="1" t="s">
        <v>2175</v>
      </c>
      <c r="F224" s="1" t="s">
        <v>2290</v>
      </c>
      <c r="G224" s="1" t="s">
        <v>1835</v>
      </c>
      <c r="H224" s="1" t="s">
        <v>2162</v>
      </c>
      <c r="I224" s="1" t="s">
        <v>1636</v>
      </c>
      <c r="J224" s="1" t="s">
        <v>2158</v>
      </c>
      <c r="K224" s="492" t="str">
        <f t="shared" si="15"/>
        <v>Compute</v>
      </c>
      <c r="L224" s="486" t="str">
        <f t="shared" si="16"/>
        <v>GB</v>
      </c>
      <c r="M224" s="486" t="str">
        <f t="shared" si="14"/>
        <v>UC</v>
      </c>
      <c r="N224" s="486" t="str">
        <f t="shared" si="17"/>
        <v>IAAS</v>
      </c>
    </row>
    <row r="225" spans="1:14">
      <c r="A225" s="1" t="s">
        <v>96</v>
      </c>
      <c r="B225" s="1" t="s">
        <v>967</v>
      </c>
      <c r="C225" s="1">
        <v>1.2749999999999999</v>
      </c>
      <c r="D225" s="1">
        <v>1.2749999999999999</v>
      </c>
      <c r="E225" s="1" t="s">
        <v>2193</v>
      </c>
      <c r="F225" s="1" t="s">
        <v>2290</v>
      </c>
      <c r="G225" s="1" t="s">
        <v>2313</v>
      </c>
      <c r="H225" s="1" t="s">
        <v>2161</v>
      </c>
      <c r="I225" s="1" t="s">
        <v>1636</v>
      </c>
      <c r="J225" s="1" t="s">
        <v>2158</v>
      </c>
      <c r="K225" s="492" t="str">
        <f t="shared" si="15"/>
        <v>Network</v>
      </c>
      <c r="L225" s="486" t="str">
        <f t="shared" si="16"/>
        <v>HR</v>
      </c>
      <c r="M225" s="486" t="str">
        <f t="shared" si="14"/>
        <v>UC</v>
      </c>
      <c r="N225" s="486" t="str">
        <f t="shared" si="17"/>
        <v>IAAS</v>
      </c>
    </row>
    <row r="226" spans="1:14">
      <c r="A226" s="1" t="s">
        <v>417</v>
      </c>
      <c r="B226" s="1" t="s">
        <v>1063</v>
      </c>
      <c r="C226" s="1">
        <v>0</v>
      </c>
      <c r="D226" s="1">
        <v>3000</v>
      </c>
      <c r="E226" s="1" t="s">
        <v>1154</v>
      </c>
      <c r="F226" s="1" t="s">
        <v>2290</v>
      </c>
      <c r="G226" s="1" t="s">
        <v>1835</v>
      </c>
      <c r="H226" s="1" t="s">
        <v>2397</v>
      </c>
      <c r="I226" s="1" t="s">
        <v>1636</v>
      </c>
      <c r="J226" s="1" t="s">
        <v>2158</v>
      </c>
      <c r="K226" s="492" t="str">
        <f t="shared" si="15"/>
        <v>Compute</v>
      </c>
      <c r="L226" s="486" t="str">
        <f t="shared" si="16"/>
        <v>EA</v>
      </c>
      <c r="M226" s="486" t="str">
        <f t="shared" si="14"/>
        <v>UC</v>
      </c>
      <c r="N226" s="486" t="str">
        <f t="shared" si="17"/>
        <v>IAAS</v>
      </c>
    </row>
    <row r="227" spans="1:14">
      <c r="A227" s="1" t="s">
        <v>418</v>
      </c>
      <c r="B227" s="1" t="s">
        <v>1064</v>
      </c>
      <c r="C227" s="1">
        <v>0</v>
      </c>
      <c r="D227" s="1">
        <v>4200</v>
      </c>
      <c r="E227" s="1" t="s">
        <v>1154</v>
      </c>
      <c r="F227" s="1" t="s">
        <v>2290</v>
      </c>
      <c r="G227" s="1" t="s">
        <v>2160</v>
      </c>
      <c r="H227" s="1" t="s">
        <v>2397</v>
      </c>
      <c r="I227" s="1" t="s">
        <v>2160</v>
      </c>
      <c r="J227" s="1" t="s">
        <v>2159</v>
      </c>
      <c r="K227" s="492" t="str">
        <f t="shared" si="15"/>
        <v>CC</v>
      </c>
      <c r="L227" s="486" t="str">
        <f t="shared" si="16"/>
        <v>EA</v>
      </c>
      <c r="M227" s="486" t="str">
        <f t="shared" si="14"/>
        <v>CC</v>
      </c>
      <c r="N227" s="486" t="str">
        <f t="shared" si="17"/>
        <v>PAAS</v>
      </c>
    </row>
    <row r="228" spans="1:14">
      <c r="A228" s="1" t="s">
        <v>2407</v>
      </c>
      <c r="B228" s="1" t="s">
        <v>554</v>
      </c>
      <c r="C228" s="1">
        <v>0</v>
      </c>
      <c r="D228" s="1">
        <v>110000</v>
      </c>
      <c r="E228" s="1" t="s">
        <v>2178</v>
      </c>
      <c r="F228" s="1" t="s">
        <v>2290</v>
      </c>
      <c r="G228" s="1" t="s">
        <v>1838</v>
      </c>
      <c r="H228" s="1" t="s">
        <v>2394</v>
      </c>
      <c r="I228" s="1" t="s">
        <v>1636</v>
      </c>
      <c r="J228" s="1" t="s">
        <v>2159</v>
      </c>
      <c r="K228" s="492" t="str">
        <f t="shared" si="15"/>
        <v>ExaCS</v>
      </c>
      <c r="L228" s="486" t="str">
        <f t="shared" si="16"/>
        <v>UNIT</v>
      </c>
      <c r="M228" s="486" t="str">
        <f t="shared" si="14"/>
        <v>UC</v>
      </c>
      <c r="N228" s="486" t="str">
        <f t="shared" si="17"/>
        <v>PAAS</v>
      </c>
    </row>
    <row r="229" spans="1:14">
      <c r="A229" s="1" t="s">
        <v>419</v>
      </c>
      <c r="B229" s="1" t="s">
        <v>555</v>
      </c>
      <c r="C229" s="1">
        <v>0</v>
      </c>
      <c r="D229" s="1">
        <v>220000</v>
      </c>
      <c r="E229" s="1" t="s">
        <v>2178</v>
      </c>
      <c r="F229" s="1" t="s">
        <v>2290</v>
      </c>
      <c r="G229" s="1" t="s">
        <v>1838</v>
      </c>
      <c r="H229" s="1" t="s">
        <v>2394</v>
      </c>
      <c r="I229" s="1" t="s">
        <v>1636</v>
      </c>
      <c r="J229" s="1" t="s">
        <v>2159</v>
      </c>
      <c r="K229" s="492" t="str">
        <f t="shared" si="15"/>
        <v>ExaCS</v>
      </c>
      <c r="L229" s="486" t="str">
        <f t="shared" si="16"/>
        <v>UNIT</v>
      </c>
      <c r="M229" s="486" t="str">
        <f t="shared" si="14"/>
        <v>UC</v>
      </c>
      <c r="N229" s="486" t="str">
        <f t="shared" si="17"/>
        <v>PAAS</v>
      </c>
    </row>
    <row r="230" spans="1:14">
      <c r="A230" s="1" t="s">
        <v>420</v>
      </c>
      <c r="B230" s="1" t="s">
        <v>556</v>
      </c>
      <c r="C230" s="1">
        <v>0</v>
      </c>
      <c r="D230" s="1">
        <v>440000</v>
      </c>
      <c r="E230" s="1" t="s">
        <v>2178</v>
      </c>
      <c r="F230" s="1" t="s">
        <v>2290</v>
      </c>
      <c r="G230" s="1" t="s">
        <v>1838</v>
      </c>
      <c r="H230" s="1" t="s">
        <v>2394</v>
      </c>
      <c r="I230" s="1" t="s">
        <v>1636</v>
      </c>
      <c r="J230" s="1" t="s">
        <v>2159</v>
      </c>
      <c r="K230" s="492" t="str">
        <f t="shared" si="15"/>
        <v>ExaCS</v>
      </c>
      <c r="L230" s="486" t="str">
        <f t="shared" si="16"/>
        <v>UNIT</v>
      </c>
      <c r="M230" s="486" t="str">
        <f t="shared" si="14"/>
        <v>UC</v>
      </c>
      <c r="N230" s="486" t="str">
        <f t="shared" si="17"/>
        <v>PAAS</v>
      </c>
    </row>
    <row r="231" spans="1:14">
      <c r="A231" s="1" t="s">
        <v>421</v>
      </c>
      <c r="B231" s="1" t="s">
        <v>557</v>
      </c>
      <c r="C231" s="1">
        <v>0</v>
      </c>
      <c r="D231" s="1">
        <v>5000</v>
      </c>
      <c r="E231" s="1" t="s">
        <v>2168</v>
      </c>
      <c r="F231" s="1" t="s">
        <v>2290</v>
      </c>
      <c r="G231" s="1" t="s">
        <v>1838</v>
      </c>
      <c r="H231" s="1" t="s">
        <v>2394</v>
      </c>
      <c r="I231" s="1" t="s">
        <v>1636</v>
      </c>
      <c r="J231" s="1" t="s">
        <v>2159</v>
      </c>
      <c r="K231" s="492" t="str">
        <f t="shared" si="15"/>
        <v>ExaCS</v>
      </c>
      <c r="L231" s="486" t="str">
        <f t="shared" si="16"/>
        <v>UNIT</v>
      </c>
      <c r="M231" s="486" t="str">
        <f t="shared" si="14"/>
        <v>UC</v>
      </c>
      <c r="N231" s="486" t="str">
        <f t="shared" si="17"/>
        <v>PAAS</v>
      </c>
    </row>
    <row r="232" spans="1:14">
      <c r="A232" s="1" t="s">
        <v>422</v>
      </c>
      <c r="B232" s="1" t="s">
        <v>557</v>
      </c>
      <c r="C232" s="1">
        <v>0</v>
      </c>
      <c r="D232" s="1">
        <v>8.4009999999999998</v>
      </c>
      <c r="E232" s="1" t="s">
        <v>49</v>
      </c>
      <c r="F232" s="1" t="s">
        <v>2290</v>
      </c>
      <c r="G232" s="1" t="s">
        <v>1838</v>
      </c>
      <c r="H232" s="1" t="s">
        <v>2161</v>
      </c>
      <c r="I232" s="1" t="s">
        <v>1636</v>
      </c>
      <c r="J232" s="1" t="s">
        <v>2159</v>
      </c>
      <c r="K232" s="492" t="str">
        <f t="shared" si="15"/>
        <v>ExaCS</v>
      </c>
      <c r="L232" s="486" t="str">
        <f t="shared" si="16"/>
        <v>HR</v>
      </c>
      <c r="M232" s="486" t="str">
        <f t="shared" si="14"/>
        <v>UC</v>
      </c>
      <c r="N232" s="486" t="str">
        <f t="shared" si="17"/>
        <v>PAAS</v>
      </c>
    </row>
    <row r="233" spans="1:14">
      <c r="A233" s="1" t="s">
        <v>423</v>
      </c>
      <c r="B233" s="1" t="s">
        <v>1065</v>
      </c>
      <c r="C233" s="1">
        <v>0</v>
      </c>
      <c r="D233" s="1">
        <v>3000</v>
      </c>
      <c r="E233" s="1" t="s">
        <v>1154</v>
      </c>
      <c r="F233" s="1" t="s">
        <v>2290</v>
      </c>
      <c r="G233" s="1" t="s">
        <v>1835</v>
      </c>
      <c r="H233" s="1" t="s">
        <v>2397</v>
      </c>
      <c r="I233" s="1" t="s">
        <v>1636</v>
      </c>
      <c r="J233" s="1" t="s">
        <v>2158</v>
      </c>
      <c r="K233" s="492" t="str">
        <f t="shared" si="15"/>
        <v>Compute</v>
      </c>
      <c r="L233" s="486" t="str">
        <f t="shared" si="16"/>
        <v>EA</v>
      </c>
      <c r="M233" s="486" t="str">
        <f t="shared" si="14"/>
        <v>UC</v>
      </c>
      <c r="N233" s="486" t="str">
        <f t="shared" si="17"/>
        <v>IAAS</v>
      </c>
    </row>
    <row r="234" spans="1:14">
      <c r="A234" s="1" t="s">
        <v>424</v>
      </c>
      <c r="B234" s="1" t="s">
        <v>1066</v>
      </c>
      <c r="C234" s="1">
        <v>0</v>
      </c>
      <c r="D234" s="1">
        <v>4200</v>
      </c>
      <c r="E234" s="1" t="s">
        <v>1154</v>
      </c>
      <c r="F234" s="1" t="s">
        <v>2290</v>
      </c>
      <c r="G234" s="1" t="s">
        <v>2160</v>
      </c>
      <c r="H234" s="1" t="s">
        <v>2397</v>
      </c>
      <c r="I234" s="1" t="s">
        <v>2160</v>
      </c>
      <c r="J234" s="1" t="s">
        <v>2159</v>
      </c>
      <c r="K234" s="492" t="str">
        <f t="shared" si="15"/>
        <v>CC</v>
      </c>
      <c r="L234" s="486" t="str">
        <f t="shared" si="16"/>
        <v>EA</v>
      </c>
      <c r="M234" s="486" t="str">
        <f t="shared" si="14"/>
        <v>CC</v>
      </c>
      <c r="N234" s="486" t="str">
        <f t="shared" si="17"/>
        <v>PAAS</v>
      </c>
    </row>
    <row r="235" spans="1:14">
      <c r="A235" s="1" t="s">
        <v>425</v>
      </c>
      <c r="B235" s="1" t="s">
        <v>1049</v>
      </c>
      <c r="C235" s="1">
        <v>0</v>
      </c>
      <c r="D235" s="1">
        <v>14400</v>
      </c>
      <c r="E235" s="1" t="s">
        <v>2171</v>
      </c>
      <c r="F235" s="1" t="s">
        <v>2290</v>
      </c>
      <c r="G235" s="1" t="s">
        <v>2160</v>
      </c>
      <c r="H235" s="1" t="s">
        <v>2394</v>
      </c>
      <c r="I235" s="1" t="s">
        <v>2160</v>
      </c>
      <c r="J235" s="1" t="s">
        <v>2159</v>
      </c>
      <c r="K235" s="492" t="str">
        <f t="shared" si="15"/>
        <v>CC</v>
      </c>
      <c r="L235" s="486" t="str">
        <f t="shared" si="16"/>
        <v>UNIT</v>
      </c>
      <c r="M235" s="486" t="str">
        <f t="shared" si="14"/>
        <v>CC</v>
      </c>
      <c r="N235" s="486" t="str">
        <f t="shared" si="17"/>
        <v>PAAS</v>
      </c>
    </row>
    <row r="236" spans="1:14">
      <c r="A236" s="1" t="s">
        <v>426</v>
      </c>
      <c r="B236" s="1" t="s">
        <v>1050</v>
      </c>
      <c r="C236" s="1">
        <v>0</v>
      </c>
      <c r="D236" s="1">
        <v>4800</v>
      </c>
      <c r="E236" s="1" t="s">
        <v>2194</v>
      </c>
      <c r="F236" s="1" t="s">
        <v>2290</v>
      </c>
      <c r="G236" s="1" t="s">
        <v>2160</v>
      </c>
      <c r="H236" s="1" t="s">
        <v>2394</v>
      </c>
      <c r="I236" s="1" t="s">
        <v>2160</v>
      </c>
      <c r="J236" s="1" t="s">
        <v>2159</v>
      </c>
      <c r="K236" s="492" t="str">
        <f t="shared" si="15"/>
        <v>CC</v>
      </c>
      <c r="L236" s="486" t="str">
        <f t="shared" si="16"/>
        <v>UNIT</v>
      </c>
      <c r="M236" s="486" t="str">
        <f t="shared" si="14"/>
        <v>CC</v>
      </c>
      <c r="N236" s="486" t="str">
        <f t="shared" si="17"/>
        <v>PAAS</v>
      </c>
    </row>
    <row r="237" spans="1:14">
      <c r="A237" s="1" t="s">
        <v>1306</v>
      </c>
      <c r="B237" s="1" t="s">
        <v>1307</v>
      </c>
      <c r="C237" s="1">
        <v>0</v>
      </c>
      <c r="D237" s="1">
        <v>28200</v>
      </c>
      <c r="E237" s="1" t="s">
        <v>1154</v>
      </c>
      <c r="F237" s="1" t="s">
        <v>588</v>
      </c>
      <c r="G237" s="1" t="s">
        <v>2393</v>
      </c>
      <c r="H237" s="1" t="s">
        <v>2397</v>
      </c>
      <c r="I237" s="1" t="s">
        <v>2398</v>
      </c>
      <c r="J237" s="1" t="s">
        <v>2159</v>
      </c>
      <c r="K237" s="492" t="str">
        <f t="shared" si="15"/>
        <v>Deprecated</v>
      </c>
      <c r="L237" s="486" t="str">
        <f t="shared" si="16"/>
        <v>EA</v>
      </c>
      <c r="M237" s="486" t="str">
        <f t="shared" si="14"/>
        <v>UC0</v>
      </c>
      <c r="N237" s="486" t="str">
        <f t="shared" si="17"/>
        <v>PAAS</v>
      </c>
    </row>
    <row r="238" spans="1:14">
      <c r="A238" s="1" t="s">
        <v>1308</v>
      </c>
      <c r="B238" s="1" t="s">
        <v>1309</v>
      </c>
      <c r="C238" s="1">
        <v>0</v>
      </c>
      <c r="D238" s="1">
        <v>3097.5</v>
      </c>
      <c r="E238" s="1" t="s">
        <v>1154</v>
      </c>
      <c r="F238" s="1" t="s">
        <v>2290</v>
      </c>
      <c r="G238" s="1" t="s">
        <v>2393</v>
      </c>
      <c r="H238" s="1" t="s">
        <v>2397</v>
      </c>
      <c r="I238" s="1" t="s">
        <v>1636</v>
      </c>
      <c r="J238" s="1" t="s">
        <v>2159</v>
      </c>
      <c r="K238" s="492" t="str">
        <f t="shared" si="15"/>
        <v>Deprecated</v>
      </c>
      <c r="L238" s="486" t="str">
        <f t="shared" si="16"/>
        <v>EA</v>
      </c>
      <c r="M238" s="486" t="str">
        <f t="shared" si="14"/>
        <v>UC</v>
      </c>
      <c r="N238" s="486" t="str">
        <f t="shared" si="17"/>
        <v>PAAS</v>
      </c>
    </row>
    <row r="239" spans="1:14">
      <c r="A239" s="1" t="s">
        <v>1310</v>
      </c>
      <c r="B239" s="1" t="s">
        <v>1874</v>
      </c>
      <c r="C239" s="1">
        <v>0</v>
      </c>
      <c r="D239" s="1">
        <v>2706</v>
      </c>
      <c r="E239" s="1" t="s">
        <v>1154</v>
      </c>
      <c r="F239" s="1" t="s">
        <v>2290</v>
      </c>
      <c r="G239" s="1" t="s">
        <v>2393</v>
      </c>
      <c r="H239" s="1" t="s">
        <v>2397</v>
      </c>
      <c r="I239" s="1" t="s">
        <v>1636</v>
      </c>
      <c r="J239" s="1" t="s">
        <v>2159</v>
      </c>
      <c r="K239" s="492" t="str">
        <f t="shared" si="15"/>
        <v>Deprecated</v>
      </c>
      <c r="L239" s="486" t="str">
        <f t="shared" si="16"/>
        <v>EA</v>
      </c>
      <c r="M239" s="486" t="str">
        <f t="shared" si="14"/>
        <v>UC</v>
      </c>
      <c r="N239" s="486" t="str">
        <f t="shared" si="17"/>
        <v>PAAS</v>
      </c>
    </row>
    <row r="240" spans="1:14">
      <c r="A240" s="1" t="s">
        <v>1311</v>
      </c>
      <c r="B240" s="1" t="s">
        <v>1312</v>
      </c>
      <c r="C240" s="1">
        <v>0</v>
      </c>
      <c r="D240" s="1">
        <v>1912.5</v>
      </c>
      <c r="E240" s="1" t="s">
        <v>1154</v>
      </c>
      <c r="F240" s="1" t="s">
        <v>2290</v>
      </c>
      <c r="G240" s="1" t="s">
        <v>2393</v>
      </c>
      <c r="H240" s="1" t="s">
        <v>2397</v>
      </c>
      <c r="I240" s="1" t="s">
        <v>1636</v>
      </c>
      <c r="J240" s="1" t="s">
        <v>2159</v>
      </c>
      <c r="K240" s="492" t="str">
        <f t="shared" si="15"/>
        <v>Deprecated</v>
      </c>
      <c r="L240" s="486" t="str">
        <f t="shared" si="16"/>
        <v>EA</v>
      </c>
      <c r="M240" s="486" t="str">
        <f t="shared" si="14"/>
        <v>UC</v>
      </c>
      <c r="N240" s="486" t="str">
        <f t="shared" si="17"/>
        <v>PAAS</v>
      </c>
    </row>
    <row r="241" spans="1:14">
      <c r="A241" s="1" t="s">
        <v>1313</v>
      </c>
      <c r="B241" s="1" t="s">
        <v>1314</v>
      </c>
      <c r="C241" s="1">
        <v>0</v>
      </c>
      <c r="D241" s="1">
        <v>1992</v>
      </c>
      <c r="E241" s="1" t="s">
        <v>1154</v>
      </c>
      <c r="F241" s="1" t="s">
        <v>2290</v>
      </c>
      <c r="G241" s="1" t="s">
        <v>2393</v>
      </c>
      <c r="H241" s="1" t="s">
        <v>2397</v>
      </c>
      <c r="I241" s="1" t="s">
        <v>1636</v>
      </c>
      <c r="J241" s="1" t="s">
        <v>2159</v>
      </c>
      <c r="K241" s="492" t="str">
        <f t="shared" si="15"/>
        <v>Deprecated</v>
      </c>
      <c r="L241" s="486" t="str">
        <f t="shared" si="16"/>
        <v>EA</v>
      </c>
      <c r="M241" s="486" t="str">
        <f t="shared" si="14"/>
        <v>UC</v>
      </c>
      <c r="N241" s="486" t="str">
        <f t="shared" si="17"/>
        <v>PAAS</v>
      </c>
    </row>
    <row r="242" spans="1:14">
      <c r="A242" s="1" t="s">
        <v>1315</v>
      </c>
      <c r="B242" s="1" t="s">
        <v>1875</v>
      </c>
      <c r="C242" s="1">
        <v>0</v>
      </c>
      <c r="D242" s="1">
        <v>1806</v>
      </c>
      <c r="E242" s="1" t="s">
        <v>1154</v>
      </c>
      <c r="F242" s="1" t="s">
        <v>2290</v>
      </c>
      <c r="G242" s="1" t="s">
        <v>2393</v>
      </c>
      <c r="H242" s="1" t="s">
        <v>2397</v>
      </c>
      <c r="I242" s="1" t="s">
        <v>1636</v>
      </c>
      <c r="J242" s="1" t="s">
        <v>2159</v>
      </c>
      <c r="K242" s="492" t="str">
        <f t="shared" si="15"/>
        <v>Deprecated</v>
      </c>
      <c r="L242" s="486" t="str">
        <f t="shared" si="16"/>
        <v>EA</v>
      </c>
      <c r="M242" s="486" t="str">
        <f t="shared" si="14"/>
        <v>UC</v>
      </c>
      <c r="N242" s="486" t="str">
        <f t="shared" si="17"/>
        <v>PAAS</v>
      </c>
    </row>
    <row r="243" spans="1:14">
      <c r="A243" s="1" t="s">
        <v>1316</v>
      </c>
      <c r="B243" s="1" t="s">
        <v>1317</v>
      </c>
      <c r="C243" s="1">
        <v>0</v>
      </c>
      <c r="D243" s="1">
        <v>978</v>
      </c>
      <c r="E243" s="1" t="s">
        <v>1154</v>
      </c>
      <c r="F243" s="1" t="s">
        <v>2290</v>
      </c>
      <c r="G243" s="1" t="s">
        <v>2393</v>
      </c>
      <c r="H243" s="1" t="s">
        <v>2397</v>
      </c>
      <c r="I243" s="1" t="s">
        <v>1636</v>
      </c>
      <c r="J243" s="1" t="s">
        <v>2159</v>
      </c>
      <c r="K243" s="492" t="str">
        <f t="shared" si="15"/>
        <v>Deprecated</v>
      </c>
      <c r="L243" s="486" t="str">
        <f t="shared" si="16"/>
        <v>EA</v>
      </c>
      <c r="M243" s="486" t="str">
        <f t="shared" si="14"/>
        <v>UC</v>
      </c>
      <c r="N243" s="486" t="str">
        <f t="shared" si="17"/>
        <v>PAAS</v>
      </c>
    </row>
    <row r="244" spans="1:14">
      <c r="A244" s="1" t="s">
        <v>87</v>
      </c>
      <c r="B244" s="1" t="s">
        <v>1876</v>
      </c>
      <c r="C244" s="1">
        <v>0.90739999999999998</v>
      </c>
      <c r="D244" s="1">
        <v>0.60489999999999999</v>
      </c>
      <c r="E244" s="1" t="s">
        <v>49</v>
      </c>
      <c r="F244" s="1" t="s">
        <v>2290</v>
      </c>
      <c r="G244" s="1" t="s">
        <v>2391</v>
      </c>
      <c r="H244" s="1" t="s">
        <v>2161</v>
      </c>
      <c r="I244" s="1" t="s">
        <v>1636</v>
      </c>
      <c r="J244" s="1" t="s">
        <v>2159</v>
      </c>
      <c r="K244" s="492" t="str">
        <f t="shared" si="15"/>
        <v>Integration</v>
      </c>
      <c r="L244" s="486" t="str">
        <f t="shared" si="16"/>
        <v>HR</v>
      </c>
      <c r="M244" s="486" t="str">
        <f t="shared" si="14"/>
        <v>UC</v>
      </c>
      <c r="N244" s="486" t="str">
        <f t="shared" si="17"/>
        <v>PAAS</v>
      </c>
    </row>
    <row r="245" spans="1:14">
      <c r="A245" s="1" t="s">
        <v>46</v>
      </c>
      <c r="B245" s="1" t="s">
        <v>1877</v>
      </c>
      <c r="C245" s="1">
        <v>2.3E-3</v>
      </c>
      <c r="D245" s="1">
        <v>1.5E-3</v>
      </c>
      <c r="E245" s="1" t="s">
        <v>2195</v>
      </c>
      <c r="F245" s="1" t="s">
        <v>2290</v>
      </c>
      <c r="G245" s="1" t="s">
        <v>2396</v>
      </c>
      <c r="H245" s="1" t="s">
        <v>2161</v>
      </c>
      <c r="I245" s="1" t="s">
        <v>1636</v>
      </c>
      <c r="J245" s="1" t="s">
        <v>2159</v>
      </c>
      <c r="K245" s="492" t="str">
        <f t="shared" si="15"/>
        <v>Classic</v>
      </c>
      <c r="L245" s="486" t="str">
        <f t="shared" si="16"/>
        <v>HR</v>
      </c>
      <c r="M245" s="486" t="str">
        <f t="shared" si="14"/>
        <v>UC</v>
      </c>
      <c r="N245" s="486" t="str">
        <f t="shared" si="17"/>
        <v>PAAS</v>
      </c>
    </row>
    <row r="246" spans="1:14">
      <c r="A246" s="1" t="s">
        <v>43</v>
      </c>
      <c r="B246" s="1" t="s">
        <v>1878</v>
      </c>
      <c r="C246" s="1">
        <v>1.6999999999999999E-3</v>
      </c>
      <c r="D246" s="1">
        <v>1.1000000000000001E-3</v>
      </c>
      <c r="E246" s="1" t="s">
        <v>2195</v>
      </c>
      <c r="F246" s="1" t="s">
        <v>2290</v>
      </c>
      <c r="G246" s="1" t="s">
        <v>2396</v>
      </c>
      <c r="H246" s="1" t="s">
        <v>2161</v>
      </c>
      <c r="I246" s="1" t="s">
        <v>1636</v>
      </c>
      <c r="J246" s="1" t="s">
        <v>2159</v>
      </c>
      <c r="K246" s="492" t="str">
        <f t="shared" si="15"/>
        <v>Classic</v>
      </c>
      <c r="L246" s="486" t="str">
        <f t="shared" si="16"/>
        <v>HR</v>
      </c>
      <c r="M246" s="486" t="str">
        <f t="shared" si="14"/>
        <v>UC</v>
      </c>
      <c r="N246" s="486" t="str">
        <f t="shared" si="17"/>
        <v>PAAS</v>
      </c>
    </row>
    <row r="247" spans="1:14">
      <c r="A247" s="1" t="s">
        <v>112</v>
      </c>
      <c r="B247" s="1" t="s">
        <v>1879</v>
      </c>
      <c r="C247" s="1">
        <v>2.5537999999999998</v>
      </c>
      <c r="D247" s="1">
        <v>1.7024999999999999</v>
      </c>
      <c r="E247" s="1" t="s">
        <v>2196</v>
      </c>
      <c r="F247" s="1" t="s">
        <v>2290</v>
      </c>
      <c r="G247" s="1" t="s">
        <v>2396</v>
      </c>
      <c r="H247" s="1" t="s">
        <v>2161</v>
      </c>
      <c r="I247" s="1" t="s">
        <v>1636</v>
      </c>
      <c r="J247" s="1" t="s">
        <v>2159</v>
      </c>
      <c r="K247" s="492" t="str">
        <f t="shared" si="15"/>
        <v>Classic</v>
      </c>
      <c r="L247" s="486" t="str">
        <f t="shared" si="16"/>
        <v>HR</v>
      </c>
      <c r="M247" s="486" t="str">
        <f t="shared" si="14"/>
        <v>UC</v>
      </c>
      <c r="N247" s="486" t="str">
        <f t="shared" si="17"/>
        <v>PAAS</v>
      </c>
    </row>
    <row r="248" spans="1:14">
      <c r="A248" s="1" t="s">
        <v>52</v>
      </c>
      <c r="B248" s="1" t="s">
        <v>1880</v>
      </c>
      <c r="C248" s="1">
        <v>0.53779999999999994</v>
      </c>
      <c r="D248" s="1">
        <v>0.35849999999999999</v>
      </c>
      <c r="E248" s="1" t="s">
        <v>2197</v>
      </c>
      <c r="F248" s="1" t="s">
        <v>2290</v>
      </c>
      <c r="G248" s="1" t="s">
        <v>2396</v>
      </c>
      <c r="H248" s="1" t="s">
        <v>2161</v>
      </c>
      <c r="I248" s="1" t="s">
        <v>1636</v>
      </c>
      <c r="J248" s="1" t="s">
        <v>2159</v>
      </c>
      <c r="K248" s="492" t="str">
        <f t="shared" si="15"/>
        <v>Classic</v>
      </c>
      <c r="L248" s="486" t="str">
        <f t="shared" si="16"/>
        <v>HR</v>
      </c>
      <c r="M248" s="486" t="str">
        <f t="shared" si="14"/>
        <v>UC</v>
      </c>
      <c r="N248" s="486" t="str">
        <f t="shared" si="17"/>
        <v>PAAS</v>
      </c>
    </row>
    <row r="249" spans="1:14">
      <c r="A249" s="1" t="s">
        <v>114</v>
      </c>
      <c r="B249" s="1" t="s">
        <v>1881</v>
      </c>
      <c r="C249" s="1">
        <v>3.3601999999999999</v>
      </c>
      <c r="D249" s="1">
        <v>2.2402000000000002</v>
      </c>
      <c r="E249" s="1" t="s">
        <v>2198</v>
      </c>
      <c r="F249" s="1" t="s">
        <v>2290</v>
      </c>
      <c r="G249" s="1" t="s">
        <v>2396</v>
      </c>
      <c r="H249" s="1" t="s">
        <v>2161</v>
      </c>
      <c r="I249" s="1" t="s">
        <v>1636</v>
      </c>
      <c r="J249" s="1" t="s">
        <v>2159</v>
      </c>
      <c r="K249" s="492" t="str">
        <f t="shared" si="15"/>
        <v>Classic</v>
      </c>
      <c r="L249" s="486" t="str">
        <f t="shared" si="16"/>
        <v>HR</v>
      </c>
      <c r="M249" s="486" t="str">
        <f t="shared" si="14"/>
        <v>UC</v>
      </c>
      <c r="N249" s="486" t="str">
        <f t="shared" si="17"/>
        <v>PAAS</v>
      </c>
    </row>
    <row r="250" spans="1:14">
      <c r="A250" s="1" t="s">
        <v>427</v>
      </c>
      <c r="B250" s="1" t="s">
        <v>428</v>
      </c>
      <c r="C250" s="1">
        <v>0</v>
      </c>
      <c r="D250" s="1">
        <v>1</v>
      </c>
      <c r="E250" s="1" t="s">
        <v>2484</v>
      </c>
      <c r="F250" s="1" t="s">
        <v>2290</v>
      </c>
      <c r="G250" s="1" t="s">
        <v>1636</v>
      </c>
      <c r="H250" s="1" t="s">
        <v>2394</v>
      </c>
      <c r="I250" s="1" t="s">
        <v>1636</v>
      </c>
      <c r="J250" s="1" t="s">
        <v>2159</v>
      </c>
      <c r="K250" s="492" t="str">
        <f t="shared" si="15"/>
        <v>UC</v>
      </c>
      <c r="L250" s="486" t="str">
        <f t="shared" si="16"/>
        <v>UNIT</v>
      </c>
      <c r="M250" s="486" t="str">
        <f t="shared" si="14"/>
        <v>UC</v>
      </c>
      <c r="N250" s="486" t="str">
        <f t="shared" si="17"/>
        <v>PAAS</v>
      </c>
    </row>
    <row r="251" spans="1:14">
      <c r="A251" s="1" t="s">
        <v>1318</v>
      </c>
      <c r="B251" s="1" t="s">
        <v>1319</v>
      </c>
      <c r="C251" s="1">
        <v>0</v>
      </c>
      <c r="D251" s="1">
        <v>6467</v>
      </c>
      <c r="E251" s="1" t="s">
        <v>1154</v>
      </c>
      <c r="F251" s="1" t="s">
        <v>2290</v>
      </c>
      <c r="G251" s="1" t="s">
        <v>2393</v>
      </c>
      <c r="H251" s="1" t="s">
        <v>2397</v>
      </c>
      <c r="I251" s="1" t="s">
        <v>1636</v>
      </c>
      <c r="J251" s="1" t="s">
        <v>2159</v>
      </c>
      <c r="K251" s="492" t="str">
        <f t="shared" si="15"/>
        <v>Deprecated</v>
      </c>
      <c r="L251" s="486" t="str">
        <f t="shared" si="16"/>
        <v>EA</v>
      </c>
      <c r="M251" s="486" t="str">
        <f t="shared" si="14"/>
        <v>UC</v>
      </c>
      <c r="N251" s="486" t="str">
        <f t="shared" si="17"/>
        <v>PAAS</v>
      </c>
    </row>
    <row r="252" spans="1:14">
      <c r="A252" s="1" t="s">
        <v>1320</v>
      </c>
      <c r="B252" s="1" t="s">
        <v>1321</v>
      </c>
      <c r="C252" s="1">
        <v>0</v>
      </c>
      <c r="D252" s="1">
        <v>9709.2000000000007</v>
      </c>
      <c r="E252" s="1" t="s">
        <v>1154</v>
      </c>
      <c r="F252" s="1" t="s">
        <v>2290</v>
      </c>
      <c r="G252" s="1" t="s">
        <v>2393</v>
      </c>
      <c r="H252" s="1" t="s">
        <v>2397</v>
      </c>
      <c r="I252" s="1" t="s">
        <v>1636</v>
      </c>
      <c r="J252" s="1" t="s">
        <v>2159</v>
      </c>
      <c r="K252" s="492" t="str">
        <f t="shared" si="15"/>
        <v>Deprecated</v>
      </c>
      <c r="L252" s="486" t="str">
        <f t="shared" si="16"/>
        <v>EA</v>
      </c>
      <c r="M252" s="486" t="str">
        <f t="shared" si="14"/>
        <v>UC</v>
      </c>
      <c r="N252" s="486" t="str">
        <f t="shared" si="17"/>
        <v>PAAS</v>
      </c>
    </row>
    <row r="253" spans="1:14">
      <c r="A253" s="1" t="s">
        <v>1322</v>
      </c>
      <c r="B253" s="1" t="s">
        <v>1882</v>
      </c>
      <c r="C253" s="1">
        <v>0</v>
      </c>
      <c r="D253" s="1">
        <v>14737.8</v>
      </c>
      <c r="E253" s="1" t="s">
        <v>1154</v>
      </c>
      <c r="F253" s="1" t="s">
        <v>2290</v>
      </c>
      <c r="G253" s="1" t="s">
        <v>2393</v>
      </c>
      <c r="H253" s="1" t="s">
        <v>2397</v>
      </c>
      <c r="I253" s="1" t="s">
        <v>1636</v>
      </c>
      <c r="J253" s="1" t="s">
        <v>2159</v>
      </c>
      <c r="K253" s="492" t="str">
        <f t="shared" si="15"/>
        <v>Deprecated</v>
      </c>
      <c r="L253" s="486" t="str">
        <f t="shared" si="16"/>
        <v>EA</v>
      </c>
      <c r="M253" s="486" t="str">
        <f t="shared" si="14"/>
        <v>UC</v>
      </c>
      <c r="N253" s="486" t="str">
        <f t="shared" si="17"/>
        <v>PAAS</v>
      </c>
    </row>
    <row r="254" spans="1:14">
      <c r="A254" s="1" t="s">
        <v>82</v>
      </c>
      <c r="B254" s="1" t="s">
        <v>1883</v>
      </c>
      <c r="C254" s="1">
        <v>0.58069999999999999</v>
      </c>
      <c r="D254" s="1">
        <v>0.3871</v>
      </c>
      <c r="E254" s="1" t="s">
        <v>49</v>
      </c>
      <c r="F254" s="1" t="s">
        <v>2290</v>
      </c>
      <c r="G254" s="1" t="s">
        <v>2396</v>
      </c>
      <c r="H254" s="1" t="s">
        <v>2161</v>
      </c>
      <c r="I254" s="1" t="s">
        <v>1636</v>
      </c>
      <c r="J254" s="1" t="s">
        <v>2159</v>
      </c>
      <c r="K254" s="492" t="str">
        <f t="shared" si="15"/>
        <v>Classic</v>
      </c>
      <c r="L254" s="486" t="str">
        <f t="shared" si="16"/>
        <v>HR</v>
      </c>
      <c r="M254" s="486" t="str">
        <f t="shared" si="14"/>
        <v>UC</v>
      </c>
      <c r="N254" s="486" t="str">
        <f t="shared" si="17"/>
        <v>PAAS</v>
      </c>
    </row>
    <row r="255" spans="1:14">
      <c r="A255" s="1" t="s">
        <v>83</v>
      </c>
      <c r="B255" s="1" t="s">
        <v>1884</v>
      </c>
      <c r="C255" s="1">
        <v>0.58069999999999999</v>
      </c>
      <c r="D255" s="1">
        <v>0.3871</v>
      </c>
      <c r="E255" s="1" t="s">
        <v>49</v>
      </c>
      <c r="F255" s="1" t="s">
        <v>2290</v>
      </c>
      <c r="G255" s="1" t="s">
        <v>2396</v>
      </c>
      <c r="H255" s="1" t="s">
        <v>2161</v>
      </c>
      <c r="I255" s="1" t="s">
        <v>1636</v>
      </c>
      <c r="J255" s="1" t="s">
        <v>2159</v>
      </c>
      <c r="K255" s="492" t="str">
        <f t="shared" si="15"/>
        <v>Classic</v>
      </c>
      <c r="L255" s="486" t="str">
        <f t="shared" si="16"/>
        <v>HR</v>
      </c>
      <c r="M255" s="486" t="str">
        <f t="shared" si="14"/>
        <v>UC</v>
      </c>
      <c r="N255" s="486" t="str">
        <f t="shared" si="17"/>
        <v>PAAS</v>
      </c>
    </row>
    <row r="256" spans="1:14">
      <c r="A256" s="1" t="s">
        <v>90</v>
      </c>
      <c r="B256" s="1" t="s">
        <v>1885</v>
      </c>
      <c r="C256" s="1">
        <v>1.4517</v>
      </c>
      <c r="D256" s="1">
        <v>0.96779999999999999</v>
      </c>
      <c r="E256" s="1" t="s">
        <v>49</v>
      </c>
      <c r="F256" s="1" t="s">
        <v>2290</v>
      </c>
      <c r="G256" s="1" t="s">
        <v>2396</v>
      </c>
      <c r="H256" s="1" t="s">
        <v>2161</v>
      </c>
      <c r="I256" s="1" t="s">
        <v>1636</v>
      </c>
      <c r="J256" s="1" t="s">
        <v>2159</v>
      </c>
      <c r="K256" s="492" t="str">
        <f t="shared" si="15"/>
        <v>Classic</v>
      </c>
      <c r="L256" s="486" t="str">
        <f t="shared" si="16"/>
        <v>HR</v>
      </c>
      <c r="M256" s="486" t="str">
        <f t="shared" si="14"/>
        <v>UC</v>
      </c>
      <c r="N256" s="486" t="str">
        <f t="shared" si="17"/>
        <v>PAAS</v>
      </c>
    </row>
    <row r="257" spans="1:14">
      <c r="A257" s="1" t="s">
        <v>84</v>
      </c>
      <c r="B257" s="1" t="s">
        <v>1886</v>
      </c>
      <c r="C257" s="1">
        <v>0.80640000000000001</v>
      </c>
      <c r="D257" s="1">
        <v>0.53759999999999997</v>
      </c>
      <c r="E257" s="1" t="s">
        <v>49</v>
      </c>
      <c r="F257" s="1" t="s">
        <v>2290</v>
      </c>
      <c r="G257" s="1" t="s">
        <v>2309</v>
      </c>
      <c r="H257" s="1" t="s">
        <v>2161</v>
      </c>
      <c r="I257" s="1" t="s">
        <v>1636</v>
      </c>
      <c r="J257" s="1" t="s">
        <v>2159</v>
      </c>
      <c r="K257" s="492" t="str">
        <f t="shared" si="15"/>
        <v>DBaaS</v>
      </c>
      <c r="L257" s="486" t="str">
        <f t="shared" si="16"/>
        <v>HR</v>
      </c>
      <c r="M257" s="486" t="str">
        <f t="shared" si="14"/>
        <v>UC</v>
      </c>
      <c r="N257" s="486" t="str">
        <f t="shared" si="17"/>
        <v>PAAS</v>
      </c>
    </row>
    <row r="258" spans="1:14">
      <c r="A258" s="1" t="s">
        <v>109</v>
      </c>
      <c r="B258" s="1" t="s">
        <v>1887</v>
      </c>
      <c r="C258" s="1">
        <v>2.5202</v>
      </c>
      <c r="D258" s="1">
        <v>1.6800999999999999</v>
      </c>
      <c r="E258" s="1" t="s">
        <v>49</v>
      </c>
      <c r="F258" s="1" t="s">
        <v>2290</v>
      </c>
      <c r="G258" s="1" t="s">
        <v>2309</v>
      </c>
      <c r="H258" s="1" t="s">
        <v>2161</v>
      </c>
      <c r="I258" s="1" t="s">
        <v>1636</v>
      </c>
      <c r="J258" s="1" t="s">
        <v>2159</v>
      </c>
      <c r="K258" s="492" t="str">
        <f t="shared" si="15"/>
        <v>DBaaS</v>
      </c>
      <c r="L258" s="486" t="str">
        <f t="shared" si="16"/>
        <v>HR</v>
      </c>
      <c r="M258" s="486" t="str">
        <f t="shared" si="14"/>
        <v>UC</v>
      </c>
      <c r="N258" s="486" t="str">
        <f t="shared" si="17"/>
        <v>PAAS</v>
      </c>
    </row>
    <row r="259" spans="1:14">
      <c r="A259" s="1" t="s">
        <v>104</v>
      </c>
      <c r="B259" s="1" t="s">
        <v>1888</v>
      </c>
      <c r="C259" s="1">
        <v>1.6634</v>
      </c>
      <c r="D259" s="1">
        <v>1.1089</v>
      </c>
      <c r="E259" s="1" t="s">
        <v>49</v>
      </c>
      <c r="F259" s="1" t="s">
        <v>2290</v>
      </c>
      <c r="G259" s="1" t="s">
        <v>2309</v>
      </c>
      <c r="H259" s="1" t="s">
        <v>2161</v>
      </c>
      <c r="I259" s="1" t="s">
        <v>1636</v>
      </c>
      <c r="J259" s="1" t="s">
        <v>2159</v>
      </c>
      <c r="K259" s="492" t="str">
        <f t="shared" si="15"/>
        <v>DBaaS</v>
      </c>
      <c r="L259" s="486" t="str">
        <f t="shared" si="16"/>
        <v>HR</v>
      </c>
      <c r="M259" s="486" t="str">
        <f t="shared" si="14"/>
        <v>UC</v>
      </c>
      <c r="N259" s="486" t="str">
        <f t="shared" si="17"/>
        <v>PAAS</v>
      </c>
    </row>
    <row r="260" spans="1:14">
      <c r="A260" s="1" t="s">
        <v>78</v>
      </c>
      <c r="B260" s="1" t="s">
        <v>1889</v>
      </c>
      <c r="C260" s="1">
        <v>0.4032</v>
      </c>
      <c r="D260" s="1">
        <v>0.26879999999999998</v>
      </c>
      <c r="E260" s="1" t="s">
        <v>49</v>
      </c>
      <c r="F260" s="1" t="s">
        <v>2290</v>
      </c>
      <c r="G260" s="1" t="s">
        <v>2309</v>
      </c>
      <c r="H260" s="1" t="s">
        <v>2161</v>
      </c>
      <c r="I260" s="1" t="s">
        <v>1636</v>
      </c>
      <c r="J260" s="1" t="s">
        <v>2159</v>
      </c>
      <c r="K260" s="492" t="str">
        <f t="shared" si="15"/>
        <v>DBaaS</v>
      </c>
      <c r="L260" s="486" t="str">
        <f t="shared" si="16"/>
        <v>HR</v>
      </c>
      <c r="M260" s="486" t="str">
        <f t="shared" ref="M260:M323" si="18">_xlfn.IFS(K260="CC","CC",K260="Rapid Start","SRV",F260="Y","UC0",TRUE,"UC")</f>
        <v>UC</v>
      </c>
      <c r="N260" s="486" t="str">
        <f t="shared" si="17"/>
        <v>PAAS</v>
      </c>
    </row>
    <row r="261" spans="1:14">
      <c r="A261" s="1" t="s">
        <v>431</v>
      </c>
      <c r="B261" s="1" t="s">
        <v>1890</v>
      </c>
      <c r="C261" s="1">
        <v>0</v>
      </c>
      <c r="D261" s="1">
        <v>0</v>
      </c>
      <c r="E261" s="1">
        <v>0</v>
      </c>
      <c r="F261" s="1" t="s">
        <v>2290</v>
      </c>
      <c r="G261" s="1" t="s">
        <v>2309</v>
      </c>
      <c r="H261" s="1" t="s">
        <v>2394</v>
      </c>
      <c r="I261" s="1" t="s">
        <v>1636</v>
      </c>
      <c r="J261" s="1" t="s">
        <v>2159</v>
      </c>
      <c r="K261" s="492" t="str">
        <f t="shared" si="15"/>
        <v>DBaaS</v>
      </c>
      <c r="L261" s="486" t="str">
        <f t="shared" si="16"/>
        <v>UNIT</v>
      </c>
      <c r="M261" s="486" t="str">
        <f t="shared" si="18"/>
        <v>UC</v>
      </c>
      <c r="N261" s="486" t="str">
        <f t="shared" si="17"/>
        <v>PAAS</v>
      </c>
    </row>
    <row r="262" spans="1:14">
      <c r="A262" s="1" t="s">
        <v>45</v>
      </c>
      <c r="B262" s="1" t="s">
        <v>1891</v>
      </c>
      <c r="C262" s="1">
        <v>6.0000000000000001E-3</v>
      </c>
      <c r="D262" s="1">
        <v>4.0000000000000001E-3</v>
      </c>
      <c r="E262" s="1" t="s">
        <v>2189</v>
      </c>
      <c r="F262" s="1" t="s">
        <v>2290</v>
      </c>
      <c r="G262" s="1" t="s">
        <v>2309</v>
      </c>
      <c r="H262" s="1" t="s">
        <v>2395</v>
      </c>
      <c r="I262" s="1" t="s">
        <v>1636</v>
      </c>
      <c r="J262" s="1" t="s">
        <v>2158</v>
      </c>
      <c r="K262" s="492" t="str">
        <f t="shared" si="15"/>
        <v>DBaaS</v>
      </c>
      <c r="L262" s="486" t="str">
        <f t="shared" si="16"/>
        <v>REQ</v>
      </c>
      <c r="M262" s="486" t="str">
        <f t="shared" si="18"/>
        <v>UC</v>
      </c>
      <c r="N262" s="486" t="str">
        <f t="shared" si="17"/>
        <v>IAAS</v>
      </c>
    </row>
    <row r="263" spans="1:14">
      <c r="A263" s="1" t="s">
        <v>47</v>
      </c>
      <c r="B263" s="1" t="s">
        <v>1892</v>
      </c>
      <c r="C263" s="1">
        <v>7.4999999999999997E-3</v>
      </c>
      <c r="D263" s="1">
        <v>5.0000000000000001E-3</v>
      </c>
      <c r="E263" s="1" t="s">
        <v>2199</v>
      </c>
      <c r="F263" s="1" t="s">
        <v>2290</v>
      </c>
      <c r="G263" s="1" t="s">
        <v>2309</v>
      </c>
      <c r="H263" s="1" t="s">
        <v>2395</v>
      </c>
      <c r="I263" s="1" t="s">
        <v>1636</v>
      </c>
      <c r="J263" s="1" t="s">
        <v>2158</v>
      </c>
      <c r="K263" s="492" t="str">
        <f t="shared" si="15"/>
        <v>DBaaS</v>
      </c>
      <c r="L263" s="486" t="str">
        <f t="shared" si="16"/>
        <v>REQ</v>
      </c>
      <c r="M263" s="486" t="str">
        <f t="shared" si="18"/>
        <v>UC</v>
      </c>
      <c r="N263" s="486" t="str">
        <f t="shared" si="17"/>
        <v>IAAS</v>
      </c>
    </row>
    <row r="264" spans="1:14">
      <c r="A264" s="1" t="s">
        <v>432</v>
      </c>
      <c r="B264" s="1" t="s">
        <v>2384</v>
      </c>
      <c r="C264" s="1">
        <v>0</v>
      </c>
      <c r="D264" s="1">
        <v>2.5000000000000001E-2</v>
      </c>
      <c r="E264" s="1">
        <v>0</v>
      </c>
      <c r="F264" s="1" t="s">
        <v>2290</v>
      </c>
      <c r="G264" s="1" t="s">
        <v>1840</v>
      </c>
      <c r="H264" s="1" t="s">
        <v>2394</v>
      </c>
      <c r="I264" s="1" t="s">
        <v>1636</v>
      </c>
      <c r="J264" s="1" t="s">
        <v>2158</v>
      </c>
      <c r="K264" s="492" t="str">
        <f t="shared" si="15"/>
        <v>Storage</v>
      </c>
      <c r="L264" s="486" t="str">
        <f t="shared" si="16"/>
        <v>UNIT</v>
      </c>
      <c r="M264" s="486" t="str">
        <f t="shared" si="18"/>
        <v>UC</v>
      </c>
      <c r="N264" s="486" t="str">
        <f t="shared" si="17"/>
        <v>IAAS</v>
      </c>
    </row>
    <row r="265" spans="1:14">
      <c r="A265" s="1" t="s">
        <v>91</v>
      </c>
      <c r="B265" s="1" t="s">
        <v>1893</v>
      </c>
      <c r="C265" s="1">
        <v>1.4517</v>
      </c>
      <c r="D265" s="1">
        <v>0.96779999999999999</v>
      </c>
      <c r="E265" s="1" t="s">
        <v>49</v>
      </c>
      <c r="F265" s="1" t="s">
        <v>2290</v>
      </c>
      <c r="G265" s="1" t="s">
        <v>2396</v>
      </c>
      <c r="H265" s="1" t="s">
        <v>2161</v>
      </c>
      <c r="I265" s="1" t="s">
        <v>1636</v>
      </c>
      <c r="J265" s="1" t="s">
        <v>2159</v>
      </c>
      <c r="K265" s="492" t="str">
        <f t="shared" si="15"/>
        <v>Classic</v>
      </c>
      <c r="L265" s="486" t="str">
        <f t="shared" si="16"/>
        <v>HR</v>
      </c>
      <c r="M265" s="486" t="str">
        <f t="shared" si="18"/>
        <v>UC</v>
      </c>
      <c r="N265" s="486" t="str">
        <f t="shared" si="17"/>
        <v>PAAS</v>
      </c>
    </row>
    <row r="266" spans="1:14">
      <c r="A266" s="1" t="s">
        <v>92</v>
      </c>
      <c r="B266" s="1" t="s">
        <v>1894</v>
      </c>
      <c r="C266" s="1">
        <v>1.4517</v>
      </c>
      <c r="D266" s="1">
        <v>0.96779999999999999</v>
      </c>
      <c r="E266" s="1" t="s">
        <v>49</v>
      </c>
      <c r="F266" s="1" t="s">
        <v>2290</v>
      </c>
      <c r="G266" s="1" t="s">
        <v>2396</v>
      </c>
      <c r="H266" s="1" t="s">
        <v>2161</v>
      </c>
      <c r="I266" s="1" t="s">
        <v>1636</v>
      </c>
      <c r="J266" s="1" t="s">
        <v>2159</v>
      </c>
      <c r="K266" s="492" t="str">
        <f t="shared" si="15"/>
        <v>Classic</v>
      </c>
      <c r="L266" s="486" t="str">
        <f t="shared" si="16"/>
        <v>HR</v>
      </c>
      <c r="M266" s="486" t="str">
        <f t="shared" si="18"/>
        <v>UC</v>
      </c>
      <c r="N266" s="486" t="str">
        <f t="shared" si="17"/>
        <v>PAAS</v>
      </c>
    </row>
    <row r="267" spans="1:14">
      <c r="A267" s="1" t="s">
        <v>59</v>
      </c>
      <c r="B267" s="1" t="s">
        <v>1895</v>
      </c>
      <c r="C267" s="1">
        <v>0.14119999999999999</v>
      </c>
      <c r="D267" s="1">
        <v>9.4100000000000003E-2</v>
      </c>
      <c r="E267" s="1" t="s">
        <v>2166</v>
      </c>
      <c r="F267" s="1" t="s">
        <v>2290</v>
      </c>
      <c r="G267" s="1" t="s">
        <v>1835</v>
      </c>
      <c r="H267" s="1" t="s">
        <v>2162</v>
      </c>
      <c r="I267" s="1" t="s">
        <v>1636</v>
      </c>
      <c r="J267" s="1" t="s">
        <v>2158</v>
      </c>
      <c r="K267" s="492" t="str">
        <f t="shared" si="15"/>
        <v>Compute</v>
      </c>
      <c r="L267" s="486" t="str">
        <f t="shared" si="16"/>
        <v>GB</v>
      </c>
      <c r="M267" s="486" t="str">
        <f t="shared" si="18"/>
        <v>UC</v>
      </c>
      <c r="N267" s="486" t="str">
        <f t="shared" si="17"/>
        <v>IAAS</v>
      </c>
    </row>
    <row r="268" spans="1:14">
      <c r="A268" s="1" t="s">
        <v>64</v>
      </c>
      <c r="B268" s="1" t="s">
        <v>1896</v>
      </c>
      <c r="C268" s="1">
        <v>0.24199999999999999</v>
      </c>
      <c r="D268" s="1">
        <v>0.1613</v>
      </c>
      <c r="E268" s="1" t="s">
        <v>49</v>
      </c>
      <c r="F268" s="1" t="s">
        <v>2290</v>
      </c>
      <c r="G268" s="1" t="s">
        <v>1835</v>
      </c>
      <c r="H268" s="1" t="s">
        <v>2161</v>
      </c>
      <c r="I268" s="1" t="s">
        <v>1636</v>
      </c>
      <c r="J268" s="1" t="s">
        <v>2158</v>
      </c>
      <c r="K268" s="492" t="str">
        <f t="shared" si="15"/>
        <v>Compute</v>
      </c>
      <c r="L268" s="486" t="str">
        <f t="shared" si="16"/>
        <v>HR</v>
      </c>
      <c r="M268" s="486" t="str">
        <f t="shared" si="18"/>
        <v>UC</v>
      </c>
      <c r="N268" s="486" t="str">
        <f t="shared" si="17"/>
        <v>IAAS</v>
      </c>
    </row>
    <row r="269" spans="1:14">
      <c r="A269" s="1" t="s">
        <v>53</v>
      </c>
      <c r="B269" s="1" t="s">
        <v>1897</v>
      </c>
      <c r="C269" s="1">
        <v>7.0699999999999999E-2</v>
      </c>
      <c r="D269" s="1">
        <v>4.7100000000000003E-2</v>
      </c>
      <c r="E269" s="1" t="s">
        <v>2166</v>
      </c>
      <c r="F269" s="1" t="s">
        <v>2290</v>
      </c>
      <c r="G269" s="1" t="s">
        <v>1835</v>
      </c>
      <c r="H269" s="1" t="s">
        <v>2162</v>
      </c>
      <c r="I269" s="1" t="s">
        <v>1636</v>
      </c>
      <c r="J269" s="1" t="s">
        <v>2158</v>
      </c>
      <c r="K269" s="492" t="str">
        <f t="shared" si="15"/>
        <v>Compute</v>
      </c>
      <c r="L269" s="486" t="str">
        <f t="shared" si="16"/>
        <v>GB</v>
      </c>
      <c r="M269" s="486" t="str">
        <f t="shared" si="18"/>
        <v>UC</v>
      </c>
      <c r="N269" s="486" t="str">
        <f t="shared" si="17"/>
        <v>IAAS</v>
      </c>
    </row>
    <row r="270" spans="1:14">
      <c r="A270" s="1" t="s">
        <v>93</v>
      </c>
      <c r="B270" s="1" t="s">
        <v>2291</v>
      </c>
      <c r="C270" s="1">
        <v>1.4517</v>
      </c>
      <c r="D270" s="1">
        <v>0.96779999999999999</v>
      </c>
      <c r="E270" s="1" t="s">
        <v>49</v>
      </c>
      <c r="F270" s="1" t="s">
        <v>2290</v>
      </c>
      <c r="G270" s="1" t="s">
        <v>2396</v>
      </c>
      <c r="H270" s="1" t="s">
        <v>2161</v>
      </c>
      <c r="I270" s="1" t="s">
        <v>1636</v>
      </c>
      <c r="J270" s="1" t="s">
        <v>2159</v>
      </c>
      <c r="K270" s="492" t="str">
        <f t="shared" ref="K270:K333" si="19" xml:space="preserve"> _xlfn.IFS(ISNUMBER(SEARCH("Universal Credits",B270)),"UC",
ISNUMBER(SEARCH("Ravello",B270)),"Deprecated",
ISNUMBER(SEARCH("Cloud Machine",B270)),"Deprecated",
ISNUMBER(SEARCH("Compute",B270)),"Compute",
ISNUMBER(SEARCH("Load Balancer",B270)),"Network",
ISNUMBER(SEARCH("FastConnect",B270)),"Network",
ISNUMBER(SEARCH("Database OCPU",B270)),"CC OCPU",
ISNUMBER(SEARCH("at Customer",B270)),"CC",
ISNUMBER(SEARCH("Exadata Storage",B270)),"Exa Storage",
ISNUMBER(SEARCH("Storage",B270)),"Storage",
ISNUMBER(SEARCH("Block ",B270)),"Storage",
ISNUMBER(SEARCH("Autonomous Data Warehouse",B270)),"ADW",
ISNUMBER(SEARCH("Autonomous Transaction Processing",B270)),"ATP",
ISNUMBER(SEARCH("Database Exadata",B270)),"ExaCS",
ISNUMBER(SEARCH("Database",B270)),"DBaaS",
ISNUMBER(SEARCH("Essbase",B270)),"DBaaS",
ISNUMBER(SEARCH("integration",B270)),"Integration",
ISNUMBER(SEARCH("SOA",B270)),"Integration",
ISNUMBER(SEARCH("Management Cloud",B270)),"Service",
ISNUMBER(SEARCH("Analytics",B270)),"Analytics",
ISNUMBER(SEARCH("Storage",B270)),"Storage",
ISNUMBER(SEARCH("Block ",B270)),"Storage",
ISNUMBER(SEARCH("Identity",B270)),"Platform",
ISNUMBER(SEARCH("Content",B270)),"Platform",
ISNUMBER(SEARCH("Weblogic",B270)),"Platform",
ISNUMBER(SEARCH("Digital Assistant",B270)),"Platform",
ISNUMBER(SEARCH("Advance",B270)),"New",
ISNUMBER(SEARCH("Limited",B270)),"Classic",
ISNUMBER(SEARCH("Classic",B270)),"Classic",
ISNUMBER(SEARCH("Government",B270)),"Government",
ISNUMBER(SEARCH("Metered",B270)),"Deprecated",
VALUE(RIGHT(A270,5))&lt;88206,"Deprecated",
TRUE,"Service")</f>
        <v>Classic</v>
      </c>
      <c r="L270" s="486" t="str">
        <f t="shared" ref="L270:L333" si="20">_xlfn.IFS(ISNUMBER(SEARCH("Hour",E270)),"HR",ISNUMBER(SEARCH("Gigabyte",E270)),"GB",ISNUMBER(SEARCH("Terabyte",E270)),"TB",ISNUMBER(SEARCH("Requests",E270)),"REQ",ISNUMBER(SEARCH("Each",E270)),"EA","TRUE","UNIT")</f>
        <v>HR</v>
      </c>
      <c r="M270" s="486" t="str">
        <f t="shared" si="18"/>
        <v>UC</v>
      </c>
      <c r="N270" s="486" t="str">
        <f t="shared" ref="N270:N333" si="21">_xlfn.IFS(K270="Storage","IAAS",K270="Compute","IAAS",K270="Network","IAAS",K270="Service","IAAS",L270="REQ","IAAS",TRUE,"PAAS")</f>
        <v>PAAS</v>
      </c>
    </row>
    <row r="271" spans="1:14">
      <c r="A271" s="1" t="s">
        <v>1389</v>
      </c>
      <c r="B271" s="1" t="s">
        <v>1390</v>
      </c>
      <c r="C271" s="1">
        <v>6.3799999999999996E-2</v>
      </c>
      <c r="D271" s="1">
        <v>6.3799999999999996E-2</v>
      </c>
      <c r="E271" s="1" t="s">
        <v>49</v>
      </c>
      <c r="F271" s="1" t="s">
        <v>2290</v>
      </c>
      <c r="G271" s="1" t="s">
        <v>1835</v>
      </c>
      <c r="H271" s="1" t="s">
        <v>2161</v>
      </c>
      <c r="I271" s="1" t="s">
        <v>1636</v>
      </c>
      <c r="J271" s="1" t="s">
        <v>2158</v>
      </c>
      <c r="K271" s="492" t="str">
        <f t="shared" si="19"/>
        <v>Compute</v>
      </c>
      <c r="L271" s="486" t="str">
        <f t="shared" si="20"/>
        <v>HR</v>
      </c>
      <c r="M271" s="486" t="str">
        <f t="shared" si="18"/>
        <v>UC</v>
      </c>
      <c r="N271" s="486" t="str">
        <f t="shared" si="21"/>
        <v>IAAS</v>
      </c>
    </row>
    <row r="272" spans="1:14">
      <c r="A272" s="1" t="s">
        <v>1391</v>
      </c>
      <c r="B272" s="1" t="s">
        <v>1392</v>
      </c>
      <c r="C272" s="1">
        <v>6.3799999999999996E-2</v>
      </c>
      <c r="D272" s="1">
        <v>6.3799999999999996E-2</v>
      </c>
      <c r="E272" s="1" t="s">
        <v>49</v>
      </c>
      <c r="F272" s="1" t="s">
        <v>2290</v>
      </c>
      <c r="G272" s="1" t="s">
        <v>1835</v>
      </c>
      <c r="H272" s="1" t="s">
        <v>2161</v>
      </c>
      <c r="I272" s="1" t="s">
        <v>1636</v>
      </c>
      <c r="J272" s="1" t="s">
        <v>2158</v>
      </c>
      <c r="K272" s="492" t="str">
        <f t="shared" si="19"/>
        <v>Compute</v>
      </c>
      <c r="L272" s="486" t="str">
        <f t="shared" si="20"/>
        <v>HR</v>
      </c>
      <c r="M272" s="486" t="str">
        <f t="shared" si="18"/>
        <v>UC</v>
      </c>
      <c r="N272" s="486" t="str">
        <f t="shared" si="21"/>
        <v>IAAS</v>
      </c>
    </row>
    <row r="273" spans="1:14">
      <c r="A273" s="1" t="s">
        <v>40</v>
      </c>
      <c r="B273" s="1" t="s">
        <v>48</v>
      </c>
      <c r="C273" s="1">
        <v>9.1999999999999998E-2</v>
      </c>
      <c r="D273" s="1">
        <v>9.1999999999999998E-2</v>
      </c>
      <c r="E273" s="1" t="s">
        <v>49</v>
      </c>
      <c r="F273" s="1" t="s">
        <v>588</v>
      </c>
      <c r="G273" s="1" t="s">
        <v>1835</v>
      </c>
      <c r="H273" s="1" t="s">
        <v>2161</v>
      </c>
      <c r="I273" s="1" t="s">
        <v>2398</v>
      </c>
      <c r="J273" s="1" t="s">
        <v>2158</v>
      </c>
      <c r="K273" s="492" t="str">
        <f t="shared" si="19"/>
        <v>Compute</v>
      </c>
      <c r="L273" s="486" t="str">
        <f t="shared" si="20"/>
        <v>HR</v>
      </c>
      <c r="M273" s="486" t="str">
        <f t="shared" si="18"/>
        <v>UC0</v>
      </c>
      <c r="N273" s="486" t="str">
        <f t="shared" si="21"/>
        <v>IAAS</v>
      </c>
    </row>
    <row r="274" spans="1:14">
      <c r="A274" s="1" t="s">
        <v>39</v>
      </c>
      <c r="B274" s="1" t="s">
        <v>50</v>
      </c>
      <c r="C274" s="1">
        <v>2.1299999999999999E-2</v>
      </c>
      <c r="D274" s="1">
        <v>2.1299999999999999E-2</v>
      </c>
      <c r="E274" s="1" t="s">
        <v>2190</v>
      </c>
      <c r="F274" s="1" t="s">
        <v>2290</v>
      </c>
      <c r="G274" s="1" t="s">
        <v>2313</v>
      </c>
      <c r="H274" s="1" t="s">
        <v>2161</v>
      </c>
      <c r="I274" s="1" t="s">
        <v>1636</v>
      </c>
      <c r="J274" s="1" t="s">
        <v>2158</v>
      </c>
      <c r="K274" s="492" t="str">
        <f t="shared" si="19"/>
        <v>Network</v>
      </c>
      <c r="L274" s="486" t="str">
        <f t="shared" si="20"/>
        <v>HR</v>
      </c>
      <c r="M274" s="486" t="str">
        <f t="shared" si="18"/>
        <v>UC</v>
      </c>
      <c r="N274" s="486" t="str">
        <f t="shared" si="21"/>
        <v>IAAS</v>
      </c>
    </row>
    <row r="275" spans="1:14">
      <c r="A275" s="1" t="s">
        <v>57</v>
      </c>
      <c r="B275" s="1" t="s">
        <v>58</v>
      </c>
      <c r="C275" s="1">
        <v>8.5000000000000006E-2</v>
      </c>
      <c r="D275" s="1">
        <v>8.5000000000000006E-2</v>
      </c>
      <c r="E275" s="1" t="s">
        <v>2190</v>
      </c>
      <c r="F275" s="1" t="s">
        <v>2290</v>
      </c>
      <c r="G275" s="1" t="s">
        <v>2313</v>
      </c>
      <c r="H275" s="1" t="s">
        <v>2161</v>
      </c>
      <c r="I275" s="1" t="s">
        <v>1636</v>
      </c>
      <c r="J275" s="1" t="s">
        <v>2158</v>
      </c>
      <c r="K275" s="492" t="str">
        <f t="shared" si="19"/>
        <v>Network</v>
      </c>
      <c r="L275" s="486" t="str">
        <f t="shared" si="20"/>
        <v>HR</v>
      </c>
      <c r="M275" s="486" t="str">
        <f t="shared" si="18"/>
        <v>UC</v>
      </c>
      <c r="N275" s="486" t="str">
        <f t="shared" si="21"/>
        <v>IAAS</v>
      </c>
    </row>
    <row r="276" spans="1:14">
      <c r="A276" s="1" t="s">
        <v>107</v>
      </c>
      <c r="B276" s="1" t="s">
        <v>108</v>
      </c>
      <c r="C276" s="1">
        <v>1.7</v>
      </c>
      <c r="D276" s="1">
        <v>1.7</v>
      </c>
      <c r="E276" s="1" t="s">
        <v>2190</v>
      </c>
      <c r="F276" s="1" t="s">
        <v>2290</v>
      </c>
      <c r="G276" s="1" t="s">
        <v>2313</v>
      </c>
      <c r="H276" s="1" t="s">
        <v>2161</v>
      </c>
      <c r="I276" s="1" t="s">
        <v>1636</v>
      </c>
      <c r="J276" s="1" t="s">
        <v>2158</v>
      </c>
      <c r="K276" s="492" t="str">
        <f t="shared" si="19"/>
        <v>Network</v>
      </c>
      <c r="L276" s="486" t="str">
        <f t="shared" si="20"/>
        <v>HR</v>
      </c>
      <c r="M276" s="486" t="str">
        <f t="shared" si="18"/>
        <v>UC</v>
      </c>
      <c r="N276" s="486" t="str">
        <f t="shared" si="21"/>
        <v>IAAS</v>
      </c>
    </row>
    <row r="277" spans="1:14">
      <c r="A277" s="1" t="s">
        <v>42</v>
      </c>
      <c r="B277" s="1" t="s">
        <v>51</v>
      </c>
      <c r="C277" s="1">
        <v>4.2500000000000003E-2</v>
      </c>
      <c r="D277" s="1">
        <v>4.2500000000000003E-2</v>
      </c>
      <c r="E277" s="1" t="s">
        <v>2175</v>
      </c>
      <c r="F277" s="1" t="s">
        <v>2290</v>
      </c>
      <c r="G277" s="1" t="s">
        <v>1840</v>
      </c>
      <c r="H277" s="1" t="s">
        <v>2162</v>
      </c>
      <c r="I277" s="1" t="s">
        <v>1636</v>
      </c>
      <c r="J277" s="1" t="s">
        <v>2158</v>
      </c>
      <c r="K277" s="492" t="str">
        <f t="shared" si="19"/>
        <v>Storage</v>
      </c>
      <c r="L277" s="486" t="str">
        <f t="shared" si="20"/>
        <v>GB</v>
      </c>
      <c r="M277" s="486" t="str">
        <f t="shared" si="18"/>
        <v>UC</v>
      </c>
      <c r="N277" s="486" t="str">
        <f t="shared" si="21"/>
        <v>IAAS</v>
      </c>
    </row>
    <row r="278" spans="1:14">
      <c r="A278" s="1" t="s">
        <v>41</v>
      </c>
      <c r="B278" s="1" t="s">
        <v>65</v>
      </c>
      <c r="C278" s="1">
        <v>0.21249999999999999</v>
      </c>
      <c r="D278" s="1">
        <v>0.21249999999999999</v>
      </c>
      <c r="E278" s="1" t="s">
        <v>2193</v>
      </c>
      <c r="F278" s="1" t="s">
        <v>2290</v>
      </c>
      <c r="G278" s="1" t="s">
        <v>2313</v>
      </c>
      <c r="H278" s="1" t="s">
        <v>2161</v>
      </c>
      <c r="I278" s="1" t="s">
        <v>1636</v>
      </c>
      <c r="J278" s="1" t="s">
        <v>2158</v>
      </c>
      <c r="K278" s="492" t="str">
        <f t="shared" si="19"/>
        <v>Network</v>
      </c>
      <c r="L278" s="486" t="str">
        <f t="shared" si="20"/>
        <v>HR</v>
      </c>
      <c r="M278" s="486" t="str">
        <f t="shared" si="18"/>
        <v>UC</v>
      </c>
      <c r="N278" s="486" t="str">
        <f t="shared" si="21"/>
        <v>IAAS</v>
      </c>
    </row>
    <row r="279" spans="1:14">
      <c r="A279" s="1" t="s">
        <v>97</v>
      </c>
      <c r="B279" s="1" t="s">
        <v>98</v>
      </c>
      <c r="C279" s="1">
        <v>1.2749999999999999</v>
      </c>
      <c r="D279" s="1">
        <v>1.2749999999999999</v>
      </c>
      <c r="E279" s="1" t="s">
        <v>2193</v>
      </c>
      <c r="F279" s="1" t="s">
        <v>2290</v>
      </c>
      <c r="G279" s="1" t="s">
        <v>2313</v>
      </c>
      <c r="H279" s="1" t="s">
        <v>2161</v>
      </c>
      <c r="I279" s="1" t="s">
        <v>1636</v>
      </c>
      <c r="J279" s="1" t="s">
        <v>2158</v>
      </c>
      <c r="K279" s="492" t="str">
        <f t="shared" si="19"/>
        <v>Network</v>
      </c>
      <c r="L279" s="486" t="str">
        <f t="shared" si="20"/>
        <v>HR</v>
      </c>
      <c r="M279" s="486" t="str">
        <f t="shared" si="18"/>
        <v>UC</v>
      </c>
      <c r="N279" s="486" t="str">
        <f t="shared" si="21"/>
        <v>IAAS</v>
      </c>
    </row>
    <row r="280" spans="1:14">
      <c r="A280" s="1" t="s">
        <v>433</v>
      </c>
      <c r="B280" s="1" t="s">
        <v>434</v>
      </c>
      <c r="C280" s="1">
        <v>0</v>
      </c>
      <c r="D280" s="1">
        <v>0</v>
      </c>
      <c r="E280" s="1">
        <v>0</v>
      </c>
      <c r="F280" s="1" t="s">
        <v>2290</v>
      </c>
      <c r="G280" s="1" t="s">
        <v>2399</v>
      </c>
      <c r="H280" s="1" t="s">
        <v>2394</v>
      </c>
      <c r="I280" s="1" t="s">
        <v>1636</v>
      </c>
      <c r="J280" s="1" t="s">
        <v>2158</v>
      </c>
      <c r="K280" s="492" t="str">
        <f t="shared" si="19"/>
        <v>Service</v>
      </c>
      <c r="L280" s="486" t="str">
        <f t="shared" si="20"/>
        <v>UNIT</v>
      </c>
      <c r="M280" s="486" t="str">
        <f t="shared" si="18"/>
        <v>UC</v>
      </c>
      <c r="N280" s="486" t="str">
        <f t="shared" si="21"/>
        <v>IAAS</v>
      </c>
    </row>
    <row r="281" spans="1:14">
      <c r="A281" s="1" t="s">
        <v>35</v>
      </c>
      <c r="B281" s="1" t="s">
        <v>85</v>
      </c>
      <c r="C281" s="1">
        <v>0.80640000000000001</v>
      </c>
      <c r="D281" s="1">
        <v>0.53759999999999997</v>
      </c>
      <c r="E281" s="1" t="s">
        <v>49</v>
      </c>
      <c r="F281" s="1" t="s">
        <v>2290</v>
      </c>
      <c r="G281" s="1" t="s">
        <v>2309</v>
      </c>
      <c r="H281" s="1" t="s">
        <v>2161</v>
      </c>
      <c r="I281" s="1" t="s">
        <v>1636</v>
      </c>
      <c r="J281" s="1" t="s">
        <v>2159</v>
      </c>
      <c r="K281" s="492" t="str">
        <f t="shared" si="19"/>
        <v>DBaaS</v>
      </c>
      <c r="L281" s="486" t="str">
        <f t="shared" si="20"/>
        <v>HR</v>
      </c>
      <c r="M281" s="486" t="str">
        <f t="shared" si="18"/>
        <v>UC</v>
      </c>
      <c r="N281" s="486" t="str">
        <f t="shared" si="21"/>
        <v>PAAS</v>
      </c>
    </row>
    <row r="282" spans="1:14">
      <c r="A282" s="1" t="s">
        <v>37</v>
      </c>
      <c r="B282" s="1" t="s">
        <v>105</v>
      </c>
      <c r="C282" s="1">
        <v>1.6634</v>
      </c>
      <c r="D282" s="1">
        <v>1.1089</v>
      </c>
      <c r="E282" s="1" t="s">
        <v>49</v>
      </c>
      <c r="F282" s="1" t="s">
        <v>2290</v>
      </c>
      <c r="G282" s="1" t="s">
        <v>2309</v>
      </c>
      <c r="H282" s="1" t="s">
        <v>2161</v>
      </c>
      <c r="I282" s="1" t="s">
        <v>1636</v>
      </c>
      <c r="J282" s="1" t="s">
        <v>2159</v>
      </c>
      <c r="K282" s="492" t="str">
        <f t="shared" si="19"/>
        <v>DBaaS</v>
      </c>
      <c r="L282" s="486" t="str">
        <f t="shared" si="20"/>
        <v>HR</v>
      </c>
      <c r="M282" s="486" t="str">
        <f t="shared" si="18"/>
        <v>UC</v>
      </c>
      <c r="N282" s="486" t="str">
        <f t="shared" si="21"/>
        <v>PAAS</v>
      </c>
    </row>
    <row r="283" spans="1:14">
      <c r="A283" s="1" t="s">
        <v>36</v>
      </c>
      <c r="B283" s="1" t="s">
        <v>110</v>
      </c>
      <c r="C283" s="1">
        <v>2.5202</v>
      </c>
      <c r="D283" s="1">
        <v>1.6800999999999999</v>
      </c>
      <c r="E283" s="1" t="s">
        <v>49</v>
      </c>
      <c r="F283" s="1" t="s">
        <v>2290</v>
      </c>
      <c r="G283" s="1" t="s">
        <v>2309</v>
      </c>
      <c r="H283" s="1" t="s">
        <v>2161</v>
      </c>
      <c r="I283" s="1" t="s">
        <v>1636</v>
      </c>
      <c r="J283" s="1" t="s">
        <v>2159</v>
      </c>
      <c r="K283" s="492" t="str">
        <f t="shared" si="19"/>
        <v>DBaaS</v>
      </c>
      <c r="L283" s="486" t="str">
        <f t="shared" si="20"/>
        <v>HR</v>
      </c>
      <c r="M283" s="486" t="str">
        <f t="shared" si="18"/>
        <v>UC</v>
      </c>
      <c r="N283" s="486" t="str">
        <f t="shared" si="21"/>
        <v>PAAS</v>
      </c>
    </row>
    <row r="284" spans="1:14">
      <c r="A284" s="1" t="s">
        <v>79</v>
      </c>
      <c r="B284" s="1" t="s">
        <v>80</v>
      </c>
      <c r="C284" s="1">
        <v>0.4032</v>
      </c>
      <c r="D284" s="1">
        <v>0.26879999999999998</v>
      </c>
      <c r="E284" s="1" t="s">
        <v>49</v>
      </c>
      <c r="F284" s="1" t="s">
        <v>2290</v>
      </c>
      <c r="G284" s="1" t="s">
        <v>2309</v>
      </c>
      <c r="H284" s="1" t="s">
        <v>2161</v>
      </c>
      <c r="I284" s="1" t="s">
        <v>1636</v>
      </c>
      <c r="J284" s="1" t="s">
        <v>2159</v>
      </c>
      <c r="K284" s="492" t="str">
        <f t="shared" si="19"/>
        <v>DBaaS</v>
      </c>
      <c r="L284" s="486" t="str">
        <f t="shared" si="20"/>
        <v>HR</v>
      </c>
      <c r="M284" s="486" t="str">
        <f t="shared" si="18"/>
        <v>UC</v>
      </c>
      <c r="N284" s="486" t="str">
        <f t="shared" si="21"/>
        <v>PAAS</v>
      </c>
    </row>
    <row r="285" spans="1:14">
      <c r="A285" s="1" t="s">
        <v>66</v>
      </c>
      <c r="B285" s="1" t="s">
        <v>1898</v>
      </c>
      <c r="C285" s="1">
        <v>0.2903</v>
      </c>
      <c r="D285" s="1">
        <v>0.19350000000000001</v>
      </c>
      <c r="E285" s="1" t="s">
        <v>49</v>
      </c>
      <c r="F285" s="1" t="s">
        <v>2290</v>
      </c>
      <c r="G285" s="1" t="s">
        <v>2396</v>
      </c>
      <c r="H285" s="1" t="s">
        <v>2161</v>
      </c>
      <c r="I285" s="1" t="s">
        <v>1636</v>
      </c>
      <c r="J285" s="1" t="s">
        <v>2159</v>
      </c>
      <c r="K285" s="492" t="str">
        <f t="shared" si="19"/>
        <v>Classic</v>
      </c>
      <c r="L285" s="486" t="str">
        <f t="shared" si="20"/>
        <v>HR</v>
      </c>
      <c r="M285" s="486" t="str">
        <f t="shared" si="18"/>
        <v>UC</v>
      </c>
      <c r="N285" s="486" t="str">
        <f t="shared" si="21"/>
        <v>PAAS</v>
      </c>
    </row>
    <row r="286" spans="1:14">
      <c r="A286" s="1" t="s">
        <v>558</v>
      </c>
      <c r="B286" s="1" t="s">
        <v>1899</v>
      </c>
      <c r="C286" s="1">
        <v>0.2903</v>
      </c>
      <c r="D286" s="1">
        <v>0.19350000000000001</v>
      </c>
      <c r="E286" s="1" t="s">
        <v>49</v>
      </c>
      <c r="F286" s="1" t="s">
        <v>2290</v>
      </c>
      <c r="G286" s="1" t="s">
        <v>2396</v>
      </c>
      <c r="H286" s="1" t="s">
        <v>2161</v>
      </c>
      <c r="I286" s="1" t="s">
        <v>1636</v>
      </c>
      <c r="J286" s="1" t="s">
        <v>2159</v>
      </c>
      <c r="K286" s="492" t="str">
        <f t="shared" si="19"/>
        <v>Classic</v>
      </c>
      <c r="L286" s="486" t="str">
        <f t="shared" si="20"/>
        <v>HR</v>
      </c>
      <c r="M286" s="486" t="str">
        <f t="shared" si="18"/>
        <v>UC</v>
      </c>
      <c r="N286" s="486" t="str">
        <f t="shared" si="21"/>
        <v>PAAS</v>
      </c>
    </row>
    <row r="287" spans="1:14">
      <c r="A287" s="1" t="s">
        <v>67</v>
      </c>
      <c r="B287" s="1" t="s">
        <v>1900</v>
      </c>
      <c r="C287" s="1">
        <v>0.2903</v>
      </c>
      <c r="D287" s="1">
        <v>0.19350000000000001</v>
      </c>
      <c r="E287" s="1" t="s">
        <v>49</v>
      </c>
      <c r="F287" s="1" t="s">
        <v>2290</v>
      </c>
      <c r="G287" s="1" t="s">
        <v>2396</v>
      </c>
      <c r="H287" s="1" t="s">
        <v>2161</v>
      </c>
      <c r="I287" s="1" t="s">
        <v>1636</v>
      </c>
      <c r="J287" s="1" t="s">
        <v>2159</v>
      </c>
      <c r="K287" s="492" t="str">
        <f t="shared" si="19"/>
        <v>Classic</v>
      </c>
      <c r="L287" s="486" t="str">
        <f t="shared" si="20"/>
        <v>HR</v>
      </c>
      <c r="M287" s="486" t="str">
        <f t="shared" si="18"/>
        <v>UC</v>
      </c>
      <c r="N287" s="486" t="str">
        <f t="shared" si="21"/>
        <v>PAAS</v>
      </c>
    </row>
    <row r="288" spans="1:14">
      <c r="A288" s="1" t="s">
        <v>2261</v>
      </c>
      <c r="B288" s="1" t="s">
        <v>1901</v>
      </c>
      <c r="C288" s="1">
        <v>0.2903</v>
      </c>
      <c r="D288" s="1">
        <v>0.19350000000000001</v>
      </c>
      <c r="E288" s="1" t="s">
        <v>49</v>
      </c>
      <c r="F288" s="1" t="s">
        <v>2290</v>
      </c>
      <c r="G288" s="1" t="s">
        <v>2309</v>
      </c>
      <c r="H288" s="1" t="s">
        <v>2161</v>
      </c>
      <c r="I288" s="1" t="s">
        <v>1636</v>
      </c>
      <c r="J288" s="1" t="s">
        <v>2159</v>
      </c>
      <c r="K288" s="492" t="str">
        <f t="shared" si="19"/>
        <v>DBaaS</v>
      </c>
      <c r="L288" s="486" t="str">
        <f t="shared" si="20"/>
        <v>HR</v>
      </c>
      <c r="M288" s="486" t="str">
        <f t="shared" si="18"/>
        <v>UC</v>
      </c>
      <c r="N288" s="486" t="str">
        <f t="shared" si="21"/>
        <v>PAAS</v>
      </c>
    </row>
    <row r="289" spans="1:14">
      <c r="A289" s="1" t="s">
        <v>72</v>
      </c>
      <c r="B289" s="1" t="s">
        <v>1902</v>
      </c>
      <c r="C289" s="1">
        <v>0.2903</v>
      </c>
      <c r="D289" s="1">
        <v>0.19350000000000001</v>
      </c>
      <c r="E289" s="1" t="s">
        <v>49</v>
      </c>
      <c r="F289" s="1" t="s">
        <v>2290</v>
      </c>
      <c r="G289" s="1" t="s">
        <v>2309</v>
      </c>
      <c r="H289" s="1" t="s">
        <v>2161</v>
      </c>
      <c r="I289" s="1" t="s">
        <v>1636</v>
      </c>
      <c r="J289" s="1" t="s">
        <v>2159</v>
      </c>
      <c r="K289" s="492" t="str">
        <f t="shared" si="19"/>
        <v>DBaaS</v>
      </c>
      <c r="L289" s="486" t="str">
        <f t="shared" si="20"/>
        <v>HR</v>
      </c>
      <c r="M289" s="486" t="str">
        <f t="shared" si="18"/>
        <v>UC</v>
      </c>
      <c r="N289" s="486" t="str">
        <f t="shared" si="21"/>
        <v>PAAS</v>
      </c>
    </row>
    <row r="290" spans="1:14">
      <c r="A290" s="1" t="s">
        <v>68</v>
      </c>
      <c r="B290" s="1" t="s">
        <v>1903</v>
      </c>
      <c r="C290" s="1">
        <v>0.2903</v>
      </c>
      <c r="D290" s="1">
        <v>0.19350000000000001</v>
      </c>
      <c r="E290" s="1" t="s">
        <v>49</v>
      </c>
      <c r="F290" s="1" t="s">
        <v>2290</v>
      </c>
      <c r="G290" s="1" t="s">
        <v>2396</v>
      </c>
      <c r="H290" s="1" t="s">
        <v>2161</v>
      </c>
      <c r="I290" s="1" t="s">
        <v>1636</v>
      </c>
      <c r="J290" s="1" t="s">
        <v>2159</v>
      </c>
      <c r="K290" s="492" t="str">
        <f t="shared" si="19"/>
        <v>Classic</v>
      </c>
      <c r="L290" s="486" t="str">
        <f t="shared" si="20"/>
        <v>HR</v>
      </c>
      <c r="M290" s="486" t="str">
        <f t="shared" si="18"/>
        <v>UC</v>
      </c>
      <c r="N290" s="486" t="str">
        <f t="shared" si="21"/>
        <v>PAAS</v>
      </c>
    </row>
    <row r="291" spans="1:14">
      <c r="A291" s="1" t="s">
        <v>69</v>
      </c>
      <c r="B291" s="1" t="s">
        <v>1904</v>
      </c>
      <c r="C291" s="1">
        <v>0.2903</v>
      </c>
      <c r="D291" s="1">
        <v>0.19350000000000001</v>
      </c>
      <c r="E291" s="1" t="s">
        <v>49</v>
      </c>
      <c r="F291" s="1" t="s">
        <v>2290</v>
      </c>
      <c r="G291" s="1" t="s">
        <v>2396</v>
      </c>
      <c r="H291" s="1" t="s">
        <v>2161</v>
      </c>
      <c r="I291" s="1" t="s">
        <v>1636</v>
      </c>
      <c r="J291" s="1" t="s">
        <v>2159</v>
      </c>
      <c r="K291" s="492" t="str">
        <f t="shared" si="19"/>
        <v>Classic</v>
      </c>
      <c r="L291" s="486" t="str">
        <f t="shared" si="20"/>
        <v>HR</v>
      </c>
      <c r="M291" s="486" t="str">
        <f t="shared" si="18"/>
        <v>UC</v>
      </c>
      <c r="N291" s="486" t="str">
        <f t="shared" si="21"/>
        <v>PAAS</v>
      </c>
    </row>
    <row r="292" spans="1:14">
      <c r="A292" s="1" t="s">
        <v>70</v>
      </c>
      <c r="B292" s="1" t="s">
        <v>71</v>
      </c>
      <c r="C292" s="1">
        <v>0.2903</v>
      </c>
      <c r="D292" s="1">
        <v>0.19350000000000001</v>
      </c>
      <c r="E292" s="1" t="s">
        <v>49</v>
      </c>
      <c r="F292" s="1" t="s">
        <v>2290</v>
      </c>
      <c r="G292" s="1" t="s">
        <v>2391</v>
      </c>
      <c r="H292" s="1" t="s">
        <v>2161</v>
      </c>
      <c r="I292" s="1" t="s">
        <v>1636</v>
      </c>
      <c r="J292" s="1" t="s">
        <v>2159</v>
      </c>
      <c r="K292" s="492" t="str">
        <f t="shared" si="19"/>
        <v>Integration</v>
      </c>
      <c r="L292" s="486" t="str">
        <f t="shared" si="20"/>
        <v>HR</v>
      </c>
      <c r="M292" s="486" t="str">
        <f t="shared" si="18"/>
        <v>UC</v>
      </c>
      <c r="N292" s="486" t="str">
        <f t="shared" si="21"/>
        <v>PAAS</v>
      </c>
    </row>
    <row r="293" spans="1:14">
      <c r="A293" s="1" t="s">
        <v>75</v>
      </c>
      <c r="B293" s="1" t="s">
        <v>76</v>
      </c>
      <c r="C293" s="1">
        <v>0.3528</v>
      </c>
      <c r="D293" s="1">
        <v>0.23519999999999999</v>
      </c>
      <c r="E293" s="1" t="s">
        <v>2192</v>
      </c>
      <c r="F293" s="1" t="s">
        <v>2290</v>
      </c>
      <c r="G293" s="1" t="s">
        <v>1838</v>
      </c>
      <c r="H293" s="1" t="s">
        <v>2161</v>
      </c>
      <c r="I293" s="1" t="s">
        <v>1636</v>
      </c>
      <c r="J293" s="1" t="s">
        <v>2159</v>
      </c>
      <c r="K293" s="492" t="str">
        <f t="shared" si="19"/>
        <v>ExaCS</v>
      </c>
      <c r="L293" s="486" t="str">
        <f t="shared" si="20"/>
        <v>HR</v>
      </c>
      <c r="M293" s="486" t="str">
        <f t="shared" si="18"/>
        <v>UC</v>
      </c>
      <c r="N293" s="486" t="str">
        <f t="shared" si="21"/>
        <v>PAAS</v>
      </c>
    </row>
    <row r="294" spans="1:14">
      <c r="A294" s="1" t="s">
        <v>86</v>
      </c>
      <c r="B294" s="1" t="s">
        <v>1905</v>
      </c>
      <c r="C294" s="1">
        <v>0.80640000000000001</v>
      </c>
      <c r="D294" s="1">
        <v>0.53759999999999997</v>
      </c>
      <c r="E294" s="1" t="s">
        <v>2192</v>
      </c>
      <c r="F294" s="1" t="s">
        <v>2290</v>
      </c>
      <c r="G294" s="1" t="s">
        <v>1838</v>
      </c>
      <c r="H294" s="1" t="s">
        <v>2161</v>
      </c>
      <c r="I294" s="1" t="s">
        <v>1636</v>
      </c>
      <c r="J294" s="1" t="s">
        <v>2159</v>
      </c>
      <c r="K294" s="492" t="str">
        <f t="shared" si="19"/>
        <v>ExaCS</v>
      </c>
      <c r="L294" s="486" t="str">
        <f t="shared" si="20"/>
        <v>HR</v>
      </c>
      <c r="M294" s="486" t="str">
        <f t="shared" si="18"/>
        <v>UC</v>
      </c>
      <c r="N294" s="486" t="str">
        <f t="shared" si="21"/>
        <v>PAAS</v>
      </c>
    </row>
    <row r="295" spans="1:14">
      <c r="A295" s="1" t="s">
        <v>103</v>
      </c>
      <c r="B295" s="1" t="s">
        <v>1906</v>
      </c>
      <c r="C295" s="1">
        <v>1.613</v>
      </c>
      <c r="D295" s="1">
        <v>1.0752999999999999</v>
      </c>
      <c r="E295" s="1" t="s">
        <v>2192</v>
      </c>
      <c r="F295" s="1" t="s">
        <v>2290</v>
      </c>
      <c r="G295" s="1" t="s">
        <v>1838</v>
      </c>
      <c r="H295" s="1" t="s">
        <v>2161</v>
      </c>
      <c r="I295" s="1" t="s">
        <v>1636</v>
      </c>
      <c r="J295" s="1" t="s">
        <v>2159</v>
      </c>
      <c r="K295" s="492" t="str">
        <f t="shared" si="19"/>
        <v>ExaCS</v>
      </c>
      <c r="L295" s="486" t="str">
        <f t="shared" si="20"/>
        <v>HR</v>
      </c>
      <c r="M295" s="486" t="str">
        <f t="shared" si="18"/>
        <v>UC</v>
      </c>
      <c r="N295" s="486" t="str">
        <f t="shared" si="21"/>
        <v>PAAS</v>
      </c>
    </row>
    <row r="296" spans="1:14">
      <c r="A296" s="1" t="s">
        <v>113</v>
      </c>
      <c r="B296" s="1" t="s">
        <v>1907</v>
      </c>
      <c r="C296" s="1">
        <v>3.2258</v>
      </c>
      <c r="D296" s="1">
        <v>2.1505000000000001</v>
      </c>
      <c r="E296" s="1" t="s">
        <v>2192</v>
      </c>
      <c r="F296" s="1" t="s">
        <v>2290</v>
      </c>
      <c r="G296" s="1" t="s">
        <v>1838</v>
      </c>
      <c r="H296" s="1" t="s">
        <v>2161</v>
      </c>
      <c r="I296" s="1" t="s">
        <v>1636</v>
      </c>
      <c r="J296" s="1" t="s">
        <v>2159</v>
      </c>
      <c r="K296" s="492" t="str">
        <f t="shared" si="19"/>
        <v>ExaCS</v>
      </c>
      <c r="L296" s="486" t="str">
        <f t="shared" si="20"/>
        <v>HR</v>
      </c>
      <c r="M296" s="486" t="str">
        <f t="shared" si="18"/>
        <v>UC</v>
      </c>
      <c r="N296" s="486" t="str">
        <f t="shared" si="21"/>
        <v>PAAS</v>
      </c>
    </row>
    <row r="297" spans="1:14">
      <c r="A297" s="1" t="s">
        <v>115</v>
      </c>
      <c r="B297" s="1" t="s">
        <v>1908</v>
      </c>
      <c r="C297" s="1">
        <v>8.0645000000000007</v>
      </c>
      <c r="D297" s="1">
        <v>5.3762999999999996</v>
      </c>
      <c r="E297" s="1" t="s">
        <v>2192</v>
      </c>
      <c r="F297" s="1" t="s">
        <v>2290</v>
      </c>
      <c r="G297" s="1" t="s">
        <v>1838</v>
      </c>
      <c r="H297" s="1" t="s">
        <v>2161</v>
      </c>
      <c r="I297" s="1" t="s">
        <v>1636</v>
      </c>
      <c r="J297" s="1" t="s">
        <v>2159</v>
      </c>
      <c r="K297" s="492" t="str">
        <f t="shared" si="19"/>
        <v>ExaCS</v>
      </c>
      <c r="L297" s="486" t="str">
        <f t="shared" si="20"/>
        <v>HR</v>
      </c>
      <c r="M297" s="486" t="str">
        <f t="shared" si="18"/>
        <v>UC</v>
      </c>
      <c r="N297" s="486" t="str">
        <f t="shared" si="21"/>
        <v>PAAS</v>
      </c>
    </row>
    <row r="298" spans="1:14">
      <c r="A298" s="1" t="s">
        <v>94</v>
      </c>
      <c r="B298" s="1" t="s">
        <v>2385</v>
      </c>
      <c r="C298" s="1">
        <v>1.4516</v>
      </c>
      <c r="D298" s="1">
        <v>0.96779999999999999</v>
      </c>
      <c r="E298" s="1" t="s">
        <v>49</v>
      </c>
      <c r="F298" s="1" t="s">
        <v>2290</v>
      </c>
      <c r="G298" s="1" t="s">
        <v>2391</v>
      </c>
      <c r="H298" s="1" t="s">
        <v>2161</v>
      </c>
      <c r="I298" s="1" t="s">
        <v>1636</v>
      </c>
      <c r="J298" s="1" t="s">
        <v>2159</v>
      </c>
      <c r="K298" s="492" t="str">
        <f t="shared" si="19"/>
        <v>Integration</v>
      </c>
      <c r="L298" s="486" t="str">
        <f t="shared" si="20"/>
        <v>HR</v>
      </c>
      <c r="M298" s="486" t="str">
        <f t="shared" si="18"/>
        <v>UC</v>
      </c>
      <c r="N298" s="486" t="str">
        <f t="shared" si="21"/>
        <v>PAAS</v>
      </c>
    </row>
    <row r="299" spans="1:14">
      <c r="A299" s="1" t="s">
        <v>77</v>
      </c>
      <c r="B299" s="1" t="s">
        <v>1909</v>
      </c>
      <c r="C299" s="1">
        <v>0.375</v>
      </c>
      <c r="D299" s="1">
        <v>0.25</v>
      </c>
      <c r="E299" s="1" t="s">
        <v>2183</v>
      </c>
      <c r="F299" s="1" t="s">
        <v>2290</v>
      </c>
      <c r="G299" s="1" t="s">
        <v>2396</v>
      </c>
      <c r="H299" s="1" t="s">
        <v>2394</v>
      </c>
      <c r="I299" s="1" t="s">
        <v>1636</v>
      </c>
      <c r="J299" s="1" t="s">
        <v>2159</v>
      </c>
      <c r="K299" s="492" t="str">
        <f t="shared" si="19"/>
        <v>Classic</v>
      </c>
      <c r="L299" s="486" t="str">
        <f t="shared" si="20"/>
        <v>UNIT</v>
      </c>
      <c r="M299" s="486" t="str">
        <f t="shared" si="18"/>
        <v>UC</v>
      </c>
      <c r="N299" s="486" t="str">
        <f t="shared" si="21"/>
        <v>PAAS</v>
      </c>
    </row>
    <row r="300" spans="1:14">
      <c r="A300" s="1" t="s">
        <v>54</v>
      </c>
      <c r="B300" s="1" t="s">
        <v>55</v>
      </c>
      <c r="C300" s="1">
        <v>6.3799999999999996E-2</v>
      </c>
      <c r="D300" s="1">
        <v>6.3799999999999996E-2</v>
      </c>
      <c r="E300" s="1" t="s">
        <v>49</v>
      </c>
      <c r="F300" s="1" t="s">
        <v>2290</v>
      </c>
      <c r="G300" s="1" t="s">
        <v>1835</v>
      </c>
      <c r="H300" s="1" t="s">
        <v>2161</v>
      </c>
      <c r="I300" s="1" t="s">
        <v>1636</v>
      </c>
      <c r="J300" s="1" t="s">
        <v>2158</v>
      </c>
      <c r="K300" s="492" t="str">
        <f t="shared" si="19"/>
        <v>Compute</v>
      </c>
      <c r="L300" s="486" t="str">
        <f t="shared" si="20"/>
        <v>HR</v>
      </c>
      <c r="M300" s="486" t="str">
        <f t="shared" si="18"/>
        <v>UC</v>
      </c>
      <c r="N300" s="486" t="str">
        <f t="shared" si="21"/>
        <v>IAAS</v>
      </c>
    </row>
    <row r="301" spans="1:14">
      <c r="A301" s="1" t="s">
        <v>38</v>
      </c>
      <c r="B301" s="1" t="s">
        <v>56</v>
      </c>
      <c r="C301" s="1">
        <v>6.3799999999999996E-2</v>
      </c>
      <c r="D301" s="1">
        <v>6.3799999999999996E-2</v>
      </c>
      <c r="E301" s="1" t="s">
        <v>49</v>
      </c>
      <c r="F301" s="1" t="s">
        <v>2290</v>
      </c>
      <c r="G301" s="1" t="s">
        <v>1835</v>
      </c>
      <c r="H301" s="1" t="s">
        <v>2161</v>
      </c>
      <c r="I301" s="1" t="s">
        <v>1636</v>
      </c>
      <c r="J301" s="1" t="s">
        <v>2158</v>
      </c>
      <c r="K301" s="492" t="str">
        <f t="shared" si="19"/>
        <v>Compute</v>
      </c>
      <c r="L301" s="486" t="str">
        <f t="shared" si="20"/>
        <v>HR</v>
      </c>
      <c r="M301" s="486" t="str">
        <f t="shared" si="18"/>
        <v>UC</v>
      </c>
      <c r="N301" s="486" t="str">
        <f t="shared" si="21"/>
        <v>IAAS</v>
      </c>
    </row>
    <row r="302" spans="1:14">
      <c r="A302" s="1" t="s">
        <v>60</v>
      </c>
      <c r="B302" s="1" t="s">
        <v>61</v>
      </c>
      <c r="C302" s="1">
        <v>0.1275</v>
      </c>
      <c r="D302" s="1">
        <v>0.1275</v>
      </c>
      <c r="E302" s="1" t="s">
        <v>49</v>
      </c>
      <c r="F302" s="1" t="s">
        <v>2290</v>
      </c>
      <c r="G302" s="1" t="s">
        <v>1835</v>
      </c>
      <c r="H302" s="1" t="s">
        <v>2161</v>
      </c>
      <c r="I302" s="1" t="s">
        <v>1636</v>
      </c>
      <c r="J302" s="1" t="s">
        <v>2158</v>
      </c>
      <c r="K302" s="492" t="str">
        <f t="shared" si="19"/>
        <v>Compute</v>
      </c>
      <c r="L302" s="486" t="str">
        <f t="shared" si="20"/>
        <v>HR</v>
      </c>
      <c r="M302" s="486" t="str">
        <f t="shared" si="18"/>
        <v>UC</v>
      </c>
      <c r="N302" s="486" t="str">
        <f t="shared" si="21"/>
        <v>IAAS</v>
      </c>
    </row>
    <row r="303" spans="1:14">
      <c r="A303" s="1" t="s">
        <v>62</v>
      </c>
      <c r="B303" s="1" t="s">
        <v>63</v>
      </c>
      <c r="C303" s="1">
        <v>0.1275</v>
      </c>
      <c r="D303" s="1">
        <v>0.1275</v>
      </c>
      <c r="E303" s="1" t="s">
        <v>49</v>
      </c>
      <c r="F303" s="1" t="s">
        <v>2290</v>
      </c>
      <c r="G303" s="1" t="s">
        <v>1835</v>
      </c>
      <c r="H303" s="1" t="s">
        <v>2161</v>
      </c>
      <c r="I303" s="1" t="s">
        <v>1636</v>
      </c>
      <c r="J303" s="1" t="s">
        <v>2158</v>
      </c>
      <c r="K303" s="492" t="str">
        <f t="shared" si="19"/>
        <v>Compute</v>
      </c>
      <c r="L303" s="486" t="str">
        <f t="shared" si="20"/>
        <v>HR</v>
      </c>
      <c r="M303" s="486" t="str">
        <f t="shared" si="18"/>
        <v>UC</v>
      </c>
      <c r="N303" s="486" t="str">
        <f t="shared" si="21"/>
        <v>IAAS</v>
      </c>
    </row>
    <row r="304" spans="1:14">
      <c r="A304" s="1" t="s">
        <v>99</v>
      </c>
      <c r="B304" s="1" t="s">
        <v>100</v>
      </c>
      <c r="C304" s="1">
        <v>1.2749999999999999</v>
      </c>
      <c r="D304" s="1">
        <v>1.2749999999999999</v>
      </c>
      <c r="E304" s="1" t="s">
        <v>2191</v>
      </c>
      <c r="F304" s="1" t="s">
        <v>2290</v>
      </c>
      <c r="G304" s="1" t="s">
        <v>1835</v>
      </c>
      <c r="H304" s="1" t="s">
        <v>2161</v>
      </c>
      <c r="I304" s="1" t="s">
        <v>1636</v>
      </c>
      <c r="J304" s="1" t="s">
        <v>2158</v>
      </c>
      <c r="K304" s="492" t="str">
        <f t="shared" si="19"/>
        <v>Compute</v>
      </c>
      <c r="L304" s="486" t="str">
        <f t="shared" si="20"/>
        <v>HR</v>
      </c>
      <c r="M304" s="486" t="str">
        <f t="shared" si="18"/>
        <v>UC</v>
      </c>
      <c r="N304" s="486" t="str">
        <f t="shared" si="21"/>
        <v>IAAS</v>
      </c>
    </row>
    <row r="305" spans="1:14">
      <c r="A305" s="1" t="s">
        <v>101</v>
      </c>
      <c r="B305" s="1" t="s">
        <v>102</v>
      </c>
      <c r="C305" s="1">
        <v>1.2749999999999999</v>
      </c>
      <c r="D305" s="1">
        <v>1.2749999999999999</v>
      </c>
      <c r="E305" s="1" t="s">
        <v>2191</v>
      </c>
      <c r="F305" s="1" t="s">
        <v>2290</v>
      </c>
      <c r="G305" s="1" t="s">
        <v>1835</v>
      </c>
      <c r="H305" s="1" t="s">
        <v>2161</v>
      </c>
      <c r="I305" s="1" t="s">
        <v>1636</v>
      </c>
      <c r="J305" s="1" t="s">
        <v>2158</v>
      </c>
      <c r="K305" s="492" t="str">
        <f t="shared" si="19"/>
        <v>Compute</v>
      </c>
      <c r="L305" s="486" t="str">
        <f t="shared" si="20"/>
        <v>HR</v>
      </c>
      <c r="M305" s="486" t="str">
        <f t="shared" si="18"/>
        <v>UC</v>
      </c>
      <c r="N305" s="486" t="str">
        <f t="shared" si="21"/>
        <v>IAAS</v>
      </c>
    </row>
    <row r="306" spans="1:14">
      <c r="A306" s="1" t="s">
        <v>88</v>
      </c>
      <c r="B306" s="1" t="s">
        <v>582</v>
      </c>
      <c r="C306" s="1">
        <v>8.5000000000000006E-2</v>
      </c>
      <c r="D306" s="1">
        <v>8.5000000000000006E-2</v>
      </c>
      <c r="E306" s="1" t="s">
        <v>2200</v>
      </c>
      <c r="F306" s="1" t="s">
        <v>2290</v>
      </c>
      <c r="G306" s="1" t="s">
        <v>2399</v>
      </c>
      <c r="H306" s="1" t="s">
        <v>2394</v>
      </c>
      <c r="I306" s="1" t="s">
        <v>1636</v>
      </c>
      <c r="J306" s="1" t="s">
        <v>2158</v>
      </c>
      <c r="K306" s="492" t="str">
        <f t="shared" si="19"/>
        <v>Service</v>
      </c>
      <c r="L306" s="486" t="str">
        <f t="shared" si="20"/>
        <v>UNIT</v>
      </c>
      <c r="M306" s="486" t="str">
        <f t="shared" si="18"/>
        <v>UC</v>
      </c>
      <c r="N306" s="486" t="str">
        <f t="shared" si="21"/>
        <v>IAAS</v>
      </c>
    </row>
    <row r="307" spans="1:14">
      <c r="A307" s="1" t="s">
        <v>89</v>
      </c>
      <c r="B307" s="1" t="s">
        <v>565</v>
      </c>
      <c r="C307" s="1">
        <v>0.85</v>
      </c>
      <c r="D307" s="1">
        <v>0.85</v>
      </c>
      <c r="E307" s="1" t="s">
        <v>2201</v>
      </c>
      <c r="F307" s="1" t="s">
        <v>2290</v>
      </c>
      <c r="G307" s="1" t="s">
        <v>2399</v>
      </c>
      <c r="H307" s="1" t="s">
        <v>2394</v>
      </c>
      <c r="I307" s="1" t="s">
        <v>1636</v>
      </c>
      <c r="J307" s="1" t="s">
        <v>2158</v>
      </c>
      <c r="K307" s="492" t="str">
        <f t="shared" si="19"/>
        <v>Service</v>
      </c>
      <c r="L307" s="486" t="str">
        <f t="shared" si="20"/>
        <v>UNIT</v>
      </c>
      <c r="M307" s="486" t="str">
        <f t="shared" si="18"/>
        <v>UC</v>
      </c>
      <c r="N307" s="486" t="str">
        <f t="shared" si="21"/>
        <v>IAAS</v>
      </c>
    </row>
    <row r="308" spans="1:14">
      <c r="A308" s="1" t="s">
        <v>583</v>
      </c>
      <c r="B308" s="1" t="s">
        <v>584</v>
      </c>
      <c r="C308" s="1">
        <v>0</v>
      </c>
      <c r="D308" s="1">
        <v>5000</v>
      </c>
      <c r="E308" s="1" t="s">
        <v>2202</v>
      </c>
      <c r="F308" s="1" t="s">
        <v>2290</v>
      </c>
      <c r="G308" s="1" t="s">
        <v>2393</v>
      </c>
      <c r="H308" s="1" t="s">
        <v>2394</v>
      </c>
      <c r="I308" s="1" t="s">
        <v>1636</v>
      </c>
      <c r="J308" s="1" t="s">
        <v>2159</v>
      </c>
      <c r="K308" s="492" t="str">
        <f t="shared" si="19"/>
        <v>Deprecated</v>
      </c>
      <c r="L308" s="486" t="str">
        <f t="shared" si="20"/>
        <v>UNIT</v>
      </c>
      <c r="M308" s="486" t="str">
        <f t="shared" si="18"/>
        <v>UC</v>
      </c>
      <c r="N308" s="486" t="str">
        <f t="shared" si="21"/>
        <v>PAAS</v>
      </c>
    </row>
    <row r="309" spans="1:14">
      <c r="A309" s="1" t="s">
        <v>1323</v>
      </c>
      <c r="B309" s="1" t="s">
        <v>1324</v>
      </c>
      <c r="C309" s="1">
        <v>0</v>
      </c>
      <c r="D309" s="1">
        <v>11760</v>
      </c>
      <c r="E309" s="1" t="s">
        <v>1154</v>
      </c>
      <c r="F309" s="1" t="s">
        <v>2290</v>
      </c>
      <c r="G309" s="1" t="s">
        <v>2393</v>
      </c>
      <c r="H309" s="1" t="s">
        <v>2397</v>
      </c>
      <c r="I309" s="1" t="s">
        <v>1636</v>
      </c>
      <c r="J309" s="1" t="s">
        <v>2159</v>
      </c>
      <c r="K309" s="492" t="str">
        <f t="shared" si="19"/>
        <v>Deprecated</v>
      </c>
      <c r="L309" s="486" t="str">
        <f t="shared" si="20"/>
        <v>EA</v>
      </c>
      <c r="M309" s="486" t="str">
        <f t="shared" si="18"/>
        <v>UC</v>
      </c>
      <c r="N309" s="486" t="str">
        <f t="shared" si="21"/>
        <v>PAAS</v>
      </c>
    </row>
    <row r="310" spans="1:14">
      <c r="A310" s="1" t="s">
        <v>1325</v>
      </c>
      <c r="B310" s="1" t="s">
        <v>1326</v>
      </c>
      <c r="C310" s="1">
        <v>0</v>
      </c>
      <c r="D310" s="1">
        <v>30090</v>
      </c>
      <c r="E310" s="1" t="s">
        <v>1154</v>
      </c>
      <c r="F310" s="1" t="s">
        <v>2290</v>
      </c>
      <c r="G310" s="1" t="s">
        <v>2393</v>
      </c>
      <c r="H310" s="1" t="s">
        <v>2397</v>
      </c>
      <c r="I310" s="1" t="s">
        <v>1636</v>
      </c>
      <c r="J310" s="1" t="s">
        <v>2159</v>
      </c>
      <c r="K310" s="492" t="str">
        <f t="shared" si="19"/>
        <v>Deprecated</v>
      </c>
      <c r="L310" s="486" t="str">
        <f t="shared" si="20"/>
        <v>EA</v>
      </c>
      <c r="M310" s="486" t="str">
        <f t="shared" si="18"/>
        <v>UC</v>
      </c>
      <c r="N310" s="486" t="str">
        <f t="shared" si="21"/>
        <v>PAAS</v>
      </c>
    </row>
    <row r="311" spans="1:14">
      <c r="A311" s="1" t="s">
        <v>111</v>
      </c>
      <c r="B311" s="1" t="s">
        <v>1626</v>
      </c>
      <c r="C311" s="1">
        <v>2.5202</v>
      </c>
      <c r="D311" s="1">
        <v>1.6800999999999999</v>
      </c>
      <c r="E311" s="1" t="s">
        <v>49</v>
      </c>
      <c r="F311" s="1" t="s">
        <v>2290</v>
      </c>
      <c r="G311" s="1" t="s">
        <v>1838</v>
      </c>
      <c r="H311" s="1" t="s">
        <v>2161</v>
      </c>
      <c r="I311" s="1" t="s">
        <v>1636</v>
      </c>
      <c r="J311" s="1" t="s">
        <v>2159</v>
      </c>
      <c r="K311" s="492" t="str">
        <f t="shared" si="19"/>
        <v>ExaCS</v>
      </c>
      <c r="L311" s="486" t="str">
        <f t="shared" si="20"/>
        <v>HR</v>
      </c>
      <c r="M311" s="486" t="str">
        <f t="shared" si="18"/>
        <v>UC</v>
      </c>
      <c r="N311" s="486" t="str">
        <f t="shared" si="21"/>
        <v>PAAS</v>
      </c>
    </row>
    <row r="312" spans="1:14">
      <c r="A312" s="1" t="s">
        <v>120</v>
      </c>
      <c r="B312" s="1" t="s">
        <v>121</v>
      </c>
      <c r="C312" s="1" t="s">
        <v>133</v>
      </c>
      <c r="D312" s="1">
        <v>63.844099999999997</v>
      </c>
      <c r="E312" s="1" t="s">
        <v>2192</v>
      </c>
      <c r="F312" s="1" t="s">
        <v>2290</v>
      </c>
      <c r="G312" s="1" t="s">
        <v>1838</v>
      </c>
      <c r="H312" s="1" t="s">
        <v>2161</v>
      </c>
      <c r="I312" s="1" t="s">
        <v>1636</v>
      </c>
      <c r="J312" s="1" t="s">
        <v>2159</v>
      </c>
      <c r="K312" s="492" t="str">
        <f t="shared" si="19"/>
        <v>ExaCS</v>
      </c>
      <c r="L312" s="486" t="str">
        <f t="shared" si="20"/>
        <v>HR</v>
      </c>
      <c r="M312" s="486" t="str">
        <f t="shared" si="18"/>
        <v>UC</v>
      </c>
      <c r="N312" s="486" t="str">
        <f t="shared" si="21"/>
        <v>PAAS</v>
      </c>
    </row>
    <row r="313" spans="1:14">
      <c r="A313" s="1" t="s">
        <v>124</v>
      </c>
      <c r="B313" s="1" t="s">
        <v>125</v>
      </c>
      <c r="C313" s="1" t="s">
        <v>133</v>
      </c>
      <c r="D313" s="1">
        <v>127.68819999999999</v>
      </c>
      <c r="E313" s="1" t="s">
        <v>2192</v>
      </c>
      <c r="F313" s="1" t="s">
        <v>2290</v>
      </c>
      <c r="G313" s="1" t="s">
        <v>1838</v>
      </c>
      <c r="H313" s="1" t="s">
        <v>2161</v>
      </c>
      <c r="I313" s="1" t="s">
        <v>1636</v>
      </c>
      <c r="J313" s="1" t="s">
        <v>2159</v>
      </c>
      <c r="K313" s="492" t="str">
        <f t="shared" si="19"/>
        <v>ExaCS</v>
      </c>
      <c r="L313" s="486" t="str">
        <f t="shared" si="20"/>
        <v>HR</v>
      </c>
      <c r="M313" s="486" t="str">
        <f t="shared" si="18"/>
        <v>UC</v>
      </c>
      <c r="N313" s="486" t="str">
        <f t="shared" si="21"/>
        <v>PAAS</v>
      </c>
    </row>
    <row r="314" spans="1:14">
      <c r="A314" s="1" t="s">
        <v>128</v>
      </c>
      <c r="B314" s="1" t="s">
        <v>129</v>
      </c>
      <c r="C314" s="1" t="s">
        <v>133</v>
      </c>
      <c r="D314" s="1">
        <v>255.37629999999999</v>
      </c>
      <c r="E314" s="1" t="s">
        <v>2192</v>
      </c>
      <c r="F314" s="1" t="s">
        <v>2290</v>
      </c>
      <c r="G314" s="1" t="s">
        <v>1838</v>
      </c>
      <c r="H314" s="1" t="s">
        <v>2161</v>
      </c>
      <c r="I314" s="1" t="s">
        <v>1636</v>
      </c>
      <c r="J314" s="1" t="s">
        <v>2159</v>
      </c>
      <c r="K314" s="492" t="str">
        <f t="shared" si="19"/>
        <v>ExaCS</v>
      </c>
      <c r="L314" s="486" t="str">
        <f t="shared" si="20"/>
        <v>HR</v>
      </c>
      <c r="M314" s="486" t="str">
        <f t="shared" si="18"/>
        <v>UC</v>
      </c>
      <c r="N314" s="486" t="str">
        <f t="shared" si="21"/>
        <v>PAAS</v>
      </c>
    </row>
    <row r="315" spans="1:14">
      <c r="A315" s="1" t="s">
        <v>2485</v>
      </c>
      <c r="B315" s="1" t="s">
        <v>2486</v>
      </c>
      <c r="C315" s="1">
        <v>4.3</v>
      </c>
      <c r="D315" s="1">
        <v>2.8668</v>
      </c>
      <c r="E315" s="1" t="s">
        <v>2192</v>
      </c>
      <c r="F315" s="1" t="s">
        <v>2290</v>
      </c>
      <c r="G315" s="1" t="s">
        <v>2487</v>
      </c>
      <c r="H315" s="1" t="s">
        <v>2161</v>
      </c>
      <c r="I315" s="1" t="s">
        <v>1636</v>
      </c>
      <c r="J315" s="1" t="s">
        <v>2159</v>
      </c>
      <c r="K315" s="492" t="str">
        <f t="shared" si="19"/>
        <v>New</v>
      </c>
      <c r="L315" s="486" t="str">
        <f t="shared" si="20"/>
        <v>HR</v>
      </c>
      <c r="M315" s="486" t="str">
        <f t="shared" si="18"/>
        <v>UC</v>
      </c>
      <c r="N315" s="486" t="str">
        <f t="shared" si="21"/>
        <v>PAAS</v>
      </c>
    </row>
    <row r="316" spans="1:14">
      <c r="A316" s="1" t="s">
        <v>116</v>
      </c>
      <c r="B316" s="1" t="s">
        <v>578</v>
      </c>
      <c r="C316" s="1">
        <v>9.9</v>
      </c>
      <c r="D316" s="1">
        <v>6.6</v>
      </c>
      <c r="E316" s="1" t="s">
        <v>2203</v>
      </c>
      <c r="F316" s="1" t="s">
        <v>2290</v>
      </c>
      <c r="G316" s="1" t="s">
        <v>2399</v>
      </c>
      <c r="H316" s="1" t="s">
        <v>2394</v>
      </c>
      <c r="I316" s="1" t="s">
        <v>1636</v>
      </c>
      <c r="J316" s="1" t="s">
        <v>2158</v>
      </c>
      <c r="K316" s="492" t="str">
        <f t="shared" si="19"/>
        <v>Service</v>
      </c>
      <c r="L316" s="486" t="str">
        <f t="shared" si="20"/>
        <v>UNIT</v>
      </c>
      <c r="M316" s="486" t="str">
        <f t="shared" si="18"/>
        <v>UC</v>
      </c>
      <c r="N316" s="486" t="str">
        <f t="shared" si="21"/>
        <v>IAAS</v>
      </c>
    </row>
    <row r="317" spans="1:14">
      <c r="A317" s="1" t="s">
        <v>117</v>
      </c>
      <c r="B317" s="1" t="s">
        <v>579</v>
      </c>
      <c r="C317" s="1">
        <v>30</v>
      </c>
      <c r="D317" s="1">
        <v>20</v>
      </c>
      <c r="E317" s="1" t="s">
        <v>2203</v>
      </c>
      <c r="F317" s="1" t="s">
        <v>2290</v>
      </c>
      <c r="G317" s="1" t="s">
        <v>2399</v>
      </c>
      <c r="H317" s="1" t="s">
        <v>2394</v>
      </c>
      <c r="I317" s="1" t="s">
        <v>1636</v>
      </c>
      <c r="J317" s="1" t="s">
        <v>2158</v>
      </c>
      <c r="K317" s="492" t="str">
        <f t="shared" si="19"/>
        <v>Service</v>
      </c>
      <c r="L317" s="486" t="str">
        <f t="shared" si="20"/>
        <v>UNIT</v>
      </c>
      <c r="M317" s="486" t="str">
        <f t="shared" si="18"/>
        <v>UC</v>
      </c>
      <c r="N317" s="486" t="str">
        <f t="shared" si="21"/>
        <v>IAAS</v>
      </c>
    </row>
    <row r="318" spans="1:14">
      <c r="A318" s="1" t="s">
        <v>1327</v>
      </c>
      <c r="B318" s="1" t="s">
        <v>1328</v>
      </c>
      <c r="C318" s="1">
        <v>0</v>
      </c>
      <c r="D318" s="1">
        <v>57150</v>
      </c>
      <c r="E318" s="1" t="s">
        <v>1154</v>
      </c>
      <c r="F318" s="1" t="s">
        <v>2290</v>
      </c>
      <c r="G318" s="1" t="s">
        <v>2393</v>
      </c>
      <c r="H318" s="1" t="s">
        <v>2397</v>
      </c>
      <c r="I318" s="1" t="s">
        <v>1636</v>
      </c>
      <c r="J318" s="1" t="s">
        <v>2159</v>
      </c>
      <c r="K318" s="492" t="str">
        <f t="shared" si="19"/>
        <v>Deprecated</v>
      </c>
      <c r="L318" s="486" t="str">
        <f t="shared" si="20"/>
        <v>EA</v>
      </c>
      <c r="M318" s="486" t="str">
        <f t="shared" si="18"/>
        <v>UC</v>
      </c>
      <c r="N318" s="486" t="str">
        <f t="shared" si="21"/>
        <v>PAAS</v>
      </c>
    </row>
    <row r="319" spans="1:14">
      <c r="A319" s="1" t="s">
        <v>435</v>
      </c>
      <c r="B319" s="1" t="s">
        <v>1227</v>
      </c>
      <c r="C319" s="1">
        <v>0</v>
      </c>
      <c r="D319" s="1">
        <v>1.2097</v>
      </c>
      <c r="E319" s="1" t="s">
        <v>49</v>
      </c>
      <c r="F319" s="1" t="s">
        <v>2290</v>
      </c>
      <c r="G319" s="1" t="s">
        <v>2396</v>
      </c>
      <c r="H319" s="1" t="s">
        <v>2161</v>
      </c>
      <c r="I319" s="1" t="s">
        <v>1636</v>
      </c>
      <c r="J319" s="1" t="s">
        <v>2159</v>
      </c>
      <c r="K319" s="492" t="str">
        <f t="shared" si="19"/>
        <v>Classic</v>
      </c>
      <c r="L319" s="486" t="str">
        <f t="shared" si="20"/>
        <v>HR</v>
      </c>
      <c r="M319" s="486" t="str">
        <f t="shared" si="18"/>
        <v>UC</v>
      </c>
      <c r="N319" s="486" t="str">
        <f t="shared" si="21"/>
        <v>PAAS</v>
      </c>
    </row>
    <row r="320" spans="1:14">
      <c r="A320" s="1" t="s">
        <v>437</v>
      </c>
      <c r="B320" s="1" t="s">
        <v>1228</v>
      </c>
      <c r="C320" s="1">
        <v>0</v>
      </c>
      <c r="D320" s="1">
        <v>3.1585999999999999</v>
      </c>
      <c r="E320" s="1" t="s">
        <v>49</v>
      </c>
      <c r="F320" s="1" t="s">
        <v>2290</v>
      </c>
      <c r="G320" s="1" t="s">
        <v>2391</v>
      </c>
      <c r="H320" s="1" t="s">
        <v>2161</v>
      </c>
      <c r="I320" s="1" t="s">
        <v>1636</v>
      </c>
      <c r="J320" s="1" t="s">
        <v>2159</v>
      </c>
      <c r="K320" s="492" t="str">
        <f t="shared" si="19"/>
        <v>Integration</v>
      </c>
      <c r="L320" s="486" t="str">
        <f t="shared" si="20"/>
        <v>HR</v>
      </c>
      <c r="M320" s="486" t="str">
        <f t="shared" si="18"/>
        <v>UC</v>
      </c>
      <c r="N320" s="486" t="str">
        <f t="shared" si="21"/>
        <v>PAAS</v>
      </c>
    </row>
    <row r="321" spans="1:14">
      <c r="A321" s="1" t="s">
        <v>438</v>
      </c>
      <c r="B321" s="1" t="s">
        <v>439</v>
      </c>
      <c r="C321" s="1">
        <v>0</v>
      </c>
      <c r="D321" s="1">
        <v>8.5000000000000006E-2</v>
      </c>
      <c r="E321" s="1" t="s">
        <v>49</v>
      </c>
      <c r="F321" s="1" t="s">
        <v>2290</v>
      </c>
      <c r="G321" s="1" t="s">
        <v>1835</v>
      </c>
      <c r="H321" s="1" t="s">
        <v>2161</v>
      </c>
      <c r="I321" s="1" t="s">
        <v>1636</v>
      </c>
      <c r="J321" s="1" t="s">
        <v>2158</v>
      </c>
      <c r="K321" s="492" t="str">
        <f t="shared" si="19"/>
        <v>Compute</v>
      </c>
      <c r="L321" s="486" t="str">
        <f t="shared" si="20"/>
        <v>HR</v>
      </c>
      <c r="M321" s="486" t="str">
        <f t="shared" si="18"/>
        <v>UC</v>
      </c>
      <c r="N321" s="486" t="str">
        <f t="shared" si="21"/>
        <v>IAAS</v>
      </c>
    </row>
    <row r="322" spans="1:14">
      <c r="A322" s="1" t="s">
        <v>440</v>
      </c>
      <c r="B322" s="1" t="s">
        <v>441</v>
      </c>
      <c r="C322" s="1">
        <v>0</v>
      </c>
      <c r="D322" s="1">
        <v>0.1275</v>
      </c>
      <c r="E322" s="1" t="s">
        <v>49</v>
      </c>
      <c r="F322" s="1" t="s">
        <v>2290</v>
      </c>
      <c r="G322" s="1" t="s">
        <v>1835</v>
      </c>
      <c r="H322" s="1" t="s">
        <v>2161</v>
      </c>
      <c r="I322" s="1" t="s">
        <v>1636</v>
      </c>
      <c r="J322" s="1" t="s">
        <v>2158</v>
      </c>
      <c r="K322" s="492" t="str">
        <f t="shared" si="19"/>
        <v>Compute</v>
      </c>
      <c r="L322" s="486" t="str">
        <f t="shared" si="20"/>
        <v>HR</v>
      </c>
      <c r="M322" s="486" t="str">
        <f t="shared" si="18"/>
        <v>UC</v>
      </c>
      <c r="N322" s="486" t="str">
        <f t="shared" si="21"/>
        <v>IAAS</v>
      </c>
    </row>
    <row r="323" spans="1:14">
      <c r="A323" s="1" t="s">
        <v>442</v>
      </c>
      <c r="B323" s="1" t="s">
        <v>443</v>
      </c>
      <c r="C323" s="1">
        <v>0</v>
      </c>
      <c r="D323" s="1">
        <v>2.1299999999999999E-2</v>
      </c>
      <c r="E323" s="1" t="s">
        <v>2190</v>
      </c>
      <c r="F323" s="1" t="s">
        <v>2290</v>
      </c>
      <c r="G323" s="1" t="s">
        <v>2313</v>
      </c>
      <c r="H323" s="1" t="s">
        <v>2161</v>
      </c>
      <c r="I323" s="1" t="s">
        <v>1636</v>
      </c>
      <c r="J323" s="1" t="s">
        <v>2158</v>
      </c>
      <c r="K323" s="492" t="str">
        <f t="shared" si="19"/>
        <v>Network</v>
      </c>
      <c r="L323" s="486" t="str">
        <f t="shared" si="20"/>
        <v>HR</v>
      </c>
      <c r="M323" s="486" t="str">
        <f t="shared" si="18"/>
        <v>UC</v>
      </c>
      <c r="N323" s="486" t="str">
        <f t="shared" si="21"/>
        <v>IAAS</v>
      </c>
    </row>
    <row r="324" spans="1:14">
      <c r="A324" s="1" t="s">
        <v>444</v>
      </c>
      <c r="B324" s="1" t="s">
        <v>445</v>
      </c>
      <c r="C324" s="1">
        <v>0</v>
      </c>
      <c r="D324" s="1">
        <v>6.7999999999999996E-3</v>
      </c>
      <c r="E324" s="1" t="s">
        <v>2204</v>
      </c>
      <c r="F324" s="1" t="s">
        <v>2290</v>
      </c>
      <c r="G324" s="1" t="s">
        <v>2313</v>
      </c>
      <c r="H324" s="1" t="s">
        <v>2394</v>
      </c>
      <c r="I324" s="1" t="s">
        <v>1636</v>
      </c>
      <c r="J324" s="1" t="s">
        <v>2158</v>
      </c>
      <c r="K324" s="492" t="str">
        <f t="shared" si="19"/>
        <v>Network</v>
      </c>
      <c r="L324" s="486" t="str">
        <f t="shared" si="20"/>
        <v>UNIT</v>
      </c>
      <c r="M324" s="486" t="str">
        <f t="shared" ref="M324:M387" si="22">_xlfn.IFS(K324="CC","CC",K324="Rapid Start","SRV",F324="Y","UC0",TRUE,"UC")</f>
        <v>UC</v>
      </c>
      <c r="N324" s="486" t="str">
        <f t="shared" si="21"/>
        <v>IAAS</v>
      </c>
    </row>
    <row r="325" spans="1:14">
      <c r="A325" s="1" t="s">
        <v>446</v>
      </c>
      <c r="B325" s="1" t="s">
        <v>968</v>
      </c>
      <c r="C325" s="1">
        <v>0</v>
      </c>
      <c r="D325" s="1">
        <v>4.3E-3</v>
      </c>
      <c r="E325" s="1" t="s">
        <v>2165</v>
      </c>
      <c r="F325" s="1" t="s">
        <v>2290</v>
      </c>
      <c r="G325" s="1" t="s">
        <v>1835</v>
      </c>
      <c r="H325" s="1" t="s">
        <v>2161</v>
      </c>
      <c r="I325" s="1" t="s">
        <v>1636</v>
      </c>
      <c r="J325" s="1" t="s">
        <v>2158</v>
      </c>
      <c r="K325" s="492" t="str">
        <f t="shared" si="19"/>
        <v>Compute</v>
      </c>
      <c r="L325" s="486" t="str">
        <f t="shared" si="20"/>
        <v>HR</v>
      </c>
      <c r="M325" s="486" t="str">
        <f t="shared" si="22"/>
        <v>UC</v>
      </c>
      <c r="N325" s="486" t="str">
        <f t="shared" si="21"/>
        <v>IAAS</v>
      </c>
    </row>
    <row r="326" spans="1:14">
      <c r="A326" s="1" t="s">
        <v>447</v>
      </c>
      <c r="B326" s="1" t="s">
        <v>969</v>
      </c>
      <c r="C326" s="1">
        <v>0</v>
      </c>
      <c r="D326" s="1">
        <v>4.2500000000000003E-2</v>
      </c>
      <c r="E326" s="1" t="s">
        <v>2175</v>
      </c>
      <c r="F326" s="1" t="s">
        <v>2290</v>
      </c>
      <c r="G326" s="1" t="s">
        <v>1840</v>
      </c>
      <c r="H326" s="1" t="s">
        <v>2162</v>
      </c>
      <c r="I326" s="1" t="s">
        <v>1636</v>
      </c>
      <c r="J326" s="1" t="s">
        <v>2158</v>
      </c>
      <c r="K326" s="492" t="str">
        <f t="shared" si="19"/>
        <v>Storage</v>
      </c>
      <c r="L326" s="486" t="str">
        <f t="shared" si="20"/>
        <v>GB</v>
      </c>
      <c r="M326" s="486" t="str">
        <f t="shared" si="22"/>
        <v>UC</v>
      </c>
      <c r="N326" s="486" t="str">
        <f t="shared" si="21"/>
        <v>IAAS</v>
      </c>
    </row>
    <row r="327" spans="1:14">
      <c r="A327" s="1" t="s">
        <v>448</v>
      </c>
      <c r="B327" s="1" t="s">
        <v>449</v>
      </c>
      <c r="C327" s="1">
        <v>0</v>
      </c>
      <c r="D327" s="1">
        <v>2.5999999999999999E-3</v>
      </c>
      <c r="E327" s="1" t="s">
        <v>2175</v>
      </c>
      <c r="F327" s="1" t="s">
        <v>2290</v>
      </c>
      <c r="G327" s="1" t="s">
        <v>1840</v>
      </c>
      <c r="H327" s="1" t="s">
        <v>2162</v>
      </c>
      <c r="I327" s="1" t="s">
        <v>1636</v>
      </c>
      <c r="J327" s="1" t="s">
        <v>2158</v>
      </c>
      <c r="K327" s="492" t="str">
        <f t="shared" si="19"/>
        <v>Storage</v>
      </c>
      <c r="L327" s="486" t="str">
        <f t="shared" si="20"/>
        <v>GB</v>
      </c>
      <c r="M327" s="486" t="str">
        <f t="shared" si="22"/>
        <v>UC</v>
      </c>
      <c r="N327" s="486" t="str">
        <f t="shared" si="21"/>
        <v>IAAS</v>
      </c>
    </row>
    <row r="328" spans="1:14">
      <c r="A328" s="1" t="s">
        <v>450</v>
      </c>
      <c r="B328" s="1" t="s">
        <v>451</v>
      </c>
      <c r="C328" s="1">
        <v>0</v>
      </c>
      <c r="D328" s="1">
        <v>0</v>
      </c>
      <c r="E328" s="1">
        <v>0</v>
      </c>
      <c r="F328" s="1" t="s">
        <v>2290</v>
      </c>
      <c r="G328" s="1" t="s">
        <v>1840</v>
      </c>
      <c r="H328" s="1" t="s">
        <v>2394</v>
      </c>
      <c r="I328" s="1" t="s">
        <v>1636</v>
      </c>
      <c r="J328" s="1" t="s">
        <v>2158</v>
      </c>
      <c r="K328" s="492" t="str">
        <f t="shared" si="19"/>
        <v>Storage</v>
      </c>
      <c r="L328" s="486" t="str">
        <f t="shared" si="20"/>
        <v>UNIT</v>
      </c>
      <c r="M328" s="486" t="str">
        <f t="shared" si="22"/>
        <v>UC</v>
      </c>
      <c r="N328" s="486" t="str">
        <f t="shared" si="21"/>
        <v>IAAS</v>
      </c>
    </row>
    <row r="329" spans="1:14">
      <c r="A329" s="1" t="s">
        <v>452</v>
      </c>
      <c r="B329" s="1" t="s">
        <v>1229</v>
      </c>
      <c r="C329" s="1">
        <v>0</v>
      </c>
      <c r="D329" s="1">
        <v>4.0323000000000002</v>
      </c>
      <c r="E329" s="1" t="s">
        <v>49</v>
      </c>
      <c r="F329" s="1" t="s">
        <v>2290</v>
      </c>
      <c r="G329" s="1" t="s">
        <v>1839</v>
      </c>
      <c r="H329" s="1" t="s">
        <v>2161</v>
      </c>
      <c r="I329" s="1" t="s">
        <v>1636</v>
      </c>
      <c r="J329" s="1" t="s">
        <v>2159</v>
      </c>
      <c r="K329" s="492" t="str">
        <f t="shared" si="19"/>
        <v>Analytics</v>
      </c>
      <c r="L329" s="486" t="str">
        <f t="shared" si="20"/>
        <v>HR</v>
      </c>
      <c r="M329" s="486" t="str">
        <f t="shared" si="22"/>
        <v>UC</v>
      </c>
      <c r="N329" s="486" t="str">
        <f t="shared" si="21"/>
        <v>PAAS</v>
      </c>
    </row>
    <row r="330" spans="1:14">
      <c r="A330" s="1" t="s">
        <v>454</v>
      </c>
      <c r="B330" s="1" t="s">
        <v>1230</v>
      </c>
      <c r="C330" s="1">
        <v>0</v>
      </c>
      <c r="D330" s="1">
        <v>1.3441000000000001</v>
      </c>
      <c r="E330" s="1" t="s">
        <v>49</v>
      </c>
      <c r="F330" s="1" t="s">
        <v>2290</v>
      </c>
      <c r="G330" s="1" t="s">
        <v>1839</v>
      </c>
      <c r="H330" s="1" t="s">
        <v>2161</v>
      </c>
      <c r="I330" s="1" t="s">
        <v>1636</v>
      </c>
      <c r="J330" s="1" t="s">
        <v>2159</v>
      </c>
      <c r="K330" s="492" t="str">
        <f t="shared" si="19"/>
        <v>Analytics</v>
      </c>
      <c r="L330" s="486" t="str">
        <f t="shared" si="20"/>
        <v>HR</v>
      </c>
      <c r="M330" s="486" t="str">
        <f t="shared" si="22"/>
        <v>UC</v>
      </c>
      <c r="N330" s="486" t="str">
        <f t="shared" si="21"/>
        <v>PAAS</v>
      </c>
    </row>
    <row r="331" spans="1:14">
      <c r="A331" s="1" t="s">
        <v>585</v>
      </c>
      <c r="B331" s="1" t="s">
        <v>436</v>
      </c>
      <c r="C331" s="1">
        <v>0</v>
      </c>
      <c r="D331" s="1">
        <v>3.3599999999999998E-2</v>
      </c>
      <c r="E331" s="1" t="s">
        <v>2172</v>
      </c>
      <c r="F331" s="1" t="s">
        <v>2290</v>
      </c>
      <c r="G331" s="1" t="s">
        <v>2400</v>
      </c>
      <c r="H331" s="1" t="s">
        <v>2161</v>
      </c>
      <c r="I331" s="1" t="s">
        <v>1636</v>
      </c>
      <c r="J331" s="1" t="s">
        <v>2159</v>
      </c>
      <c r="K331" s="492" t="str">
        <f t="shared" si="19"/>
        <v>Government</v>
      </c>
      <c r="L331" s="486" t="str">
        <f t="shared" si="20"/>
        <v>HR</v>
      </c>
      <c r="M331" s="486" t="str">
        <f t="shared" si="22"/>
        <v>UC</v>
      </c>
      <c r="N331" s="486" t="str">
        <f t="shared" si="21"/>
        <v>PAAS</v>
      </c>
    </row>
    <row r="332" spans="1:14">
      <c r="A332" s="1" t="s">
        <v>455</v>
      </c>
      <c r="B332" s="1" t="s">
        <v>456</v>
      </c>
      <c r="C332" s="1">
        <v>0</v>
      </c>
      <c r="D332" s="1">
        <v>0.3871</v>
      </c>
      <c r="E332" s="1" t="s">
        <v>49</v>
      </c>
      <c r="F332" s="1" t="s">
        <v>2290</v>
      </c>
      <c r="G332" s="1" t="s">
        <v>2400</v>
      </c>
      <c r="H332" s="1" t="s">
        <v>2161</v>
      </c>
      <c r="I332" s="1" t="s">
        <v>1636</v>
      </c>
      <c r="J332" s="1" t="s">
        <v>2159</v>
      </c>
      <c r="K332" s="492" t="str">
        <f t="shared" si="19"/>
        <v>Government</v>
      </c>
      <c r="L332" s="486" t="str">
        <f t="shared" si="20"/>
        <v>HR</v>
      </c>
      <c r="M332" s="486" t="str">
        <f t="shared" si="22"/>
        <v>UC</v>
      </c>
      <c r="N332" s="486" t="str">
        <f t="shared" si="21"/>
        <v>PAAS</v>
      </c>
    </row>
    <row r="333" spans="1:14">
      <c r="A333" s="1" t="s">
        <v>457</v>
      </c>
      <c r="B333" s="1" t="s">
        <v>458</v>
      </c>
      <c r="C333" s="1">
        <v>0</v>
      </c>
      <c r="D333" s="1">
        <v>0.96779999999999999</v>
      </c>
      <c r="E333" s="1" t="s">
        <v>49</v>
      </c>
      <c r="F333" s="1" t="s">
        <v>2290</v>
      </c>
      <c r="G333" s="1" t="s">
        <v>2400</v>
      </c>
      <c r="H333" s="1" t="s">
        <v>2161</v>
      </c>
      <c r="I333" s="1" t="s">
        <v>1636</v>
      </c>
      <c r="J333" s="1" t="s">
        <v>2159</v>
      </c>
      <c r="K333" s="492" t="str">
        <f t="shared" si="19"/>
        <v>Government</v>
      </c>
      <c r="L333" s="486" t="str">
        <f t="shared" si="20"/>
        <v>HR</v>
      </c>
      <c r="M333" s="486" t="str">
        <f t="shared" si="22"/>
        <v>UC</v>
      </c>
      <c r="N333" s="486" t="str">
        <f t="shared" si="21"/>
        <v>PAAS</v>
      </c>
    </row>
    <row r="334" spans="1:14">
      <c r="A334" s="1" t="s">
        <v>459</v>
      </c>
      <c r="B334" s="1" t="s">
        <v>460</v>
      </c>
      <c r="C334" s="1">
        <v>0</v>
      </c>
      <c r="D334" s="1">
        <v>0.1613</v>
      </c>
      <c r="E334" s="1" t="s">
        <v>49</v>
      </c>
      <c r="F334" s="1" t="s">
        <v>2290</v>
      </c>
      <c r="G334" s="1" t="s">
        <v>1835</v>
      </c>
      <c r="H334" s="1" t="s">
        <v>2161</v>
      </c>
      <c r="I334" s="1" t="s">
        <v>1636</v>
      </c>
      <c r="J334" s="1" t="s">
        <v>2158</v>
      </c>
      <c r="K334" s="492" t="str">
        <f t="shared" ref="K334:K397" si="23" xml:space="preserve"> _xlfn.IFS(ISNUMBER(SEARCH("Universal Credits",B334)),"UC",
ISNUMBER(SEARCH("Ravello",B334)),"Deprecated",
ISNUMBER(SEARCH("Cloud Machine",B334)),"Deprecated",
ISNUMBER(SEARCH("Compute",B334)),"Compute",
ISNUMBER(SEARCH("Load Balancer",B334)),"Network",
ISNUMBER(SEARCH("FastConnect",B334)),"Network",
ISNUMBER(SEARCH("Database OCPU",B334)),"CC OCPU",
ISNUMBER(SEARCH("at Customer",B334)),"CC",
ISNUMBER(SEARCH("Exadata Storage",B334)),"Exa Storage",
ISNUMBER(SEARCH("Storage",B334)),"Storage",
ISNUMBER(SEARCH("Block ",B334)),"Storage",
ISNUMBER(SEARCH("Autonomous Data Warehouse",B334)),"ADW",
ISNUMBER(SEARCH("Autonomous Transaction Processing",B334)),"ATP",
ISNUMBER(SEARCH("Database Exadata",B334)),"ExaCS",
ISNUMBER(SEARCH("Database",B334)),"DBaaS",
ISNUMBER(SEARCH("Essbase",B334)),"DBaaS",
ISNUMBER(SEARCH("integration",B334)),"Integration",
ISNUMBER(SEARCH("SOA",B334)),"Integration",
ISNUMBER(SEARCH("Management Cloud",B334)),"Service",
ISNUMBER(SEARCH("Analytics",B334)),"Analytics",
ISNUMBER(SEARCH("Storage",B334)),"Storage",
ISNUMBER(SEARCH("Block ",B334)),"Storage",
ISNUMBER(SEARCH("Identity",B334)),"Platform",
ISNUMBER(SEARCH("Content",B334)),"Platform",
ISNUMBER(SEARCH("Weblogic",B334)),"Platform",
ISNUMBER(SEARCH("Digital Assistant",B334)),"Platform",
ISNUMBER(SEARCH("Advance",B334)),"New",
ISNUMBER(SEARCH("Limited",B334)),"Classic",
ISNUMBER(SEARCH("Classic",B334)),"Classic",
ISNUMBER(SEARCH("Government",B334)),"Government",
ISNUMBER(SEARCH("Metered",B334)),"Deprecated",
VALUE(RIGHT(A334,5))&lt;88206,"Deprecated",
TRUE,"Service")</f>
        <v>Compute</v>
      </c>
      <c r="L334" s="486" t="str">
        <f t="shared" ref="L334:L397" si="24">_xlfn.IFS(ISNUMBER(SEARCH("Hour",E334)),"HR",ISNUMBER(SEARCH("Gigabyte",E334)),"GB",ISNUMBER(SEARCH("Terabyte",E334)),"TB",ISNUMBER(SEARCH("Requests",E334)),"REQ",ISNUMBER(SEARCH("Each",E334)),"EA","TRUE","UNIT")</f>
        <v>HR</v>
      </c>
      <c r="M334" s="486" t="str">
        <f t="shared" si="22"/>
        <v>UC</v>
      </c>
      <c r="N334" s="486" t="str">
        <f t="shared" ref="N334:N397" si="25">_xlfn.IFS(K334="Storage","IAAS",K334="Compute","IAAS",K334="Network","IAAS",K334="Service","IAAS",L334="REQ","IAAS",TRUE,"PAAS")</f>
        <v>IAAS</v>
      </c>
    </row>
    <row r="335" spans="1:14">
      <c r="A335" s="1" t="s">
        <v>461</v>
      </c>
      <c r="B335" s="1" t="s">
        <v>462</v>
      </c>
      <c r="C335" s="1">
        <v>0</v>
      </c>
      <c r="D335" s="1">
        <v>0.18149999999999999</v>
      </c>
      <c r="E335" s="1" t="s">
        <v>49</v>
      </c>
      <c r="F335" s="1" t="s">
        <v>2290</v>
      </c>
      <c r="G335" s="1" t="s">
        <v>1835</v>
      </c>
      <c r="H335" s="1" t="s">
        <v>2161</v>
      </c>
      <c r="I335" s="1" t="s">
        <v>1636</v>
      </c>
      <c r="J335" s="1" t="s">
        <v>2158</v>
      </c>
      <c r="K335" s="492" t="str">
        <f t="shared" si="23"/>
        <v>Compute</v>
      </c>
      <c r="L335" s="486" t="str">
        <f t="shared" si="24"/>
        <v>HR</v>
      </c>
      <c r="M335" s="486" t="str">
        <f t="shared" si="22"/>
        <v>UC</v>
      </c>
      <c r="N335" s="486" t="str">
        <f t="shared" si="25"/>
        <v>IAAS</v>
      </c>
    </row>
    <row r="336" spans="1:14">
      <c r="A336" s="1" t="s">
        <v>463</v>
      </c>
      <c r="B336" s="1" t="s">
        <v>464</v>
      </c>
      <c r="C336" s="1">
        <v>0</v>
      </c>
      <c r="D336" s="1">
        <v>0.03</v>
      </c>
      <c r="E336" s="1" t="s">
        <v>2166</v>
      </c>
      <c r="F336" s="1" t="s">
        <v>2290</v>
      </c>
      <c r="G336" s="1" t="s">
        <v>1840</v>
      </c>
      <c r="H336" s="1" t="s">
        <v>2162</v>
      </c>
      <c r="I336" s="1" t="s">
        <v>1636</v>
      </c>
      <c r="J336" s="1" t="s">
        <v>2158</v>
      </c>
      <c r="K336" s="492" t="str">
        <f t="shared" si="23"/>
        <v>Storage</v>
      </c>
      <c r="L336" s="486" t="str">
        <f t="shared" si="24"/>
        <v>GB</v>
      </c>
      <c r="M336" s="486" t="str">
        <f t="shared" si="22"/>
        <v>UC</v>
      </c>
      <c r="N336" s="486" t="str">
        <f t="shared" si="25"/>
        <v>IAAS</v>
      </c>
    </row>
    <row r="337" spans="1:14">
      <c r="A337" s="1" t="s">
        <v>465</v>
      </c>
      <c r="B337" s="1" t="s">
        <v>466</v>
      </c>
      <c r="C337" s="1">
        <v>0</v>
      </c>
      <c r="D337" s="1">
        <v>0.53759999999999997</v>
      </c>
      <c r="E337" s="1" t="s">
        <v>49</v>
      </c>
      <c r="F337" s="1" t="s">
        <v>2290</v>
      </c>
      <c r="G337" s="1" t="s">
        <v>2309</v>
      </c>
      <c r="H337" s="1" t="s">
        <v>2161</v>
      </c>
      <c r="I337" s="1" t="s">
        <v>1636</v>
      </c>
      <c r="J337" s="1" t="s">
        <v>2159</v>
      </c>
      <c r="K337" s="492" t="str">
        <f t="shared" si="23"/>
        <v>DBaaS</v>
      </c>
      <c r="L337" s="486" t="str">
        <f t="shared" si="24"/>
        <v>HR</v>
      </c>
      <c r="M337" s="486" t="str">
        <f t="shared" si="22"/>
        <v>UC</v>
      </c>
      <c r="N337" s="486" t="str">
        <f t="shared" si="25"/>
        <v>PAAS</v>
      </c>
    </row>
    <row r="338" spans="1:14">
      <c r="A338" s="1" t="s">
        <v>467</v>
      </c>
      <c r="B338" s="1" t="s">
        <v>468</v>
      </c>
      <c r="C338" s="1">
        <v>0</v>
      </c>
      <c r="D338" s="1">
        <v>1.6800999999999999</v>
      </c>
      <c r="E338" s="1" t="s">
        <v>49</v>
      </c>
      <c r="F338" s="1" t="s">
        <v>2290</v>
      </c>
      <c r="G338" s="1" t="s">
        <v>2309</v>
      </c>
      <c r="H338" s="1" t="s">
        <v>2161</v>
      </c>
      <c r="I338" s="1" t="s">
        <v>1636</v>
      </c>
      <c r="J338" s="1" t="s">
        <v>2159</v>
      </c>
      <c r="K338" s="492" t="str">
        <f t="shared" si="23"/>
        <v>DBaaS</v>
      </c>
      <c r="L338" s="486" t="str">
        <f t="shared" si="24"/>
        <v>HR</v>
      </c>
      <c r="M338" s="486" t="str">
        <f t="shared" si="22"/>
        <v>UC</v>
      </c>
      <c r="N338" s="486" t="str">
        <f t="shared" si="25"/>
        <v>PAAS</v>
      </c>
    </row>
    <row r="339" spans="1:14">
      <c r="A339" s="1" t="s">
        <v>469</v>
      </c>
      <c r="B339" s="1" t="s">
        <v>470</v>
      </c>
      <c r="C339" s="1">
        <v>0</v>
      </c>
      <c r="D339" s="1">
        <v>1.6800999999999999</v>
      </c>
      <c r="E339" s="1" t="s">
        <v>49</v>
      </c>
      <c r="F339" s="1" t="s">
        <v>2290</v>
      </c>
      <c r="G339" s="1" t="s">
        <v>1838</v>
      </c>
      <c r="H339" s="1" t="s">
        <v>2161</v>
      </c>
      <c r="I339" s="1" t="s">
        <v>1636</v>
      </c>
      <c r="J339" s="1" t="s">
        <v>2159</v>
      </c>
      <c r="K339" s="492" t="str">
        <f t="shared" si="23"/>
        <v>ExaCS</v>
      </c>
      <c r="L339" s="486" t="str">
        <f t="shared" si="24"/>
        <v>HR</v>
      </c>
      <c r="M339" s="486" t="str">
        <f t="shared" si="22"/>
        <v>UC</v>
      </c>
      <c r="N339" s="486" t="str">
        <f t="shared" si="25"/>
        <v>PAAS</v>
      </c>
    </row>
    <row r="340" spans="1:14">
      <c r="A340" s="1" t="s">
        <v>471</v>
      </c>
      <c r="B340" s="1" t="s">
        <v>472</v>
      </c>
      <c r="C340" s="1">
        <v>0</v>
      </c>
      <c r="D340" s="1">
        <v>47500</v>
      </c>
      <c r="E340" s="1" t="s">
        <v>2178</v>
      </c>
      <c r="F340" s="1" t="s">
        <v>2290</v>
      </c>
      <c r="G340" s="1" t="s">
        <v>1838</v>
      </c>
      <c r="H340" s="1" t="s">
        <v>2394</v>
      </c>
      <c r="I340" s="1" t="s">
        <v>1636</v>
      </c>
      <c r="J340" s="1" t="s">
        <v>2159</v>
      </c>
      <c r="K340" s="492" t="str">
        <f t="shared" si="23"/>
        <v>ExaCS</v>
      </c>
      <c r="L340" s="486" t="str">
        <f t="shared" si="24"/>
        <v>UNIT</v>
      </c>
      <c r="M340" s="486" t="str">
        <f t="shared" si="22"/>
        <v>UC</v>
      </c>
      <c r="N340" s="486" t="str">
        <f t="shared" si="25"/>
        <v>PAAS</v>
      </c>
    </row>
    <row r="341" spans="1:14">
      <c r="A341" s="1" t="s">
        <v>473</v>
      </c>
      <c r="B341" s="1" t="s">
        <v>474</v>
      </c>
      <c r="C341" s="1">
        <v>0</v>
      </c>
      <c r="D341" s="1">
        <v>95000</v>
      </c>
      <c r="E341" s="1" t="s">
        <v>2178</v>
      </c>
      <c r="F341" s="1" t="s">
        <v>2290</v>
      </c>
      <c r="G341" s="1" t="s">
        <v>1838</v>
      </c>
      <c r="H341" s="1" t="s">
        <v>2394</v>
      </c>
      <c r="I341" s="1" t="s">
        <v>1636</v>
      </c>
      <c r="J341" s="1" t="s">
        <v>2159</v>
      </c>
      <c r="K341" s="492" t="str">
        <f t="shared" si="23"/>
        <v>ExaCS</v>
      </c>
      <c r="L341" s="486" t="str">
        <f t="shared" si="24"/>
        <v>UNIT</v>
      </c>
      <c r="M341" s="486" t="str">
        <f t="shared" si="22"/>
        <v>UC</v>
      </c>
      <c r="N341" s="486" t="str">
        <f t="shared" si="25"/>
        <v>PAAS</v>
      </c>
    </row>
    <row r="342" spans="1:14">
      <c r="A342" s="1" t="s">
        <v>475</v>
      </c>
      <c r="B342" s="1" t="s">
        <v>476</v>
      </c>
      <c r="C342" s="1">
        <v>0</v>
      </c>
      <c r="D342" s="1">
        <v>190000</v>
      </c>
      <c r="E342" s="1" t="s">
        <v>2178</v>
      </c>
      <c r="F342" s="1" t="s">
        <v>2290</v>
      </c>
      <c r="G342" s="1" t="s">
        <v>1838</v>
      </c>
      <c r="H342" s="1" t="s">
        <v>2394</v>
      </c>
      <c r="I342" s="1" t="s">
        <v>1636</v>
      </c>
      <c r="J342" s="1" t="s">
        <v>2159</v>
      </c>
      <c r="K342" s="492" t="str">
        <f t="shared" si="23"/>
        <v>ExaCS</v>
      </c>
      <c r="L342" s="486" t="str">
        <f t="shared" si="24"/>
        <v>UNIT</v>
      </c>
      <c r="M342" s="486" t="str">
        <f t="shared" si="22"/>
        <v>UC</v>
      </c>
      <c r="N342" s="486" t="str">
        <f t="shared" si="25"/>
        <v>PAAS</v>
      </c>
    </row>
    <row r="343" spans="1:14">
      <c r="A343" s="1" t="s">
        <v>477</v>
      </c>
      <c r="B343" s="1" t="s">
        <v>1231</v>
      </c>
      <c r="C343" s="1">
        <v>0</v>
      </c>
      <c r="D343" s="1">
        <v>1.3441000000000001</v>
      </c>
      <c r="E343" s="1" t="s">
        <v>2205</v>
      </c>
      <c r="F343" s="1" t="s">
        <v>2290</v>
      </c>
      <c r="G343" s="1" t="s">
        <v>2396</v>
      </c>
      <c r="H343" s="1" t="s">
        <v>2161</v>
      </c>
      <c r="I343" s="1" t="s">
        <v>1636</v>
      </c>
      <c r="J343" s="1" t="s">
        <v>2159</v>
      </c>
      <c r="K343" s="492" t="str">
        <f t="shared" si="23"/>
        <v>Classic</v>
      </c>
      <c r="L343" s="486" t="str">
        <f t="shared" si="24"/>
        <v>HR</v>
      </c>
      <c r="M343" s="486" t="str">
        <f t="shared" si="22"/>
        <v>UC</v>
      </c>
      <c r="N343" s="486" t="str">
        <f t="shared" si="25"/>
        <v>PAAS</v>
      </c>
    </row>
    <row r="344" spans="1:14">
      <c r="A344" s="1" t="s">
        <v>478</v>
      </c>
      <c r="B344" s="1" t="s">
        <v>1015</v>
      </c>
      <c r="C344" s="1">
        <v>0</v>
      </c>
      <c r="D344" s="1">
        <v>1.6800999999999999</v>
      </c>
      <c r="E344" s="1" t="s">
        <v>2206</v>
      </c>
      <c r="F344" s="1" t="s">
        <v>2290</v>
      </c>
      <c r="G344" s="1" t="s">
        <v>2399</v>
      </c>
      <c r="H344" s="1" t="s">
        <v>2161</v>
      </c>
      <c r="I344" s="1" t="s">
        <v>1636</v>
      </c>
      <c r="J344" s="1" t="s">
        <v>2158</v>
      </c>
      <c r="K344" s="492" t="str">
        <f t="shared" si="23"/>
        <v>Service</v>
      </c>
      <c r="L344" s="486" t="str">
        <f t="shared" si="24"/>
        <v>HR</v>
      </c>
      <c r="M344" s="486" t="str">
        <f t="shared" si="22"/>
        <v>UC</v>
      </c>
      <c r="N344" s="486" t="str">
        <f t="shared" si="25"/>
        <v>IAAS</v>
      </c>
    </row>
    <row r="345" spans="1:14">
      <c r="A345" s="1" t="s">
        <v>479</v>
      </c>
      <c r="B345" s="1" t="s">
        <v>1016</v>
      </c>
      <c r="C345" s="1">
        <v>0</v>
      </c>
      <c r="D345" s="1">
        <v>0.4032</v>
      </c>
      <c r="E345" s="1" t="s">
        <v>2207</v>
      </c>
      <c r="F345" s="1" t="s">
        <v>2290</v>
      </c>
      <c r="G345" s="1" t="s">
        <v>2399</v>
      </c>
      <c r="H345" s="1" t="s">
        <v>2161</v>
      </c>
      <c r="I345" s="1" t="s">
        <v>1636</v>
      </c>
      <c r="J345" s="1" t="s">
        <v>2158</v>
      </c>
      <c r="K345" s="492" t="str">
        <f t="shared" si="23"/>
        <v>Service</v>
      </c>
      <c r="L345" s="486" t="str">
        <f t="shared" si="24"/>
        <v>HR</v>
      </c>
      <c r="M345" s="486" t="str">
        <f t="shared" si="22"/>
        <v>UC</v>
      </c>
      <c r="N345" s="486" t="str">
        <f t="shared" si="25"/>
        <v>IAAS</v>
      </c>
    </row>
    <row r="346" spans="1:14">
      <c r="A346" s="1" t="s">
        <v>970</v>
      </c>
      <c r="B346" s="1" t="s">
        <v>971</v>
      </c>
      <c r="C346" s="1">
        <v>0</v>
      </c>
      <c r="D346" s="1">
        <v>1.5E-3</v>
      </c>
      <c r="E346" s="1" t="s">
        <v>2195</v>
      </c>
      <c r="F346" s="1" t="s">
        <v>2290</v>
      </c>
      <c r="G346" s="1" t="s">
        <v>2400</v>
      </c>
      <c r="H346" s="1" t="s">
        <v>2161</v>
      </c>
      <c r="I346" s="1" t="s">
        <v>1636</v>
      </c>
      <c r="J346" s="1" t="s">
        <v>2159</v>
      </c>
      <c r="K346" s="492" t="str">
        <f t="shared" si="23"/>
        <v>Government</v>
      </c>
      <c r="L346" s="486" t="str">
        <f t="shared" si="24"/>
        <v>HR</v>
      </c>
      <c r="M346" s="486" t="str">
        <f t="shared" si="22"/>
        <v>UC</v>
      </c>
      <c r="N346" s="486" t="str">
        <f t="shared" si="25"/>
        <v>PAAS</v>
      </c>
    </row>
    <row r="347" spans="1:14">
      <c r="A347" s="1" t="s">
        <v>972</v>
      </c>
      <c r="B347" s="1" t="s">
        <v>973</v>
      </c>
      <c r="C347" s="1">
        <v>0</v>
      </c>
      <c r="D347" s="1">
        <v>1.1000000000000001E-3</v>
      </c>
      <c r="E347" s="1" t="s">
        <v>2195</v>
      </c>
      <c r="F347" s="1" t="s">
        <v>2290</v>
      </c>
      <c r="G347" s="1" t="s">
        <v>2400</v>
      </c>
      <c r="H347" s="1" t="s">
        <v>2161</v>
      </c>
      <c r="I347" s="1" t="s">
        <v>1636</v>
      </c>
      <c r="J347" s="1" t="s">
        <v>2159</v>
      </c>
      <c r="K347" s="492" t="str">
        <f t="shared" si="23"/>
        <v>Government</v>
      </c>
      <c r="L347" s="486" t="str">
        <f t="shared" si="24"/>
        <v>HR</v>
      </c>
      <c r="M347" s="486" t="str">
        <f t="shared" si="22"/>
        <v>UC</v>
      </c>
      <c r="N347" s="486" t="str">
        <f t="shared" si="25"/>
        <v>PAAS</v>
      </c>
    </row>
    <row r="348" spans="1:14">
      <c r="A348" s="1" t="s">
        <v>974</v>
      </c>
      <c r="B348" s="1" t="s">
        <v>975</v>
      </c>
      <c r="C348" s="1">
        <v>0</v>
      </c>
      <c r="D348" s="1">
        <v>1.7024999999999999</v>
      </c>
      <c r="E348" s="1" t="s">
        <v>2196</v>
      </c>
      <c r="F348" s="1" t="s">
        <v>2290</v>
      </c>
      <c r="G348" s="1" t="s">
        <v>2400</v>
      </c>
      <c r="H348" s="1" t="s">
        <v>2161</v>
      </c>
      <c r="I348" s="1" t="s">
        <v>1636</v>
      </c>
      <c r="J348" s="1" t="s">
        <v>2159</v>
      </c>
      <c r="K348" s="492" t="str">
        <f t="shared" si="23"/>
        <v>Government</v>
      </c>
      <c r="L348" s="486" t="str">
        <f t="shared" si="24"/>
        <v>HR</v>
      </c>
      <c r="M348" s="486" t="str">
        <f t="shared" si="22"/>
        <v>UC</v>
      </c>
      <c r="N348" s="486" t="str">
        <f t="shared" si="25"/>
        <v>PAAS</v>
      </c>
    </row>
    <row r="349" spans="1:14">
      <c r="A349" s="1" t="s">
        <v>976</v>
      </c>
      <c r="B349" s="1" t="s">
        <v>977</v>
      </c>
      <c r="C349" s="1">
        <v>0</v>
      </c>
      <c r="D349" s="1">
        <v>0.35849999999999999</v>
      </c>
      <c r="E349" s="1" t="s">
        <v>2197</v>
      </c>
      <c r="F349" s="1" t="s">
        <v>2290</v>
      </c>
      <c r="G349" s="1" t="s">
        <v>2400</v>
      </c>
      <c r="H349" s="1" t="s">
        <v>2161</v>
      </c>
      <c r="I349" s="1" t="s">
        <v>1636</v>
      </c>
      <c r="J349" s="1" t="s">
        <v>2159</v>
      </c>
      <c r="K349" s="492" t="str">
        <f t="shared" si="23"/>
        <v>Government</v>
      </c>
      <c r="L349" s="486" t="str">
        <f t="shared" si="24"/>
        <v>HR</v>
      </c>
      <c r="M349" s="486" t="str">
        <f t="shared" si="22"/>
        <v>UC</v>
      </c>
      <c r="N349" s="486" t="str">
        <f t="shared" si="25"/>
        <v>PAAS</v>
      </c>
    </row>
    <row r="350" spans="1:14">
      <c r="A350" s="1" t="s">
        <v>1104</v>
      </c>
      <c r="B350" s="1" t="s">
        <v>1105</v>
      </c>
      <c r="C350" s="1">
        <v>0</v>
      </c>
      <c r="D350" s="1">
        <v>2.2402000000000002</v>
      </c>
      <c r="E350" s="1" t="s">
        <v>2198</v>
      </c>
      <c r="F350" s="1" t="s">
        <v>2290</v>
      </c>
      <c r="G350" s="1" t="s">
        <v>2400</v>
      </c>
      <c r="H350" s="1" t="s">
        <v>2161</v>
      </c>
      <c r="I350" s="1" t="s">
        <v>1636</v>
      </c>
      <c r="J350" s="1" t="s">
        <v>2159</v>
      </c>
      <c r="K350" s="492" t="str">
        <f t="shared" si="23"/>
        <v>Government</v>
      </c>
      <c r="L350" s="486" t="str">
        <f t="shared" si="24"/>
        <v>HR</v>
      </c>
      <c r="M350" s="486" t="str">
        <f t="shared" si="22"/>
        <v>UC</v>
      </c>
      <c r="N350" s="486" t="str">
        <f t="shared" si="25"/>
        <v>PAAS</v>
      </c>
    </row>
    <row r="351" spans="1:14">
      <c r="A351" s="1" t="s">
        <v>480</v>
      </c>
      <c r="B351" s="1" t="s">
        <v>1232</v>
      </c>
      <c r="C351" s="1">
        <v>0</v>
      </c>
      <c r="D351" s="1">
        <v>2.6882000000000001</v>
      </c>
      <c r="E351" s="1" t="s">
        <v>49</v>
      </c>
      <c r="F351" s="1" t="s">
        <v>2290</v>
      </c>
      <c r="G351" s="1" t="s">
        <v>2391</v>
      </c>
      <c r="H351" s="1" t="s">
        <v>2161</v>
      </c>
      <c r="I351" s="1" t="s">
        <v>1636</v>
      </c>
      <c r="J351" s="1" t="s">
        <v>2159</v>
      </c>
      <c r="K351" s="492" t="str">
        <f t="shared" si="23"/>
        <v>Integration</v>
      </c>
      <c r="L351" s="486" t="str">
        <f t="shared" si="24"/>
        <v>HR</v>
      </c>
      <c r="M351" s="486" t="str">
        <f t="shared" si="22"/>
        <v>UC</v>
      </c>
      <c r="N351" s="486" t="str">
        <f t="shared" si="25"/>
        <v>PAAS</v>
      </c>
    </row>
    <row r="352" spans="1:14">
      <c r="A352" s="1" t="s">
        <v>559</v>
      </c>
      <c r="B352" s="1" t="s">
        <v>1910</v>
      </c>
      <c r="C352" s="1">
        <v>0.2903</v>
      </c>
      <c r="D352" s="1">
        <v>0.19350000000000001</v>
      </c>
      <c r="E352" s="1" t="s">
        <v>49</v>
      </c>
      <c r="F352" s="1" t="s">
        <v>2290</v>
      </c>
      <c r="G352" s="1" t="s">
        <v>2396</v>
      </c>
      <c r="H352" s="1" t="s">
        <v>2161</v>
      </c>
      <c r="I352" s="1" t="s">
        <v>1636</v>
      </c>
      <c r="J352" s="1" t="s">
        <v>2159</v>
      </c>
      <c r="K352" s="492" t="str">
        <f t="shared" si="23"/>
        <v>Classic</v>
      </c>
      <c r="L352" s="486" t="str">
        <f t="shared" si="24"/>
        <v>HR</v>
      </c>
      <c r="M352" s="486" t="str">
        <f t="shared" si="22"/>
        <v>UC</v>
      </c>
      <c r="N352" s="486" t="str">
        <f t="shared" si="25"/>
        <v>PAAS</v>
      </c>
    </row>
    <row r="353" spans="1:14">
      <c r="A353" s="1" t="s">
        <v>73</v>
      </c>
      <c r="B353" s="1" t="s">
        <v>74</v>
      </c>
      <c r="C353" s="1">
        <v>0.29039999999999999</v>
      </c>
      <c r="D353" s="1">
        <v>0.19359999999999999</v>
      </c>
      <c r="E353" s="1" t="s">
        <v>49</v>
      </c>
      <c r="F353" s="1" t="s">
        <v>2290</v>
      </c>
      <c r="G353" s="1" t="s">
        <v>2309</v>
      </c>
      <c r="H353" s="1" t="s">
        <v>2161</v>
      </c>
      <c r="I353" s="1" t="s">
        <v>1636</v>
      </c>
      <c r="J353" s="1" t="s">
        <v>2159</v>
      </c>
      <c r="K353" s="492" t="str">
        <f t="shared" si="23"/>
        <v>DBaaS</v>
      </c>
      <c r="L353" s="486" t="str">
        <f t="shared" si="24"/>
        <v>HR</v>
      </c>
      <c r="M353" s="486" t="str">
        <f t="shared" si="22"/>
        <v>UC</v>
      </c>
      <c r="N353" s="486" t="str">
        <f t="shared" si="25"/>
        <v>PAAS</v>
      </c>
    </row>
    <row r="354" spans="1:14">
      <c r="A354" s="1" t="s">
        <v>81</v>
      </c>
      <c r="B354" s="1" t="s">
        <v>1627</v>
      </c>
      <c r="C354" s="1">
        <v>0.4839</v>
      </c>
      <c r="D354" s="1">
        <v>0.3226</v>
      </c>
      <c r="E354" s="1" t="s">
        <v>49</v>
      </c>
      <c r="F354" s="1" t="s">
        <v>2290</v>
      </c>
      <c r="G354" s="1" t="s">
        <v>1838</v>
      </c>
      <c r="H354" s="1" t="s">
        <v>2161</v>
      </c>
      <c r="I354" s="1" t="s">
        <v>1636</v>
      </c>
      <c r="J354" s="1" t="s">
        <v>2159</v>
      </c>
      <c r="K354" s="492" t="str">
        <f t="shared" si="23"/>
        <v>ExaCS</v>
      </c>
      <c r="L354" s="486" t="str">
        <f t="shared" si="24"/>
        <v>HR</v>
      </c>
      <c r="M354" s="486" t="str">
        <f t="shared" si="22"/>
        <v>UC</v>
      </c>
      <c r="N354" s="486" t="str">
        <f t="shared" si="25"/>
        <v>PAAS</v>
      </c>
    </row>
    <row r="355" spans="1:14">
      <c r="A355" s="1" t="s">
        <v>126</v>
      </c>
      <c r="B355" s="1" t="s">
        <v>127</v>
      </c>
      <c r="C355" s="1" t="s">
        <v>133</v>
      </c>
      <c r="D355" s="1">
        <v>135.91399999999999</v>
      </c>
      <c r="E355" s="1" t="s">
        <v>2192</v>
      </c>
      <c r="F355" s="1" t="s">
        <v>2290</v>
      </c>
      <c r="G355" s="1" t="s">
        <v>1838</v>
      </c>
      <c r="H355" s="1" t="s">
        <v>2161</v>
      </c>
      <c r="I355" s="1" t="s">
        <v>1636</v>
      </c>
      <c r="J355" s="1" t="s">
        <v>2159</v>
      </c>
      <c r="K355" s="492" t="str">
        <f t="shared" si="23"/>
        <v>ExaCS</v>
      </c>
      <c r="L355" s="486" t="str">
        <f t="shared" si="24"/>
        <v>HR</v>
      </c>
      <c r="M355" s="486" t="str">
        <f t="shared" si="22"/>
        <v>UC</v>
      </c>
      <c r="N355" s="486" t="str">
        <f t="shared" si="25"/>
        <v>PAAS</v>
      </c>
    </row>
    <row r="356" spans="1:14">
      <c r="A356" s="1" t="s">
        <v>122</v>
      </c>
      <c r="B356" s="1" t="s">
        <v>123</v>
      </c>
      <c r="C356" s="1" t="s">
        <v>133</v>
      </c>
      <c r="D356" s="1">
        <v>67.956999999999994</v>
      </c>
      <c r="E356" s="1" t="s">
        <v>2192</v>
      </c>
      <c r="F356" s="1" t="s">
        <v>2290</v>
      </c>
      <c r="G356" s="1" t="s">
        <v>1838</v>
      </c>
      <c r="H356" s="1" t="s">
        <v>2161</v>
      </c>
      <c r="I356" s="1" t="s">
        <v>1636</v>
      </c>
      <c r="J356" s="1" t="s">
        <v>2159</v>
      </c>
      <c r="K356" s="492" t="str">
        <f t="shared" si="23"/>
        <v>ExaCS</v>
      </c>
      <c r="L356" s="486" t="str">
        <f t="shared" si="24"/>
        <v>HR</v>
      </c>
      <c r="M356" s="486" t="str">
        <f t="shared" si="22"/>
        <v>UC</v>
      </c>
      <c r="N356" s="486" t="str">
        <f t="shared" si="25"/>
        <v>PAAS</v>
      </c>
    </row>
    <row r="357" spans="1:14">
      <c r="A357" s="1" t="s">
        <v>118</v>
      </c>
      <c r="B357" s="1" t="s">
        <v>119</v>
      </c>
      <c r="C357" s="1" t="s">
        <v>133</v>
      </c>
      <c r="D357" s="1">
        <v>33.978499999999997</v>
      </c>
      <c r="E357" s="1" t="s">
        <v>2192</v>
      </c>
      <c r="F357" s="1" t="s">
        <v>2290</v>
      </c>
      <c r="G357" s="1" t="s">
        <v>1838</v>
      </c>
      <c r="H357" s="1" t="s">
        <v>2161</v>
      </c>
      <c r="I357" s="1" t="s">
        <v>1636</v>
      </c>
      <c r="J357" s="1" t="s">
        <v>2159</v>
      </c>
      <c r="K357" s="492" t="str">
        <f t="shared" si="23"/>
        <v>ExaCS</v>
      </c>
      <c r="L357" s="486" t="str">
        <f t="shared" si="24"/>
        <v>HR</v>
      </c>
      <c r="M357" s="486" t="str">
        <f t="shared" si="22"/>
        <v>UC</v>
      </c>
      <c r="N357" s="486" t="str">
        <f t="shared" si="25"/>
        <v>PAAS</v>
      </c>
    </row>
    <row r="358" spans="1:14">
      <c r="A358" s="1" t="s">
        <v>1095</v>
      </c>
      <c r="B358" s="1" t="s">
        <v>1233</v>
      </c>
      <c r="C358" s="1">
        <v>0.75</v>
      </c>
      <c r="D358" s="1">
        <v>0.5</v>
      </c>
      <c r="E358" s="1" t="s">
        <v>2208</v>
      </c>
      <c r="F358" s="1" t="s">
        <v>2290</v>
      </c>
      <c r="G358" s="1" t="s">
        <v>2399</v>
      </c>
      <c r="H358" s="1" t="s">
        <v>2161</v>
      </c>
      <c r="I358" s="1" t="s">
        <v>1636</v>
      </c>
      <c r="J358" s="1" t="s">
        <v>2158</v>
      </c>
      <c r="K358" s="492" t="str">
        <f t="shared" si="23"/>
        <v>Service</v>
      </c>
      <c r="L358" s="486" t="str">
        <f t="shared" si="24"/>
        <v>HR</v>
      </c>
      <c r="M358" s="486" t="str">
        <f t="shared" si="22"/>
        <v>UC</v>
      </c>
      <c r="N358" s="486" t="str">
        <f t="shared" si="25"/>
        <v>IAAS</v>
      </c>
    </row>
    <row r="359" spans="1:14">
      <c r="A359" s="1" t="s">
        <v>593</v>
      </c>
      <c r="B359" s="1" t="s">
        <v>594</v>
      </c>
      <c r="C359" s="1">
        <v>0</v>
      </c>
      <c r="D359" s="1">
        <v>0</v>
      </c>
      <c r="E359" s="1" t="s">
        <v>1154</v>
      </c>
      <c r="F359" s="1" t="s">
        <v>2290</v>
      </c>
      <c r="G359" s="1" t="s">
        <v>2399</v>
      </c>
      <c r="H359" s="1" t="s">
        <v>2397</v>
      </c>
      <c r="I359" s="1" t="s">
        <v>1636</v>
      </c>
      <c r="J359" s="1" t="s">
        <v>2158</v>
      </c>
      <c r="K359" s="492" t="str">
        <f t="shared" si="23"/>
        <v>Service</v>
      </c>
      <c r="L359" s="486" t="str">
        <f t="shared" si="24"/>
        <v>EA</v>
      </c>
      <c r="M359" s="486" t="str">
        <f t="shared" si="22"/>
        <v>UC</v>
      </c>
      <c r="N359" s="486" t="str">
        <f t="shared" si="25"/>
        <v>IAAS</v>
      </c>
    </row>
    <row r="360" spans="1:14">
      <c r="A360" s="1" t="s">
        <v>2262</v>
      </c>
      <c r="B360" s="1" t="s">
        <v>929</v>
      </c>
      <c r="C360" s="1">
        <v>0</v>
      </c>
      <c r="D360" s="1">
        <v>240</v>
      </c>
      <c r="E360" s="1" t="s">
        <v>2070</v>
      </c>
      <c r="F360" s="1" t="s">
        <v>2290</v>
      </c>
      <c r="G360" s="1" t="s">
        <v>2160</v>
      </c>
      <c r="H360" s="1" t="s">
        <v>2394</v>
      </c>
      <c r="I360" s="1" t="s">
        <v>2160</v>
      </c>
      <c r="J360" s="1" t="s">
        <v>2159</v>
      </c>
      <c r="K360" s="492" t="str">
        <f t="shared" si="23"/>
        <v>CC</v>
      </c>
      <c r="L360" s="486" t="str">
        <f t="shared" si="24"/>
        <v>UNIT</v>
      </c>
      <c r="M360" s="486" t="str">
        <f t="shared" si="22"/>
        <v>CC</v>
      </c>
      <c r="N360" s="486" t="str">
        <f t="shared" si="25"/>
        <v>PAAS</v>
      </c>
    </row>
    <row r="361" spans="1:14">
      <c r="A361" s="1" t="s">
        <v>2263</v>
      </c>
      <c r="B361" s="1" t="s">
        <v>930</v>
      </c>
      <c r="C361" s="1">
        <v>0</v>
      </c>
      <c r="D361" s="1">
        <v>0.80649999999999999</v>
      </c>
      <c r="E361" s="1" t="s">
        <v>49</v>
      </c>
      <c r="F361" s="1" t="s">
        <v>2290</v>
      </c>
      <c r="G361" s="1" t="s">
        <v>2160</v>
      </c>
      <c r="H361" s="1" t="s">
        <v>2161</v>
      </c>
      <c r="I361" s="1" t="s">
        <v>2160</v>
      </c>
      <c r="J361" s="1" t="s">
        <v>2159</v>
      </c>
      <c r="K361" s="492" t="str">
        <f t="shared" si="23"/>
        <v>CC</v>
      </c>
      <c r="L361" s="486" t="str">
        <f t="shared" si="24"/>
        <v>HR</v>
      </c>
      <c r="M361" s="486" t="str">
        <f t="shared" si="22"/>
        <v>CC</v>
      </c>
      <c r="N361" s="486" t="str">
        <f t="shared" si="25"/>
        <v>PAAS</v>
      </c>
    </row>
    <row r="362" spans="1:14">
      <c r="A362" s="1" t="s">
        <v>2264</v>
      </c>
      <c r="B362" s="1" t="s">
        <v>931</v>
      </c>
      <c r="C362" s="1">
        <v>0</v>
      </c>
      <c r="D362" s="1">
        <v>240</v>
      </c>
      <c r="E362" s="1" t="s">
        <v>2070</v>
      </c>
      <c r="F362" s="1" t="s">
        <v>2290</v>
      </c>
      <c r="G362" s="1" t="s">
        <v>2160</v>
      </c>
      <c r="H362" s="1" t="s">
        <v>2394</v>
      </c>
      <c r="I362" s="1" t="s">
        <v>2160</v>
      </c>
      <c r="J362" s="1" t="s">
        <v>2159</v>
      </c>
      <c r="K362" s="492" t="str">
        <f t="shared" si="23"/>
        <v>CC</v>
      </c>
      <c r="L362" s="486" t="str">
        <f t="shared" si="24"/>
        <v>UNIT</v>
      </c>
      <c r="M362" s="486" t="str">
        <f t="shared" si="22"/>
        <v>CC</v>
      </c>
      <c r="N362" s="486" t="str">
        <f t="shared" si="25"/>
        <v>PAAS</v>
      </c>
    </row>
    <row r="363" spans="1:14">
      <c r="A363" s="1" t="s">
        <v>2265</v>
      </c>
      <c r="B363" s="1" t="s">
        <v>932</v>
      </c>
      <c r="C363" s="1">
        <v>0</v>
      </c>
      <c r="D363" s="1">
        <v>0.80649999999999999</v>
      </c>
      <c r="E363" s="1" t="s">
        <v>49</v>
      </c>
      <c r="F363" s="1" t="s">
        <v>2290</v>
      </c>
      <c r="G363" s="1" t="s">
        <v>2160</v>
      </c>
      <c r="H363" s="1" t="s">
        <v>2161</v>
      </c>
      <c r="I363" s="1" t="s">
        <v>2160</v>
      </c>
      <c r="J363" s="1" t="s">
        <v>2159</v>
      </c>
      <c r="K363" s="492" t="str">
        <f t="shared" si="23"/>
        <v>CC</v>
      </c>
      <c r="L363" s="486" t="str">
        <f t="shared" si="24"/>
        <v>HR</v>
      </c>
      <c r="M363" s="486" t="str">
        <f t="shared" si="22"/>
        <v>CC</v>
      </c>
      <c r="N363" s="486" t="str">
        <f t="shared" si="25"/>
        <v>PAAS</v>
      </c>
    </row>
    <row r="364" spans="1:14">
      <c r="A364" s="1" t="s">
        <v>590</v>
      </c>
      <c r="B364" s="1" t="s">
        <v>1165</v>
      </c>
      <c r="C364" s="1">
        <v>0.4839</v>
      </c>
      <c r="D364" s="1">
        <v>0.3226</v>
      </c>
      <c r="E364" s="1" t="s">
        <v>49</v>
      </c>
      <c r="F364" s="1" t="s">
        <v>2290</v>
      </c>
      <c r="G364" s="1" t="s">
        <v>1836</v>
      </c>
      <c r="H364" s="1" t="s">
        <v>2161</v>
      </c>
      <c r="I364" s="1" t="s">
        <v>1636</v>
      </c>
      <c r="J364" s="1" t="s">
        <v>2159</v>
      </c>
      <c r="K364" s="492" t="str">
        <f t="shared" si="23"/>
        <v>ADW</v>
      </c>
      <c r="L364" s="486" t="str">
        <f t="shared" si="24"/>
        <v>HR</v>
      </c>
      <c r="M364" s="486" t="str">
        <f t="shared" si="22"/>
        <v>UC</v>
      </c>
      <c r="N364" s="486" t="str">
        <f t="shared" si="25"/>
        <v>PAAS</v>
      </c>
    </row>
    <row r="365" spans="1:14">
      <c r="A365" s="1" t="s">
        <v>591</v>
      </c>
      <c r="B365" s="1" t="s">
        <v>1133</v>
      </c>
      <c r="C365" s="1">
        <v>2.5202</v>
      </c>
      <c r="D365" s="1">
        <v>1.6800999999999999</v>
      </c>
      <c r="E365" s="1" t="s">
        <v>49</v>
      </c>
      <c r="F365" s="1" t="s">
        <v>2290</v>
      </c>
      <c r="G365" s="1" t="s">
        <v>1836</v>
      </c>
      <c r="H365" s="1" t="s">
        <v>2161</v>
      </c>
      <c r="I365" s="1" t="s">
        <v>1636</v>
      </c>
      <c r="J365" s="1" t="s">
        <v>2159</v>
      </c>
      <c r="K365" s="492" t="str">
        <f t="shared" si="23"/>
        <v>ADW</v>
      </c>
      <c r="L365" s="486" t="str">
        <f t="shared" si="24"/>
        <v>HR</v>
      </c>
      <c r="M365" s="486" t="str">
        <f t="shared" si="22"/>
        <v>UC</v>
      </c>
      <c r="N365" s="486" t="str">
        <f t="shared" si="25"/>
        <v>PAAS</v>
      </c>
    </row>
    <row r="366" spans="1:14">
      <c r="A366" s="1" t="s">
        <v>592</v>
      </c>
      <c r="B366" s="1" t="s">
        <v>1134</v>
      </c>
      <c r="C366" s="1">
        <v>222</v>
      </c>
      <c r="D366" s="1">
        <v>148</v>
      </c>
      <c r="E366" s="1" t="s">
        <v>2209</v>
      </c>
      <c r="F366" s="1" t="s">
        <v>2290</v>
      </c>
      <c r="G366" s="1" t="s">
        <v>2132</v>
      </c>
      <c r="H366" s="1" t="s">
        <v>2401</v>
      </c>
      <c r="I366" s="1" t="s">
        <v>1636</v>
      </c>
      <c r="J366" s="1" t="s">
        <v>2159</v>
      </c>
      <c r="K366" s="492" t="str">
        <f t="shared" si="23"/>
        <v>Exa Storage</v>
      </c>
      <c r="L366" s="486" t="str">
        <f t="shared" si="24"/>
        <v>TB</v>
      </c>
      <c r="M366" s="486" t="str">
        <f t="shared" si="22"/>
        <v>UC</v>
      </c>
      <c r="N366" s="486" t="str">
        <f t="shared" si="25"/>
        <v>PAAS</v>
      </c>
    </row>
    <row r="367" spans="1:14">
      <c r="A367" s="1" t="s">
        <v>979</v>
      </c>
      <c r="B367" s="1" t="s">
        <v>980</v>
      </c>
      <c r="C367" s="1">
        <v>0.3</v>
      </c>
      <c r="D367" s="1">
        <v>0.3</v>
      </c>
      <c r="E367" s="1" t="s">
        <v>2175</v>
      </c>
      <c r="F367" s="1" t="s">
        <v>2290</v>
      </c>
      <c r="G367" s="1" t="s">
        <v>1840</v>
      </c>
      <c r="H367" s="1" t="s">
        <v>2162</v>
      </c>
      <c r="I367" s="1" t="s">
        <v>1636</v>
      </c>
      <c r="J367" s="1" t="s">
        <v>2158</v>
      </c>
      <c r="K367" s="492" t="str">
        <f t="shared" si="23"/>
        <v>Storage</v>
      </c>
      <c r="L367" s="486" t="str">
        <f t="shared" si="24"/>
        <v>GB</v>
      </c>
      <c r="M367" s="486" t="str">
        <f t="shared" si="22"/>
        <v>UC</v>
      </c>
      <c r="N367" s="486" t="str">
        <f t="shared" si="25"/>
        <v>IAAS</v>
      </c>
    </row>
    <row r="368" spans="1:14">
      <c r="A368" s="1" t="s">
        <v>2266</v>
      </c>
      <c r="B368" s="1" t="s">
        <v>933</v>
      </c>
      <c r="C368" s="1">
        <v>0</v>
      </c>
      <c r="D368" s="1">
        <v>1250</v>
      </c>
      <c r="E368" s="1" t="s">
        <v>2070</v>
      </c>
      <c r="F368" s="1" t="s">
        <v>2290</v>
      </c>
      <c r="G368" s="1" t="s">
        <v>2160</v>
      </c>
      <c r="H368" s="1" t="s">
        <v>2394</v>
      </c>
      <c r="I368" s="1" t="s">
        <v>2160</v>
      </c>
      <c r="J368" s="1" t="s">
        <v>2159</v>
      </c>
      <c r="K368" s="492" t="str">
        <f t="shared" si="23"/>
        <v>CC</v>
      </c>
      <c r="L368" s="486" t="str">
        <f t="shared" si="24"/>
        <v>UNIT</v>
      </c>
      <c r="M368" s="486" t="str">
        <f t="shared" si="22"/>
        <v>CC</v>
      </c>
      <c r="N368" s="486" t="str">
        <f t="shared" si="25"/>
        <v>PAAS</v>
      </c>
    </row>
    <row r="369" spans="1:14">
      <c r="A369" s="1" t="s">
        <v>2267</v>
      </c>
      <c r="B369" s="1" t="s">
        <v>934</v>
      </c>
      <c r="C369" s="1">
        <v>0</v>
      </c>
      <c r="D369" s="1">
        <v>4.2003000000000004</v>
      </c>
      <c r="E369" s="1" t="s">
        <v>49</v>
      </c>
      <c r="F369" s="1" t="s">
        <v>2290</v>
      </c>
      <c r="G369" s="1" t="s">
        <v>2160</v>
      </c>
      <c r="H369" s="1" t="s">
        <v>2161</v>
      </c>
      <c r="I369" s="1" t="s">
        <v>2160</v>
      </c>
      <c r="J369" s="1" t="s">
        <v>2159</v>
      </c>
      <c r="K369" s="492" t="str">
        <f t="shared" si="23"/>
        <v>CC</v>
      </c>
      <c r="L369" s="486" t="str">
        <f t="shared" si="24"/>
        <v>HR</v>
      </c>
      <c r="M369" s="486" t="str">
        <f t="shared" si="22"/>
        <v>CC</v>
      </c>
      <c r="N369" s="486" t="str">
        <f t="shared" si="25"/>
        <v>PAAS</v>
      </c>
    </row>
    <row r="370" spans="1:14">
      <c r="A370" s="1" t="s">
        <v>2239</v>
      </c>
      <c r="B370" s="1" t="s">
        <v>935</v>
      </c>
      <c r="C370" s="1">
        <v>0</v>
      </c>
      <c r="D370" s="1">
        <v>1250</v>
      </c>
      <c r="E370" s="1" t="s">
        <v>2070</v>
      </c>
      <c r="F370" s="1" t="s">
        <v>2290</v>
      </c>
      <c r="G370" s="1" t="s">
        <v>2160</v>
      </c>
      <c r="H370" s="1" t="s">
        <v>2394</v>
      </c>
      <c r="I370" s="1" t="s">
        <v>2160</v>
      </c>
      <c r="J370" s="1" t="s">
        <v>2159</v>
      </c>
      <c r="K370" s="492" t="str">
        <f t="shared" si="23"/>
        <v>CC</v>
      </c>
      <c r="L370" s="486" t="str">
        <f t="shared" si="24"/>
        <v>UNIT</v>
      </c>
      <c r="M370" s="486" t="str">
        <f t="shared" si="22"/>
        <v>CC</v>
      </c>
      <c r="N370" s="486" t="str">
        <f t="shared" si="25"/>
        <v>PAAS</v>
      </c>
    </row>
    <row r="371" spans="1:14">
      <c r="A371" s="1" t="s">
        <v>936</v>
      </c>
      <c r="B371" s="1" t="s">
        <v>937</v>
      </c>
      <c r="C371" s="1">
        <v>0</v>
      </c>
      <c r="D371" s="1">
        <v>4.2003000000000004</v>
      </c>
      <c r="E371" s="1" t="s">
        <v>49</v>
      </c>
      <c r="F371" s="1" t="s">
        <v>2290</v>
      </c>
      <c r="G371" s="1" t="s">
        <v>2160</v>
      </c>
      <c r="H371" s="1" t="s">
        <v>2161</v>
      </c>
      <c r="I371" s="1" t="s">
        <v>2160</v>
      </c>
      <c r="J371" s="1" t="s">
        <v>2159</v>
      </c>
      <c r="K371" s="492" t="str">
        <f t="shared" si="23"/>
        <v>CC</v>
      </c>
      <c r="L371" s="486" t="str">
        <f t="shared" si="24"/>
        <v>HR</v>
      </c>
      <c r="M371" s="486" t="str">
        <f t="shared" si="22"/>
        <v>CC</v>
      </c>
      <c r="N371" s="486" t="str">
        <f t="shared" si="25"/>
        <v>PAAS</v>
      </c>
    </row>
    <row r="372" spans="1:14">
      <c r="A372" s="1" t="s">
        <v>595</v>
      </c>
      <c r="B372" s="1" t="s">
        <v>596</v>
      </c>
      <c r="C372" s="1">
        <v>0</v>
      </c>
      <c r="D372" s="1">
        <v>7.4999999999999997E-2</v>
      </c>
      <c r="E372" s="1" t="s">
        <v>49</v>
      </c>
      <c r="F372" s="1" t="s">
        <v>2290</v>
      </c>
      <c r="G372" s="1" t="s">
        <v>1835</v>
      </c>
      <c r="H372" s="1" t="s">
        <v>2161</v>
      </c>
      <c r="I372" s="1" t="s">
        <v>1636</v>
      </c>
      <c r="J372" s="1" t="s">
        <v>2158</v>
      </c>
      <c r="K372" s="492" t="str">
        <f t="shared" si="23"/>
        <v>Compute</v>
      </c>
      <c r="L372" s="486" t="str">
        <f t="shared" si="24"/>
        <v>HR</v>
      </c>
      <c r="M372" s="486" t="str">
        <f t="shared" si="22"/>
        <v>UC</v>
      </c>
      <c r="N372" s="486" t="str">
        <f t="shared" si="25"/>
        <v>IAAS</v>
      </c>
    </row>
    <row r="373" spans="1:14">
      <c r="A373" s="1" t="s">
        <v>597</v>
      </c>
      <c r="B373" s="1" t="s">
        <v>598</v>
      </c>
      <c r="C373" s="1">
        <v>0</v>
      </c>
      <c r="D373" s="1">
        <v>7.4999999999999997E-2</v>
      </c>
      <c r="E373" s="1" t="s">
        <v>49</v>
      </c>
      <c r="F373" s="1" t="s">
        <v>2290</v>
      </c>
      <c r="G373" s="1" t="s">
        <v>1835</v>
      </c>
      <c r="H373" s="1" t="s">
        <v>2161</v>
      </c>
      <c r="I373" s="1" t="s">
        <v>1636</v>
      </c>
      <c r="J373" s="1" t="s">
        <v>2158</v>
      </c>
      <c r="K373" s="492" t="str">
        <f t="shared" si="23"/>
        <v>Compute</v>
      </c>
      <c r="L373" s="486" t="str">
        <f t="shared" si="24"/>
        <v>HR</v>
      </c>
      <c r="M373" s="486" t="str">
        <f t="shared" si="22"/>
        <v>UC</v>
      </c>
      <c r="N373" s="486" t="str">
        <f t="shared" si="25"/>
        <v>IAAS</v>
      </c>
    </row>
    <row r="374" spans="1:14">
      <c r="A374" s="1" t="s">
        <v>599</v>
      </c>
      <c r="B374" s="1" t="s">
        <v>600</v>
      </c>
      <c r="C374" s="1">
        <v>0</v>
      </c>
      <c r="D374" s="1">
        <v>0.15</v>
      </c>
      <c r="E374" s="1" t="s">
        <v>49</v>
      </c>
      <c r="F374" s="1" t="s">
        <v>2290</v>
      </c>
      <c r="G374" s="1" t="s">
        <v>1835</v>
      </c>
      <c r="H374" s="1" t="s">
        <v>2161</v>
      </c>
      <c r="I374" s="1" t="s">
        <v>1636</v>
      </c>
      <c r="J374" s="1" t="s">
        <v>2158</v>
      </c>
      <c r="K374" s="492" t="str">
        <f t="shared" si="23"/>
        <v>Compute</v>
      </c>
      <c r="L374" s="486" t="str">
        <f t="shared" si="24"/>
        <v>HR</v>
      </c>
      <c r="M374" s="486" t="str">
        <f t="shared" si="22"/>
        <v>UC</v>
      </c>
      <c r="N374" s="486" t="str">
        <f t="shared" si="25"/>
        <v>IAAS</v>
      </c>
    </row>
    <row r="375" spans="1:14">
      <c r="A375" s="1" t="s">
        <v>601</v>
      </c>
      <c r="B375" s="1" t="s">
        <v>602</v>
      </c>
      <c r="C375" s="1">
        <v>0</v>
      </c>
      <c r="D375" s="1">
        <v>0.15</v>
      </c>
      <c r="E375" s="1" t="s">
        <v>49</v>
      </c>
      <c r="F375" s="1" t="s">
        <v>2290</v>
      </c>
      <c r="G375" s="1" t="s">
        <v>1835</v>
      </c>
      <c r="H375" s="1" t="s">
        <v>2161</v>
      </c>
      <c r="I375" s="1" t="s">
        <v>1636</v>
      </c>
      <c r="J375" s="1" t="s">
        <v>2158</v>
      </c>
      <c r="K375" s="492" t="str">
        <f t="shared" si="23"/>
        <v>Compute</v>
      </c>
      <c r="L375" s="486" t="str">
        <f t="shared" si="24"/>
        <v>HR</v>
      </c>
      <c r="M375" s="486" t="str">
        <f t="shared" si="22"/>
        <v>UC</v>
      </c>
      <c r="N375" s="486" t="str">
        <f t="shared" si="25"/>
        <v>IAAS</v>
      </c>
    </row>
    <row r="376" spans="1:14">
      <c r="A376" s="1" t="s">
        <v>603</v>
      </c>
      <c r="B376" s="1" t="s">
        <v>604</v>
      </c>
      <c r="C376" s="1">
        <v>0</v>
      </c>
      <c r="D376" s="1">
        <v>1.5</v>
      </c>
      <c r="E376" s="1" t="s">
        <v>2191</v>
      </c>
      <c r="F376" s="1" t="s">
        <v>2290</v>
      </c>
      <c r="G376" s="1" t="s">
        <v>1835</v>
      </c>
      <c r="H376" s="1" t="s">
        <v>2161</v>
      </c>
      <c r="I376" s="1" t="s">
        <v>1636</v>
      </c>
      <c r="J376" s="1" t="s">
        <v>2158</v>
      </c>
      <c r="K376" s="492" t="str">
        <f t="shared" si="23"/>
        <v>Compute</v>
      </c>
      <c r="L376" s="486" t="str">
        <f t="shared" si="24"/>
        <v>HR</v>
      </c>
      <c r="M376" s="486" t="str">
        <f t="shared" si="22"/>
        <v>UC</v>
      </c>
      <c r="N376" s="486" t="str">
        <f t="shared" si="25"/>
        <v>IAAS</v>
      </c>
    </row>
    <row r="377" spans="1:14">
      <c r="A377" s="1" t="s">
        <v>605</v>
      </c>
      <c r="B377" s="1" t="s">
        <v>606</v>
      </c>
      <c r="C377" s="1">
        <v>0</v>
      </c>
      <c r="D377" s="1">
        <v>1</v>
      </c>
      <c r="E377" s="1" t="s">
        <v>2201</v>
      </c>
      <c r="F377" s="1" t="s">
        <v>2290</v>
      </c>
      <c r="G377" s="1" t="s">
        <v>2393</v>
      </c>
      <c r="H377" s="1" t="s">
        <v>2394</v>
      </c>
      <c r="I377" s="1" t="s">
        <v>1636</v>
      </c>
      <c r="J377" s="1" t="s">
        <v>2159</v>
      </c>
      <c r="K377" s="492" t="str">
        <f t="shared" si="23"/>
        <v>Deprecated</v>
      </c>
      <c r="L377" s="486" t="str">
        <f t="shared" si="24"/>
        <v>UNIT</v>
      </c>
      <c r="M377" s="486" t="str">
        <f t="shared" si="22"/>
        <v>UC</v>
      </c>
      <c r="N377" s="486" t="str">
        <f t="shared" si="25"/>
        <v>PAAS</v>
      </c>
    </row>
    <row r="378" spans="1:14">
      <c r="A378" s="1" t="s">
        <v>607</v>
      </c>
      <c r="B378" s="1" t="s">
        <v>608</v>
      </c>
      <c r="C378" s="1">
        <v>0</v>
      </c>
      <c r="D378" s="1">
        <v>0.1</v>
      </c>
      <c r="E378" s="1" t="s">
        <v>2200</v>
      </c>
      <c r="F378" s="1" t="s">
        <v>2290</v>
      </c>
      <c r="G378" s="1" t="s">
        <v>2393</v>
      </c>
      <c r="H378" s="1" t="s">
        <v>2394</v>
      </c>
      <c r="I378" s="1" t="s">
        <v>1636</v>
      </c>
      <c r="J378" s="1" t="s">
        <v>2159</v>
      </c>
      <c r="K378" s="492" t="str">
        <f t="shared" si="23"/>
        <v>Deprecated</v>
      </c>
      <c r="L378" s="486" t="str">
        <f t="shared" si="24"/>
        <v>UNIT</v>
      </c>
      <c r="M378" s="486" t="str">
        <f t="shared" si="22"/>
        <v>UC</v>
      </c>
      <c r="N378" s="486" t="str">
        <f t="shared" si="25"/>
        <v>PAAS</v>
      </c>
    </row>
    <row r="379" spans="1:14">
      <c r="A379" s="1" t="s">
        <v>609</v>
      </c>
      <c r="B379" s="1" t="s">
        <v>610</v>
      </c>
      <c r="C379" s="1">
        <v>0</v>
      </c>
      <c r="D379" s="1">
        <v>3.0000000000000001E-3</v>
      </c>
      <c r="E379" s="1" t="s">
        <v>2175</v>
      </c>
      <c r="F379" s="1" t="s">
        <v>2290</v>
      </c>
      <c r="G379" s="1" t="s">
        <v>1840</v>
      </c>
      <c r="H379" s="1" t="s">
        <v>2162</v>
      </c>
      <c r="I379" s="1" t="s">
        <v>1636</v>
      </c>
      <c r="J379" s="1" t="s">
        <v>2158</v>
      </c>
      <c r="K379" s="492" t="str">
        <f t="shared" si="23"/>
        <v>Storage</v>
      </c>
      <c r="L379" s="486" t="str">
        <f t="shared" si="24"/>
        <v>GB</v>
      </c>
      <c r="M379" s="486" t="str">
        <f t="shared" si="22"/>
        <v>UC</v>
      </c>
      <c r="N379" s="486" t="str">
        <f t="shared" si="25"/>
        <v>IAAS</v>
      </c>
    </row>
    <row r="380" spans="1:14">
      <c r="A380" s="1" t="s">
        <v>1017</v>
      </c>
      <c r="B380" s="1" t="s">
        <v>1911</v>
      </c>
      <c r="C380" s="1">
        <v>1.2602</v>
      </c>
      <c r="D380" s="1">
        <v>0.84009999999999996</v>
      </c>
      <c r="E380" s="1" t="s">
        <v>2206</v>
      </c>
      <c r="F380" s="1" t="s">
        <v>2290</v>
      </c>
      <c r="G380" s="1" t="s">
        <v>2399</v>
      </c>
      <c r="H380" s="1" t="s">
        <v>2161</v>
      </c>
      <c r="I380" s="1" t="s">
        <v>1636</v>
      </c>
      <c r="J380" s="1" t="s">
        <v>2158</v>
      </c>
      <c r="K380" s="492" t="str">
        <f t="shared" si="23"/>
        <v>Service</v>
      </c>
      <c r="L380" s="486" t="str">
        <f t="shared" si="24"/>
        <v>HR</v>
      </c>
      <c r="M380" s="486" t="str">
        <f t="shared" si="22"/>
        <v>UC</v>
      </c>
      <c r="N380" s="486" t="str">
        <f t="shared" si="25"/>
        <v>IAAS</v>
      </c>
    </row>
    <row r="381" spans="1:14">
      <c r="A381" s="1" t="s">
        <v>1018</v>
      </c>
      <c r="B381" s="1" t="s">
        <v>1912</v>
      </c>
      <c r="C381" s="1">
        <v>2.5202</v>
      </c>
      <c r="D381" s="1">
        <v>1.6800999999999999</v>
      </c>
      <c r="E381" s="1" t="s">
        <v>2206</v>
      </c>
      <c r="F381" s="1" t="s">
        <v>2290</v>
      </c>
      <c r="G381" s="1" t="s">
        <v>2399</v>
      </c>
      <c r="H381" s="1" t="s">
        <v>2161</v>
      </c>
      <c r="I381" s="1" t="s">
        <v>1636</v>
      </c>
      <c r="J381" s="1" t="s">
        <v>2158</v>
      </c>
      <c r="K381" s="492" t="str">
        <f t="shared" si="23"/>
        <v>Service</v>
      </c>
      <c r="L381" s="486" t="str">
        <f t="shared" si="24"/>
        <v>HR</v>
      </c>
      <c r="M381" s="486" t="str">
        <f t="shared" si="22"/>
        <v>UC</v>
      </c>
      <c r="N381" s="486" t="str">
        <f t="shared" si="25"/>
        <v>IAAS</v>
      </c>
    </row>
    <row r="382" spans="1:14">
      <c r="A382" s="1" t="s">
        <v>1019</v>
      </c>
      <c r="B382" s="1" t="s">
        <v>1913</v>
      </c>
      <c r="C382" s="1">
        <v>0.6048</v>
      </c>
      <c r="D382" s="1">
        <v>0.4032</v>
      </c>
      <c r="E382" s="1" t="s">
        <v>2207</v>
      </c>
      <c r="F382" s="1" t="s">
        <v>2290</v>
      </c>
      <c r="G382" s="1" t="s">
        <v>2399</v>
      </c>
      <c r="H382" s="1" t="s">
        <v>2161</v>
      </c>
      <c r="I382" s="1" t="s">
        <v>1636</v>
      </c>
      <c r="J382" s="1" t="s">
        <v>2158</v>
      </c>
      <c r="K382" s="492" t="str">
        <f t="shared" si="23"/>
        <v>Service</v>
      </c>
      <c r="L382" s="486" t="str">
        <f t="shared" si="24"/>
        <v>HR</v>
      </c>
      <c r="M382" s="486" t="str">
        <f t="shared" si="22"/>
        <v>UC</v>
      </c>
      <c r="N382" s="486" t="str">
        <f t="shared" si="25"/>
        <v>IAAS</v>
      </c>
    </row>
    <row r="383" spans="1:14">
      <c r="A383" s="1" t="s">
        <v>1020</v>
      </c>
      <c r="B383" s="1" t="s">
        <v>1021</v>
      </c>
      <c r="C383" s="1">
        <v>0</v>
      </c>
      <c r="D383" s="1">
        <v>0.05</v>
      </c>
      <c r="E383" s="1" t="s">
        <v>2175</v>
      </c>
      <c r="F383" s="1" t="s">
        <v>2290</v>
      </c>
      <c r="G383" s="1" t="s">
        <v>1840</v>
      </c>
      <c r="H383" s="1" t="s">
        <v>2162</v>
      </c>
      <c r="I383" s="1" t="s">
        <v>1636</v>
      </c>
      <c r="J383" s="1" t="s">
        <v>2158</v>
      </c>
      <c r="K383" s="492" t="str">
        <f t="shared" si="23"/>
        <v>Storage</v>
      </c>
      <c r="L383" s="486" t="str">
        <f t="shared" si="24"/>
        <v>GB</v>
      </c>
      <c r="M383" s="486" t="str">
        <f t="shared" si="22"/>
        <v>UC</v>
      </c>
      <c r="N383" s="486" t="str">
        <f t="shared" si="25"/>
        <v>IAAS</v>
      </c>
    </row>
    <row r="384" spans="1:14">
      <c r="A384" s="1" t="s">
        <v>981</v>
      </c>
      <c r="B384" s="1" t="s">
        <v>1022</v>
      </c>
      <c r="C384" s="1">
        <v>0</v>
      </c>
      <c r="D384" s="1">
        <v>6.3799999999999996E-2</v>
      </c>
      <c r="E384" s="1" t="s">
        <v>49</v>
      </c>
      <c r="F384" s="1" t="s">
        <v>2290</v>
      </c>
      <c r="G384" s="1" t="s">
        <v>1835</v>
      </c>
      <c r="H384" s="1" t="s">
        <v>2161</v>
      </c>
      <c r="I384" s="1" t="s">
        <v>1636</v>
      </c>
      <c r="J384" s="1" t="s">
        <v>2158</v>
      </c>
      <c r="K384" s="492" t="str">
        <f t="shared" si="23"/>
        <v>Compute</v>
      </c>
      <c r="L384" s="486" t="str">
        <f t="shared" si="24"/>
        <v>HR</v>
      </c>
      <c r="M384" s="486" t="str">
        <f t="shared" si="22"/>
        <v>UC</v>
      </c>
      <c r="N384" s="486" t="str">
        <f t="shared" si="25"/>
        <v>IAAS</v>
      </c>
    </row>
    <row r="385" spans="1:14">
      <c r="A385" s="1" t="s">
        <v>982</v>
      </c>
      <c r="B385" s="1" t="s">
        <v>1023</v>
      </c>
      <c r="C385" s="1">
        <v>0</v>
      </c>
      <c r="D385" s="1">
        <v>6.3799999999999996E-2</v>
      </c>
      <c r="E385" s="1" t="s">
        <v>49</v>
      </c>
      <c r="F385" s="1" t="s">
        <v>2290</v>
      </c>
      <c r="G385" s="1" t="s">
        <v>1835</v>
      </c>
      <c r="H385" s="1" t="s">
        <v>2161</v>
      </c>
      <c r="I385" s="1" t="s">
        <v>1636</v>
      </c>
      <c r="J385" s="1" t="s">
        <v>2158</v>
      </c>
      <c r="K385" s="492" t="str">
        <f t="shared" si="23"/>
        <v>Compute</v>
      </c>
      <c r="L385" s="486" t="str">
        <f t="shared" si="24"/>
        <v>HR</v>
      </c>
      <c r="M385" s="486" t="str">
        <f t="shared" si="22"/>
        <v>UC</v>
      </c>
      <c r="N385" s="486" t="str">
        <f t="shared" si="25"/>
        <v>IAAS</v>
      </c>
    </row>
    <row r="386" spans="1:14">
      <c r="A386" s="1" t="s">
        <v>983</v>
      </c>
      <c r="B386" s="1" t="s">
        <v>1024</v>
      </c>
      <c r="C386" s="1">
        <v>0</v>
      </c>
      <c r="D386" s="1">
        <v>0.1275</v>
      </c>
      <c r="E386" s="1" t="s">
        <v>49</v>
      </c>
      <c r="F386" s="1" t="s">
        <v>2290</v>
      </c>
      <c r="G386" s="1" t="s">
        <v>1835</v>
      </c>
      <c r="H386" s="1" t="s">
        <v>2161</v>
      </c>
      <c r="I386" s="1" t="s">
        <v>1636</v>
      </c>
      <c r="J386" s="1" t="s">
        <v>2158</v>
      </c>
      <c r="K386" s="492" t="str">
        <f t="shared" si="23"/>
        <v>Compute</v>
      </c>
      <c r="L386" s="486" t="str">
        <f t="shared" si="24"/>
        <v>HR</v>
      </c>
      <c r="M386" s="486" t="str">
        <f t="shared" si="22"/>
        <v>UC</v>
      </c>
      <c r="N386" s="486" t="str">
        <f t="shared" si="25"/>
        <v>IAAS</v>
      </c>
    </row>
    <row r="387" spans="1:14">
      <c r="A387" s="1" t="s">
        <v>984</v>
      </c>
      <c r="B387" s="1" t="s">
        <v>1025</v>
      </c>
      <c r="C387" s="1">
        <v>0</v>
      </c>
      <c r="D387" s="1">
        <v>0.1275</v>
      </c>
      <c r="E387" s="1" t="s">
        <v>49</v>
      </c>
      <c r="F387" s="1" t="s">
        <v>2290</v>
      </c>
      <c r="G387" s="1" t="s">
        <v>1835</v>
      </c>
      <c r="H387" s="1" t="s">
        <v>2161</v>
      </c>
      <c r="I387" s="1" t="s">
        <v>1636</v>
      </c>
      <c r="J387" s="1" t="s">
        <v>2158</v>
      </c>
      <c r="K387" s="492" t="str">
        <f t="shared" si="23"/>
        <v>Compute</v>
      </c>
      <c r="L387" s="486" t="str">
        <f t="shared" si="24"/>
        <v>HR</v>
      </c>
      <c r="M387" s="486" t="str">
        <f t="shared" si="22"/>
        <v>UC</v>
      </c>
      <c r="N387" s="486" t="str">
        <f t="shared" si="25"/>
        <v>IAAS</v>
      </c>
    </row>
    <row r="388" spans="1:14">
      <c r="A388" s="1" t="s">
        <v>985</v>
      </c>
      <c r="B388" s="1" t="s">
        <v>1026</v>
      </c>
      <c r="C388" s="1">
        <v>0</v>
      </c>
      <c r="D388" s="1">
        <v>1.2749999999999999</v>
      </c>
      <c r="E388" s="1" t="s">
        <v>2191</v>
      </c>
      <c r="F388" s="1" t="s">
        <v>2290</v>
      </c>
      <c r="G388" s="1" t="s">
        <v>1835</v>
      </c>
      <c r="H388" s="1" t="s">
        <v>2161</v>
      </c>
      <c r="I388" s="1" t="s">
        <v>1636</v>
      </c>
      <c r="J388" s="1" t="s">
        <v>2158</v>
      </c>
      <c r="K388" s="492" t="str">
        <f t="shared" si="23"/>
        <v>Compute</v>
      </c>
      <c r="L388" s="486" t="str">
        <f t="shared" si="24"/>
        <v>HR</v>
      </c>
      <c r="M388" s="486" t="str">
        <f t="shared" ref="M388:M451" si="26">_xlfn.IFS(K388="CC","CC",K388="Rapid Start","SRV",F388="Y","UC0",TRUE,"UC")</f>
        <v>UC</v>
      </c>
      <c r="N388" s="486" t="str">
        <f t="shared" si="25"/>
        <v>IAAS</v>
      </c>
    </row>
    <row r="389" spans="1:14">
      <c r="A389" s="1" t="s">
        <v>986</v>
      </c>
      <c r="B389" s="1" t="s">
        <v>1027</v>
      </c>
      <c r="C389" s="1">
        <v>0</v>
      </c>
      <c r="D389" s="1">
        <v>9.1999999999999998E-2</v>
      </c>
      <c r="E389" s="1" t="s">
        <v>49</v>
      </c>
      <c r="F389" s="1" t="s">
        <v>2290</v>
      </c>
      <c r="G389" s="1" t="s">
        <v>1835</v>
      </c>
      <c r="H389" s="1" t="s">
        <v>2161</v>
      </c>
      <c r="I389" s="1" t="s">
        <v>1636</v>
      </c>
      <c r="J389" s="1" t="s">
        <v>2158</v>
      </c>
      <c r="K389" s="492" t="str">
        <f t="shared" si="23"/>
        <v>Compute</v>
      </c>
      <c r="L389" s="486" t="str">
        <f t="shared" si="24"/>
        <v>HR</v>
      </c>
      <c r="M389" s="486" t="str">
        <f t="shared" si="26"/>
        <v>UC</v>
      </c>
      <c r="N389" s="486" t="str">
        <f t="shared" si="25"/>
        <v>IAAS</v>
      </c>
    </row>
    <row r="390" spans="1:14">
      <c r="A390" s="1" t="s">
        <v>987</v>
      </c>
      <c r="B390" s="1" t="s">
        <v>1028</v>
      </c>
      <c r="C390" s="1">
        <v>0</v>
      </c>
      <c r="D390" s="1">
        <v>2.1299999999999999E-2</v>
      </c>
      <c r="E390" s="1" t="s">
        <v>2190</v>
      </c>
      <c r="F390" s="1" t="s">
        <v>2290</v>
      </c>
      <c r="G390" s="1" t="s">
        <v>2313</v>
      </c>
      <c r="H390" s="1" t="s">
        <v>2161</v>
      </c>
      <c r="I390" s="1" t="s">
        <v>1636</v>
      </c>
      <c r="J390" s="1" t="s">
        <v>2158</v>
      </c>
      <c r="K390" s="492" t="str">
        <f t="shared" si="23"/>
        <v>Network</v>
      </c>
      <c r="L390" s="486" t="str">
        <f t="shared" si="24"/>
        <v>HR</v>
      </c>
      <c r="M390" s="486" t="str">
        <f t="shared" si="26"/>
        <v>UC</v>
      </c>
      <c r="N390" s="486" t="str">
        <f t="shared" si="25"/>
        <v>IAAS</v>
      </c>
    </row>
    <row r="391" spans="1:14">
      <c r="A391" s="1" t="s">
        <v>988</v>
      </c>
      <c r="B391" s="1" t="s">
        <v>1029</v>
      </c>
      <c r="C391" s="1">
        <v>0</v>
      </c>
      <c r="D391" s="1">
        <v>8.5000000000000006E-2</v>
      </c>
      <c r="E391" s="1" t="s">
        <v>2190</v>
      </c>
      <c r="F391" s="1" t="s">
        <v>2290</v>
      </c>
      <c r="G391" s="1" t="s">
        <v>2313</v>
      </c>
      <c r="H391" s="1" t="s">
        <v>2161</v>
      </c>
      <c r="I391" s="1" t="s">
        <v>1636</v>
      </c>
      <c r="J391" s="1" t="s">
        <v>2158</v>
      </c>
      <c r="K391" s="492" t="str">
        <f t="shared" si="23"/>
        <v>Network</v>
      </c>
      <c r="L391" s="486" t="str">
        <f t="shared" si="24"/>
        <v>HR</v>
      </c>
      <c r="M391" s="486" t="str">
        <f t="shared" si="26"/>
        <v>UC</v>
      </c>
      <c r="N391" s="486" t="str">
        <f t="shared" si="25"/>
        <v>IAAS</v>
      </c>
    </row>
    <row r="392" spans="1:14">
      <c r="A392" s="1" t="s">
        <v>989</v>
      </c>
      <c r="B392" s="1" t="s">
        <v>1030</v>
      </c>
      <c r="C392" s="1">
        <v>0</v>
      </c>
      <c r="D392" s="1">
        <v>1.7</v>
      </c>
      <c r="E392" s="1" t="s">
        <v>2190</v>
      </c>
      <c r="F392" s="1" t="s">
        <v>2290</v>
      </c>
      <c r="G392" s="1" t="s">
        <v>2313</v>
      </c>
      <c r="H392" s="1" t="s">
        <v>2161</v>
      </c>
      <c r="I392" s="1" t="s">
        <v>1636</v>
      </c>
      <c r="J392" s="1" t="s">
        <v>2158</v>
      </c>
      <c r="K392" s="492" t="str">
        <f t="shared" si="23"/>
        <v>Network</v>
      </c>
      <c r="L392" s="486" t="str">
        <f t="shared" si="24"/>
        <v>HR</v>
      </c>
      <c r="M392" s="486" t="str">
        <f t="shared" si="26"/>
        <v>UC</v>
      </c>
      <c r="N392" s="486" t="str">
        <f t="shared" si="25"/>
        <v>IAAS</v>
      </c>
    </row>
    <row r="393" spans="1:14">
      <c r="A393" s="1" t="s">
        <v>990</v>
      </c>
      <c r="B393" s="1" t="s">
        <v>1031</v>
      </c>
      <c r="C393" s="1">
        <v>0</v>
      </c>
      <c r="D393" s="1">
        <v>0.21249999999999999</v>
      </c>
      <c r="E393" s="1" t="s">
        <v>2193</v>
      </c>
      <c r="F393" s="1" t="s">
        <v>2290</v>
      </c>
      <c r="G393" s="1" t="s">
        <v>2313</v>
      </c>
      <c r="H393" s="1" t="s">
        <v>2161</v>
      </c>
      <c r="I393" s="1" t="s">
        <v>1636</v>
      </c>
      <c r="J393" s="1" t="s">
        <v>2158</v>
      </c>
      <c r="K393" s="492" t="str">
        <f t="shared" si="23"/>
        <v>Network</v>
      </c>
      <c r="L393" s="486" t="str">
        <f t="shared" si="24"/>
        <v>HR</v>
      </c>
      <c r="M393" s="486" t="str">
        <f t="shared" si="26"/>
        <v>UC</v>
      </c>
      <c r="N393" s="486" t="str">
        <f t="shared" si="25"/>
        <v>IAAS</v>
      </c>
    </row>
    <row r="394" spans="1:14">
      <c r="A394" s="1" t="s">
        <v>991</v>
      </c>
      <c r="B394" s="1" t="s">
        <v>1032</v>
      </c>
      <c r="C394" s="1">
        <v>0</v>
      </c>
      <c r="D394" s="1">
        <v>1.2749999999999999</v>
      </c>
      <c r="E394" s="1" t="s">
        <v>2193</v>
      </c>
      <c r="F394" s="1" t="s">
        <v>2290</v>
      </c>
      <c r="G394" s="1" t="s">
        <v>2313</v>
      </c>
      <c r="H394" s="1" t="s">
        <v>2161</v>
      </c>
      <c r="I394" s="1" t="s">
        <v>1636</v>
      </c>
      <c r="J394" s="1" t="s">
        <v>2158</v>
      </c>
      <c r="K394" s="492" t="str">
        <f t="shared" si="23"/>
        <v>Network</v>
      </c>
      <c r="L394" s="486" t="str">
        <f t="shared" si="24"/>
        <v>HR</v>
      </c>
      <c r="M394" s="486" t="str">
        <f t="shared" si="26"/>
        <v>UC</v>
      </c>
      <c r="N394" s="486" t="str">
        <f t="shared" si="25"/>
        <v>IAAS</v>
      </c>
    </row>
    <row r="395" spans="1:14">
      <c r="A395" s="1" t="s">
        <v>992</v>
      </c>
      <c r="B395" s="1" t="s">
        <v>1033</v>
      </c>
      <c r="C395" s="1">
        <v>0</v>
      </c>
      <c r="D395" s="1">
        <v>0</v>
      </c>
      <c r="E395" s="1">
        <v>0</v>
      </c>
      <c r="F395" s="1" t="s">
        <v>2290</v>
      </c>
      <c r="G395" s="1" t="s">
        <v>2400</v>
      </c>
      <c r="H395" s="1" t="s">
        <v>2394</v>
      </c>
      <c r="I395" s="1" t="s">
        <v>1636</v>
      </c>
      <c r="J395" s="1" t="s">
        <v>2159</v>
      </c>
      <c r="K395" s="492" t="str">
        <f t="shared" si="23"/>
        <v>Government</v>
      </c>
      <c r="L395" s="486" t="str">
        <f t="shared" si="24"/>
        <v>UNIT</v>
      </c>
      <c r="M395" s="486" t="str">
        <f t="shared" si="26"/>
        <v>UC</v>
      </c>
      <c r="N395" s="486" t="str">
        <f t="shared" si="25"/>
        <v>PAAS</v>
      </c>
    </row>
    <row r="396" spans="1:14">
      <c r="A396" s="1" t="s">
        <v>993</v>
      </c>
      <c r="B396" s="1" t="s">
        <v>1339</v>
      </c>
      <c r="C396" s="1">
        <v>0</v>
      </c>
      <c r="D396" s="1">
        <v>0.85</v>
      </c>
      <c r="E396" s="1" t="s">
        <v>2201</v>
      </c>
      <c r="F396" s="1" t="s">
        <v>2290</v>
      </c>
      <c r="G396" s="1" t="s">
        <v>2400</v>
      </c>
      <c r="H396" s="1" t="s">
        <v>2394</v>
      </c>
      <c r="I396" s="1" t="s">
        <v>1636</v>
      </c>
      <c r="J396" s="1" t="s">
        <v>2159</v>
      </c>
      <c r="K396" s="492" t="str">
        <f t="shared" si="23"/>
        <v>Government</v>
      </c>
      <c r="L396" s="486" t="str">
        <f t="shared" si="24"/>
        <v>UNIT</v>
      </c>
      <c r="M396" s="486" t="str">
        <f t="shared" si="26"/>
        <v>UC</v>
      </c>
      <c r="N396" s="486" t="str">
        <f t="shared" si="25"/>
        <v>PAAS</v>
      </c>
    </row>
    <row r="397" spans="1:14">
      <c r="A397" s="1" t="s">
        <v>994</v>
      </c>
      <c r="B397" s="1" t="s">
        <v>1340</v>
      </c>
      <c r="C397" s="1">
        <v>0</v>
      </c>
      <c r="D397" s="1">
        <v>8.5000000000000006E-2</v>
      </c>
      <c r="E397" s="1" t="s">
        <v>2200</v>
      </c>
      <c r="F397" s="1" t="s">
        <v>2290</v>
      </c>
      <c r="G397" s="1" t="s">
        <v>2400</v>
      </c>
      <c r="H397" s="1" t="s">
        <v>2394</v>
      </c>
      <c r="I397" s="1" t="s">
        <v>1636</v>
      </c>
      <c r="J397" s="1" t="s">
        <v>2159</v>
      </c>
      <c r="K397" s="492" t="str">
        <f t="shared" si="23"/>
        <v>Government</v>
      </c>
      <c r="L397" s="486" t="str">
        <f t="shared" si="24"/>
        <v>UNIT</v>
      </c>
      <c r="M397" s="486" t="str">
        <f t="shared" si="26"/>
        <v>UC</v>
      </c>
      <c r="N397" s="486" t="str">
        <f t="shared" si="25"/>
        <v>PAAS</v>
      </c>
    </row>
    <row r="398" spans="1:14">
      <c r="A398" s="1" t="s">
        <v>995</v>
      </c>
      <c r="B398" s="1" t="s">
        <v>1034</v>
      </c>
      <c r="C398" s="1">
        <v>0</v>
      </c>
      <c r="D398" s="1">
        <v>4.2500000000000003E-2</v>
      </c>
      <c r="E398" s="1" t="s">
        <v>2175</v>
      </c>
      <c r="F398" s="1" t="s">
        <v>2290</v>
      </c>
      <c r="G398" s="1" t="s">
        <v>1840</v>
      </c>
      <c r="H398" s="1" t="s">
        <v>2162</v>
      </c>
      <c r="I398" s="1" t="s">
        <v>1636</v>
      </c>
      <c r="J398" s="1" t="s">
        <v>2158</v>
      </c>
      <c r="K398" s="492" t="str">
        <f t="shared" ref="K398:K461" si="27" xml:space="preserve"> _xlfn.IFS(ISNUMBER(SEARCH("Universal Credits",B398)),"UC",
ISNUMBER(SEARCH("Ravello",B398)),"Deprecated",
ISNUMBER(SEARCH("Cloud Machine",B398)),"Deprecated",
ISNUMBER(SEARCH("Compute",B398)),"Compute",
ISNUMBER(SEARCH("Load Balancer",B398)),"Network",
ISNUMBER(SEARCH("FastConnect",B398)),"Network",
ISNUMBER(SEARCH("Database OCPU",B398)),"CC OCPU",
ISNUMBER(SEARCH("at Customer",B398)),"CC",
ISNUMBER(SEARCH("Exadata Storage",B398)),"Exa Storage",
ISNUMBER(SEARCH("Storage",B398)),"Storage",
ISNUMBER(SEARCH("Block ",B398)),"Storage",
ISNUMBER(SEARCH("Autonomous Data Warehouse",B398)),"ADW",
ISNUMBER(SEARCH("Autonomous Transaction Processing",B398)),"ATP",
ISNUMBER(SEARCH("Database Exadata",B398)),"ExaCS",
ISNUMBER(SEARCH("Database",B398)),"DBaaS",
ISNUMBER(SEARCH("Essbase",B398)),"DBaaS",
ISNUMBER(SEARCH("integration",B398)),"Integration",
ISNUMBER(SEARCH("SOA",B398)),"Integration",
ISNUMBER(SEARCH("Management Cloud",B398)),"Service",
ISNUMBER(SEARCH("Analytics",B398)),"Analytics",
ISNUMBER(SEARCH("Storage",B398)),"Storage",
ISNUMBER(SEARCH("Block ",B398)),"Storage",
ISNUMBER(SEARCH("Identity",B398)),"Platform",
ISNUMBER(SEARCH("Content",B398)),"Platform",
ISNUMBER(SEARCH("Weblogic",B398)),"Platform",
ISNUMBER(SEARCH("Digital Assistant",B398)),"Platform",
ISNUMBER(SEARCH("Advance",B398)),"New",
ISNUMBER(SEARCH("Limited",B398)),"Classic",
ISNUMBER(SEARCH("Classic",B398)),"Classic",
ISNUMBER(SEARCH("Government",B398)),"Government",
ISNUMBER(SEARCH("Metered",B398)),"Deprecated",
VALUE(RIGHT(A398,5))&lt;88206,"Deprecated",
TRUE,"Service")</f>
        <v>Storage</v>
      </c>
      <c r="L398" s="486" t="str">
        <f t="shared" ref="L398:L461" si="28">_xlfn.IFS(ISNUMBER(SEARCH("Hour",E398)),"HR",ISNUMBER(SEARCH("Gigabyte",E398)),"GB",ISNUMBER(SEARCH("Terabyte",E398)),"TB",ISNUMBER(SEARCH("Requests",E398)),"REQ",ISNUMBER(SEARCH("Each",E398)),"EA","TRUE","UNIT")</f>
        <v>GB</v>
      </c>
      <c r="M398" s="486" t="str">
        <f t="shared" si="26"/>
        <v>UC</v>
      </c>
      <c r="N398" s="486" t="str">
        <f t="shared" ref="N398:N461" si="29">_xlfn.IFS(K398="Storage","IAAS",K398="Compute","IAAS",K398="Network","IAAS",K398="Service","IAAS",L398="REQ","IAAS",TRUE,"PAAS")</f>
        <v>IAAS</v>
      </c>
    </row>
    <row r="399" spans="1:14">
      <c r="A399" s="1" t="s">
        <v>996</v>
      </c>
      <c r="B399" s="1" t="s">
        <v>1841</v>
      </c>
      <c r="C399" s="1">
        <v>0</v>
      </c>
      <c r="D399" s="1">
        <v>3.3999999999999998E-3</v>
      </c>
      <c r="E399" s="1" t="s">
        <v>2164</v>
      </c>
      <c r="F399" s="1" t="s">
        <v>2290</v>
      </c>
      <c r="G399" s="1" t="s">
        <v>1840</v>
      </c>
      <c r="H399" s="1" t="s">
        <v>2395</v>
      </c>
      <c r="I399" s="1" t="s">
        <v>1636</v>
      </c>
      <c r="J399" s="1" t="s">
        <v>2158</v>
      </c>
      <c r="K399" s="492" t="str">
        <f t="shared" si="27"/>
        <v>Storage</v>
      </c>
      <c r="L399" s="486" t="str">
        <f t="shared" si="28"/>
        <v>REQ</v>
      </c>
      <c r="M399" s="486" t="str">
        <f t="shared" si="26"/>
        <v>UC</v>
      </c>
      <c r="N399" s="486" t="str">
        <f t="shared" si="29"/>
        <v>IAAS</v>
      </c>
    </row>
    <row r="400" spans="1:14">
      <c r="A400" s="1" t="s">
        <v>997</v>
      </c>
      <c r="B400" s="1" t="s">
        <v>1035</v>
      </c>
      <c r="C400" s="1">
        <v>0</v>
      </c>
      <c r="D400" s="1">
        <v>2.5499999999999998E-2</v>
      </c>
      <c r="E400" s="1" t="s">
        <v>2175</v>
      </c>
      <c r="F400" s="1" t="s">
        <v>2290</v>
      </c>
      <c r="G400" s="1" t="s">
        <v>1840</v>
      </c>
      <c r="H400" s="1" t="s">
        <v>2162</v>
      </c>
      <c r="I400" s="1" t="s">
        <v>1636</v>
      </c>
      <c r="J400" s="1" t="s">
        <v>2158</v>
      </c>
      <c r="K400" s="492" t="str">
        <f t="shared" si="27"/>
        <v>Storage</v>
      </c>
      <c r="L400" s="486" t="str">
        <f t="shared" si="28"/>
        <v>GB</v>
      </c>
      <c r="M400" s="486" t="str">
        <f t="shared" si="26"/>
        <v>UC</v>
      </c>
      <c r="N400" s="486" t="str">
        <f t="shared" si="29"/>
        <v>IAAS</v>
      </c>
    </row>
    <row r="401" spans="1:14">
      <c r="A401" s="1" t="s">
        <v>998</v>
      </c>
      <c r="B401" s="1" t="s">
        <v>1036</v>
      </c>
      <c r="C401" s="1">
        <v>0</v>
      </c>
      <c r="D401" s="1">
        <v>2.5999999999999999E-3</v>
      </c>
      <c r="E401" s="1" t="s">
        <v>2175</v>
      </c>
      <c r="F401" s="1" t="s">
        <v>2290</v>
      </c>
      <c r="G401" s="1" t="s">
        <v>1840</v>
      </c>
      <c r="H401" s="1" t="s">
        <v>2162</v>
      </c>
      <c r="I401" s="1" t="s">
        <v>1636</v>
      </c>
      <c r="J401" s="1" t="s">
        <v>2158</v>
      </c>
      <c r="K401" s="492" t="str">
        <f t="shared" si="27"/>
        <v>Storage</v>
      </c>
      <c r="L401" s="486" t="str">
        <f t="shared" si="28"/>
        <v>GB</v>
      </c>
      <c r="M401" s="486" t="str">
        <f t="shared" si="26"/>
        <v>UC</v>
      </c>
      <c r="N401" s="486" t="str">
        <f t="shared" si="29"/>
        <v>IAAS</v>
      </c>
    </row>
    <row r="402" spans="1:14">
      <c r="A402" s="1" t="s">
        <v>999</v>
      </c>
      <c r="B402" s="1" t="s">
        <v>1037</v>
      </c>
      <c r="C402" s="1">
        <v>0</v>
      </c>
      <c r="D402" s="1">
        <v>0.3</v>
      </c>
      <c r="E402" s="1" t="s">
        <v>2175</v>
      </c>
      <c r="F402" s="1" t="s">
        <v>2290</v>
      </c>
      <c r="G402" s="1" t="s">
        <v>1840</v>
      </c>
      <c r="H402" s="1" t="s">
        <v>2162</v>
      </c>
      <c r="I402" s="1" t="s">
        <v>1636</v>
      </c>
      <c r="J402" s="1" t="s">
        <v>2158</v>
      </c>
      <c r="K402" s="492" t="str">
        <f t="shared" si="27"/>
        <v>Storage</v>
      </c>
      <c r="L402" s="486" t="str">
        <f t="shared" si="28"/>
        <v>GB</v>
      </c>
      <c r="M402" s="486" t="str">
        <f t="shared" si="26"/>
        <v>UC</v>
      </c>
      <c r="N402" s="486" t="str">
        <f t="shared" si="29"/>
        <v>IAAS</v>
      </c>
    </row>
    <row r="403" spans="1:14">
      <c r="A403" s="1" t="s">
        <v>1106</v>
      </c>
      <c r="B403" s="1" t="s">
        <v>1914</v>
      </c>
      <c r="C403" s="1">
        <v>1.2450000000000001</v>
      </c>
      <c r="D403" s="1">
        <v>0.83</v>
      </c>
      <c r="E403" s="1" t="s">
        <v>2203</v>
      </c>
      <c r="F403" s="1" t="s">
        <v>2290</v>
      </c>
      <c r="G403" s="1" t="s">
        <v>2396</v>
      </c>
      <c r="H403" s="1" t="s">
        <v>2394</v>
      </c>
      <c r="I403" s="1" t="s">
        <v>1636</v>
      </c>
      <c r="J403" s="1" t="s">
        <v>2159</v>
      </c>
      <c r="K403" s="492" t="str">
        <f t="shared" si="27"/>
        <v>Classic</v>
      </c>
      <c r="L403" s="486" t="str">
        <f t="shared" si="28"/>
        <v>UNIT</v>
      </c>
      <c r="M403" s="486" t="str">
        <f t="shared" si="26"/>
        <v>UC</v>
      </c>
      <c r="N403" s="486" t="str">
        <f t="shared" si="29"/>
        <v>PAAS</v>
      </c>
    </row>
    <row r="404" spans="1:14">
      <c r="A404" s="1" t="s">
        <v>2268</v>
      </c>
      <c r="B404" s="1" t="s">
        <v>1915</v>
      </c>
      <c r="C404" s="1">
        <v>4.1000000000000003E-3</v>
      </c>
      <c r="D404" s="1">
        <v>2.7000000000000001E-3</v>
      </c>
      <c r="E404" s="1" t="s">
        <v>2195</v>
      </c>
      <c r="F404" s="1" t="s">
        <v>2290</v>
      </c>
      <c r="G404" s="1" t="s">
        <v>2396</v>
      </c>
      <c r="H404" s="1" t="s">
        <v>2161</v>
      </c>
      <c r="I404" s="1" t="s">
        <v>1636</v>
      </c>
      <c r="J404" s="1" t="s">
        <v>2159</v>
      </c>
      <c r="K404" s="492" t="str">
        <f t="shared" si="27"/>
        <v>Classic</v>
      </c>
      <c r="L404" s="486" t="str">
        <f t="shared" si="28"/>
        <v>HR</v>
      </c>
      <c r="M404" s="486" t="str">
        <f t="shared" si="26"/>
        <v>UC</v>
      </c>
      <c r="N404" s="486" t="str">
        <f t="shared" si="29"/>
        <v>PAAS</v>
      </c>
    </row>
    <row r="405" spans="1:14">
      <c r="A405" s="1" t="s">
        <v>2269</v>
      </c>
      <c r="B405" s="1" t="s">
        <v>1916</v>
      </c>
      <c r="C405" s="1">
        <v>3</v>
      </c>
      <c r="D405" s="1">
        <v>2</v>
      </c>
      <c r="E405" s="1" t="s">
        <v>2197</v>
      </c>
      <c r="F405" s="1" t="s">
        <v>2290</v>
      </c>
      <c r="G405" s="1" t="s">
        <v>2396</v>
      </c>
      <c r="H405" s="1" t="s">
        <v>2161</v>
      </c>
      <c r="I405" s="1" t="s">
        <v>1636</v>
      </c>
      <c r="J405" s="1" t="s">
        <v>2159</v>
      </c>
      <c r="K405" s="492" t="str">
        <f t="shared" si="27"/>
        <v>Classic</v>
      </c>
      <c r="L405" s="486" t="str">
        <f t="shared" si="28"/>
        <v>HR</v>
      </c>
      <c r="M405" s="486" t="str">
        <f t="shared" si="26"/>
        <v>UC</v>
      </c>
      <c r="N405" s="486" t="str">
        <f t="shared" si="29"/>
        <v>PAAS</v>
      </c>
    </row>
    <row r="406" spans="1:14">
      <c r="A406" s="1" t="s">
        <v>1000</v>
      </c>
      <c r="B406" s="1" t="s">
        <v>1001</v>
      </c>
      <c r="C406" s="1">
        <v>10.746</v>
      </c>
      <c r="D406" s="1">
        <v>7.1639999999999997</v>
      </c>
      <c r="E406" s="1" t="s">
        <v>2192</v>
      </c>
      <c r="F406" s="1" t="s">
        <v>2290</v>
      </c>
      <c r="G406" s="1" t="s">
        <v>2309</v>
      </c>
      <c r="H406" s="1" t="s">
        <v>2161</v>
      </c>
      <c r="I406" s="1" t="s">
        <v>1636</v>
      </c>
      <c r="J406" s="1" t="s">
        <v>2159</v>
      </c>
      <c r="K406" s="492" t="str">
        <f t="shared" si="27"/>
        <v>DBaaS</v>
      </c>
      <c r="L406" s="486" t="str">
        <f t="shared" si="28"/>
        <v>HR</v>
      </c>
      <c r="M406" s="486" t="str">
        <f t="shared" si="26"/>
        <v>UC</v>
      </c>
      <c r="N406" s="486" t="str">
        <f t="shared" si="29"/>
        <v>PAAS</v>
      </c>
    </row>
    <row r="407" spans="1:14">
      <c r="A407" s="1" t="s">
        <v>1002</v>
      </c>
      <c r="B407" s="1" t="s">
        <v>1003</v>
      </c>
      <c r="C407" s="1">
        <v>11.5524</v>
      </c>
      <c r="D407" s="1">
        <v>7.7016</v>
      </c>
      <c r="E407" s="1" t="s">
        <v>2192</v>
      </c>
      <c r="F407" s="1" t="s">
        <v>2290</v>
      </c>
      <c r="G407" s="1" t="s">
        <v>2309</v>
      </c>
      <c r="H407" s="1" t="s">
        <v>2161</v>
      </c>
      <c r="I407" s="1" t="s">
        <v>1636</v>
      </c>
      <c r="J407" s="1" t="s">
        <v>2159</v>
      </c>
      <c r="K407" s="492" t="str">
        <f t="shared" si="27"/>
        <v>DBaaS</v>
      </c>
      <c r="L407" s="486" t="str">
        <f t="shared" si="28"/>
        <v>HR</v>
      </c>
      <c r="M407" s="486" t="str">
        <f t="shared" si="26"/>
        <v>UC</v>
      </c>
      <c r="N407" s="486" t="str">
        <f t="shared" si="29"/>
        <v>PAAS</v>
      </c>
    </row>
    <row r="408" spans="1:14">
      <c r="A408" s="1" t="s">
        <v>1004</v>
      </c>
      <c r="B408" s="1" t="s">
        <v>1005</v>
      </c>
      <c r="C408" s="1">
        <v>13.2661</v>
      </c>
      <c r="D408" s="1">
        <v>8.8440999999999992</v>
      </c>
      <c r="E408" s="1" t="s">
        <v>2192</v>
      </c>
      <c r="F408" s="1" t="s">
        <v>2290</v>
      </c>
      <c r="G408" s="1" t="s">
        <v>2309</v>
      </c>
      <c r="H408" s="1" t="s">
        <v>2161</v>
      </c>
      <c r="I408" s="1" t="s">
        <v>1636</v>
      </c>
      <c r="J408" s="1" t="s">
        <v>2159</v>
      </c>
      <c r="K408" s="492" t="str">
        <f t="shared" si="27"/>
        <v>DBaaS</v>
      </c>
      <c r="L408" s="486" t="str">
        <f t="shared" si="28"/>
        <v>HR</v>
      </c>
      <c r="M408" s="486" t="str">
        <f t="shared" si="26"/>
        <v>UC</v>
      </c>
      <c r="N408" s="486" t="str">
        <f t="shared" si="29"/>
        <v>PAAS</v>
      </c>
    </row>
    <row r="409" spans="1:14">
      <c r="A409" s="1" t="s">
        <v>1006</v>
      </c>
      <c r="B409" s="1" t="s">
        <v>1007</v>
      </c>
      <c r="C409" s="1">
        <v>14.979799999999999</v>
      </c>
      <c r="D409" s="1">
        <v>9.9865999999999993</v>
      </c>
      <c r="E409" s="1" t="s">
        <v>2192</v>
      </c>
      <c r="F409" s="1" t="s">
        <v>2290</v>
      </c>
      <c r="G409" s="1" t="s">
        <v>2309</v>
      </c>
      <c r="H409" s="1" t="s">
        <v>2161</v>
      </c>
      <c r="I409" s="1" t="s">
        <v>1636</v>
      </c>
      <c r="J409" s="1" t="s">
        <v>2159</v>
      </c>
      <c r="K409" s="492" t="str">
        <f t="shared" si="27"/>
        <v>DBaaS</v>
      </c>
      <c r="L409" s="486" t="str">
        <f t="shared" si="28"/>
        <v>HR</v>
      </c>
      <c r="M409" s="486" t="str">
        <f t="shared" si="26"/>
        <v>UC</v>
      </c>
      <c r="N409" s="486" t="str">
        <f t="shared" si="29"/>
        <v>PAAS</v>
      </c>
    </row>
    <row r="410" spans="1:14">
      <c r="A410" s="1" t="s">
        <v>1008</v>
      </c>
      <c r="B410" s="1" t="s">
        <v>1009</v>
      </c>
      <c r="C410" s="1">
        <v>10.520200000000001</v>
      </c>
      <c r="D410" s="1">
        <v>7.0133999999999999</v>
      </c>
      <c r="E410" s="1" t="s">
        <v>2192</v>
      </c>
      <c r="F410" s="1" t="s">
        <v>2290</v>
      </c>
      <c r="G410" s="1" t="s">
        <v>2309</v>
      </c>
      <c r="H410" s="1" t="s">
        <v>2161</v>
      </c>
      <c r="I410" s="1" t="s">
        <v>1636</v>
      </c>
      <c r="J410" s="1" t="s">
        <v>2159</v>
      </c>
      <c r="K410" s="492" t="str">
        <f t="shared" si="27"/>
        <v>DBaaS</v>
      </c>
      <c r="L410" s="486" t="str">
        <f t="shared" si="28"/>
        <v>HR</v>
      </c>
      <c r="M410" s="486" t="str">
        <f t="shared" si="26"/>
        <v>UC</v>
      </c>
      <c r="N410" s="486" t="str">
        <f t="shared" si="29"/>
        <v>PAAS</v>
      </c>
    </row>
    <row r="411" spans="1:14">
      <c r="A411" s="1" t="s">
        <v>1917</v>
      </c>
      <c r="B411" s="1" t="s">
        <v>1918</v>
      </c>
      <c r="C411" s="1">
        <v>2.0160999999999998</v>
      </c>
      <c r="D411" s="1">
        <v>1.3441000000000001</v>
      </c>
      <c r="E411" s="1" t="s">
        <v>49</v>
      </c>
      <c r="F411" s="1" t="s">
        <v>2290</v>
      </c>
      <c r="G411" s="1" t="s">
        <v>1839</v>
      </c>
      <c r="H411" s="1" t="s">
        <v>2161</v>
      </c>
      <c r="I411" s="1" t="s">
        <v>1636</v>
      </c>
      <c r="J411" s="1" t="s">
        <v>2159</v>
      </c>
      <c r="K411" s="492" t="str">
        <f t="shared" si="27"/>
        <v>Analytics</v>
      </c>
      <c r="L411" s="486" t="str">
        <f t="shared" si="28"/>
        <v>HR</v>
      </c>
      <c r="M411" s="486" t="str">
        <f t="shared" si="26"/>
        <v>UC</v>
      </c>
      <c r="N411" s="486" t="str">
        <f t="shared" si="29"/>
        <v>PAAS</v>
      </c>
    </row>
    <row r="412" spans="1:14">
      <c r="A412" s="1" t="s">
        <v>1919</v>
      </c>
      <c r="B412" s="1" t="s">
        <v>1920</v>
      </c>
      <c r="C412" s="1">
        <v>4.0323000000000002</v>
      </c>
      <c r="D412" s="1">
        <v>2.6882000000000001</v>
      </c>
      <c r="E412" s="1" t="s">
        <v>49</v>
      </c>
      <c r="F412" s="1" t="s">
        <v>2290</v>
      </c>
      <c r="G412" s="1" t="s">
        <v>1839</v>
      </c>
      <c r="H412" s="1" t="s">
        <v>2161</v>
      </c>
      <c r="I412" s="1" t="s">
        <v>1636</v>
      </c>
      <c r="J412" s="1" t="s">
        <v>2159</v>
      </c>
      <c r="K412" s="492" t="str">
        <f t="shared" si="27"/>
        <v>Analytics</v>
      </c>
      <c r="L412" s="486" t="str">
        <f t="shared" si="28"/>
        <v>HR</v>
      </c>
      <c r="M412" s="486" t="str">
        <f t="shared" si="26"/>
        <v>UC</v>
      </c>
      <c r="N412" s="486" t="str">
        <f t="shared" si="29"/>
        <v>PAAS</v>
      </c>
    </row>
    <row r="413" spans="1:14">
      <c r="A413" s="1" t="s">
        <v>1921</v>
      </c>
      <c r="B413" s="1" t="s">
        <v>1922</v>
      </c>
      <c r="C413" s="1">
        <v>0.4839</v>
      </c>
      <c r="D413" s="1">
        <v>0.3226</v>
      </c>
      <c r="E413" s="1" t="s">
        <v>49</v>
      </c>
      <c r="F413" s="1" t="s">
        <v>2290</v>
      </c>
      <c r="G413" s="1" t="s">
        <v>1839</v>
      </c>
      <c r="H413" s="1" t="s">
        <v>2161</v>
      </c>
      <c r="I413" s="1" t="s">
        <v>1636</v>
      </c>
      <c r="J413" s="1" t="s">
        <v>2159</v>
      </c>
      <c r="K413" s="492" t="str">
        <f t="shared" si="27"/>
        <v>Analytics</v>
      </c>
      <c r="L413" s="486" t="str">
        <f t="shared" si="28"/>
        <v>HR</v>
      </c>
      <c r="M413" s="486" t="str">
        <f t="shared" si="26"/>
        <v>UC</v>
      </c>
      <c r="N413" s="486" t="str">
        <f t="shared" si="29"/>
        <v>PAAS</v>
      </c>
    </row>
    <row r="414" spans="1:14">
      <c r="A414" s="1" t="s">
        <v>1923</v>
      </c>
      <c r="B414" s="1" t="s">
        <v>1924</v>
      </c>
      <c r="C414" s="1">
        <v>0.4839</v>
      </c>
      <c r="D414" s="1">
        <v>0.3226</v>
      </c>
      <c r="E414" s="1" t="s">
        <v>49</v>
      </c>
      <c r="F414" s="1" t="s">
        <v>2290</v>
      </c>
      <c r="G414" s="1" t="s">
        <v>1839</v>
      </c>
      <c r="H414" s="1" t="s">
        <v>2161</v>
      </c>
      <c r="I414" s="1" t="s">
        <v>1636</v>
      </c>
      <c r="J414" s="1" t="s">
        <v>2159</v>
      </c>
      <c r="K414" s="492" t="str">
        <f t="shared" si="27"/>
        <v>Analytics</v>
      </c>
      <c r="L414" s="486" t="str">
        <f t="shared" si="28"/>
        <v>HR</v>
      </c>
      <c r="M414" s="486" t="str">
        <f t="shared" si="26"/>
        <v>UC</v>
      </c>
      <c r="N414" s="486" t="str">
        <f t="shared" si="29"/>
        <v>PAAS</v>
      </c>
    </row>
    <row r="415" spans="1:14">
      <c r="A415" s="1" t="s">
        <v>1010</v>
      </c>
      <c r="B415" s="1" t="s">
        <v>1234</v>
      </c>
      <c r="C415" s="1">
        <v>1.2097</v>
      </c>
      <c r="D415" s="1">
        <v>0.80649999999999999</v>
      </c>
      <c r="E415" s="1" t="s">
        <v>2210</v>
      </c>
      <c r="F415" s="1" t="s">
        <v>2290</v>
      </c>
      <c r="G415" s="1" t="s">
        <v>2391</v>
      </c>
      <c r="H415" s="1" t="s">
        <v>2161</v>
      </c>
      <c r="I415" s="1" t="s">
        <v>1636</v>
      </c>
      <c r="J415" s="1" t="s">
        <v>2159</v>
      </c>
      <c r="K415" s="492" t="str">
        <f t="shared" si="27"/>
        <v>Integration</v>
      </c>
      <c r="L415" s="486" t="str">
        <f t="shared" si="28"/>
        <v>HR</v>
      </c>
      <c r="M415" s="486" t="str">
        <f t="shared" si="26"/>
        <v>UC</v>
      </c>
      <c r="N415" s="486" t="str">
        <f t="shared" si="29"/>
        <v>PAAS</v>
      </c>
    </row>
    <row r="416" spans="1:14">
      <c r="A416" s="1" t="s">
        <v>1011</v>
      </c>
      <c r="B416" s="1" t="s">
        <v>1235</v>
      </c>
      <c r="C416" s="1">
        <v>2.4194</v>
      </c>
      <c r="D416" s="1">
        <v>1.6129</v>
      </c>
      <c r="E416" s="1" t="s">
        <v>2210</v>
      </c>
      <c r="F416" s="1" t="s">
        <v>2290</v>
      </c>
      <c r="G416" s="1" t="s">
        <v>2391</v>
      </c>
      <c r="H416" s="1" t="s">
        <v>2161</v>
      </c>
      <c r="I416" s="1" t="s">
        <v>1636</v>
      </c>
      <c r="J416" s="1" t="s">
        <v>2159</v>
      </c>
      <c r="K416" s="492" t="str">
        <f t="shared" si="27"/>
        <v>Integration</v>
      </c>
      <c r="L416" s="486" t="str">
        <f t="shared" si="28"/>
        <v>HR</v>
      </c>
      <c r="M416" s="486" t="str">
        <f t="shared" si="26"/>
        <v>UC</v>
      </c>
      <c r="N416" s="486" t="str">
        <f t="shared" si="29"/>
        <v>PAAS</v>
      </c>
    </row>
    <row r="417" spans="1:14">
      <c r="A417" s="1" t="s">
        <v>1012</v>
      </c>
      <c r="B417" s="1" t="s">
        <v>1236</v>
      </c>
      <c r="C417" s="1">
        <v>0.4839</v>
      </c>
      <c r="D417" s="1">
        <v>0.3226</v>
      </c>
      <c r="E417" s="1" t="s">
        <v>2211</v>
      </c>
      <c r="F417" s="1" t="s">
        <v>2290</v>
      </c>
      <c r="G417" s="1" t="s">
        <v>2391</v>
      </c>
      <c r="H417" s="1" t="s">
        <v>2161</v>
      </c>
      <c r="I417" s="1" t="s">
        <v>1636</v>
      </c>
      <c r="J417" s="1" t="s">
        <v>2159</v>
      </c>
      <c r="K417" s="492" t="str">
        <f t="shared" si="27"/>
        <v>Integration</v>
      </c>
      <c r="L417" s="486" t="str">
        <f t="shared" si="28"/>
        <v>HR</v>
      </c>
      <c r="M417" s="486" t="str">
        <f t="shared" si="26"/>
        <v>UC</v>
      </c>
      <c r="N417" s="486" t="str">
        <f t="shared" si="29"/>
        <v>PAAS</v>
      </c>
    </row>
    <row r="418" spans="1:14">
      <c r="A418" s="1" t="s">
        <v>1013</v>
      </c>
      <c r="B418" s="1" t="s">
        <v>1237</v>
      </c>
      <c r="C418" s="1">
        <v>0.4839</v>
      </c>
      <c r="D418" s="1">
        <v>0.3226</v>
      </c>
      <c r="E418" s="1" t="s">
        <v>2211</v>
      </c>
      <c r="F418" s="1" t="s">
        <v>2290</v>
      </c>
      <c r="G418" s="1" t="s">
        <v>2391</v>
      </c>
      <c r="H418" s="1" t="s">
        <v>2161</v>
      </c>
      <c r="I418" s="1" t="s">
        <v>1636</v>
      </c>
      <c r="J418" s="1" t="s">
        <v>2159</v>
      </c>
      <c r="K418" s="492" t="str">
        <f t="shared" si="27"/>
        <v>Integration</v>
      </c>
      <c r="L418" s="486" t="str">
        <f t="shared" si="28"/>
        <v>HR</v>
      </c>
      <c r="M418" s="486" t="str">
        <f t="shared" si="26"/>
        <v>UC</v>
      </c>
      <c r="N418" s="486" t="str">
        <f t="shared" si="29"/>
        <v>PAAS</v>
      </c>
    </row>
    <row r="419" spans="1:14">
      <c r="A419" s="1" t="s">
        <v>1014</v>
      </c>
      <c r="B419" s="1" t="s">
        <v>1238</v>
      </c>
      <c r="C419" s="1">
        <v>2.3184999999999998</v>
      </c>
      <c r="D419" s="1">
        <v>1.5457000000000001</v>
      </c>
      <c r="E419" s="1" t="s">
        <v>49</v>
      </c>
      <c r="F419" s="1" t="s">
        <v>2290</v>
      </c>
      <c r="G419" s="1" t="s">
        <v>2399</v>
      </c>
      <c r="H419" s="1" t="s">
        <v>2161</v>
      </c>
      <c r="I419" s="1" t="s">
        <v>1636</v>
      </c>
      <c r="J419" s="1" t="s">
        <v>2158</v>
      </c>
      <c r="K419" s="492" t="str">
        <f t="shared" si="27"/>
        <v>Service</v>
      </c>
      <c r="L419" s="486" t="str">
        <f t="shared" si="28"/>
        <v>HR</v>
      </c>
      <c r="M419" s="486" t="str">
        <f t="shared" si="26"/>
        <v>UC</v>
      </c>
      <c r="N419" s="486" t="str">
        <f t="shared" si="29"/>
        <v>IAAS</v>
      </c>
    </row>
    <row r="420" spans="1:14">
      <c r="A420" s="1" t="s">
        <v>2270</v>
      </c>
      <c r="B420" s="1" t="s">
        <v>106</v>
      </c>
      <c r="C420" s="1">
        <v>2.0162</v>
      </c>
      <c r="D420" s="1">
        <v>1.3441000000000001</v>
      </c>
      <c r="E420" s="1" t="s">
        <v>2205</v>
      </c>
      <c r="F420" s="1" t="s">
        <v>2290</v>
      </c>
      <c r="G420" s="1" t="s">
        <v>2399</v>
      </c>
      <c r="H420" s="1" t="s">
        <v>2161</v>
      </c>
      <c r="I420" s="1" t="s">
        <v>1636</v>
      </c>
      <c r="J420" s="1" t="s">
        <v>2158</v>
      </c>
      <c r="K420" s="492" t="str">
        <f t="shared" si="27"/>
        <v>Service</v>
      </c>
      <c r="L420" s="486" t="str">
        <f t="shared" si="28"/>
        <v>HR</v>
      </c>
      <c r="M420" s="486" t="str">
        <f t="shared" si="26"/>
        <v>UC</v>
      </c>
      <c r="N420" s="486" t="str">
        <f t="shared" si="29"/>
        <v>IAAS</v>
      </c>
    </row>
    <row r="421" spans="1:14">
      <c r="A421" s="1" t="s">
        <v>2454</v>
      </c>
      <c r="B421" s="1" t="s">
        <v>2455</v>
      </c>
      <c r="C421" s="1">
        <v>1.2097</v>
      </c>
      <c r="D421" s="1">
        <v>0.80649999999999999</v>
      </c>
      <c r="E421" s="1" t="s">
        <v>2212</v>
      </c>
      <c r="F421" s="1" t="s">
        <v>2290</v>
      </c>
      <c r="G421" s="1" t="s">
        <v>2391</v>
      </c>
      <c r="H421" s="1" t="s">
        <v>2161</v>
      </c>
      <c r="I421" s="1" t="s">
        <v>1636</v>
      </c>
      <c r="J421" s="1" t="s">
        <v>2159</v>
      </c>
      <c r="K421" s="492" t="str">
        <f t="shared" si="27"/>
        <v>Integration</v>
      </c>
      <c r="L421" s="486" t="str">
        <f t="shared" si="28"/>
        <v>HR</v>
      </c>
      <c r="M421" s="486" t="str">
        <f t="shared" si="26"/>
        <v>UC</v>
      </c>
      <c r="N421" s="486" t="str">
        <f t="shared" si="29"/>
        <v>PAAS</v>
      </c>
    </row>
    <row r="422" spans="1:14">
      <c r="A422" s="1" t="s">
        <v>2456</v>
      </c>
      <c r="B422" s="1" t="s">
        <v>2457</v>
      </c>
      <c r="C422" s="1">
        <v>2.4194</v>
      </c>
      <c r="D422" s="1">
        <v>1.6129</v>
      </c>
      <c r="E422" s="1" t="s">
        <v>2212</v>
      </c>
      <c r="F422" s="1" t="s">
        <v>2290</v>
      </c>
      <c r="G422" s="1" t="s">
        <v>2391</v>
      </c>
      <c r="H422" s="1" t="s">
        <v>2161</v>
      </c>
      <c r="I422" s="1" t="s">
        <v>1636</v>
      </c>
      <c r="J422" s="1" t="s">
        <v>2159</v>
      </c>
      <c r="K422" s="492" t="str">
        <f t="shared" si="27"/>
        <v>Integration</v>
      </c>
      <c r="L422" s="486" t="str">
        <f t="shared" si="28"/>
        <v>HR</v>
      </c>
      <c r="M422" s="486" t="str">
        <f t="shared" si="26"/>
        <v>UC</v>
      </c>
      <c r="N422" s="486" t="str">
        <f t="shared" si="29"/>
        <v>PAAS</v>
      </c>
    </row>
    <row r="423" spans="1:14">
      <c r="A423" s="1" t="s">
        <v>2458</v>
      </c>
      <c r="B423" s="1" t="s">
        <v>2459</v>
      </c>
      <c r="C423" s="1">
        <v>3.629</v>
      </c>
      <c r="D423" s="1">
        <v>2.4192999999999998</v>
      </c>
      <c r="E423" s="1" t="s">
        <v>2212</v>
      </c>
      <c r="F423" s="1" t="s">
        <v>2290</v>
      </c>
      <c r="G423" s="1" t="s">
        <v>2391</v>
      </c>
      <c r="H423" s="1" t="s">
        <v>2161</v>
      </c>
      <c r="I423" s="1" t="s">
        <v>1636</v>
      </c>
      <c r="J423" s="1" t="s">
        <v>2159</v>
      </c>
      <c r="K423" s="492" t="str">
        <f t="shared" si="27"/>
        <v>Integration</v>
      </c>
      <c r="L423" s="486" t="str">
        <f t="shared" si="28"/>
        <v>HR</v>
      </c>
      <c r="M423" s="486" t="str">
        <f t="shared" si="26"/>
        <v>UC</v>
      </c>
      <c r="N423" s="486" t="str">
        <f t="shared" si="29"/>
        <v>PAAS</v>
      </c>
    </row>
    <row r="424" spans="1:14">
      <c r="A424" s="1" t="s">
        <v>2460</v>
      </c>
      <c r="B424" s="1" t="s">
        <v>2461</v>
      </c>
      <c r="C424" s="1">
        <v>0.4839</v>
      </c>
      <c r="D424" s="1">
        <v>0.3226</v>
      </c>
      <c r="E424" s="1" t="s">
        <v>2212</v>
      </c>
      <c r="F424" s="1" t="s">
        <v>2290</v>
      </c>
      <c r="G424" s="1" t="s">
        <v>2391</v>
      </c>
      <c r="H424" s="1" t="s">
        <v>2161</v>
      </c>
      <c r="I424" s="1" t="s">
        <v>1636</v>
      </c>
      <c r="J424" s="1" t="s">
        <v>2159</v>
      </c>
      <c r="K424" s="492" t="str">
        <f t="shared" si="27"/>
        <v>Integration</v>
      </c>
      <c r="L424" s="486" t="str">
        <f t="shared" si="28"/>
        <v>HR</v>
      </c>
      <c r="M424" s="486" t="str">
        <f t="shared" si="26"/>
        <v>UC</v>
      </c>
      <c r="N424" s="486" t="str">
        <f t="shared" si="29"/>
        <v>PAAS</v>
      </c>
    </row>
    <row r="425" spans="1:14">
      <c r="A425" s="1" t="s">
        <v>2462</v>
      </c>
      <c r="B425" s="1" t="s">
        <v>2463</v>
      </c>
      <c r="C425" s="1">
        <v>0.4839</v>
      </c>
      <c r="D425" s="1">
        <v>0.3226</v>
      </c>
      <c r="E425" s="1" t="s">
        <v>2212</v>
      </c>
      <c r="F425" s="1" t="s">
        <v>2290</v>
      </c>
      <c r="G425" s="1" t="s">
        <v>2391</v>
      </c>
      <c r="H425" s="1" t="s">
        <v>2161</v>
      </c>
      <c r="I425" s="1" t="s">
        <v>1636</v>
      </c>
      <c r="J425" s="1" t="s">
        <v>2159</v>
      </c>
      <c r="K425" s="492" t="str">
        <f t="shared" si="27"/>
        <v>Integration</v>
      </c>
      <c r="L425" s="486" t="str">
        <f t="shared" si="28"/>
        <v>HR</v>
      </c>
      <c r="M425" s="486" t="str">
        <f t="shared" si="26"/>
        <v>UC</v>
      </c>
      <c r="N425" s="486" t="str">
        <f t="shared" si="29"/>
        <v>PAAS</v>
      </c>
    </row>
    <row r="426" spans="1:14">
      <c r="A426" s="1" t="s">
        <v>2464</v>
      </c>
      <c r="B426" s="1" t="s">
        <v>2465</v>
      </c>
      <c r="C426" s="1">
        <v>0.4839</v>
      </c>
      <c r="D426" s="1">
        <v>0.3226</v>
      </c>
      <c r="E426" s="1" t="s">
        <v>2212</v>
      </c>
      <c r="F426" s="1" t="s">
        <v>2290</v>
      </c>
      <c r="G426" s="1" t="s">
        <v>2391</v>
      </c>
      <c r="H426" s="1" t="s">
        <v>2161</v>
      </c>
      <c r="I426" s="1" t="s">
        <v>1636</v>
      </c>
      <c r="J426" s="1" t="s">
        <v>2159</v>
      </c>
      <c r="K426" s="492" t="str">
        <f t="shared" si="27"/>
        <v>Integration</v>
      </c>
      <c r="L426" s="486" t="str">
        <f t="shared" si="28"/>
        <v>HR</v>
      </c>
      <c r="M426" s="486" t="str">
        <f t="shared" si="26"/>
        <v>UC</v>
      </c>
      <c r="N426" s="486" t="str">
        <f t="shared" si="29"/>
        <v>PAAS</v>
      </c>
    </row>
    <row r="427" spans="1:14">
      <c r="A427" s="1" t="s">
        <v>1038</v>
      </c>
      <c r="B427" s="1" t="s">
        <v>1039</v>
      </c>
      <c r="C427" s="1">
        <v>0</v>
      </c>
      <c r="D427" s="1">
        <v>1.2749999999999999</v>
      </c>
      <c r="E427" s="1" t="s">
        <v>2193</v>
      </c>
      <c r="F427" s="1" t="s">
        <v>2290</v>
      </c>
      <c r="G427" s="1" t="s">
        <v>2313</v>
      </c>
      <c r="H427" s="1" t="s">
        <v>2161</v>
      </c>
      <c r="I427" s="1" t="s">
        <v>1636</v>
      </c>
      <c r="J427" s="1" t="s">
        <v>2158</v>
      </c>
      <c r="K427" s="492" t="str">
        <f t="shared" si="27"/>
        <v>Network</v>
      </c>
      <c r="L427" s="486" t="str">
        <f t="shared" si="28"/>
        <v>HR</v>
      </c>
      <c r="M427" s="486" t="str">
        <f t="shared" si="26"/>
        <v>UC</v>
      </c>
      <c r="N427" s="486" t="str">
        <f t="shared" si="29"/>
        <v>IAAS</v>
      </c>
    </row>
    <row r="428" spans="1:14">
      <c r="A428" s="1" t="s">
        <v>1040</v>
      </c>
      <c r="B428" s="1" t="s">
        <v>1041</v>
      </c>
      <c r="C428" s="1">
        <v>0</v>
      </c>
      <c r="D428" s="1">
        <v>0.21249999999999999</v>
      </c>
      <c r="E428" s="1" t="s">
        <v>2193</v>
      </c>
      <c r="F428" s="1" t="s">
        <v>2290</v>
      </c>
      <c r="G428" s="1" t="s">
        <v>2313</v>
      </c>
      <c r="H428" s="1" t="s">
        <v>2161</v>
      </c>
      <c r="I428" s="1" t="s">
        <v>1636</v>
      </c>
      <c r="J428" s="1" t="s">
        <v>2158</v>
      </c>
      <c r="K428" s="492" t="str">
        <f t="shared" si="27"/>
        <v>Network</v>
      </c>
      <c r="L428" s="486" t="str">
        <f t="shared" si="28"/>
        <v>HR</v>
      </c>
      <c r="M428" s="486" t="str">
        <f t="shared" si="26"/>
        <v>UC</v>
      </c>
      <c r="N428" s="486" t="str">
        <f t="shared" si="29"/>
        <v>IAAS</v>
      </c>
    </row>
    <row r="429" spans="1:14">
      <c r="A429" s="1" t="s">
        <v>1051</v>
      </c>
      <c r="B429" s="1" t="s">
        <v>1925</v>
      </c>
      <c r="C429" s="1">
        <v>0</v>
      </c>
      <c r="D429" s="1">
        <v>4300</v>
      </c>
      <c r="E429" s="1" t="s">
        <v>1154</v>
      </c>
      <c r="F429" s="1" t="s">
        <v>2290</v>
      </c>
      <c r="G429" s="1" t="s">
        <v>2160</v>
      </c>
      <c r="H429" s="1" t="s">
        <v>2397</v>
      </c>
      <c r="I429" s="1" t="s">
        <v>2160</v>
      </c>
      <c r="J429" s="1" t="s">
        <v>2159</v>
      </c>
      <c r="K429" s="492" t="str">
        <f t="shared" si="27"/>
        <v>CC</v>
      </c>
      <c r="L429" s="486" t="str">
        <f t="shared" si="28"/>
        <v>EA</v>
      </c>
      <c r="M429" s="486" t="str">
        <f t="shared" si="26"/>
        <v>CC</v>
      </c>
      <c r="N429" s="486" t="str">
        <f t="shared" si="29"/>
        <v>PAAS</v>
      </c>
    </row>
    <row r="430" spans="1:14">
      <c r="A430" s="1" t="s">
        <v>1042</v>
      </c>
      <c r="B430" s="1" t="s">
        <v>1043</v>
      </c>
      <c r="C430" s="1">
        <v>2.95</v>
      </c>
      <c r="D430" s="1">
        <v>2.95</v>
      </c>
      <c r="E430" s="1" t="s">
        <v>2191</v>
      </c>
      <c r="F430" s="1" t="s">
        <v>2290</v>
      </c>
      <c r="G430" s="1" t="s">
        <v>1835</v>
      </c>
      <c r="H430" s="1" t="s">
        <v>2161</v>
      </c>
      <c r="I430" s="1" t="s">
        <v>1636</v>
      </c>
      <c r="J430" s="1" t="s">
        <v>2158</v>
      </c>
      <c r="K430" s="492" t="str">
        <f t="shared" si="27"/>
        <v>Compute</v>
      </c>
      <c r="L430" s="486" t="str">
        <f t="shared" si="28"/>
        <v>HR</v>
      </c>
      <c r="M430" s="486" t="str">
        <f t="shared" si="26"/>
        <v>UC</v>
      </c>
      <c r="N430" s="486" t="str">
        <f t="shared" si="29"/>
        <v>IAAS</v>
      </c>
    </row>
    <row r="431" spans="1:14">
      <c r="A431" s="1" t="s">
        <v>1044</v>
      </c>
      <c r="B431" s="1" t="s">
        <v>1045</v>
      </c>
      <c r="C431" s="1">
        <v>0</v>
      </c>
      <c r="D431" s="1">
        <v>2.95</v>
      </c>
      <c r="E431" s="1" t="s">
        <v>2191</v>
      </c>
      <c r="F431" s="1" t="s">
        <v>2290</v>
      </c>
      <c r="G431" s="1" t="s">
        <v>1835</v>
      </c>
      <c r="H431" s="1" t="s">
        <v>2161</v>
      </c>
      <c r="I431" s="1" t="s">
        <v>1636</v>
      </c>
      <c r="J431" s="1" t="s">
        <v>2158</v>
      </c>
      <c r="K431" s="492" t="str">
        <f t="shared" si="27"/>
        <v>Compute</v>
      </c>
      <c r="L431" s="486" t="str">
        <f t="shared" si="28"/>
        <v>HR</v>
      </c>
      <c r="M431" s="486" t="str">
        <f t="shared" si="26"/>
        <v>UC</v>
      </c>
      <c r="N431" s="486" t="str">
        <f t="shared" si="29"/>
        <v>IAAS</v>
      </c>
    </row>
    <row r="432" spans="1:14">
      <c r="A432" s="1" t="s">
        <v>1052</v>
      </c>
      <c r="B432" s="1" t="s">
        <v>1926</v>
      </c>
      <c r="C432" s="1">
        <v>0</v>
      </c>
      <c r="D432" s="1">
        <v>4300</v>
      </c>
      <c r="E432" s="1" t="s">
        <v>1154</v>
      </c>
      <c r="F432" s="1" t="s">
        <v>2290</v>
      </c>
      <c r="G432" s="1" t="s">
        <v>2160</v>
      </c>
      <c r="H432" s="1" t="s">
        <v>2397</v>
      </c>
      <c r="I432" s="1" t="s">
        <v>2160</v>
      </c>
      <c r="J432" s="1" t="s">
        <v>2159</v>
      </c>
      <c r="K432" s="492" t="str">
        <f t="shared" si="27"/>
        <v>CC</v>
      </c>
      <c r="L432" s="486" t="str">
        <f t="shared" si="28"/>
        <v>EA</v>
      </c>
      <c r="M432" s="486" t="str">
        <f t="shared" si="26"/>
        <v>CC</v>
      </c>
      <c r="N432" s="486" t="str">
        <f t="shared" si="29"/>
        <v>PAAS</v>
      </c>
    </row>
    <row r="433" spans="1:14">
      <c r="A433" s="1" t="s">
        <v>1107</v>
      </c>
      <c r="B433" s="1" t="s">
        <v>1239</v>
      </c>
      <c r="C433" s="1">
        <v>0.23499999999999999</v>
      </c>
      <c r="D433" s="1">
        <v>0.15670000000000001</v>
      </c>
      <c r="E433" s="1" t="s">
        <v>2213</v>
      </c>
      <c r="F433" s="1" t="s">
        <v>2290</v>
      </c>
      <c r="G433" s="1" t="s">
        <v>2309</v>
      </c>
      <c r="H433" s="1" t="s">
        <v>2394</v>
      </c>
      <c r="I433" s="1" t="s">
        <v>1636</v>
      </c>
      <c r="J433" s="1" t="s">
        <v>2159</v>
      </c>
      <c r="K433" s="492" t="str">
        <f t="shared" si="27"/>
        <v>DBaaS</v>
      </c>
      <c r="L433" s="486" t="str">
        <f t="shared" si="28"/>
        <v>UNIT</v>
      </c>
      <c r="M433" s="486" t="str">
        <f t="shared" si="26"/>
        <v>UC</v>
      </c>
      <c r="N433" s="486" t="str">
        <f t="shared" si="29"/>
        <v>PAAS</v>
      </c>
    </row>
    <row r="434" spans="1:14">
      <c r="A434" s="1" t="s">
        <v>1108</v>
      </c>
      <c r="B434" s="1" t="s">
        <v>1240</v>
      </c>
      <c r="C434" s="1">
        <v>1.21E-2</v>
      </c>
      <c r="D434" s="1">
        <v>8.0000000000000002E-3</v>
      </c>
      <c r="E434" s="1" t="s">
        <v>2214</v>
      </c>
      <c r="F434" s="1" t="s">
        <v>2290</v>
      </c>
      <c r="G434" s="1" t="s">
        <v>2309</v>
      </c>
      <c r="H434" s="1" t="s">
        <v>2394</v>
      </c>
      <c r="I434" s="1" t="s">
        <v>1636</v>
      </c>
      <c r="J434" s="1" t="s">
        <v>2159</v>
      </c>
      <c r="K434" s="492" t="str">
        <f t="shared" si="27"/>
        <v>DBaaS</v>
      </c>
      <c r="L434" s="486" t="str">
        <f t="shared" si="28"/>
        <v>UNIT</v>
      </c>
      <c r="M434" s="486" t="str">
        <f t="shared" si="26"/>
        <v>UC</v>
      </c>
      <c r="N434" s="486" t="str">
        <f t="shared" si="29"/>
        <v>PAAS</v>
      </c>
    </row>
    <row r="435" spans="1:14">
      <c r="A435" s="1" t="s">
        <v>1109</v>
      </c>
      <c r="B435" s="1" t="s">
        <v>1241</v>
      </c>
      <c r="C435" s="1">
        <v>0.125</v>
      </c>
      <c r="D435" s="1">
        <v>8.2500000000000004E-2</v>
      </c>
      <c r="E435" s="1" t="s">
        <v>2175</v>
      </c>
      <c r="F435" s="1" t="s">
        <v>2290</v>
      </c>
      <c r="G435" s="1" t="s">
        <v>1840</v>
      </c>
      <c r="H435" s="1" t="s">
        <v>2162</v>
      </c>
      <c r="I435" s="1" t="s">
        <v>1636</v>
      </c>
      <c r="J435" s="1" t="s">
        <v>2158</v>
      </c>
      <c r="K435" s="492" t="str">
        <f t="shared" si="27"/>
        <v>Storage</v>
      </c>
      <c r="L435" s="486" t="str">
        <f t="shared" si="28"/>
        <v>GB</v>
      </c>
      <c r="M435" s="486" t="str">
        <f t="shared" si="26"/>
        <v>UC</v>
      </c>
      <c r="N435" s="486" t="str">
        <f t="shared" si="29"/>
        <v>IAAS</v>
      </c>
    </row>
    <row r="436" spans="1:14">
      <c r="A436" s="1" t="s">
        <v>1135</v>
      </c>
      <c r="B436" s="1" t="s">
        <v>1136</v>
      </c>
      <c r="C436" s="1">
        <v>0</v>
      </c>
      <c r="D436" s="1">
        <v>1.6800999999999999</v>
      </c>
      <c r="E436" s="1" t="s">
        <v>49</v>
      </c>
      <c r="F436" s="1" t="s">
        <v>2290</v>
      </c>
      <c r="G436" s="1" t="s">
        <v>1836</v>
      </c>
      <c r="H436" s="1" t="s">
        <v>2161</v>
      </c>
      <c r="I436" s="1" t="s">
        <v>1636</v>
      </c>
      <c r="J436" s="1" t="s">
        <v>2159</v>
      </c>
      <c r="K436" s="492" t="str">
        <f t="shared" si="27"/>
        <v>ADW</v>
      </c>
      <c r="L436" s="486" t="str">
        <f t="shared" si="28"/>
        <v>HR</v>
      </c>
      <c r="M436" s="486" t="str">
        <f t="shared" si="26"/>
        <v>UC</v>
      </c>
      <c r="N436" s="486" t="str">
        <f t="shared" si="29"/>
        <v>PAAS</v>
      </c>
    </row>
    <row r="437" spans="1:14">
      <c r="A437" s="1" t="s">
        <v>1137</v>
      </c>
      <c r="B437" s="1" t="s">
        <v>1138</v>
      </c>
      <c r="C437" s="1">
        <v>0</v>
      </c>
      <c r="D437" s="1">
        <v>148</v>
      </c>
      <c r="E437" s="1" t="s">
        <v>2209</v>
      </c>
      <c r="F437" s="1" t="s">
        <v>2290</v>
      </c>
      <c r="G437" s="1" t="s">
        <v>2132</v>
      </c>
      <c r="H437" s="1" t="s">
        <v>2401</v>
      </c>
      <c r="I437" s="1" t="s">
        <v>1636</v>
      </c>
      <c r="J437" s="1" t="s">
        <v>2159</v>
      </c>
      <c r="K437" s="492" t="str">
        <f t="shared" si="27"/>
        <v>Exa Storage</v>
      </c>
      <c r="L437" s="486" t="str">
        <f t="shared" si="28"/>
        <v>TB</v>
      </c>
      <c r="M437" s="486" t="str">
        <f t="shared" si="26"/>
        <v>UC</v>
      </c>
      <c r="N437" s="486" t="str">
        <f t="shared" si="29"/>
        <v>PAAS</v>
      </c>
    </row>
    <row r="438" spans="1:14">
      <c r="A438" s="1" t="s">
        <v>1067</v>
      </c>
      <c r="B438" s="1" t="s">
        <v>1242</v>
      </c>
      <c r="C438" s="1">
        <v>0</v>
      </c>
      <c r="D438" s="1">
        <v>4.5026000000000002</v>
      </c>
      <c r="E438" s="1" t="s">
        <v>49</v>
      </c>
      <c r="F438" s="1" t="s">
        <v>2290</v>
      </c>
      <c r="G438" s="1" t="s">
        <v>2391</v>
      </c>
      <c r="H438" s="1" t="s">
        <v>2161</v>
      </c>
      <c r="I438" s="1" t="s">
        <v>1636</v>
      </c>
      <c r="J438" s="1" t="s">
        <v>2159</v>
      </c>
      <c r="K438" s="492" t="str">
        <f t="shared" si="27"/>
        <v>Integration</v>
      </c>
      <c r="L438" s="486" t="str">
        <f t="shared" si="28"/>
        <v>HR</v>
      </c>
      <c r="M438" s="486" t="str">
        <f t="shared" si="26"/>
        <v>UC</v>
      </c>
      <c r="N438" s="486" t="str">
        <f t="shared" si="29"/>
        <v>PAAS</v>
      </c>
    </row>
    <row r="439" spans="1:14">
      <c r="A439" s="1" t="s">
        <v>1053</v>
      </c>
      <c r="B439" s="1" t="s">
        <v>1370</v>
      </c>
      <c r="C439" s="1" t="s">
        <v>133</v>
      </c>
      <c r="D439" s="1">
        <v>1.6800999999999999</v>
      </c>
      <c r="E439" s="1" t="s">
        <v>49</v>
      </c>
      <c r="F439" s="1" t="s">
        <v>2290</v>
      </c>
      <c r="G439" s="1" t="s">
        <v>2238</v>
      </c>
      <c r="H439" s="1" t="s">
        <v>2161</v>
      </c>
      <c r="I439" s="1" t="s">
        <v>1636</v>
      </c>
      <c r="J439" s="1" t="s">
        <v>2159</v>
      </c>
      <c r="K439" s="492" t="str">
        <f t="shared" si="27"/>
        <v>CC OCPU</v>
      </c>
      <c r="L439" s="486" t="str">
        <f t="shared" si="28"/>
        <v>HR</v>
      </c>
      <c r="M439" s="486" t="str">
        <f t="shared" si="26"/>
        <v>UC</v>
      </c>
      <c r="N439" s="486" t="str">
        <f t="shared" si="29"/>
        <v>PAAS</v>
      </c>
    </row>
    <row r="440" spans="1:14">
      <c r="A440" s="1" t="s">
        <v>1054</v>
      </c>
      <c r="B440" s="1" t="s">
        <v>1371</v>
      </c>
      <c r="C440" s="1" t="s">
        <v>133</v>
      </c>
      <c r="D440" s="1">
        <v>0.3226</v>
      </c>
      <c r="E440" s="1" t="s">
        <v>49</v>
      </c>
      <c r="F440" s="1" t="s">
        <v>2290</v>
      </c>
      <c r="G440" s="1" t="s">
        <v>2238</v>
      </c>
      <c r="H440" s="1" t="s">
        <v>2161</v>
      </c>
      <c r="I440" s="1" t="s">
        <v>1636</v>
      </c>
      <c r="J440" s="1" t="s">
        <v>2159</v>
      </c>
      <c r="K440" s="492" t="str">
        <f t="shared" si="27"/>
        <v>CC OCPU</v>
      </c>
      <c r="L440" s="486" t="str">
        <f t="shared" si="28"/>
        <v>HR</v>
      </c>
      <c r="M440" s="486" t="str">
        <f t="shared" si="26"/>
        <v>UC</v>
      </c>
      <c r="N440" s="486" t="str">
        <f t="shared" si="29"/>
        <v>PAAS</v>
      </c>
    </row>
    <row r="441" spans="1:14">
      <c r="A441" s="1" t="s">
        <v>1068</v>
      </c>
      <c r="B441" s="1" t="s">
        <v>2215</v>
      </c>
      <c r="C441" s="1">
        <v>40.322600000000001</v>
      </c>
      <c r="D441" s="1">
        <v>26.881699999999999</v>
      </c>
      <c r="E441" s="1" t="s">
        <v>2192</v>
      </c>
      <c r="F441" s="1" t="s">
        <v>2290</v>
      </c>
      <c r="G441" s="1" t="s">
        <v>1838</v>
      </c>
      <c r="H441" s="1" t="s">
        <v>2161</v>
      </c>
      <c r="I441" s="1" t="s">
        <v>1636</v>
      </c>
      <c r="J441" s="1" t="s">
        <v>2159</v>
      </c>
      <c r="K441" s="492" t="str">
        <f t="shared" si="27"/>
        <v>ExaCS</v>
      </c>
      <c r="L441" s="486" t="str">
        <f t="shared" si="28"/>
        <v>HR</v>
      </c>
      <c r="M441" s="486" t="str">
        <f t="shared" si="26"/>
        <v>UC</v>
      </c>
      <c r="N441" s="486" t="str">
        <f t="shared" si="29"/>
        <v>PAAS</v>
      </c>
    </row>
    <row r="442" spans="1:14">
      <c r="A442" s="1" t="s">
        <v>1069</v>
      </c>
      <c r="B442" s="1" t="s">
        <v>2337</v>
      </c>
      <c r="C442" s="1">
        <v>80.645099999999999</v>
      </c>
      <c r="D442" s="1">
        <v>53.763399999999997</v>
      </c>
      <c r="E442" s="1" t="s">
        <v>2192</v>
      </c>
      <c r="F442" s="1" t="s">
        <v>2290</v>
      </c>
      <c r="G442" s="1" t="s">
        <v>1838</v>
      </c>
      <c r="H442" s="1" t="s">
        <v>2161</v>
      </c>
      <c r="I442" s="1" t="s">
        <v>1636</v>
      </c>
      <c r="J442" s="1" t="s">
        <v>2159</v>
      </c>
      <c r="K442" s="492" t="str">
        <f t="shared" si="27"/>
        <v>ExaCS</v>
      </c>
      <c r="L442" s="486" t="str">
        <f t="shared" si="28"/>
        <v>HR</v>
      </c>
      <c r="M442" s="486" t="str">
        <f t="shared" si="26"/>
        <v>UC</v>
      </c>
      <c r="N442" s="486" t="str">
        <f t="shared" si="29"/>
        <v>PAAS</v>
      </c>
    </row>
    <row r="443" spans="1:14">
      <c r="A443" s="1" t="s">
        <v>1070</v>
      </c>
      <c r="B443" s="1" t="s">
        <v>2338</v>
      </c>
      <c r="C443" s="1">
        <v>161.29040000000001</v>
      </c>
      <c r="D443" s="1">
        <v>107.5269</v>
      </c>
      <c r="E443" s="1" t="s">
        <v>2192</v>
      </c>
      <c r="F443" s="1" t="s">
        <v>2290</v>
      </c>
      <c r="G443" s="1" t="s">
        <v>1838</v>
      </c>
      <c r="H443" s="1" t="s">
        <v>2161</v>
      </c>
      <c r="I443" s="1" t="s">
        <v>1636</v>
      </c>
      <c r="J443" s="1" t="s">
        <v>2159</v>
      </c>
      <c r="K443" s="492" t="str">
        <f t="shared" si="27"/>
        <v>ExaCS</v>
      </c>
      <c r="L443" s="486" t="str">
        <f t="shared" si="28"/>
        <v>HR</v>
      </c>
      <c r="M443" s="486" t="str">
        <f t="shared" si="26"/>
        <v>UC</v>
      </c>
      <c r="N443" s="486" t="str">
        <f t="shared" si="29"/>
        <v>PAAS</v>
      </c>
    </row>
    <row r="444" spans="1:14">
      <c r="A444" s="1" t="s">
        <v>1071</v>
      </c>
      <c r="B444" s="1" t="s">
        <v>1072</v>
      </c>
      <c r="C444" s="1">
        <v>0</v>
      </c>
      <c r="D444" s="1">
        <v>2.95</v>
      </c>
      <c r="E444" s="1" t="s">
        <v>2191</v>
      </c>
      <c r="F444" s="1" t="s">
        <v>2290</v>
      </c>
      <c r="G444" s="1" t="s">
        <v>1835</v>
      </c>
      <c r="H444" s="1" t="s">
        <v>2161</v>
      </c>
      <c r="I444" s="1" t="s">
        <v>1636</v>
      </c>
      <c r="J444" s="1" t="s">
        <v>2158</v>
      </c>
      <c r="K444" s="492" t="str">
        <f t="shared" si="27"/>
        <v>Compute</v>
      </c>
      <c r="L444" s="486" t="str">
        <f t="shared" si="28"/>
        <v>HR</v>
      </c>
      <c r="M444" s="486" t="str">
        <f t="shared" si="26"/>
        <v>UC</v>
      </c>
      <c r="N444" s="486" t="str">
        <f t="shared" si="29"/>
        <v>IAAS</v>
      </c>
    </row>
    <row r="445" spans="1:14">
      <c r="A445" s="1" t="s">
        <v>2271</v>
      </c>
      <c r="B445" s="1" t="s">
        <v>1073</v>
      </c>
      <c r="C445" s="1">
        <v>0</v>
      </c>
      <c r="D445" s="1">
        <v>2.7000000000000001E-3</v>
      </c>
      <c r="E445" s="1" t="s">
        <v>2195</v>
      </c>
      <c r="F445" s="1" t="s">
        <v>2290</v>
      </c>
      <c r="G445" s="1" t="s">
        <v>2400</v>
      </c>
      <c r="H445" s="1" t="s">
        <v>2161</v>
      </c>
      <c r="I445" s="1" t="s">
        <v>1636</v>
      </c>
      <c r="J445" s="1" t="s">
        <v>2159</v>
      </c>
      <c r="K445" s="492" t="str">
        <f t="shared" si="27"/>
        <v>Government</v>
      </c>
      <c r="L445" s="486" t="str">
        <f t="shared" si="28"/>
        <v>HR</v>
      </c>
      <c r="M445" s="486" t="str">
        <f t="shared" si="26"/>
        <v>UC</v>
      </c>
      <c r="N445" s="486" t="str">
        <f t="shared" si="29"/>
        <v>PAAS</v>
      </c>
    </row>
    <row r="446" spans="1:14">
      <c r="A446" s="1" t="s">
        <v>1074</v>
      </c>
      <c r="B446" s="1" t="s">
        <v>1075</v>
      </c>
      <c r="C446" s="1">
        <v>0</v>
      </c>
      <c r="D446" s="1">
        <v>2</v>
      </c>
      <c r="E446" s="1" t="s">
        <v>2197</v>
      </c>
      <c r="F446" s="1" t="s">
        <v>2290</v>
      </c>
      <c r="G446" s="1" t="s">
        <v>2400</v>
      </c>
      <c r="H446" s="1" t="s">
        <v>2161</v>
      </c>
      <c r="I446" s="1" t="s">
        <v>1636</v>
      </c>
      <c r="J446" s="1" t="s">
        <v>2159</v>
      </c>
      <c r="K446" s="492" t="str">
        <f t="shared" si="27"/>
        <v>Government</v>
      </c>
      <c r="L446" s="486" t="str">
        <f t="shared" si="28"/>
        <v>HR</v>
      </c>
      <c r="M446" s="486" t="str">
        <f t="shared" si="26"/>
        <v>UC</v>
      </c>
      <c r="N446" s="486" t="str">
        <f t="shared" si="29"/>
        <v>PAAS</v>
      </c>
    </row>
    <row r="447" spans="1:14">
      <c r="A447" s="1" t="s">
        <v>1055</v>
      </c>
      <c r="B447" s="1" t="s">
        <v>1076</v>
      </c>
      <c r="C447" s="1">
        <v>0</v>
      </c>
      <c r="D447" s="1">
        <v>0.96779999999999999</v>
      </c>
      <c r="E447" s="1" t="s">
        <v>49</v>
      </c>
      <c r="F447" s="1" t="s">
        <v>2290</v>
      </c>
      <c r="G447" s="1" t="s">
        <v>2391</v>
      </c>
      <c r="H447" s="1" t="s">
        <v>2161</v>
      </c>
      <c r="I447" s="1" t="s">
        <v>1636</v>
      </c>
      <c r="J447" s="1" t="s">
        <v>2159</v>
      </c>
      <c r="K447" s="492" t="str">
        <f t="shared" si="27"/>
        <v>Integration</v>
      </c>
      <c r="L447" s="486" t="str">
        <f t="shared" si="28"/>
        <v>HR</v>
      </c>
      <c r="M447" s="486" t="str">
        <f t="shared" si="26"/>
        <v>UC</v>
      </c>
      <c r="N447" s="486" t="str">
        <f t="shared" si="29"/>
        <v>PAAS</v>
      </c>
    </row>
    <row r="448" spans="1:14">
      <c r="A448" s="1" t="s">
        <v>1056</v>
      </c>
      <c r="B448" s="1" t="s">
        <v>1077</v>
      </c>
      <c r="C448" s="1">
        <v>0</v>
      </c>
      <c r="D448" s="1">
        <v>0.60489999999999999</v>
      </c>
      <c r="E448" s="1" t="s">
        <v>49</v>
      </c>
      <c r="F448" s="1" t="s">
        <v>2290</v>
      </c>
      <c r="G448" s="1" t="s">
        <v>2391</v>
      </c>
      <c r="H448" s="1" t="s">
        <v>2161</v>
      </c>
      <c r="I448" s="1" t="s">
        <v>1636</v>
      </c>
      <c r="J448" s="1" t="s">
        <v>2159</v>
      </c>
      <c r="K448" s="492" t="str">
        <f t="shared" si="27"/>
        <v>Integration</v>
      </c>
      <c r="L448" s="486" t="str">
        <f t="shared" si="28"/>
        <v>HR</v>
      </c>
      <c r="M448" s="486" t="str">
        <f t="shared" si="26"/>
        <v>UC</v>
      </c>
      <c r="N448" s="486" t="str">
        <f t="shared" si="29"/>
        <v>PAAS</v>
      </c>
    </row>
    <row r="449" spans="1:14">
      <c r="A449" s="1" t="s">
        <v>1078</v>
      </c>
      <c r="B449" s="1" t="s">
        <v>1079</v>
      </c>
      <c r="C449" s="1">
        <v>0</v>
      </c>
      <c r="D449" s="1">
        <v>0.19350000000000001</v>
      </c>
      <c r="E449" s="1" t="s">
        <v>49</v>
      </c>
      <c r="F449" s="1" t="s">
        <v>2290</v>
      </c>
      <c r="G449" s="1" t="s">
        <v>2391</v>
      </c>
      <c r="H449" s="1" t="s">
        <v>2161</v>
      </c>
      <c r="I449" s="1" t="s">
        <v>1636</v>
      </c>
      <c r="J449" s="1" t="s">
        <v>2159</v>
      </c>
      <c r="K449" s="492" t="str">
        <f t="shared" si="27"/>
        <v>Integration</v>
      </c>
      <c r="L449" s="486" t="str">
        <f t="shared" si="28"/>
        <v>HR</v>
      </c>
      <c r="M449" s="486" t="str">
        <f t="shared" si="26"/>
        <v>UC</v>
      </c>
      <c r="N449" s="486" t="str">
        <f t="shared" si="29"/>
        <v>PAAS</v>
      </c>
    </row>
    <row r="450" spans="1:14">
      <c r="A450" s="1" t="s">
        <v>1057</v>
      </c>
      <c r="B450" s="1" t="s">
        <v>1058</v>
      </c>
      <c r="C450" s="1">
        <v>0</v>
      </c>
      <c r="D450" s="1">
        <v>0.96779999999999999</v>
      </c>
      <c r="E450" s="1" t="s">
        <v>49</v>
      </c>
      <c r="F450" s="1" t="s">
        <v>2290</v>
      </c>
      <c r="G450" s="1" t="s">
        <v>2400</v>
      </c>
      <c r="H450" s="1" t="s">
        <v>2161</v>
      </c>
      <c r="I450" s="1" t="s">
        <v>1636</v>
      </c>
      <c r="J450" s="1" t="s">
        <v>2159</v>
      </c>
      <c r="K450" s="492" t="str">
        <f t="shared" si="27"/>
        <v>Government</v>
      </c>
      <c r="L450" s="486" t="str">
        <f t="shared" si="28"/>
        <v>HR</v>
      </c>
      <c r="M450" s="486" t="str">
        <f t="shared" si="26"/>
        <v>UC</v>
      </c>
      <c r="N450" s="486" t="str">
        <f t="shared" si="29"/>
        <v>PAAS</v>
      </c>
    </row>
    <row r="451" spans="1:14">
      <c r="A451" s="1" t="s">
        <v>1080</v>
      </c>
      <c r="B451" s="1" t="s">
        <v>1081</v>
      </c>
      <c r="C451" s="1">
        <v>0</v>
      </c>
      <c r="D451" s="1">
        <v>0.19350000000000001</v>
      </c>
      <c r="E451" s="1" t="s">
        <v>49</v>
      </c>
      <c r="F451" s="1" t="s">
        <v>2290</v>
      </c>
      <c r="G451" s="1" t="s">
        <v>2400</v>
      </c>
      <c r="H451" s="1" t="s">
        <v>2161</v>
      </c>
      <c r="I451" s="1" t="s">
        <v>1636</v>
      </c>
      <c r="J451" s="1" t="s">
        <v>2159</v>
      </c>
      <c r="K451" s="492" t="str">
        <f t="shared" si="27"/>
        <v>Government</v>
      </c>
      <c r="L451" s="486" t="str">
        <f t="shared" si="28"/>
        <v>HR</v>
      </c>
      <c r="M451" s="486" t="str">
        <f t="shared" si="26"/>
        <v>UC</v>
      </c>
      <c r="N451" s="486" t="str">
        <f t="shared" si="29"/>
        <v>PAAS</v>
      </c>
    </row>
    <row r="452" spans="1:14">
      <c r="A452" s="1" t="s">
        <v>1082</v>
      </c>
      <c r="B452" s="1" t="s">
        <v>1243</v>
      </c>
      <c r="C452" s="1">
        <v>0</v>
      </c>
      <c r="D452" s="1">
        <v>0.19350000000000001</v>
      </c>
      <c r="E452" s="1" t="s">
        <v>49</v>
      </c>
      <c r="F452" s="1" t="s">
        <v>2290</v>
      </c>
      <c r="G452" s="1" t="s">
        <v>2391</v>
      </c>
      <c r="H452" s="1" t="s">
        <v>2161</v>
      </c>
      <c r="I452" s="1" t="s">
        <v>1636</v>
      </c>
      <c r="J452" s="1" t="s">
        <v>2159</v>
      </c>
      <c r="K452" s="492" t="str">
        <f t="shared" si="27"/>
        <v>Integration</v>
      </c>
      <c r="L452" s="486" t="str">
        <f t="shared" si="28"/>
        <v>HR</v>
      </c>
      <c r="M452" s="486" t="str">
        <f t="shared" ref="M452:M515" si="30">_xlfn.IFS(K452="CC","CC",K452="Rapid Start","SRV",F452="Y","UC0",TRUE,"UC")</f>
        <v>UC</v>
      </c>
      <c r="N452" s="486" t="str">
        <f t="shared" si="29"/>
        <v>PAAS</v>
      </c>
    </row>
    <row r="453" spans="1:14">
      <c r="A453" s="1" t="s">
        <v>1139</v>
      </c>
      <c r="B453" s="1" t="s">
        <v>1140</v>
      </c>
      <c r="C453" s="1">
        <v>0</v>
      </c>
      <c r="D453" s="1">
        <v>0.3226</v>
      </c>
      <c r="E453" s="1" t="s">
        <v>49</v>
      </c>
      <c r="F453" s="1" t="s">
        <v>2290</v>
      </c>
      <c r="G453" s="1" t="s">
        <v>1836</v>
      </c>
      <c r="H453" s="1" t="s">
        <v>2161</v>
      </c>
      <c r="I453" s="1" t="s">
        <v>1636</v>
      </c>
      <c r="J453" s="1" t="s">
        <v>2159</v>
      </c>
      <c r="K453" s="492" t="str">
        <f t="shared" si="27"/>
        <v>ADW</v>
      </c>
      <c r="L453" s="486" t="str">
        <f t="shared" si="28"/>
        <v>HR</v>
      </c>
      <c r="M453" s="486" t="str">
        <f t="shared" si="30"/>
        <v>UC</v>
      </c>
      <c r="N453" s="486" t="str">
        <f t="shared" si="29"/>
        <v>PAAS</v>
      </c>
    </row>
    <row r="454" spans="1:14">
      <c r="A454" s="1" t="s">
        <v>1083</v>
      </c>
      <c r="B454" s="1" t="s">
        <v>1084</v>
      </c>
      <c r="C454" s="1">
        <v>0</v>
      </c>
      <c r="D454" s="1">
        <v>0.19350000000000001</v>
      </c>
      <c r="E454" s="1" t="s">
        <v>49</v>
      </c>
      <c r="F454" s="1" t="s">
        <v>2290</v>
      </c>
      <c r="G454" s="1" t="s">
        <v>2400</v>
      </c>
      <c r="H454" s="1" t="s">
        <v>2161</v>
      </c>
      <c r="I454" s="1" t="s">
        <v>1636</v>
      </c>
      <c r="J454" s="1" t="s">
        <v>2159</v>
      </c>
      <c r="K454" s="492" t="str">
        <f t="shared" si="27"/>
        <v>Government</v>
      </c>
      <c r="L454" s="486" t="str">
        <f t="shared" si="28"/>
        <v>HR</v>
      </c>
      <c r="M454" s="486" t="str">
        <f t="shared" si="30"/>
        <v>UC</v>
      </c>
      <c r="N454" s="486" t="str">
        <f t="shared" si="29"/>
        <v>PAAS</v>
      </c>
    </row>
    <row r="455" spans="1:14">
      <c r="A455" s="1" t="s">
        <v>1085</v>
      </c>
      <c r="B455" s="1" t="s">
        <v>1086</v>
      </c>
      <c r="C455" s="1">
        <v>0</v>
      </c>
      <c r="D455" s="1">
        <v>0.19350000000000001</v>
      </c>
      <c r="E455" s="1" t="s">
        <v>49</v>
      </c>
      <c r="F455" s="1" t="s">
        <v>2290</v>
      </c>
      <c r="G455" s="1" t="s">
        <v>2400</v>
      </c>
      <c r="H455" s="1" t="s">
        <v>2161</v>
      </c>
      <c r="I455" s="1" t="s">
        <v>1636</v>
      </c>
      <c r="J455" s="1" t="s">
        <v>2159</v>
      </c>
      <c r="K455" s="492" t="str">
        <f t="shared" si="27"/>
        <v>Government</v>
      </c>
      <c r="L455" s="486" t="str">
        <f t="shared" si="28"/>
        <v>HR</v>
      </c>
      <c r="M455" s="486" t="str">
        <f t="shared" si="30"/>
        <v>UC</v>
      </c>
      <c r="N455" s="486" t="str">
        <f t="shared" si="29"/>
        <v>PAAS</v>
      </c>
    </row>
    <row r="456" spans="1:14">
      <c r="A456" s="1" t="s">
        <v>1087</v>
      </c>
      <c r="B456" s="1" t="s">
        <v>1088</v>
      </c>
      <c r="C456" s="1">
        <v>0</v>
      </c>
      <c r="D456" s="1">
        <v>0.19350000000000001</v>
      </c>
      <c r="E456" s="1" t="s">
        <v>49</v>
      </c>
      <c r="F456" s="1" t="s">
        <v>2290</v>
      </c>
      <c r="G456" s="1" t="s">
        <v>2309</v>
      </c>
      <c r="H456" s="1" t="s">
        <v>2161</v>
      </c>
      <c r="I456" s="1" t="s">
        <v>1636</v>
      </c>
      <c r="J456" s="1" t="s">
        <v>2159</v>
      </c>
      <c r="K456" s="492" t="str">
        <f t="shared" si="27"/>
        <v>DBaaS</v>
      </c>
      <c r="L456" s="486" t="str">
        <f t="shared" si="28"/>
        <v>HR</v>
      </c>
      <c r="M456" s="486" t="str">
        <f t="shared" si="30"/>
        <v>UC</v>
      </c>
      <c r="N456" s="486" t="str">
        <f t="shared" si="29"/>
        <v>PAAS</v>
      </c>
    </row>
    <row r="457" spans="1:14">
      <c r="A457" s="1" t="s">
        <v>1089</v>
      </c>
      <c r="B457" s="1" t="s">
        <v>1244</v>
      </c>
      <c r="C457" s="1">
        <v>0</v>
      </c>
      <c r="D457" s="1">
        <v>0.19350000000000001</v>
      </c>
      <c r="E457" s="1" t="s">
        <v>49</v>
      </c>
      <c r="F457" s="1" t="s">
        <v>2290</v>
      </c>
      <c r="G457" s="1" t="s">
        <v>1839</v>
      </c>
      <c r="H457" s="1" t="s">
        <v>2161</v>
      </c>
      <c r="I457" s="1" t="s">
        <v>1636</v>
      </c>
      <c r="J457" s="1" t="s">
        <v>2159</v>
      </c>
      <c r="K457" s="492" t="str">
        <f t="shared" si="27"/>
        <v>Analytics</v>
      </c>
      <c r="L457" s="486" t="str">
        <f t="shared" si="28"/>
        <v>HR</v>
      </c>
      <c r="M457" s="486" t="str">
        <f t="shared" si="30"/>
        <v>UC</v>
      </c>
      <c r="N457" s="486" t="str">
        <f t="shared" si="29"/>
        <v>PAAS</v>
      </c>
    </row>
    <row r="458" spans="1:14">
      <c r="A458" s="1" t="s">
        <v>1091</v>
      </c>
      <c r="B458" s="1" t="s">
        <v>1245</v>
      </c>
      <c r="C458" s="1">
        <v>0</v>
      </c>
      <c r="D458" s="1">
        <v>0.19350000000000001</v>
      </c>
      <c r="E458" s="1" t="s">
        <v>49</v>
      </c>
      <c r="F458" s="1" t="s">
        <v>2290</v>
      </c>
      <c r="G458" s="1" t="s">
        <v>1839</v>
      </c>
      <c r="H458" s="1" t="s">
        <v>2161</v>
      </c>
      <c r="I458" s="1" t="s">
        <v>1636</v>
      </c>
      <c r="J458" s="1" t="s">
        <v>2159</v>
      </c>
      <c r="K458" s="492" t="str">
        <f t="shared" si="27"/>
        <v>Analytics</v>
      </c>
      <c r="L458" s="486" t="str">
        <f t="shared" si="28"/>
        <v>HR</v>
      </c>
      <c r="M458" s="486" t="str">
        <f t="shared" si="30"/>
        <v>UC</v>
      </c>
      <c r="N458" s="486" t="str">
        <f t="shared" si="29"/>
        <v>PAAS</v>
      </c>
    </row>
    <row r="459" spans="1:14">
      <c r="A459" s="1" t="s">
        <v>1093</v>
      </c>
      <c r="B459" s="1" t="s">
        <v>1094</v>
      </c>
      <c r="C459" s="1">
        <v>0</v>
      </c>
      <c r="D459" s="1">
        <v>0.19350000000000001</v>
      </c>
      <c r="E459" s="1" t="s">
        <v>49</v>
      </c>
      <c r="F459" s="1" t="s">
        <v>2290</v>
      </c>
      <c r="G459" s="1" t="s">
        <v>2309</v>
      </c>
      <c r="H459" s="1" t="s">
        <v>2161</v>
      </c>
      <c r="I459" s="1" t="s">
        <v>1636</v>
      </c>
      <c r="J459" s="1" t="s">
        <v>2159</v>
      </c>
      <c r="K459" s="492" t="str">
        <f t="shared" si="27"/>
        <v>DBaaS</v>
      </c>
      <c r="L459" s="486" t="str">
        <f t="shared" si="28"/>
        <v>HR</v>
      </c>
      <c r="M459" s="486" t="str">
        <f t="shared" si="30"/>
        <v>UC</v>
      </c>
      <c r="N459" s="486" t="str">
        <f t="shared" si="29"/>
        <v>PAAS</v>
      </c>
    </row>
    <row r="460" spans="1:14">
      <c r="A460" s="1" t="s">
        <v>1096</v>
      </c>
      <c r="B460" s="1" t="s">
        <v>1097</v>
      </c>
      <c r="C460" s="1">
        <v>0</v>
      </c>
      <c r="D460" s="1">
        <v>0</v>
      </c>
      <c r="E460" s="1" t="s">
        <v>1154</v>
      </c>
      <c r="F460" s="1" t="s">
        <v>2290</v>
      </c>
      <c r="G460" s="1" t="s">
        <v>2393</v>
      </c>
      <c r="H460" s="1" t="s">
        <v>2397</v>
      </c>
      <c r="I460" s="1" t="s">
        <v>1636</v>
      </c>
      <c r="J460" s="1" t="s">
        <v>2159</v>
      </c>
      <c r="K460" s="492" t="str">
        <f t="shared" si="27"/>
        <v>Deprecated</v>
      </c>
      <c r="L460" s="486" t="str">
        <f t="shared" si="28"/>
        <v>EA</v>
      </c>
      <c r="M460" s="486" t="str">
        <f t="shared" si="30"/>
        <v>UC</v>
      </c>
      <c r="N460" s="486" t="str">
        <f t="shared" si="29"/>
        <v>PAAS</v>
      </c>
    </row>
    <row r="461" spans="1:14">
      <c r="A461" s="1" t="s">
        <v>1062</v>
      </c>
      <c r="B461" s="1" t="s">
        <v>2273</v>
      </c>
      <c r="C461" s="1">
        <v>3</v>
      </c>
      <c r="D461" s="1">
        <v>2</v>
      </c>
      <c r="E461" s="1" t="s">
        <v>2175</v>
      </c>
      <c r="F461" s="1" t="s">
        <v>2290</v>
      </c>
      <c r="G461" s="1" t="s">
        <v>1840</v>
      </c>
      <c r="H461" s="1" t="s">
        <v>2162</v>
      </c>
      <c r="I461" s="1" t="s">
        <v>1636</v>
      </c>
      <c r="J461" s="1" t="s">
        <v>2158</v>
      </c>
      <c r="K461" s="492" t="str">
        <f t="shared" si="27"/>
        <v>Storage</v>
      </c>
      <c r="L461" s="486" t="str">
        <f t="shared" si="28"/>
        <v>GB</v>
      </c>
      <c r="M461" s="486" t="str">
        <f t="shared" si="30"/>
        <v>UC</v>
      </c>
      <c r="N461" s="486" t="str">
        <f t="shared" si="29"/>
        <v>IAAS</v>
      </c>
    </row>
    <row r="462" spans="1:14">
      <c r="A462" s="1" t="s">
        <v>1098</v>
      </c>
      <c r="B462" s="1" t="s">
        <v>1927</v>
      </c>
      <c r="C462" s="1">
        <v>9.5999999999999992E-3</v>
      </c>
      <c r="D462" s="1">
        <v>6.4999999999999997E-3</v>
      </c>
      <c r="E462" s="1" t="s">
        <v>2175</v>
      </c>
      <c r="F462" s="1" t="s">
        <v>2290</v>
      </c>
      <c r="G462" s="1" t="s">
        <v>1840</v>
      </c>
      <c r="H462" s="1" t="s">
        <v>2162</v>
      </c>
      <c r="I462" s="1" t="s">
        <v>1636</v>
      </c>
      <c r="J462" s="1" t="s">
        <v>2158</v>
      </c>
      <c r="K462" s="492" t="str">
        <f t="shared" ref="K462:K525" si="31" xml:space="preserve"> _xlfn.IFS(ISNUMBER(SEARCH("Universal Credits",B462)),"UC",
ISNUMBER(SEARCH("Ravello",B462)),"Deprecated",
ISNUMBER(SEARCH("Cloud Machine",B462)),"Deprecated",
ISNUMBER(SEARCH("Compute",B462)),"Compute",
ISNUMBER(SEARCH("Load Balancer",B462)),"Network",
ISNUMBER(SEARCH("FastConnect",B462)),"Network",
ISNUMBER(SEARCH("Database OCPU",B462)),"CC OCPU",
ISNUMBER(SEARCH("at Customer",B462)),"CC",
ISNUMBER(SEARCH("Exadata Storage",B462)),"Exa Storage",
ISNUMBER(SEARCH("Storage",B462)),"Storage",
ISNUMBER(SEARCH("Block ",B462)),"Storage",
ISNUMBER(SEARCH("Autonomous Data Warehouse",B462)),"ADW",
ISNUMBER(SEARCH("Autonomous Transaction Processing",B462)),"ATP",
ISNUMBER(SEARCH("Database Exadata",B462)),"ExaCS",
ISNUMBER(SEARCH("Database",B462)),"DBaaS",
ISNUMBER(SEARCH("Essbase",B462)),"DBaaS",
ISNUMBER(SEARCH("integration",B462)),"Integration",
ISNUMBER(SEARCH("SOA",B462)),"Integration",
ISNUMBER(SEARCH("Management Cloud",B462)),"Service",
ISNUMBER(SEARCH("Analytics",B462)),"Analytics",
ISNUMBER(SEARCH("Storage",B462)),"Storage",
ISNUMBER(SEARCH("Block ",B462)),"Storage",
ISNUMBER(SEARCH("Identity",B462)),"Platform",
ISNUMBER(SEARCH("Content",B462)),"Platform",
ISNUMBER(SEARCH("Weblogic",B462)),"Platform",
ISNUMBER(SEARCH("Digital Assistant",B462)),"Platform",
ISNUMBER(SEARCH("Advance",B462)),"New",
ISNUMBER(SEARCH("Limited",B462)),"Classic",
ISNUMBER(SEARCH("Classic",B462)),"Classic",
ISNUMBER(SEARCH("Government",B462)),"Government",
ISNUMBER(SEARCH("Metered",B462)),"Deprecated",
VALUE(RIGHT(A462,5))&lt;88206,"Deprecated",
TRUE,"Service")</f>
        <v>Storage</v>
      </c>
      <c r="L462" s="486" t="str">
        <f t="shared" ref="L462:L525" si="32">_xlfn.IFS(ISNUMBER(SEARCH("Hour",E462)),"HR",ISNUMBER(SEARCH("Gigabyte",E462)),"GB",ISNUMBER(SEARCH("Terabyte",E462)),"TB",ISNUMBER(SEARCH("Requests",E462)),"REQ",ISNUMBER(SEARCH("Each",E462)),"EA","TRUE","UNIT")</f>
        <v>GB</v>
      </c>
      <c r="M462" s="486" t="str">
        <f t="shared" si="30"/>
        <v>UC</v>
      </c>
      <c r="N462" s="486" t="str">
        <f t="shared" ref="N462:N525" si="33">_xlfn.IFS(K462="Storage","IAAS",K462="Compute","IAAS",K462="Network","IAAS",K462="Service","IAAS",L462="REQ","IAAS",TRUE,"PAAS")</f>
        <v>IAAS</v>
      </c>
    </row>
    <row r="463" spans="1:14">
      <c r="A463" s="1" t="s">
        <v>1099</v>
      </c>
      <c r="B463" s="1" t="s">
        <v>1928</v>
      </c>
      <c r="C463" s="1">
        <v>8.9999999999999998E-4</v>
      </c>
      <c r="D463" s="1">
        <v>5.9999999999999995E-4</v>
      </c>
      <c r="E463" s="1" t="s">
        <v>2175</v>
      </c>
      <c r="F463" s="1" t="s">
        <v>2290</v>
      </c>
      <c r="G463" s="1" t="s">
        <v>1840</v>
      </c>
      <c r="H463" s="1" t="s">
        <v>2162</v>
      </c>
      <c r="I463" s="1" t="s">
        <v>1636</v>
      </c>
      <c r="J463" s="1" t="s">
        <v>2158</v>
      </c>
      <c r="K463" s="492" t="str">
        <f t="shared" si="31"/>
        <v>Storage</v>
      </c>
      <c r="L463" s="486" t="str">
        <f t="shared" si="32"/>
        <v>GB</v>
      </c>
      <c r="M463" s="486" t="str">
        <f t="shared" si="30"/>
        <v>UC</v>
      </c>
      <c r="N463" s="486" t="str">
        <f t="shared" si="33"/>
        <v>IAAS</v>
      </c>
    </row>
    <row r="464" spans="1:14">
      <c r="A464" s="1" t="s">
        <v>1166</v>
      </c>
      <c r="B464" s="1" t="s">
        <v>1167</v>
      </c>
      <c r="C464" s="1">
        <v>0</v>
      </c>
      <c r="D464" s="1">
        <v>6.4999999999999997E-3</v>
      </c>
      <c r="E464" s="1" t="s">
        <v>2166</v>
      </c>
      <c r="F464" s="1" t="s">
        <v>2290</v>
      </c>
      <c r="G464" s="1" t="s">
        <v>1840</v>
      </c>
      <c r="H464" s="1" t="s">
        <v>2162</v>
      </c>
      <c r="I464" s="1" t="s">
        <v>1636</v>
      </c>
      <c r="J464" s="1" t="s">
        <v>2158</v>
      </c>
      <c r="K464" s="492" t="str">
        <f t="shared" si="31"/>
        <v>Storage</v>
      </c>
      <c r="L464" s="486" t="str">
        <f t="shared" si="32"/>
        <v>GB</v>
      </c>
      <c r="M464" s="486" t="str">
        <f t="shared" si="30"/>
        <v>UC</v>
      </c>
      <c r="N464" s="486" t="str">
        <f t="shared" si="33"/>
        <v>IAAS</v>
      </c>
    </row>
    <row r="465" spans="1:14">
      <c r="A465" s="1" t="s">
        <v>1168</v>
      </c>
      <c r="B465" s="1" t="s">
        <v>1169</v>
      </c>
      <c r="C465" s="1">
        <v>0</v>
      </c>
      <c r="D465" s="1">
        <v>5.9999999999999995E-4</v>
      </c>
      <c r="E465" s="1" t="s">
        <v>2166</v>
      </c>
      <c r="F465" s="1" t="s">
        <v>2290</v>
      </c>
      <c r="G465" s="1" t="s">
        <v>1840</v>
      </c>
      <c r="H465" s="1" t="s">
        <v>2162</v>
      </c>
      <c r="I465" s="1" t="s">
        <v>1636</v>
      </c>
      <c r="J465" s="1" t="s">
        <v>2158</v>
      </c>
      <c r="K465" s="492" t="str">
        <f t="shared" si="31"/>
        <v>Storage</v>
      </c>
      <c r="L465" s="486" t="str">
        <f t="shared" si="32"/>
        <v>GB</v>
      </c>
      <c r="M465" s="486" t="str">
        <f t="shared" si="30"/>
        <v>UC</v>
      </c>
      <c r="N465" s="486" t="str">
        <f t="shared" si="33"/>
        <v>IAAS</v>
      </c>
    </row>
    <row r="466" spans="1:14">
      <c r="A466" s="1" t="s">
        <v>1110</v>
      </c>
      <c r="B466" s="1" t="s">
        <v>1246</v>
      </c>
      <c r="C466" s="1">
        <v>4.3999999999999997E-2</v>
      </c>
      <c r="D466" s="1">
        <v>2.9000000000000001E-2</v>
      </c>
      <c r="E466" s="1" t="s">
        <v>2216</v>
      </c>
      <c r="F466" s="1" t="s">
        <v>2290</v>
      </c>
      <c r="G466" s="1" t="s">
        <v>2392</v>
      </c>
      <c r="H466" s="1" t="s">
        <v>2394</v>
      </c>
      <c r="I466" s="1" t="s">
        <v>1636</v>
      </c>
      <c r="J466" s="1" t="s">
        <v>2159</v>
      </c>
      <c r="K466" s="492" t="str">
        <f t="shared" si="31"/>
        <v>Platform</v>
      </c>
      <c r="L466" s="486" t="str">
        <f t="shared" si="32"/>
        <v>UNIT</v>
      </c>
      <c r="M466" s="486" t="str">
        <f t="shared" si="30"/>
        <v>UC</v>
      </c>
      <c r="N466" s="486" t="str">
        <f t="shared" si="33"/>
        <v>PAAS</v>
      </c>
    </row>
    <row r="467" spans="1:14">
      <c r="A467" s="1" t="s">
        <v>1356</v>
      </c>
      <c r="B467" s="1" t="s">
        <v>1357</v>
      </c>
      <c r="C467" s="1">
        <v>0</v>
      </c>
      <c r="D467" s="1">
        <v>1.3441000000000001</v>
      </c>
      <c r="E467" s="1" t="s">
        <v>2205</v>
      </c>
      <c r="F467" s="1" t="s">
        <v>2290</v>
      </c>
      <c r="G467" s="1" t="s">
        <v>2400</v>
      </c>
      <c r="H467" s="1" t="s">
        <v>2161</v>
      </c>
      <c r="I467" s="1" t="s">
        <v>1636</v>
      </c>
      <c r="J467" s="1" t="s">
        <v>2159</v>
      </c>
      <c r="K467" s="492" t="str">
        <f t="shared" si="31"/>
        <v>Government</v>
      </c>
      <c r="L467" s="486" t="str">
        <f t="shared" si="32"/>
        <v>HR</v>
      </c>
      <c r="M467" s="486" t="str">
        <f t="shared" si="30"/>
        <v>UC</v>
      </c>
      <c r="N467" s="486" t="str">
        <f t="shared" si="33"/>
        <v>PAAS</v>
      </c>
    </row>
    <row r="468" spans="1:14">
      <c r="A468" s="1" t="s">
        <v>1111</v>
      </c>
      <c r="B468" s="1" t="s">
        <v>1247</v>
      </c>
      <c r="C468" s="1">
        <v>0</v>
      </c>
      <c r="D468" s="1">
        <v>1.6129</v>
      </c>
      <c r="E468" s="1" t="s">
        <v>2212</v>
      </c>
      <c r="F468" s="1" t="s">
        <v>2290</v>
      </c>
      <c r="G468" s="1" t="s">
        <v>2391</v>
      </c>
      <c r="H468" s="1" t="s">
        <v>2161</v>
      </c>
      <c r="I468" s="1" t="s">
        <v>1636</v>
      </c>
      <c r="J468" s="1" t="s">
        <v>2159</v>
      </c>
      <c r="K468" s="492" t="str">
        <f t="shared" si="31"/>
        <v>Integration</v>
      </c>
      <c r="L468" s="486" t="str">
        <f t="shared" si="32"/>
        <v>HR</v>
      </c>
      <c r="M468" s="486" t="str">
        <f t="shared" si="30"/>
        <v>UC</v>
      </c>
      <c r="N468" s="486" t="str">
        <f t="shared" si="33"/>
        <v>PAAS</v>
      </c>
    </row>
    <row r="469" spans="1:14">
      <c r="A469" s="1" t="s">
        <v>1112</v>
      </c>
      <c r="B469" s="1" t="s">
        <v>1248</v>
      </c>
      <c r="C469" s="1">
        <v>0</v>
      </c>
      <c r="D469" s="1">
        <v>2.4192999999999998</v>
      </c>
      <c r="E469" s="1" t="s">
        <v>2212</v>
      </c>
      <c r="F469" s="1" t="s">
        <v>2290</v>
      </c>
      <c r="G469" s="1" t="s">
        <v>2391</v>
      </c>
      <c r="H469" s="1" t="s">
        <v>2161</v>
      </c>
      <c r="I469" s="1" t="s">
        <v>1636</v>
      </c>
      <c r="J469" s="1" t="s">
        <v>2159</v>
      </c>
      <c r="K469" s="492" t="str">
        <f t="shared" si="31"/>
        <v>Integration</v>
      </c>
      <c r="L469" s="486" t="str">
        <f t="shared" si="32"/>
        <v>HR</v>
      </c>
      <c r="M469" s="486" t="str">
        <f t="shared" si="30"/>
        <v>UC</v>
      </c>
      <c r="N469" s="486" t="str">
        <f t="shared" si="33"/>
        <v>PAAS</v>
      </c>
    </row>
    <row r="470" spans="1:14">
      <c r="A470" s="1" t="s">
        <v>1113</v>
      </c>
      <c r="B470" s="1" t="s">
        <v>1249</v>
      </c>
      <c r="C470" s="1">
        <v>0</v>
      </c>
      <c r="D470" s="1">
        <v>0.3226</v>
      </c>
      <c r="E470" s="1" t="s">
        <v>2212</v>
      </c>
      <c r="F470" s="1" t="s">
        <v>2290</v>
      </c>
      <c r="G470" s="1" t="s">
        <v>2391</v>
      </c>
      <c r="H470" s="1" t="s">
        <v>2161</v>
      </c>
      <c r="I470" s="1" t="s">
        <v>1636</v>
      </c>
      <c r="J470" s="1" t="s">
        <v>2159</v>
      </c>
      <c r="K470" s="492" t="str">
        <f t="shared" si="31"/>
        <v>Integration</v>
      </c>
      <c r="L470" s="486" t="str">
        <f t="shared" si="32"/>
        <v>HR</v>
      </c>
      <c r="M470" s="486" t="str">
        <f t="shared" si="30"/>
        <v>UC</v>
      </c>
      <c r="N470" s="486" t="str">
        <f t="shared" si="33"/>
        <v>PAAS</v>
      </c>
    </row>
    <row r="471" spans="1:14">
      <c r="A471" s="1" t="s">
        <v>1114</v>
      </c>
      <c r="B471" s="1" t="s">
        <v>1250</v>
      </c>
      <c r="C471" s="1">
        <v>0</v>
      </c>
      <c r="D471" s="1">
        <v>0.3226</v>
      </c>
      <c r="E471" s="1" t="s">
        <v>2212</v>
      </c>
      <c r="F471" s="1" t="s">
        <v>2290</v>
      </c>
      <c r="G471" s="1" t="s">
        <v>2391</v>
      </c>
      <c r="H471" s="1" t="s">
        <v>2161</v>
      </c>
      <c r="I471" s="1" t="s">
        <v>1636</v>
      </c>
      <c r="J471" s="1" t="s">
        <v>2159</v>
      </c>
      <c r="K471" s="492" t="str">
        <f t="shared" si="31"/>
        <v>Integration</v>
      </c>
      <c r="L471" s="486" t="str">
        <f t="shared" si="32"/>
        <v>HR</v>
      </c>
      <c r="M471" s="486" t="str">
        <f t="shared" si="30"/>
        <v>UC</v>
      </c>
      <c r="N471" s="486" t="str">
        <f t="shared" si="33"/>
        <v>PAAS</v>
      </c>
    </row>
    <row r="472" spans="1:14">
      <c r="A472" s="1" t="s">
        <v>1115</v>
      </c>
      <c r="B472" s="1" t="s">
        <v>1251</v>
      </c>
      <c r="C472" s="1">
        <v>0</v>
      </c>
      <c r="D472" s="1">
        <v>3.5000000000000001E-3</v>
      </c>
      <c r="E472" s="1" t="s">
        <v>2216</v>
      </c>
      <c r="F472" s="1" t="s">
        <v>2290</v>
      </c>
      <c r="G472" s="1" t="s">
        <v>2400</v>
      </c>
      <c r="H472" s="1" t="s">
        <v>2394</v>
      </c>
      <c r="I472" s="1" t="s">
        <v>1636</v>
      </c>
      <c r="J472" s="1" t="s">
        <v>2159</v>
      </c>
      <c r="K472" s="492" t="str">
        <f t="shared" si="31"/>
        <v>Government</v>
      </c>
      <c r="L472" s="486" t="str">
        <f t="shared" si="32"/>
        <v>UNIT</v>
      </c>
      <c r="M472" s="486" t="str">
        <f t="shared" si="30"/>
        <v>UC</v>
      </c>
      <c r="N472" s="486" t="str">
        <f t="shared" si="33"/>
        <v>PAAS</v>
      </c>
    </row>
    <row r="473" spans="1:14">
      <c r="A473" s="1" t="s">
        <v>1116</v>
      </c>
      <c r="B473" s="1" t="s">
        <v>1667</v>
      </c>
      <c r="C473" s="1">
        <v>0</v>
      </c>
      <c r="D473" s="1">
        <v>1.3441000000000001</v>
      </c>
      <c r="E473" s="1" t="s">
        <v>49</v>
      </c>
      <c r="F473" s="1" t="s">
        <v>2290</v>
      </c>
      <c r="G473" s="1" t="s">
        <v>1839</v>
      </c>
      <c r="H473" s="1" t="s">
        <v>2161</v>
      </c>
      <c r="I473" s="1" t="s">
        <v>1636</v>
      </c>
      <c r="J473" s="1" t="s">
        <v>2159</v>
      </c>
      <c r="K473" s="492" t="str">
        <f t="shared" si="31"/>
        <v>Analytics</v>
      </c>
      <c r="L473" s="486" t="str">
        <f t="shared" si="32"/>
        <v>HR</v>
      </c>
      <c r="M473" s="486" t="str">
        <f t="shared" si="30"/>
        <v>UC</v>
      </c>
      <c r="N473" s="486" t="str">
        <f t="shared" si="33"/>
        <v>PAAS</v>
      </c>
    </row>
    <row r="474" spans="1:14">
      <c r="A474" s="1" t="s">
        <v>1117</v>
      </c>
      <c r="B474" s="1" t="s">
        <v>453</v>
      </c>
      <c r="C474" s="1">
        <v>0</v>
      </c>
      <c r="D474" s="1">
        <v>2.6882000000000001</v>
      </c>
      <c r="E474" s="1" t="s">
        <v>49</v>
      </c>
      <c r="F474" s="1" t="s">
        <v>2290</v>
      </c>
      <c r="G474" s="1" t="s">
        <v>1839</v>
      </c>
      <c r="H474" s="1" t="s">
        <v>2161</v>
      </c>
      <c r="I474" s="1" t="s">
        <v>1636</v>
      </c>
      <c r="J474" s="1" t="s">
        <v>2159</v>
      </c>
      <c r="K474" s="492" t="str">
        <f t="shared" si="31"/>
        <v>Analytics</v>
      </c>
      <c r="L474" s="486" t="str">
        <f t="shared" si="32"/>
        <v>HR</v>
      </c>
      <c r="M474" s="486" t="str">
        <f t="shared" si="30"/>
        <v>UC</v>
      </c>
      <c r="N474" s="486" t="str">
        <f t="shared" si="33"/>
        <v>PAAS</v>
      </c>
    </row>
    <row r="475" spans="1:14">
      <c r="A475" s="1" t="s">
        <v>1118</v>
      </c>
      <c r="B475" s="1" t="s">
        <v>1090</v>
      </c>
      <c r="C475" s="1">
        <v>0</v>
      </c>
      <c r="D475" s="1">
        <v>0.3226</v>
      </c>
      <c r="E475" s="1" t="s">
        <v>49</v>
      </c>
      <c r="F475" s="1" t="s">
        <v>2290</v>
      </c>
      <c r="G475" s="1" t="s">
        <v>1839</v>
      </c>
      <c r="H475" s="1" t="s">
        <v>2161</v>
      </c>
      <c r="I475" s="1" t="s">
        <v>1636</v>
      </c>
      <c r="J475" s="1" t="s">
        <v>2159</v>
      </c>
      <c r="K475" s="492" t="str">
        <f t="shared" si="31"/>
        <v>Analytics</v>
      </c>
      <c r="L475" s="486" t="str">
        <f t="shared" si="32"/>
        <v>HR</v>
      </c>
      <c r="M475" s="486" t="str">
        <f t="shared" si="30"/>
        <v>UC</v>
      </c>
      <c r="N475" s="486" t="str">
        <f t="shared" si="33"/>
        <v>PAAS</v>
      </c>
    </row>
    <row r="476" spans="1:14">
      <c r="A476" s="1" t="s">
        <v>1119</v>
      </c>
      <c r="B476" s="1" t="s">
        <v>1092</v>
      </c>
      <c r="C476" s="1">
        <v>0</v>
      </c>
      <c r="D476" s="1">
        <v>0.3226</v>
      </c>
      <c r="E476" s="1" t="s">
        <v>49</v>
      </c>
      <c r="F476" s="1" t="s">
        <v>2290</v>
      </c>
      <c r="G476" s="1" t="s">
        <v>1839</v>
      </c>
      <c r="H476" s="1" t="s">
        <v>2161</v>
      </c>
      <c r="I476" s="1" t="s">
        <v>1636</v>
      </c>
      <c r="J476" s="1" t="s">
        <v>2159</v>
      </c>
      <c r="K476" s="492" t="str">
        <f t="shared" si="31"/>
        <v>Analytics</v>
      </c>
      <c r="L476" s="486" t="str">
        <f t="shared" si="32"/>
        <v>HR</v>
      </c>
      <c r="M476" s="486" t="str">
        <f t="shared" si="30"/>
        <v>UC</v>
      </c>
      <c r="N476" s="486" t="str">
        <f t="shared" si="33"/>
        <v>PAAS</v>
      </c>
    </row>
    <row r="477" spans="1:14">
      <c r="A477" s="1" t="s">
        <v>1120</v>
      </c>
      <c r="B477" s="1" t="s">
        <v>1252</v>
      </c>
      <c r="C477" s="1">
        <v>0</v>
      </c>
      <c r="D477" s="1">
        <v>1.6129</v>
      </c>
      <c r="E477" s="1" t="s">
        <v>2210</v>
      </c>
      <c r="F477" s="1" t="s">
        <v>2290</v>
      </c>
      <c r="G477" s="1" t="s">
        <v>2391</v>
      </c>
      <c r="H477" s="1" t="s">
        <v>2161</v>
      </c>
      <c r="I477" s="1" t="s">
        <v>1636</v>
      </c>
      <c r="J477" s="1" t="s">
        <v>2159</v>
      </c>
      <c r="K477" s="492" t="str">
        <f t="shared" si="31"/>
        <v>Integration</v>
      </c>
      <c r="L477" s="486" t="str">
        <f t="shared" si="32"/>
        <v>HR</v>
      </c>
      <c r="M477" s="486" t="str">
        <f t="shared" si="30"/>
        <v>UC</v>
      </c>
      <c r="N477" s="486" t="str">
        <f t="shared" si="33"/>
        <v>PAAS</v>
      </c>
    </row>
    <row r="478" spans="1:14">
      <c r="A478" s="1" t="s">
        <v>1121</v>
      </c>
      <c r="B478" s="1" t="s">
        <v>1253</v>
      </c>
      <c r="C478" s="1">
        <v>0</v>
      </c>
      <c r="D478" s="1">
        <v>0.3226</v>
      </c>
      <c r="E478" s="1" t="s">
        <v>2211</v>
      </c>
      <c r="F478" s="1" t="s">
        <v>2290</v>
      </c>
      <c r="G478" s="1" t="s">
        <v>2391</v>
      </c>
      <c r="H478" s="1" t="s">
        <v>2161</v>
      </c>
      <c r="I478" s="1" t="s">
        <v>1636</v>
      </c>
      <c r="J478" s="1" t="s">
        <v>2159</v>
      </c>
      <c r="K478" s="492" t="str">
        <f t="shared" si="31"/>
        <v>Integration</v>
      </c>
      <c r="L478" s="486" t="str">
        <f t="shared" si="32"/>
        <v>HR</v>
      </c>
      <c r="M478" s="486" t="str">
        <f t="shared" si="30"/>
        <v>UC</v>
      </c>
      <c r="N478" s="486" t="str">
        <f t="shared" si="33"/>
        <v>PAAS</v>
      </c>
    </row>
    <row r="479" spans="1:14">
      <c r="A479" s="1" t="s">
        <v>1122</v>
      </c>
      <c r="B479" s="1" t="s">
        <v>1254</v>
      </c>
      <c r="C479" s="1">
        <v>0</v>
      </c>
      <c r="D479" s="1">
        <v>1.5457000000000001</v>
      </c>
      <c r="E479" s="1" t="s">
        <v>49</v>
      </c>
      <c r="F479" s="1" t="s">
        <v>2290</v>
      </c>
      <c r="G479" s="1" t="s">
        <v>2400</v>
      </c>
      <c r="H479" s="1" t="s">
        <v>2161</v>
      </c>
      <c r="I479" s="1" t="s">
        <v>1636</v>
      </c>
      <c r="J479" s="1" t="s">
        <v>2159</v>
      </c>
      <c r="K479" s="492" t="str">
        <f t="shared" si="31"/>
        <v>Government</v>
      </c>
      <c r="L479" s="486" t="str">
        <f t="shared" si="32"/>
        <v>HR</v>
      </c>
      <c r="M479" s="486" t="str">
        <f t="shared" si="30"/>
        <v>UC</v>
      </c>
      <c r="N479" s="486" t="str">
        <f t="shared" si="33"/>
        <v>PAAS</v>
      </c>
    </row>
    <row r="480" spans="1:14">
      <c r="A480" s="1" t="s">
        <v>1123</v>
      </c>
      <c r="B480" s="1" t="s">
        <v>1124</v>
      </c>
      <c r="C480" s="1">
        <v>0</v>
      </c>
      <c r="D480" s="1">
        <v>0</v>
      </c>
      <c r="E480" s="1" t="s">
        <v>1154</v>
      </c>
      <c r="F480" s="1" t="s">
        <v>2290</v>
      </c>
      <c r="G480" s="1" t="s">
        <v>2400</v>
      </c>
      <c r="H480" s="1" t="s">
        <v>2397</v>
      </c>
      <c r="I480" s="1" t="s">
        <v>1636</v>
      </c>
      <c r="J480" s="1" t="s">
        <v>2159</v>
      </c>
      <c r="K480" s="492" t="str">
        <f t="shared" si="31"/>
        <v>Government</v>
      </c>
      <c r="L480" s="486" t="str">
        <f t="shared" si="32"/>
        <v>EA</v>
      </c>
      <c r="M480" s="486" t="str">
        <f t="shared" si="30"/>
        <v>UC</v>
      </c>
      <c r="N480" s="486" t="str">
        <f t="shared" si="33"/>
        <v>PAAS</v>
      </c>
    </row>
    <row r="481" spans="1:14">
      <c r="A481" s="1" t="s">
        <v>1125</v>
      </c>
      <c r="B481" s="1" t="s">
        <v>1359</v>
      </c>
      <c r="C481" s="1">
        <v>5.3E-3</v>
      </c>
      <c r="D481" s="1">
        <v>3.5000000000000001E-3</v>
      </c>
      <c r="E481" s="1" t="s">
        <v>2216</v>
      </c>
      <c r="F481" s="1" t="s">
        <v>2290</v>
      </c>
      <c r="G481" s="1" t="s">
        <v>2399</v>
      </c>
      <c r="H481" s="1" t="s">
        <v>2394</v>
      </c>
      <c r="I481" s="1" t="s">
        <v>1636</v>
      </c>
      <c r="J481" s="1" t="s">
        <v>2158</v>
      </c>
      <c r="K481" s="492" t="str">
        <f t="shared" si="31"/>
        <v>Service</v>
      </c>
      <c r="L481" s="486" t="str">
        <f t="shared" si="32"/>
        <v>UNIT</v>
      </c>
      <c r="M481" s="486" t="str">
        <f t="shared" si="30"/>
        <v>UC</v>
      </c>
      <c r="N481" s="486" t="str">
        <f t="shared" si="33"/>
        <v>IAAS</v>
      </c>
    </row>
    <row r="482" spans="1:14">
      <c r="A482" s="1" t="s">
        <v>1126</v>
      </c>
      <c r="B482" s="1" t="s">
        <v>1255</v>
      </c>
      <c r="C482" s="1">
        <v>0</v>
      </c>
      <c r="D482" s="1">
        <v>2.9000000000000001E-2</v>
      </c>
      <c r="E482" s="1" t="s">
        <v>2216</v>
      </c>
      <c r="F482" s="1" t="s">
        <v>2290</v>
      </c>
      <c r="G482" s="1" t="s">
        <v>2392</v>
      </c>
      <c r="H482" s="1" t="s">
        <v>2394</v>
      </c>
      <c r="I482" s="1" t="s">
        <v>1636</v>
      </c>
      <c r="J482" s="1" t="s">
        <v>2159</v>
      </c>
      <c r="K482" s="492" t="str">
        <f t="shared" si="31"/>
        <v>Platform</v>
      </c>
      <c r="L482" s="486" t="str">
        <f t="shared" si="32"/>
        <v>UNIT</v>
      </c>
      <c r="M482" s="486" t="str">
        <f t="shared" si="30"/>
        <v>UC</v>
      </c>
      <c r="N482" s="486" t="str">
        <f t="shared" si="33"/>
        <v>PAAS</v>
      </c>
    </row>
    <row r="483" spans="1:14">
      <c r="A483" s="1" t="s">
        <v>1262</v>
      </c>
      <c r="B483" s="1" t="s">
        <v>1263</v>
      </c>
      <c r="C483" s="1">
        <v>0.3</v>
      </c>
      <c r="D483" s="1">
        <v>0.3</v>
      </c>
      <c r="E483" s="1" t="s">
        <v>2217</v>
      </c>
      <c r="F483" s="1" t="s">
        <v>2290</v>
      </c>
      <c r="G483" s="1" t="s">
        <v>2399</v>
      </c>
      <c r="H483" s="1" t="s">
        <v>2394</v>
      </c>
      <c r="I483" s="1" t="s">
        <v>1636</v>
      </c>
      <c r="J483" s="1" t="s">
        <v>2158</v>
      </c>
      <c r="K483" s="492" t="str">
        <f t="shared" si="31"/>
        <v>Service</v>
      </c>
      <c r="L483" s="486" t="str">
        <f t="shared" si="32"/>
        <v>UNIT</v>
      </c>
      <c r="M483" s="486" t="str">
        <f t="shared" si="30"/>
        <v>UC</v>
      </c>
      <c r="N483" s="486" t="str">
        <f t="shared" si="33"/>
        <v>IAAS</v>
      </c>
    </row>
    <row r="484" spans="1:14">
      <c r="A484" s="1" t="s">
        <v>1264</v>
      </c>
      <c r="B484" s="1" t="s">
        <v>1265</v>
      </c>
      <c r="C484" s="1">
        <v>1.3</v>
      </c>
      <c r="D484" s="1">
        <v>1.3</v>
      </c>
      <c r="E484" s="1" t="s">
        <v>2217</v>
      </c>
      <c r="F484" s="1" t="s">
        <v>2290</v>
      </c>
      <c r="G484" s="1" t="s">
        <v>2399</v>
      </c>
      <c r="H484" s="1" t="s">
        <v>2394</v>
      </c>
      <c r="I484" s="1" t="s">
        <v>1636</v>
      </c>
      <c r="J484" s="1" t="s">
        <v>2158</v>
      </c>
      <c r="K484" s="492" t="str">
        <f t="shared" si="31"/>
        <v>Service</v>
      </c>
      <c r="L484" s="486" t="str">
        <f t="shared" si="32"/>
        <v>UNIT</v>
      </c>
      <c r="M484" s="486" t="str">
        <f t="shared" si="30"/>
        <v>UC</v>
      </c>
      <c r="N484" s="486" t="str">
        <f t="shared" si="33"/>
        <v>IAAS</v>
      </c>
    </row>
    <row r="485" spans="1:14">
      <c r="A485" s="1" t="s">
        <v>1266</v>
      </c>
      <c r="B485" s="1" t="s">
        <v>1267</v>
      </c>
      <c r="C485" s="1">
        <v>4</v>
      </c>
      <c r="D485" s="1">
        <v>4</v>
      </c>
      <c r="E485" s="1" t="s">
        <v>2218</v>
      </c>
      <c r="F485" s="1" t="s">
        <v>2290</v>
      </c>
      <c r="G485" s="1" t="s">
        <v>2399</v>
      </c>
      <c r="H485" s="1" t="s">
        <v>2394</v>
      </c>
      <c r="I485" s="1" t="s">
        <v>1636</v>
      </c>
      <c r="J485" s="1" t="s">
        <v>2158</v>
      </c>
      <c r="K485" s="492" t="str">
        <f t="shared" si="31"/>
        <v>Service</v>
      </c>
      <c r="L485" s="486" t="str">
        <f t="shared" si="32"/>
        <v>UNIT</v>
      </c>
      <c r="M485" s="486" t="str">
        <f t="shared" si="30"/>
        <v>UC</v>
      </c>
      <c r="N485" s="486" t="str">
        <f t="shared" si="33"/>
        <v>IAAS</v>
      </c>
    </row>
    <row r="486" spans="1:14">
      <c r="A486" s="1" t="s">
        <v>1141</v>
      </c>
      <c r="B486" s="1" t="s">
        <v>1142</v>
      </c>
      <c r="C486" s="1">
        <v>6.9829999999999997</v>
      </c>
      <c r="D486" s="1">
        <v>4.6550000000000002</v>
      </c>
      <c r="E486" s="1" t="s">
        <v>2219</v>
      </c>
      <c r="F486" s="1" t="s">
        <v>2290</v>
      </c>
      <c r="G486" s="1" t="s">
        <v>2399</v>
      </c>
      <c r="H486" s="1" t="s">
        <v>2161</v>
      </c>
      <c r="I486" s="1" t="s">
        <v>1636</v>
      </c>
      <c r="J486" s="1" t="s">
        <v>2158</v>
      </c>
      <c r="K486" s="492" t="str">
        <f t="shared" si="31"/>
        <v>Service</v>
      </c>
      <c r="L486" s="486" t="str">
        <f t="shared" si="32"/>
        <v>HR</v>
      </c>
      <c r="M486" s="486" t="str">
        <f t="shared" si="30"/>
        <v>UC</v>
      </c>
      <c r="N486" s="486" t="str">
        <f t="shared" si="33"/>
        <v>IAAS</v>
      </c>
    </row>
    <row r="487" spans="1:14">
      <c r="A487" s="1" t="s">
        <v>1268</v>
      </c>
      <c r="B487" s="1" t="s">
        <v>1269</v>
      </c>
      <c r="C487" s="1">
        <v>0.6</v>
      </c>
      <c r="D487" s="1">
        <v>0.6</v>
      </c>
      <c r="E487" s="1" t="s">
        <v>2220</v>
      </c>
      <c r="F487" s="1" t="s">
        <v>2290</v>
      </c>
      <c r="G487" s="1" t="s">
        <v>2399</v>
      </c>
      <c r="H487" s="1" t="s">
        <v>2395</v>
      </c>
      <c r="I487" s="1" t="s">
        <v>1636</v>
      </c>
      <c r="J487" s="1" t="s">
        <v>2158</v>
      </c>
      <c r="K487" s="492" t="str">
        <f t="shared" si="31"/>
        <v>Service</v>
      </c>
      <c r="L487" s="486" t="str">
        <f t="shared" si="32"/>
        <v>REQ</v>
      </c>
      <c r="M487" s="486" t="str">
        <f t="shared" si="30"/>
        <v>UC</v>
      </c>
      <c r="N487" s="486" t="str">
        <f t="shared" si="33"/>
        <v>IAAS</v>
      </c>
    </row>
    <row r="488" spans="1:14">
      <c r="A488" s="1" t="s">
        <v>1270</v>
      </c>
      <c r="B488" s="1" t="s">
        <v>1271</v>
      </c>
      <c r="C488" s="1">
        <v>0.15</v>
      </c>
      <c r="D488" s="1">
        <v>0.15</v>
      </c>
      <c r="E488" s="1" t="s">
        <v>2221</v>
      </c>
      <c r="F488" s="1" t="s">
        <v>2290</v>
      </c>
      <c r="G488" s="1" t="s">
        <v>2399</v>
      </c>
      <c r="H488" s="1" t="s">
        <v>2162</v>
      </c>
      <c r="I488" s="1" t="s">
        <v>1636</v>
      </c>
      <c r="J488" s="1" t="s">
        <v>2158</v>
      </c>
      <c r="K488" s="492" t="str">
        <f t="shared" si="31"/>
        <v>Service</v>
      </c>
      <c r="L488" s="486" t="str">
        <f t="shared" si="32"/>
        <v>GB</v>
      </c>
      <c r="M488" s="486" t="str">
        <f t="shared" si="30"/>
        <v>UC</v>
      </c>
      <c r="N488" s="486" t="str">
        <f t="shared" si="33"/>
        <v>IAAS</v>
      </c>
    </row>
    <row r="489" spans="1:14">
      <c r="A489" s="1" t="s">
        <v>1272</v>
      </c>
      <c r="B489" s="1" t="s">
        <v>1273</v>
      </c>
      <c r="C489" s="1">
        <v>4</v>
      </c>
      <c r="D489" s="1">
        <v>4</v>
      </c>
      <c r="E489" s="1" t="s">
        <v>2220</v>
      </c>
      <c r="F489" s="1" t="s">
        <v>2290</v>
      </c>
      <c r="G489" s="1" t="s">
        <v>2399</v>
      </c>
      <c r="H489" s="1" t="s">
        <v>2395</v>
      </c>
      <c r="I489" s="1" t="s">
        <v>1636</v>
      </c>
      <c r="J489" s="1" t="s">
        <v>2158</v>
      </c>
      <c r="K489" s="492" t="str">
        <f t="shared" si="31"/>
        <v>Service</v>
      </c>
      <c r="L489" s="486" t="str">
        <f t="shared" si="32"/>
        <v>REQ</v>
      </c>
      <c r="M489" s="486" t="str">
        <f t="shared" si="30"/>
        <v>UC</v>
      </c>
      <c r="N489" s="486" t="str">
        <f t="shared" si="33"/>
        <v>IAAS</v>
      </c>
    </row>
    <row r="490" spans="1:14">
      <c r="A490" s="1" t="s">
        <v>1341</v>
      </c>
      <c r="B490" s="1" t="s">
        <v>1342</v>
      </c>
      <c r="C490" s="1">
        <v>0</v>
      </c>
      <c r="D490" s="1">
        <v>0.3</v>
      </c>
      <c r="E490" s="1" t="s">
        <v>2217</v>
      </c>
      <c r="F490" s="1" t="s">
        <v>2290</v>
      </c>
      <c r="G490" s="1" t="s">
        <v>2400</v>
      </c>
      <c r="H490" s="1" t="s">
        <v>2394</v>
      </c>
      <c r="I490" s="1" t="s">
        <v>1636</v>
      </c>
      <c r="J490" s="1" t="s">
        <v>2159</v>
      </c>
      <c r="K490" s="492" t="str">
        <f t="shared" si="31"/>
        <v>Government</v>
      </c>
      <c r="L490" s="486" t="str">
        <f t="shared" si="32"/>
        <v>UNIT</v>
      </c>
      <c r="M490" s="486" t="str">
        <f t="shared" si="30"/>
        <v>UC</v>
      </c>
      <c r="N490" s="486" t="str">
        <f t="shared" si="33"/>
        <v>PAAS</v>
      </c>
    </row>
    <row r="491" spans="1:14">
      <c r="A491" s="1" t="s">
        <v>1343</v>
      </c>
      <c r="B491" s="1" t="s">
        <v>1344</v>
      </c>
      <c r="C491" s="1">
        <v>0</v>
      </c>
      <c r="D491" s="1">
        <v>1.3</v>
      </c>
      <c r="E491" s="1" t="s">
        <v>2217</v>
      </c>
      <c r="F491" s="1" t="s">
        <v>2290</v>
      </c>
      <c r="G491" s="1" t="s">
        <v>2400</v>
      </c>
      <c r="H491" s="1" t="s">
        <v>2394</v>
      </c>
      <c r="I491" s="1" t="s">
        <v>1636</v>
      </c>
      <c r="J491" s="1" t="s">
        <v>2159</v>
      </c>
      <c r="K491" s="492" t="str">
        <f t="shared" si="31"/>
        <v>Government</v>
      </c>
      <c r="L491" s="486" t="str">
        <f t="shared" si="32"/>
        <v>UNIT</v>
      </c>
      <c r="M491" s="486" t="str">
        <f t="shared" si="30"/>
        <v>UC</v>
      </c>
      <c r="N491" s="486" t="str">
        <f t="shared" si="33"/>
        <v>PAAS</v>
      </c>
    </row>
    <row r="492" spans="1:14">
      <c r="A492" s="1" t="s">
        <v>1345</v>
      </c>
      <c r="B492" s="1" t="s">
        <v>1346</v>
      </c>
      <c r="C492" s="1">
        <v>0</v>
      </c>
      <c r="D492" s="1">
        <v>4</v>
      </c>
      <c r="E492" s="1" t="s">
        <v>2218</v>
      </c>
      <c r="F492" s="1" t="s">
        <v>2290</v>
      </c>
      <c r="G492" s="1" t="s">
        <v>2400</v>
      </c>
      <c r="H492" s="1" t="s">
        <v>2394</v>
      </c>
      <c r="I492" s="1" t="s">
        <v>1636</v>
      </c>
      <c r="J492" s="1" t="s">
        <v>2159</v>
      </c>
      <c r="K492" s="492" t="str">
        <f t="shared" si="31"/>
        <v>Government</v>
      </c>
      <c r="L492" s="486" t="str">
        <f t="shared" si="32"/>
        <v>UNIT</v>
      </c>
      <c r="M492" s="486" t="str">
        <f t="shared" si="30"/>
        <v>UC</v>
      </c>
      <c r="N492" s="486" t="str">
        <f t="shared" si="33"/>
        <v>PAAS</v>
      </c>
    </row>
    <row r="493" spans="1:14">
      <c r="A493" s="1" t="s">
        <v>1143</v>
      </c>
      <c r="B493" s="1" t="s">
        <v>1144</v>
      </c>
      <c r="C493" s="1">
        <v>0</v>
      </c>
      <c r="D493" s="1">
        <v>4.6550000000000002</v>
      </c>
      <c r="E493" s="1" t="s">
        <v>2219</v>
      </c>
      <c r="F493" s="1" t="s">
        <v>2290</v>
      </c>
      <c r="G493" s="1" t="s">
        <v>2400</v>
      </c>
      <c r="H493" s="1" t="s">
        <v>2161</v>
      </c>
      <c r="I493" s="1" t="s">
        <v>1636</v>
      </c>
      <c r="J493" s="1" t="s">
        <v>2159</v>
      </c>
      <c r="K493" s="492" t="str">
        <f t="shared" si="31"/>
        <v>Government</v>
      </c>
      <c r="L493" s="486" t="str">
        <f t="shared" si="32"/>
        <v>HR</v>
      </c>
      <c r="M493" s="486" t="str">
        <f t="shared" si="30"/>
        <v>UC</v>
      </c>
      <c r="N493" s="486" t="str">
        <f t="shared" si="33"/>
        <v>PAAS</v>
      </c>
    </row>
    <row r="494" spans="1:14">
      <c r="A494" s="1" t="s">
        <v>1347</v>
      </c>
      <c r="B494" s="1" t="s">
        <v>1348</v>
      </c>
      <c r="C494" s="1">
        <v>0</v>
      </c>
      <c r="D494" s="1">
        <v>0.6</v>
      </c>
      <c r="E494" s="1" t="s">
        <v>2222</v>
      </c>
      <c r="F494" s="1" t="s">
        <v>2290</v>
      </c>
      <c r="G494" s="1" t="s">
        <v>2400</v>
      </c>
      <c r="H494" s="1" t="s">
        <v>2395</v>
      </c>
      <c r="I494" s="1" t="s">
        <v>1636</v>
      </c>
      <c r="J494" s="1" t="s">
        <v>2158</v>
      </c>
      <c r="K494" s="492" t="str">
        <f t="shared" si="31"/>
        <v>Government</v>
      </c>
      <c r="L494" s="486" t="str">
        <f t="shared" si="32"/>
        <v>REQ</v>
      </c>
      <c r="M494" s="486" t="str">
        <f t="shared" si="30"/>
        <v>UC</v>
      </c>
      <c r="N494" s="486" t="str">
        <f t="shared" si="33"/>
        <v>IAAS</v>
      </c>
    </row>
    <row r="495" spans="1:14">
      <c r="A495" s="1" t="s">
        <v>1349</v>
      </c>
      <c r="B495" s="1" t="s">
        <v>1350</v>
      </c>
      <c r="C495" s="1">
        <v>0</v>
      </c>
      <c r="D495" s="1">
        <v>0.15</v>
      </c>
      <c r="E495" s="1" t="s">
        <v>2223</v>
      </c>
      <c r="F495" s="1" t="s">
        <v>2290</v>
      </c>
      <c r="G495" s="1" t="s">
        <v>2400</v>
      </c>
      <c r="H495" s="1" t="s">
        <v>2162</v>
      </c>
      <c r="I495" s="1" t="s">
        <v>1636</v>
      </c>
      <c r="J495" s="1" t="s">
        <v>2159</v>
      </c>
      <c r="K495" s="492" t="str">
        <f t="shared" si="31"/>
        <v>Government</v>
      </c>
      <c r="L495" s="486" t="str">
        <f t="shared" si="32"/>
        <v>GB</v>
      </c>
      <c r="M495" s="486" t="str">
        <f t="shared" si="30"/>
        <v>UC</v>
      </c>
      <c r="N495" s="486" t="str">
        <f t="shared" si="33"/>
        <v>PAAS</v>
      </c>
    </row>
    <row r="496" spans="1:14">
      <c r="A496" s="1" t="s">
        <v>1351</v>
      </c>
      <c r="B496" s="1" t="s">
        <v>1352</v>
      </c>
      <c r="C496" s="1">
        <v>0</v>
      </c>
      <c r="D496" s="1">
        <v>4</v>
      </c>
      <c r="E496" s="1" t="s">
        <v>2222</v>
      </c>
      <c r="F496" s="1" t="s">
        <v>2290</v>
      </c>
      <c r="G496" s="1" t="s">
        <v>2400</v>
      </c>
      <c r="H496" s="1" t="s">
        <v>2395</v>
      </c>
      <c r="I496" s="1" t="s">
        <v>1636</v>
      </c>
      <c r="J496" s="1" t="s">
        <v>2158</v>
      </c>
      <c r="K496" s="492" t="str">
        <f t="shared" si="31"/>
        <v>Government</v>
      </c>
      <c r="L496" s="486" t="str">
        <f t="shared" si="32"/>
        <v>REQ</v>
      </c>
      <c r="M496" s="486" t="str">
        <f t="shared" si="30"/>
        <v>UC</v>
      </c>
      <c r="N496" s="486" t="str">
        <f t="shared" si="33"/>
        <v>IAAS</v>
      </c>
    </row>
    <row r="497" spans="1:14">
      <c r="A497" s="1" t="s">
        <v>1145</v>
      </c>
      <c r="B497" s="1" t="s">
        <v>1256</v>
      </c>
      <c r="C497" s="1">
        <v>0</v>
      </c>
      <c r="D497" s="1">
        <v>0.5</v>
      </c>
      <c r="E497" s="1" t="s">
        <v>2208</v>
      </c>
      <c r="F497" s="1" t="s">
        <v>2290</v>
      </c>
      <c r="G497" s="1" t="s">
        <v>2400</v>
      </c>
      <c r="H497" s="1" t="s">
        <v>2161</v>
      </c>
      <c r="I497" s="1" t="s">
        <v>1636</v>
      </c>
      <c r="J497" s="1" t="s">
        <v>2159</v>
      </c>
      <c r="K497" s="492" t="str">
        <f t="shared" si="31"/>
        <v>Government</v>
      </c>
      <c r="L497" s="486" t="str">
        <f t="shared" si="32"/>
        <v>HR</v>
      </c>
      <c r="M497" s="486" t="str">
        <f t="shared" si="30"/>
        <v>UC</v>
      </c>
      <c r="N497" s="486" t="str">
        <f t="shared" si="33"/>
        <v>PAAS</v>
      </c>
    </row>
    <row r="498" spans="1:14">
      <c r="A498" s="1" t="s">
        <v>1170</v>
      </c>
      <c r="B498" s="1" t="s">
        <v>1171</v>
      </c>
      <c r="C498" s="1">
        <v>7.4999999999999997E-2</v>
      </c>
      <c r="D498" s="1">
        <v>7.4999999999999997E-2</v>
      </c>
      <c r="E498" s="1" t="s">
        <v>49</v>
      </c>
      <c r="F498" s="1" t="s">
        <v>2290</v>
      </c>
      <c r="G498" s="1" t="s">
        <v>1835</v>
      </c>
      <c r="H498" s="1" t="s">
        <v>2161</v>
      </c>
      <c r="I498" s="1" t="s">
        <v>1636</v>
      </c>
      <c r="J498" s="1" t="s">
        <v>2158</v>
      </c>
      <c r="K498" s="492" t="str">
        <f t="shared" si="31"/>
        <v>Compute</v>
      </c>
      <c r="L498" s="486" t="str">
        <f t="shared" si="32"/>
        <v>HR</v>
      </c>
      <c r="M498" s="486" t="str">
        <f t="shared" si="30"/>
        <v>UC</v>
      </c>
      <c r="N498" s="486" t="str">
        <f t="shared" si="33"/>
        <v>IAAS</v>
      </c>
    </row>
    <row r="499" spans="1:14">
      <c r="A499" s="1" t="s">
        <v>1172</v>
      </c>
      <c r="B499" s="1" t="s">
        <v>1194</v>
      </c>
      <c r="C499" s="1">
        <v>0</v>
      </c>
      <c r="D499" s="1">
        <v>7.4999999999999997E-2</v>
      </c>
      <c r="E499" s="1" t="s">
        <v>49</v>
      </c>
      <c r="F499" s="1" t="s">
        <v>2290</v>
      </c>
      <c r="G499" s="1" t="s">
        <v>1835</v>
      </c>
      <c r="H499" s="1" t="s">
        <v>2161</v>
      </c>
      <c r="I499" s="1" t="s">
        <v>1636</v>
      </c>
      <c r="J499" s="1" t="s">
        <v>2158</v>
      </c>
      <c r="K499" s="492" t="str">
        <f t="shared" si="31"/>
        <v>Compute</v>
      </c>
      <c r="L499" s="486" t="str">
        <f t="shared" si="32"/>
        <v>HR</v>
      </c>
      <c r="M499" s="486" t="str">
        <f t="shared" si="30"/>
        <v>UC</v>
      </c>
      <c r="N499" s="486" t="str">
        <f t="shared" si="33"/>
        <v>IAAS</v>
      </c>
    </row>
    <row r="500" spans="1:14">
      <c r="A500" s="1" t="s">
        <v>1195</v>
      </c>
      <c r="B500" s="1" t="s">
        <v>1196</v>
      </c>
      <c r="C500" s="1">
        <v>0</v>
      </c>
      <c r="D500" s="1">
        <v>3.1800000000000002E-2</v>
      </c>
      <c r="E500" s="1" t="s">
        <v>49</v>
      </c>
      <c r="F500" s="1" t="s">
        <v>2290</v>
      </c>
      <c r="G500" s="1" t="s">
        <v>2393</v>
      </c>
      <c r="H500" s="1" t="s">
        <v>2161</v>
      </c>
      <c r="I500" s="1" t="s">
        <v>1636</v>
      </c>
      <c r="J500" s="1" t="s">
        <v>2159</v>
      </c>
      <c r="K500" s="492" t="str">
        <f t="shared" si="31"/>
        <v>Deprecated</v>
      </c>
      <c r="L500" s="486" t="str">
        <f t="shared" si="32"/>
        <v>HR</v>
      </c>
      <c r="M500" s="486" t="str">
        <f t="shared" si="30"/>
        <v>UC</v>
      </c>
      <c r="N500" s="486" t="str">
        <f t="shared" si="33"/>
        <v>PAAS</v>
      </c>
    </row>
    <row r="501" spans="1:14">
      <c r="A501" s="1" t="s">
        <v>1197</v>
      </c>
      <c r="B501" s="1" t="s">
        <v>1198</v>
      </c>
      <c r="C501" s="1">
        <v>0</v>
      </c>
      <c r="D501" s="1">
        <v>8.8200000000000001E-2</v>
      </c>
      <c r="E501" s="1" t="s">
        <v>49</v>
      </c>
      <c r="F501" s="1" t="s">
        <v>2290</v>
      </c>
      <c r="G501" s="1" t="s">
        <v>2393</v>
      </c>
      <c r="H501" s="1" t="s">
        <v>2161</v>
      </c>
      <c r="I501" s="1" t="s">
        <v>1636</v>
      </c>
      <c r="J501" s="1" t="s">
        <v>2159</v>
      </c>
      <c r="K501" s="492" t="str">
        <f t="shared" si="31"/>
        <v>Deprecated</v>
      </c>
      <c r="L501" s="486" t="str">
        <f t="shared" si="32"/>
        <v>HR</v>
      </c>
      <c r="M501" s="486" t="str">
        <f t="shared" si="30"/>
        <v>UC</v>
      </c>
      <c r="N501" s="486" t="str">
        <f t="shared" si="33"/>
        <v>PAAS</v>
      </c>
    </row>
    <row r="502" spans="1:14">
      <c r="A502" s="1" t="s">
        <v>1199</v>
      </c>
      <c r="B502" s="1" t="s">
        <v>1200</v>
      </c>
      <c r="C502" s="1">
        <v>0</v>
      </c>
      <c r="D502" s="1">
        <v>8.8200000000000001E-2</v>
      </c>
      <c r="E502" s="1" t="s">
        <v>49</v>
      </c>
      <c r="F502" s="1" t="s">
        <v>2290</v>
      </c>
      <c r="G502" s="1" t="s">
        <v>2393</v>
      </c>
      <c r="H502" s="1" t="s">
        <v>2161</v>
      </c>
      <c r="I502" s="1" t="s">
        <v>1636</v>
      </c>
      <c r="J502" s="1" t="s">
        <v>2159</v>
      </c>
      <c r="K502" s="492" t="str">
        <f t="shared" si="31"/>
        <v>Deprecated</v>
      </c>
      <c r="L502" s="486" t="str">
        <f t="shared" si="32"/>
        <v>HR</v>
      </c>
      <c r="M502" s="486" t="str">
        <f t="shared" si="30"/>
        <v>UC</v>
      </c>
      <c r="N502" s="486" t="str">
        <f t="shared" si="33"/>
        <v>PAAS</v>
      </c>
    </row>
    <row r="503" spans="1:14">
      <c r="A503" s="1" t="s">
        <v>1201</v>
      </c>
      <c r="B503" s="1" t="s">
        <v>1202</v>
      </c>
      <c r="C503" s="1">
        <v>0</v>
      </c>
      <c r="D503" s="1">
        <v>0.12</v>
      </c>
      <c r="E503" s="1" t="s">
        <v>2175</v>
      </c>
      <c r="F503" s="1" t="s">
        <v>2290</v>
      </c>
      <c r="G503" s="1" t="s">
        <v>2393</v>
      </c>
      <c r="H503" s="1" t="s">
        <v>2162</v>
      </c>
      <c r="I503" s="1" t="s">
        <v>1636</v>
      </c>
      <c r="J503" s="1" t="s">
        <v>2159</v>
      </c>
      <c r="K503" s="492" t="str">
        <f t="shared" si="31"/>
        <v>Deprecated</v>
      </c>
      <c r="L503" s="486" t="str">
        <f t="shared" si="32"/>
        <v>GB</v>
      </c>
      <c r="M503" s="486" t="str">
        <f t="shared" si="30"/>
        <v>UC</v>
      </c>
      <c r="N503" s="486" t="str">
        <f t="shared" si="33"/>
        <v>PAAS</v>
      </c>
    </row>
    <row r="504" spans="1:14">
      <c r="A504" s="1" t="s">
        <v>1203</v>
      </c>
      <c r="B504" s="1" t="s">
        <v>1204</v>
      </c>
      <c r="C504" s="1">
        <v>0</v>
      </c>
      <c r="D504" s="1">
        <v>0.12</v>
      </c>
      <c r="E504" s="1" t="s">
        <v>2175</v>
      </c>
      <c r="F504" s="1" t="s">
        <v>2290</v>
      </c>
      <c r="G504" s="1" t="s">
        <v>2393</v>
      </c>
      <c r="H504" s="1" t="s">
        <v>2162</v>
      </c>
      <c r="I504" s="1" t="s">
        <v>1636</v>
      </c>
      <c r="J504" s="1" t="s">
        <v>2159</v>
      </c>
      <c r="K504" s="492" t="str">
        <f t="shared" si="31"/>
        <v>Deprecated</v>
      </c>
      <c r="L504" s="486" t="str">
        <f t="shared" si="32"/>
        <v>GB</v>
      </c>
      <c r="M504" s="486" t="str">
        <f t="shared" si="30"/>
        <v>UC</v>
      </c>
      <c r="N504" s="486" t="str">
        <f t="shared" si="33"/>
        <v>PAAS</v>
      </c>
    </row>
    <row r="505" spans="1:14">
      <c r="A505" s="1" t="s">
        <v>1205</v>
      </c>
      <c r="B505" s="1" t="s">
        <v>1206</v>
      </c>
      <c r="C505" s="1">
        <v>0</v>
      </c>
      <c r="D505" s="1">
        <v>0.15</v>
      </c>
      <c r="E505" s="1" t="s">
        <v>2187</v>
      </c>
      <c r="F505" s="1" t="s">
        <v>2290</v>
      </c>
      <c r="G505" s="1" t="s">
        <v>2393</v>
      </c>
      <c r="H505" s="1" t="s">
        <v>2162</v>
      </c>
      <c r="I505" s="1" t="s">
        <v>1636</v>
      </c>
      <c r="J505" s="1" t="s">
        <v>2159</v>
      </c>
      <c r="K505" s="492" t="str">
        <f t="shared" si="31"/>
        <v>Deprecated</v>
      </c>
      <c r="L505" s="486" t="str">
        <f t="shared" si="32"/>
        <v>GB</v>
      </c>
      <c r="M505" s="486" t="str">
        <f t="shared" si="30"/>
        <v>UC</v>
      </c>
      <c r="N505" s="486" t="str">
        <f t="shared" si="33"/>
        <v>PAAS</v>
      </c>
    </row>
    <row r="506" spans="1:14">
      <c r="A506" s="1" t="s">
        <v>1207</v>
      </c>
      <c r="B506" s="1" t="s">
        <v>1208</v>
      </c>
      <c r="C506" s="1">
        <v>0</v>
      </c>
      <c r="D506" s="1">
        <v>0.01</v>
      </c>
      <c r="E506" s="1" t="s">
        <v>2188</v>
      </c>
      <c r="F506" s="1" t="s">
        <v>2290</v>
      </c>
      <c r="G506" s="1" t="s">
        <v>2393</v>
      </c>
      <c r="H506" s="1" t="s">
        <v>2161</v>
      </c>
      <c r="I506" s="1" t="s">
        <v>1636</v>
      </c>
      <c r="J506" s="1" t="s">
        <v>2159</v>
      </c>
      <c r="K506" s="492" t="str">
        <f t="shared" si="31"/>
        <v>Deprecated</v>
      </c>
      <c r="L506" s="486" t="str">
        <f t="shared" si="32"/>
        <v>HR</v>
      </c>
      <c r="M506" s="486" t="str">
        <f t="shared" si="30"/>
        <v>UC</v>
      </c>
      <c r="N506" s="486" t="str">
        <f t="shared" si="33"/>
        <v>PAAS</v>
      </c>
    </row>
    <row r="507" spans="1:14">
      <c r="A507" s="1" t="s">
        <v>1209</v>
      </c>
      <c r="B507" s="1" t="s">
        <v>1210</v>
      </c>
      <c r="C507" s="1">
        <v>0</v>
      </c>
      <c r="D507" s="1">
        <v>8.8200000000000001E-2</v>
      </c>
      <c r="E507" s="1" t="s">
        <v>2224</v>
      </c>
      <c r="F507" s="1" t="s">
        <v>2290</v>
      </c>
      <c r="G507" s="1" t="s">
        <v>2393</v>
      </c>
      <c r="H507" s="1" t="s">
        <v>2161</v>
      </c>
      <c r="I507" s="1" t="s">
        <v>1636</v>
      </c>
      <c r="J507" s="1" t="s">
        <v>2159</v>
      </c>
      <c r="K507" s="492" t="str">
        <f t="shared" si="31"/>
        <v>Deprecated</v>
      </c>
      <c r="L507" s="486" t="str">
        <f t="shared" si="32"/>
        <v>HR</v>
      </c>
      <c r="M507" s="486" t="str">
        <f t="shared" si="30"/>
        <v>UC</v>
      </c>
      <c r="N507" s="486" t="str">
        <f t="shared" si="33"/>
        <v>PAAS</v>
      </c>
    </row>
    <row r="508" spans="1:14">
      <c r="A508" s="1" t="s">
        <v>1211</v>
      </c>
      <c r="B508" s="1" t="s">
        <v>1212</v>
      </c>
      <c r="C508" s="1">
        <v>0</v>
      </c>
      <c r="D508" s="1">
        <v>0.17649999999999999</v>
      </c>
      <c r="E508" s="1" t="s">
        <v>2224</v>
      </c>
      <c r="F508" s="1" t="s">
        <v>2290</v>
      </c>
      <c r="G508" s="1" t="s">
        <v>2393</v>
      </c>
      <c r="H508" s="1" t="s">
        <v>2161</v>
      </c>
      <c r="I508" s="1" t="s">
        <v>1636</v>
      </c>
      <c r="J508" s="1" t="s">
        <v>2159</v>
      </c>
      <c r="K508" s="492" t="str">
        <f t="shared" si="31"/>
        <v>Deprecated</v>
      </c>
      <c r="L508" s="486" t="str">
        <f t="shared" si="32"/>
        <v>HR</v>
      </c>
      <c r="M508" s="486" t="str">
        <f t="shared" si="30"/>
        <v>UC</v>
      </c>
      <c r="N508" s="486" t="str">
        <f t="shared" si="33"/>
        <v>PAAS</v>
      </c>
    </row>
    <row r="509" spans="1:14">
      <c r="A509" s="1" t="s">
        <v>1213</v>
      </c>
      <c r="B509" s="1" t="s">
        <v>1214</v>
      </c>
      <c r="C509" s="1">
        <v>0</v>
      </c>
      <c r="D509" s="1">
        <v>0.12</v>
      </c>
      <c r="E509" s="1" t="s">
        <v>2175</v>
      </c>
      <c r="F509" s="1" t="s">
        <v>2290</v>
      </c>
      <c r="G509" s="1" t="s">
        <v>2393</v>
      </c>
      <c r="H509" s="1" t="s">
        <v>2162</v>
      </c>
      <c r="I509" s="1" t="s">
        <v>1636</v>
      </c>
      <c r="J509" s="1" t="s">
        <v>2159</v>
      </c>
      <c r="K509" s="492" t="str">
        <f t="shared" si="31"/>
        <v>Deprecated</v>
      </c>
      <c r="L509" s="486" t="str">
        <f t="shared" si="32"/>
        <v>GB</v>
      </c>
      <c r="M509" s="486" t="str">
        <f t="shared" si="30"/>
        <v>UC</v>
      </c>
      <c r="N509" s="486" t="str">
        <f t="shared" si="33"/>
        <v>PAAS</v>
      </c>
    </row>
    <row r="510" spans="1:14">
      <c r="A510" s="1" t="s">
        <v>1215</v>
      </c>
      <c r="B510" s="1" t="s">
        <v>1216</v>
      </c>
      <c r="C510" s="1">
        <v>0</v>
      </c>
      <c r="D510" s="1">
        <v>0.15</v>
      </c>
      <c r="E510" s="1" t="s">
        <v>2187</v>
      </c>
      <c r="F510" s="1" t="s">
        <v>2290</v>
      </c>
      <c r="G510" s="1" t="s">
        <v>2393</v>
      </c>
      <c r="H510" s="1" t="s">
        <v>2162</v>
      </c>
      <c r="I510" s="1" t="s">
        <v>1636</v>
      </c>
      <c r="J510" s="1" t="s">
        <v>2159</v>
      </c>
      <c r="K510" s="492" t="str">
        <f t="shared" si="31"/>
        <v>Deprecated</v>
      </c>
      <c r="L510" s="486" t="str">
        <f t="shared" si="32"/>
        <v>GB</v>
      </c>
      <c r="M510" s="486" t="str">
        <f t="shared" si="30"/>
        <v>UC</v>
      </c>
      <c r="N510" s="486" t="str">
        <f t="shared" si="33"/>
        <v>PAAS</v>
      </c>
    </row>
    <row r="511" spans="1:14">
      <c r="A511" s="1" t="s">
        <v>1217</v>
      </c>
      <c r="B511" s="1" t="s">
        <v>1218</v>
      </c>
      <c r="C511" s="1">
        <v>0</v>
      </c>
      <c r="D511" s="1">
        <v>0.01</v>
      </c>
      <c r="E511" s="1" t="s">
        <v>2188</v>
      </c>
      <c r="F511" s="1" t="s">
        <v>2290</v>
      </c>
      <c r="G511" s="1" t="s">
        <v>2393</v>
      </c>
      <c r="H511" s="1" t="s">
        <v>2161</v>
      </c>
      <c r="I511" s="1" t="s">
        <v>1636</v>
      </c>
      <c r="J511" s="1" t="s">
        <v>2159</v>
      </c>
      <c r="K511" s="492" t="str">
        <f t="shared" si="31"/>
        <v>Deprecated</v>
      </c>
      <c r="L511" s="486" t="str">
        <f t="shared" si="32"/>
        <v>HR</v>
      </c>
      <c r="M511" s="486" t="str">
        <f t="shared" si="30"/>
        <v>UC</v>
      </c>
      <c r="N511" s="486" t="str">
        <f t="shared" si="33"/>
        <v>PAAS</v>
      </c>
    </row>
    <row r="512" spans="1:14">
      <c r="A512" s="1" t="s">
        <v>1173</v>
      </c>
      <c r="B512" s="1" t="s">
        <v>1174</v>
      </c>
      <c r="C512" s="1">
        <v>0.03</v>
      </c>
      <c r="D512" s="1">
        <v>0.03</v>
      </c>
      <c r="E512" s="1" t="s">
        <v>49</v>
      </c>
      <c r="F512" s="1" t="s">
        <v>2290</v>
      </c>
      <c r="G512" s="1" t="s">
        <v>1835</v>
      </c>
      <c r="H512" s="1" t="s">
        <v>2161</v>
      </c>
      <c r="I512" s="1" t="s">
        <v>1636</v>
      </c>
      <c r="J512" s="1" t="s">
        <v>2158</v>
      </c>
      <c r="K512" s="492" t="str">
        <f t="shared" si="31"/>
        <v>Compute</v>
      </c>
      <c r="L512" s="486" t="str">
        <f t="shared" si="32"/>
        <v>HR</v>
      </c>
      <c r="M512" s="486" t="str">
        <f t="shared" si="30"/>
        <v>UC</v>
      </c>
      <c r="N512" s="486" t="str">
        <f t="shared" si="33"/>
        <v>IAAS</v>
      </c>
    </row>
    <row r="513" spans="1:14">
      <c r="A513" s="1" t="s">
        <v>1175</v>
      </c>
      <c r="B513" s="1" t="s">
        <v>1176</v>
      </c>
      <c r="C513" s="1">
        <v>0</v>
      </c>
      <c r="D513" s="1">
        <v>0.03</v>
      </c>
      <c r="E513" s="1" t="s">
        <v>49</v>
      </c>
      <c r="F513" s="1" t="s">
        <v>2290</v>
      </c>
      <c r="G513" s="1" t="s">
        <v>1835</v>
      </c>
      <c r="H513" s="1" t="s">
        <v>2161</v>
      </c>
      <c r="I513" s="1" t="s">
        <v>1636</v>
      </c>
      <c r="J513" s="1" t="s">
        <v>2158</v>
      </c>
      <c r="K513" s="492" t="str">
        <f t="shared" si="31"/>
        <v>Compute</v>
      </c>
      <c r="L513" s="486" t="str">
        <f t="shared" si="32"/>
        <v>HR</v>
      </c>
      <c r="M513" s="486" t="str">
        <f t="shared" si="30"/>
        <v>UC</v>
      </c>
      <c r="N513" s="486" t="str">
        <f t="shared" si="33"/>
        <v>IAAS</v>
      </c>
    </row>
    <row r="514" spans="1:14">
      <c r="A514" s="1" t="s">
        <v>1127</v>
      </c>
      <c r="B514" s="1" t="s">
        <v>1128</v>
      </c>
      <c r="C514" s="1">
        <v>2.5202</v>
      </c>
      <c r="D514" s="1">
        <v>1.6800999999999999</v>
      </c>
      <c r="E514" s="1" t="s">
        <v>49</v>
      </c>
      <c r="F514" s="1" t="s">
        <v>2290</v>
      </c>
      <c r="G514" s="1" t="s">
        <v>1837</v>
      </c>
      <c r="H514" s="1" t="s">
        <v>2161</v>
      </c>
      <c r="I514" s="1" t="s">
        <v>1636</v>
      </c>
      <c r="J514" s="1" t="s">
        <v>2159</v>
      </c>
      <c r="K514" s="492" t="str">
        <f t="shared" si="31"/>
        <v>ATP</v>
      </c>
      <c r="L514" s="486" t="str">
        <f t="shared" si="32"/>
        <v>HR</v>
      </c>
      <c r="M514" s="486" t="str">
        <f t="shared" si="30"/>
        <v>UC</v>
      </c>
      <c r="N514" s="486" t="str">
        <f t="shared" si="33"/>
        <v>PAAS</v>
      </c>
    </row>
    <row r="515" spans="1:14">
      <c r="A515" s="1" t="s">
        <v>1129</v>
      </c>
      <c r="B515" s="1" t="s">
        <v>1130</v>
      </c>
      <c r="C515" s="1">
        <v>0.4839</v>
      </c>
      <c r="D515" s="1">
        <v>0.3226</v>
      </c>
      <c r="E515" s="1" t="s">
        <v>49</v>
      </c>
      <c r="F515" s="1" t="s">
        <v>2290</v>
      </c>
      <c r="G515" s="1" t="s">
        <v>1837</v>
      </c>
      <c r="H515" s="1" t="s">
        <v>2161</v>
      </c>
      <c r="I515" s="1" t="s">
        <v>1636</v>
      </c>
      <c r="J515" s="1" t="s">
        <v>2159</v>
      </c>
      <c r="K515" s="492" t="str">
        <f t="shared" si="31"/>
        <v>ATP</v>
      </c>
      <c r="L515" s="486" t="str">
        <f t="shared" si="32"/>
        <v>HR</v>
      </c>
      <c r="M515" s="486" t="str">
        <f t="shared" si="30"/>
        <v>UC</v>
      </c>
      <c r="N515" s="486" t="str">
        <f t="shared" si="33"/>
        <v>PAAS</v>
      </c>
    </row>
    <row r="516" spans="1:14">
      <c r="A516" s="1" t="s">
        <v>1131</v>
      </c>
      <c r="B516" s="1" t="s">
        <v>1668</v>
      </c>
      <c r="C516" s="1">
        <v>222</v>
      </c>
      <c r="D516" s="1">
        <v>148</v>
      </c>
      <c r="E516" s="1" t="s">
        <v>2209</v>
      </c>
      <c r="F516" s="1" t="s">
        <v>2290</v>
      </c>
      <c r="G516" s="1" t="s">
        <v>2132</v>
      </c>
      <c r="H516" s="1" t="s">
        <v>2401</v>
      </c>
      <c r="I516" s="1" t="s">
        <v>1636</v>
      </c>
      <c r="J516" s="1" t="s">
        <v>2159</v>
      </c>
      <c r="K516" s="492" t="str">
        <f t="shared" si="31"/>
        <v>Exa Storage</v>
      </c>
      <c r="L516" s="486" t="str">
        <f t="shared" si="32"/>
        <v>TB</v>
      </c>
      <c r="M516" s="486" t="str">
        <f t="shared" ref="M516:M579" si="34">_xlfn.IFS(K516="CC","CC",K516="Rapid Start","SRV",F516="Y","UC0",TRUE,"UC")</f>
        <v>UC</v>
      </c>
      <c r="N516" s="486" t="str">
        <f t="shared" si="33"/>
        <v>PAAS</v>
      </c>
    </row>
    <row r="517" spans="1:14">
      <c r="A517" s="1" t="s">
        <v>1146</v>
      </c>
      <c r="B517" s="1" t="s">
        <v>1147</v>
      </c>
      <c r="C517" s="1">
        <v>0</v>
      </c>
      <c r="D517" s="1">
        <v>20000</v>
      </c>
      <c r="E517" s="1" t="s">
        <v>2178</v>
      </c>
      <c r="F517" s="1" t="s">
        <v>2290</v>
      </c>
      <c r="G517" s="1" t="s">
        <v>1838</v>
      </c>
      <c r="H517" s="1" t="s">
        <v>2394</v>
      </c>
      <c r="I517" s="1" t="s">
        <v>1636</v>
      </c>
      <c r="J517" s="1" t="s">
        <v>2159</v>
      </c>
      <c r="K517" s="492" t="str">
        <f t="shared" si="31"/>
        <v>ExaCS</v>
      </c>
      <c r="L517" s="486" t="str">
        <f t="shared" si="32"/>
        <v>UNIT</v>
      </c>
      <c r="M517" s="486" t="str">
        <f t="shared" si="34"/>
        <v>UC</v>
      </c>
      <c r="N517" s="486" t="str">
        <f t="shared" si="33"/>
        <v>PAAS</v>
      </c>
    </row>
    <row r="518" spans="1:14">
      <c r="A518" s="1" t="s">
        <v>1148</v>
      </c>
      <c r="B518" s="1" t="s">
        <v>1149</v>
      </c>
      <c r="C518" s="1">
        <v>0</v>
      </c>
      <c r="D518" s="1">
        <v>40000</v>
      </c>
      <c r="E518" s="1" t="s">
        <v>2178</v>
      </c>
      <c r="F518" s="1" t="s">
        <v>2290</v>
      </c>
      <c r="G518" s="1" t="s">
        <v>1838</v>
      </c>
      <c r="H518" s="1" t="s">
        <v>2394</v>
      </c>
      <c r="I518" s="1" t="s">
        <v>1636</v>
      </c>
      <c r="J518" s="1" t="s">
        <v>2159</v>
      </c>
      <c r="K518" s="492" t="str">
        <f t="shared" si="31"/>
        <v>ExaCS</v>
      </c>
      <c r="L518" s="486" t="str">
        <f t="shared" si="32"/>
        <v>UNIT</v>
      </c>
      <c r="M518" s="486" t="str">
        <f t="shared" si="34"/>
        <v>UC</v>
      </c>
      <c r="N518" s="486" t="str">
        <f t="shared" si="33"/>
        <v>PAAS</v>
      </c>
    </row>
    <row r="519" spans="1:14">
      <c r="A519" s="1" t="s">
        <v>1150</v>
      </c>
      <c r="B519" s="1" t="s">
        <v>1151</v>
      </c>
      <c r="C519" s="1">
        <v>0</v>
      </c>
      <c r="D519" s="1">
        <v>80000</v>
      </c>
      <c r="E519" s="1" t="s">
        <v>2178</v>
      </c>
      <c r="F519" s="1" t="s">
        <v>2290</v>
      </c>
      <c r="G519" s="1" t="s">
        <v>1838</v>
      </c>
      <c r="H519" s="1" t="s">
        <v>2394</v>
      </c>
      <c r="I519" s="1" t="s">
        <v>1636</v>
      </c>
      <c r="J519" s="1" t="s">
        <v>2159</v>
      </c>
      <c r="K519" s="492" t="str">
        <f t="shared" si="31"/>
        <v>ExaCS</v>
      </c>
      <c r="L519" s="486" t="str">
        <f t="shared" si="32"/>
        <v>UNIT</v>
      </c>
      <c r="M519" s="486" t="str">
        <f t="shared" si="34"/>
        <v>UC</v>
      </c>
      <c r="N519" s="486" t="str">
        <f t="shared" si="33"/>
        <v>PAAS</v>
      </c>
    </row>
    <row r="520" spans="1:14">
      <c r="A520" s="1" t="s">
        <v>1152</v>
      </c>
      <c r="B520" s="1" t="s">
        <v>1579</v>
      </c>
      <c r="C520" s="1">
        <v>0</v>
      </c>
      <c r="D520" s="1">
        <v>1.6800999999999999</v>
      </c>
      <c r="E520" s="1" t="s">
        <v>49</v>
      </c>
      <c r="F520" s="1" t="s">
        <v>2290</v>
      </c>
      <c r="G520" s="1" t="s">
        <v>1838</v>
      </c>
      <c r="H520" s="1" t="s">
        <v>2161</v>
      </c>
      <c r="I520" s="1" t="s">
        <v>1636</v>
      </c>
      <c r="J520" s="1" t="s">
        <v>2159</v>
      </c>
      <c r="K520" s="492" t="str">
        <f t="shared" si="31"/>
        <v>ExaCS</v>
      </c>
      <c r="L520" s="486" t="str">
        <f t="shared" si="32"/>
        <v>HR</v>
      </c>
      <c r="M520" s="486" t="str">
        <f t="shared" si="34"/>
        <v>UC</v>
      </c>
      <c r="N520" s="486" t="str">
        <f t="shared" si="33"/>
        <v>PAAS</v>
      </c>
    </row>
    <row r="521" spans="1:14">
      <c r="A521" s="1" t="s">
        <v>1153</v>
      </c>
      <c r="B521" s="1" t="s">
        <v>1580</v>
      </c>
      <c r="C521" s="1">
        <v>0</v>
      </c>
      <c r="D521" s="1">
        <v>0.3226</v>
      </c>
      <c r="E521" s="1" t="s">
        <v>49</v>
      </c>
      <c r="F521" s="1" t="s">
        <v>2290</v>
      </c>
      <c r="G521" s="1" t="s">
        <v>1838</v>
      </c>
      <c r="H521" s="1" t="s">
        <v>2161</v>
      </c>
      <c r="I521" s="1" t="s">
        <v>1636</v>
      </c>
      <c r="J521" s="1" t="s">
        <v>2159</v>
      </c>
      <c r="K521" s="492" t="str">
        <f t="shared" si="31"/>
        <v>ExaCS</v>
      </c>
      <c r="L521" s="486" t="str">
        <f t="shared" si="32"/>
        <v>HR</v>
      </c>
      <c r="M521" s="486" t="str">
        <f t="shared" si="34"/>
        <v>UC</v>
      </c>
      <c r="N521" s="486" t="str">
        <f t="shared" si="33"/>
        <v>PAAS</v>
      </c>
    </row>
    <row r="522" spans="1:14">
      <c r="A522" s="1" t="s">
        <v>1177</v>
      </c>
      <c r="B522" s="1" t="s">
        <v>1178</v>
      </c>
      <c r="C522" s="1">
        <v>0</v>
      </c>
      <c r="D522" s="1">
        <v>1.6800999999999999</v>
      </c>
      <c r="E522" s="1" t="s">
        <v>49</v>
      </c>
      <c r="F522" s="1" t="s">
        <v>2290</v>
      </c>
      <c r="G522" s="1" t="s">
        <v>1837</v>
      </c>
      <c r="H522" s="1" t="s">
        <v>2161</v>
      </c>
      <c r="I522" s="1" t="s">
        <v>1636</v>
      </c>
      <c r="J522" s="1" t="s">
        <v>2159</v>
      </c>
      <c r="K522" s="492" t="str">
        <f t="shared" si="31"/>
        <v>ATP</v>
      </c>
      <c r="L522" s="486" t="str">
        <f t="shared" si="32"/>
        <v>HR</v>
      </c>
      <c r="M522" s="486" t="str">
        <f t="shared" si="34"/>
        <v>UC</v>
      </c>
      <c r="N522" s="486" t="str">
        <f t="shared" si="33"/>
        <v>PAAS</v>
      </c>
    </row>
    <row r="523" spans="1:14">
      <c r="A523" s="1" t="s">
        <v>1179</v>
      </c>
      <c r="B523" s="1" t="s">
        <v>1669</v>
      </c>
      <c r="C523" s="1">
        <v>0</v>
      </c>
      <c r="D523" s="1">
        <v>148</v>
      </c>
      <c r="E523" s="1" t="s">
        <v>2209</v>
      </c>
      <c r="F523" s="1" t="s">
        <v>2290</v>
      </c>
      <c r="G523" s="1" t="s">
        <v>2132</v>
      </c>
      <c r="H523" s="1" t="s">
        <v>2401</v>
      </c>
      <c r="I523" s="1" t="s">
        <v>1636</v>
      </c>
      <c r="J523" s="1" t="s">
        <v>2159</v>
      </c>
      <c r="K523" s="492" t="str">
        <f t="shared" si="31"/>
        <v>Exa Storage</v>
      </c>
      <c r="L523" s="486" t="str">
        <f t="shared" si="32"/>
        <v>TB</v>
      </c>
      <c r="M523" s="486" t="str">
        <f t="shared" si="34"/>
        <v>UC</v>
      </c>
      <c r="N523" s="486" t="str">
        <f t="shared" si="33"/>
        <v>PAAS</v>
      </c>
    </row>
    <row r="524" spans="1:14">
      <c r="A524" s="1" t="s">
        <v>1180</v>
      </c>
      <c r="B524" s="1" t="s">
        <v>1181</v>
      </c>
      <c r="C524" s="1">
        <v>0</v>
      </c>
      <c r="D524" s="1">
        <v>0.3226</v>
      </c>
      <c r="E524" s="1" t="s">
        <v>49</v>
      </c>
      <c r="F524" s="1" t="s">
        <v>2290</v>
      </c>
      <c r="G524" s="1" t="s">
        <v>1837</v>
      </c>
      <c r="H524" s="1" t="s">
        <v>2161</v>
      </c>
      <c r="I524" s="1" t="s">
        <v>1636</v>
      </c>
      <c r="J524" s="1" t="s">
        <v>2159</v>
      </c>
      <c r="K524" s="492" t="str">
        <f t="shared" si="31"/>
        <v>ATP</v>
      </c>
      <c r="L524" s="486" t="str">
        <f t="shared" si="32"/>
        <v>HR</v>
      </c>
      <c r="M524" s="486" t="str">
        <f t="shared" si="34"/>
        <v>UC</v>
      </c>
      <c r="N524" s="486" t="str">
        <f t="shared" si="33"/>
        <v>PAAS</v>
      </c>
    </row>
    <row r="525" spans="1:14">
      <c r="A525" s="1" t="s">
        <v>1219</v>
      </c>
      <c r="B525" s="1" t="s">
        <v>1220</v>
      </c>
      <c r="C525" s="1">
        <v>0</v>
      </c>
      <c r="D525" s="1">
        <v>0.83</v>
      </c>
      <c r="E525" s="1" t="s">
        <v>2203</v>
      </c>
      <c r="F525" s="1" t="s">
        <v>2290</v>
      </c>
      <c r="G525" s="1" t="s">
        <v>2400</v>
      </c>
      <c r="H525" s="1" t="s">
        <v>2394</v>
      </c>
      <c r="I525" s="1" t="s">
        <v>1636</v>
      </c>
      <c r="J525" s="1" t="s">
        <v>2159</v>
      </c>
      <c r="K525" s="492" t="str">
        <f t="shared" si="31"/>
        <v>Government</v>
      </c>
      <c r="L525" s="486" t="str">
        <f t="shared" si="32"/>
        <v>UNIT</v>
      </c>
      <c r="M525" s="486" t="str">
        <f t="shared" si="34"/>
        <v>UC</v>
      </c>
      <c r="N525" s="486" t="str">
        <f t="shared" si="33"/>
        <v>PAAS</v>
      </c>
    </row>
    <row r="526" spans="1:14">
      <c r="A526" s="1" t="s">
        <v>1274</v>
      </c>
      <c r="B526" s="1" t="s">
        <v>1929</v>
      </c>
      <c r="C526" s="1">
        <v>6</v>
      </c>
      <c r="D526" s="1">
        <v>4</v>
      </c>
      <c r="E526" s="1" t="s">
        <v>2203</v>
      </c>
      <c r="F526" s="1" t="s">
        <v>2290</v>
      </c>
      <c r="G526" s="1" t="s">
        <v>2392</v>
      </c>
      <c r="H526" s="1" t="s">
        <v>2394</v>
      </c>
      <c r="I526" s="1" t="s">
        <v>1636</v>
      </c>
      <c r="J526" s="1" t="s">
        <v>2159</v>
      </c>
      <c r="K526" s="492" t="str">
        <f t="shared" ref="K526:K589" si="35" xml:space="preserve"> _xlfn.IFS(ISNUMBER(SEARCH("Universal Credits",B526)),"UC",
ISNUMBER(SEARCH("Ravello",B526)),"Deprecated",
ISNUMBER(SEARCH("Cloud Machine",B526)),"Deprecated",
ISNUMBER(SEARCH("Compute",B526)),"Compute",
ISNUMBER(SEARCH("Load Balancer",B526)),"Network",
ISNUMBER(SEARCH("FastConnect",B526)),"Network",
ISNUMBER(SEARCH("Database OCPU",B526)),"CC OCPU",
ISNUMBER(SEARCH("at Customer",B526)),"CC",
ISNUMBER(SEARCH("Exadata Storage",B526)),"Exa Storage",
ISNUMBER(SEARCH("Storage",B526)),"Storage",
ISNUMBER(SEARCH("Block ",B526)),"Storage",
ISNUMBER(SEARCH("Autonomous Data Warehouse",B526)),"ADW",
ISNUMBER(SEARCH("Autonomous Transaction Processing",B526)),"ATP",
ISNUMBER(SEARCH("Database Exadata",B526)),"ExaCS",
ISNUMBER(SEARCH("Database",B526)),"DBaaS",
ISNUMBER(SEARCH("Essbase",B526)),"DBaaS",
ISNUMBER(SEARCH("integration",B526)),"Integration",
ISNUMBER(SEARCH("SOA",B526)),"Integration",
ISNUMBER(SEARCH("Management Cloud",B526)),"Service",
ISNUMBER(SEARCH("Analytics",B526)),"Analytics",
ISNUMBER(SEARCH("Storage",B526)),"Storage",
ISNUMBER(SEARCH("Block ",B526)),"Storage",
ISNUMBER(SEARCH("Identity",B526)),"Platform",
ISNUMBER(SEARCH("Content",B526)),"Platform",
ISNUMBER(SEARCH("Weblogic",B526)),"Platform",
ISNUMBER(SEARCH("Digital Assistant",B526)),"Platform",
ISNUMBER(SEARCH("Advance",B526)),"New",
ISNUMBER(SEARCH("Limited",B526)),"Classic",
ISNUMBER(SEARCH("Classic",B526)),"Classic",
ISNUMBER(SEARCH("Government",B526)),"Government",
ISNUMBER(SEARCH("Metered",B526)),"Deprecated",
VALUE(RIGHT(A526,5))&lt;88206,"Deprecated",
TRUE,"Service")</f>
        <v>Platform</v>
      </c>
      <c r="L526" s="486" t="str">
        <f t="shared" ref="L526:L589" si="36">_xlfn.IFS(ISNUMBER(SEARCH("Hour",E526)),"HR",ISNUMBER(SEARCH("Gigabyte",E526)),"GB",ISNUMBER(SEARCH("Terabyte",E526)),"TB",ISNUMBER(SEARCH("Requests",E526)),"REQ",ISNUMBER(SEARCH("Each",E526)),"EA","TRUE","UNIT")</f>
        <v>UNIT</v>
      </c>
      <c r="M526" s="486" t="str">
        <f t="shared" si="34"/>
        <v>UC</v>
      </c>
      <c r="N526" s="486" t="str">
        <f t="shared" ref="N526:N589" si="37">_xlfn.IFS(K526="Storage","IAAS",K526="Compute","IAAS",K526="Network","IAAS",K526="Service","IAAS",L526="REQ","IAAS",TRUE,"PAAS")</f>
        <v>PAAS</v>
      </c>
    </row>
    <row r="527" spans="1:14">
      <c r="A527" s="1" t="s">
        <v>1275</v>
      </c>
      <c r="B527" s="1" t="s">
        <v>1930</v>
      </c>
      <c r="C527" s="1">
        <v>0.03</v>
      </c>
      <c r="D527" s="1">
        <v>0.02</v>
      </c>
      <c r="E527" s="1" t="s">
        <v>2203</v>
      </c>
      <c r="F527" s="1" t="s">
        <v>2290</v>
      </c>
      <c r="G527" s="1" t="s">
        <v>2392</v>
      </c>
      <c r="H527" s="1" t="s">
        <v>2394</v>
      </c>
      <c r="I527" s="1" t="s">
        <v>1636</v>
      </c>
      <c r="J527" s="1" t="s">
        <v>2159</v>
      </c>
      <c r="K527" s="492" t="str">
        <f t="shared" si="35"/>
        <v>Platform</v>
      </c>
      <c r="L527" s="486" t="str">
        <f t="shared" si="36"/>
        <v>UNIT</v>
      </c>
      <c r="M527" s="486" t="str">
        <f t="shared" si="34"/>
        <v>UC</v>
      </c>
      <c r="N527" s="486" t="str">
        <f t="shared" si="37"/>
        <v>PAAS</v>
      </c>
    </row>
    <row r="528" spans="1:14">
      <c r="A528" s="1" t="s">
        <v>1276</v>
      </c>
      <c r="B528" s="1" t="s">
        <v>1931</v>
      </c>
      <c r="C528" s="1">
        <v>1.2</v>
      </c>
      <c r="D528" s="1">
        <v>0.8</v>
      </c>
      <c r="E528" s="1" t="s">
        <v>2203</v>
      </c>
      <c r="F528" s="1" t="s">
        <v>2290</v>
      </c>
      <c r="G528" s="1" t="s">
        <v>2392</v>
      </c>
      <c r="H528" s="1" t="s">
        <v>2394</v>
      </c>
      <c r="I528" s="1" t="s">
        <v>1636</v>
      </c>
      <c r="J528" s="1" t="s">
        <v>2159</v>
      </c>
      <c r="K528" s="492" t="str">
        <f t="shared" si="35"/>
        <v>Platform</v>
      </c>
      <c r="L528" s="486" t="str">
        <f t="shared" si="36"/>
        <v>UNIT</v>
      </c>
      <c r="M528" s="486" t="str">
        <f t="shared" si="34"/>
        <v>UC</v>
      </c>
      <c r="N528" s="486" t="str">
        <f t="shared" si="37"/>
        <v>PAAS</v>
      </c>
    </row>
    <row r="529" spans="1:14">
      <c r="A529" s="1" t="s">
        <v>1277</v>
      </c>
      <c r="B529" s="1" t="s">
        <v>1932</v>
      </c>
      <c r="C529" s="1">
        <v>6.0000000000000001E-3</v>
      </c>
      <c r="D529" s="1">
        <v>4.0000000000000001E-3</v>
      </c>
      <c r="E529" s="1" t="s">
        <v>2203</v>
      </c>
      <c r="F529" s="1" t="s">
        <v>2290</v>
      </c>
      <c r="G529" s="1" t="s">
        <v>2392</v>
      </c>
      <c r="H529" s="1" t="s">
        <v>2394</v>
      </c>
      <c r="I529" s="1" t="s">
        <v>1636</v>
      </c>
      <c r="J529" s="1" t="s">
        <v>2159</v>
      </c>
      <c r="K529" s="492" t="str">
        <f t="shared" si="35"/>
        <v>Platform</v>
      </c>
      <c r="L529" s="486" t="str">
        <f t="shared" si="36"/>
        <v>UNIT</v>
      </c>
      <c r="M529" s="486" t="str">
        <f t="shared" si="34"/>
        <v>UC</v>
      </c>
      <c r="N529" s="486" t="str">
        <f t="shared" si="37"/>
        <v>PAAS</v>
      </c>
    </row>
    <row r="530" spans="1:14">
      <c r="A530" s="1" t="s">
        <v>1182</v>
      </c>
      <c r="B530" s="1" t="s">
        <v>1183</v>
      </c>
      <c r="C530" s="1">
        <v>0</v>
      </c>
      <c r="D530" s="1">
        <v>0.53759999999999997</v>
      </c>
      <c r="E530" s="1" t="s">
        <v>49</v>
      </c>
      <c r="F530" s="1" t="s">
        <v>2290</v>
      </c>
      <c r="G530" s="1" t="s">
        <v>2309</v>
      </c>
      <c r="H530" s="1" t="s">
        <v>2161</v>
      </c>
      <c r="I530" s="1" t="s">
        <v>1636</v>
      </c>
      <c r="J530" s="1" t="s">
        <v>2159</v>
      </c>
      <c r="K530" s="492" t="str">
        <f t="shared" si="35"/>
        <v>DBaaS</v>
      </c>
      <c r="L530" s="486" t="str">
        <f t="shared" si="36"/>
        <v>HR</v>
      </c>
      <c r="M530" s="486" t="str">
        <f t="shared" si="34"/>
        <v>UC</v>
      </c>
      <c r="N530" s="486" t="str">
        <f t="shared" si="37"/>
        <v>PAAS</v>
      </c>
    </row>
    <row r="531" spans="1:14">
      <c r="A531" s="1" t="s">
        <v>1184</v>
      </c>
      <c r="B531" s="1" t="s">
        <v>1185</v>
      </c>
      <c r="C531" s="1">
        <v>0</v>
      </c>
      <c r="D531" s="1">
        <v>1.6800999999999999</v>
      </c>
      <c r="E531" s="1" t="s">
        <v>49</v>
      </c>
      <c r="F531" s="1" t="s">
        <v>2290</v>
      </c>
      <c r="G531" s="1" t="s">
        <v>2309</v>
      </c>
      <c r="H531" s="1" t="s">
        <v>2161</v>
      </c>
      <c r="I531" s="1" t="s">
        <v>1636</v>
      </c>
      <c r="J531" s="1" t="s">
        <v>2159</v>
      </c>
      <c r="K531" s="492" t="str">
        <f t="shared" si="35"/>
        <v>DBaaS</v>
      </c>
      <c r="L531" s="486" t="str">
        <f t="shared" si="36"/>
        <v>HR</v>
      </c>
      <c r="M531" s="486" t="str">
        <f t="shared" si="34"/>
        <v>UC</v>
      </c>
      <c r="N531" s="486" t="str">
        <f t="shared" si="37"/>
        <v>PAAS</v>
      </c>
    </row>
    <row r="532" spans="1:14">
      <c r="A532" s="1" t="s">
        <v>1186</v>
      </c>
      <c r="B532" s="1" t="s">
        <v>1187</v>
      </c>
      <c r="C532" s="1">
        <v>0</v>
      </c>
      <c r="D532" s="1">
        <v>0.19350000000000001</v>
      </c>
      <c r="E532" s="1" t="s">
        <v>49</v>
      </c>
      <c r="F532" s="1" t="s">
        <v>2290</v>
      </c>
      <c r="G532" s="1" t="s">
        <v>2309</v>
      </c>
      <c r="H532" s="1" t="s">
        <v>2161</v>
      </c>
      <c r="I532" s="1" t="s">
        <v>1636</v>
      </c>
      <c r="J532" s="1" t="s">
        <v>2159</v>
      </c>
      <c r="K532" s="492" t="str">
        <f t="shared" si="35"/>
        <v>DBaaS</v>
      </c>
      <c r="L532" s="486" t="str">
        <f t="shared" si="36"/>
        <v>HR</v>
      </c>
      <c r="M532" s="486" t="str">
        <f t="shared" si="34"/>
        <v>UC</v>
      </c>
      <c r="N532" s="486" t="str">
        <f t="shared" si="37"/>
        <v>PAAS</v>
      </c>
    </row>
    <row r="533" spans="1:14">
      <c r="A533" s="1" t="s">
        <v>1278</v>
      </c>
      <c r="B533" s="1" t="s">
        <v>1933</v>
      </c>
      <c r="C533" s="1">
        <v>0</v>
      </c>
      <c r="D533" s="1">
        <v>4</v>
      </c>
      <c r="E533" s="1" t="s">
        <v>2203</v>
      </c>
      <c r="F533" s="1" t="s">
        <v>2290</v>
      </c>
      <c r="G533" s="1" t="s">
        <v>2392</v>
      </c>
      <c r="H533" s="1" t="s">
        <v>2394</v>
      </c>
      <c r="I533" s="1" t="s">
        <v>1636</v>
      </c>
      <c r="J533" s="1" t="s">
        <v>2159</v>
      </c>
      <c r="K533" s="492" t="str">
        <f t="shared" si="35"/>
        <v>Platform</v>
      </c>
      <c r="L533" s="486" t="str">
        <f t="shared" si="36"/>
        <v>UNIT</v>
      </c>
      <c r="M533" s="486" t="str">
        <f t="shared" si="34"/>
        <v>UC</v>
      </c>
      <c r="N533" s="486" t="str">
        <f t="shared" si="37"/>
        <v>PAAS</v>
      </c>
    </row>
    <row r="534" spans="1:14">
      <c r="A534" s="1" t="s">
        <v>1279</v>
      </c>
      <c r="B534" s="1" t="s">
        <v>1934</v>
      </c>
      <c r="C534" s="1">
        <v>0</v>
      </c>
      <c r="D534" s="1">
        <v>0.02</v>
      </c>
      <c r="E534" s="1" t="s">
        <v>2203</v>
      </c>
      <c r="F534" s="1" t="s">
        <v>2290</v>
      </c>
      <c r="G534" s="1" t="s">
        <v>2392</v>
      </c>
      <c r="H534" s="1" t="s">
        <v>2394</v>
      </c>
      <c r="I534" s="1" t="s">
        <v>1636</v>
      </c>
      <c r="J534" s="1" t="s">
        <v>2159</v>
      </c>
      <c r="K534" s="492" t="str">
        <f t="shared" si="35"/>
        <v>Platform</v>
      </c>
      <c r="L534" s="486" t="str">
        <f t="shared" si="36"/>
        <v>UNIT</v>
      </c>
      <c r="M534" s="486" t="str">
        <f t="shared" si="34"/>
        <v>UC</v>
      </c>
      <c r="N534" s="486" t="str">
        <f t="shared" si="37"/>
        <v>PAAS</v>
      </c>
    </row>
    <row r="535" spans="1:14">
      <c r="A535" s="1" t="s">
        <v>1280</v>
      </c>
      <c r="B535" s="1" t="s">
        <v>1935</v>
      </c>
      <c r="C535" s="1">
        <v>0</v>
      </c>
      <c r="D535" s="1">
        <v>0.8</v>
      </c>
      <c r="E535" s="1" t="s">
        <v>2203</v>
      </c>
      <c r="F535" s="1" t="s">
        <v>2290</v>
      </c>
      <c r="G535" s="1" t="s">
        <v>2392</v>
      </c>
      <c r="H535" s="1" t="s">
        <v>2394</v>
      </c>
      <c r="I535" s="1" t="s">
        <v>1636</v>
      </c>
      <c r="J535" s="1" t="s">
        <v>2159</v>
      </c>
      <c r="K535" s="492" t="str">
        <f t="shared" si="35"/>
        <v>Platform</v>
      </c>
      <c r="L535" s="486" t="str">
        <f t="shared" si="36"/>
        <v>UNIT</v>
      </c>
      <c r="M535" s="486" t="str">
        <f t="shared" si="34"/>
        <v>UC</v>
      </c>
      <c r="N535" s="486" t="str">
        <f t="shared" si="37"/>
        <v>PAAS</v>
      </c>
    </row>
    <row r="536" spans="1:14">
      <c r="A536" s="1" t="s">
        <v>1281</v>
      </c>
      <c r="B536" s="1" t="s">
        <v>1936</v>
      </c>
      <c r="C536" s="1">
        <v>0</v>
      </c>
      <c r="D536" s="1">
        <v>4.0000000000000001E-3</v>
      </c>
      <c r="E536" s="1" t="s">
        <v>2203</v>
      </c>
      <c r="F536" s="1" t="s">
        <v>2290</v>
      </c>
      <c r="G536" s="1" t="s">
        <v>2392</v>
      </c>
      <c r="H536" s="1" t="s">
        <v>2394</v>
      </c>
      <c r="I536" s="1" t="s">
        <v>1636</v>
      </c>
      <c r="J536" s="1" t="s">
        <v>2159</v>
      </c>
      <c r="K536" s="492" t="str">
        <f t="shared" si="35"/>
        <v>Platform</v>
      </c>
      <c r="L536" s="486" t="str">
        <f t="shared" si="36"/>
        <v>UNIT</v>
      </c>
      <c r="M536" s="486" t="str">
        <f t="shared" si="34"/>
        <v>UC</v>
      </c>
      <c r="N536" s="486" t="str">
        <f t="shared" si="37"/>
        <v>PAAS</v>
      </c>
    </row>
    <row r="537" spans="1:14">
      <c r="A537" s="1" t="s">
        <v>1188</v>
      </c>
      <c r="B537" s="1" t="s">
        <v>1937</v>
      </c>
      <c r="C537" s="1">
        <v>0.4032</v>
      </c>
      <c r="D537" s="1">
        <v>0.26879999999999998</v>
      </c>
      <c r="E537" s="1" t="s">
        <v>49</v>
      </c>
      <c r="F537" s="1" t="s">
        <v>2290</v>
      </c>
      <c r="G537" s="1" t="s">
        <v>2309</v>
      </c>
      <c r="H537" s="1" t="s">
        <v>2161</v>
      </c>
      <c r="I537" s="1" t="s">
        <v>1636</v>
      </c>
      <c r="J537" s="1" t="s">
        <v>2159</v>
      </c>
      <c r="K537" s="492" t="str">
        <f t="shared" si="35"/>
        <v>DBaaS</v>
      </c>
      <c r="L537" s="486" t="str">
        <f t="shared" si="36"/>
        <v>HR</v>
      </c>
      <c r="M537" s="486" t="str">
        <f t="shared" si="34"/>
        <v>UC</v>
      </c>
      <c r="N537" s="486" t="str">
        <f t="shared" si="37"/>
        <v>PAAS</v>
      </c>
    </row>
    <row r="538" spans="1:14">
      <c r="A538" s="1" t="s">
        <v>1189</v>
      </c>
      <c r="B538" s="1" t="s">
        <v>1938</v>
      </c>
      <c r="C538" s="1">
        <v>0.80640000000000001</v>
      </c>
      <c r="D538" s="1">
        <v>0.53759999999999997</v>
      </c>
      <c r="E538" s="1" t="s">
        <v>49</v>
      </c>
      <c r="F538" s="1" t="s">
        <v>2290</v>
      </c>
      <c r="G538" s="1" t="s">
        <v>2309</v>
      </c>
      <c r="H538" s="1" t="s">
        <v>2161</v>
      </c>
      <c r="I538" s="1" t="s">
        <v>1636</v>
      </c>
      <c r="J538" s="1" t="s">
        <v>2159</v>
      </c>
      <c r="K538" s="492" t="str">
        <f t="shared" si="35"/>
        <v>DBaaS</v>
      </c>
      <c r="L538" s="486" t="str">
        <f t="shared" si="36"/>
        <v>HR</v>
      </c>
      <c r="M538" s="486" t="str">
        <f t="shared" si="34"/>
        <v>UC</v>
      </c>
      <c r="N538" s="486" t="str">
        <f t="shared" si="37"/>
        <v>PAAS</v>
      </c>
    </row>
    <row r="539" spans="1:14">
      <c r="A539" s="1" t="s">
        <v>1190</v>
      </c>
      <c r="B539" s="1" t="s">
        <v>1939</v>
      </c>
      <c r="C539" s="1">
        <v>1.6634</v>
      </c>
      <c r="D539" s="1">
        <v>1.1089</v>
      </c>
      <c r="E539" s="1" t="s">
        <v>49</v>
      </c>
      <c r="F539" s="1" t="s">
        <v>2290</v>
      </c>
      <c r="G539" s="1" t="s">
        <v>2309</v>
      </c>
      <c r="H539" s="1" t="s">
        <v>2161</v>
      </c>
      <c r="I539" s="1" t="s">
        <v>1636</v>
      </c>
      <c r="J539" s="1" t="s">
        <v>2159</v>
      </c>
      <c r="K539" s="492" t="str">
        <f t="shared" si="35"/>
        <v>DBaaS</v>
      </c>
      <c r="L539" s="486" t="str">
        <f t="shared" si="36"/>
        <v>HR</v>
      </c>
      <c r="M539" s="486" t="str">
        <f t="shared" si="34"/>
        <v>UC</v>
      </c>
      <c r="N539" s="486" t="str">
        <f t="shared" si="37"/>
        <v>PAAS</v>
      </c>
    </row>
    <row r="540" spans="1:14">
      <c r="A540" s="1" t="s">
        <v>1191</v>
      </c>
      <c r="B540" s="1" t="s">
        <v>1940</v>
      </c>
      <c r="C540" s="1">
        <v>2.5202</v>
      </c>
      <c r="D540" s="1">
        <v>1.6800999999999999</v>
      </c>
      <c r="E540" s="1" t="s">
        <v>49</v>
      </c>
      <c r="F540" s="1" t="s">
        <v>2290</v>
      </c>
      <c r="G540" s="1" t="s">
        <v>2309</v>
      </c>
      <c r="H540" s="1" t="s">
        <v>2161</v>
      </c>
      <c r="I540" s="1" t="s">
        <v>1636</v>
      </c>
      <c r="J540" s="1" t="s">
        <v>2159</v>
      </c>
      <c r="K540" s="492" t="str">
        <f t="shared" si="35"/>
        <v>DBaaS</v>
      </c>
      <c r="L540" s="486" t="str">
        <f t="shared" si="36"/>
        <v>HR</v>
      </c>
      <c r="M540" s="486" t="str">
        <f t="shared" si="34"/>
        <v>UC</v>
      </c>
      <c r="N540" s="486" t="str">
        <f t="shared" si="37"/>
        <v>PAAS</v>
      </c>
    </row>
    <row r="541" spans="1:14">
      <c r="A541" s="1" t="s">
        <v>1192</v>
      </c>
      <c r="B541" s="1" t="s">
        <v>1193</v>
      </c>
      <c r="C541" s="1">
        <v>0.2903</v>
      </c>
      <c r="D541" s="1">
        <v>0.19350000000000001</v>
      </c>
      <c r="E541" s="1" t="s">
        <v>49</v>
      </c>
      <c r="F541" s="1" t="s">
        <v>2290</v>
      </c>
      <c r="G541" s="1" t="s">
        <v>2309</v>
      </c>
      <c r="H541" s="1" t="s">
        <v>2161</v>
      </c>
      <c r="I541" s="1" t="s">
        <v>1636</v>
      </c>
      <c r="J541" s="1" t="s">
        <v>2159</v>
      </c>
      <c r="K541" s="492" t="str">
        <f t="shared" si="35"/>
        <v>DBaaS</v>
      </c>
      <c r="L541" s="486" t="str">
        <f t="shared" si="36"/>
        <v>HR</v>
      </c>
      <c r="M541" s="486" t="str">
        <f t="shared" si="34"/>
        <v>UC</v>
      </c>
      <c r="N541" s="486" t="str">
        <f t="shared" si="37"/>
        <v>PAAS</v>
      </c>
    </row>
    <row r="542" spans="1:14">
      <c r="A542" s="1" t="s">
        <v>1393</v>
      </c>
      <c r="B542" s="1" t="s">
        <v>2339</v>
      </c>
      <c r="C542" s="1">
        <v>0.14169999999999999</v>
      </c>
      <c r="D542" s="1">
        <v>0.14169999999999999</v>
      </c>
      <c r="E542" s="1" t="s">
        <v>2340</v>
      </c>
      <c r="F542" s="1" t="s">
        <v>2290</v>
      </c>
      <c r="G542" s="1" t="s">
        <v>2399</v>
      </c>
      <c r="H542" s="1" t="s">
        <v>2162</v>
      </c>
      <c r="I542" s="1" t="s">
        <v>1636</v>
      </c>
      <c r="J542" s="1" t="s">
        <v>2158</v>
      </c>
      <c r="K542" s="492" t="str">
        <f t="shared" si="35"/>
        <v>Service</v>
      </c>
      <c r="L542" s="486" t="str">
        <f t="shared" si="36"/>
        <v>GB</v>
      </c>
      <c r="M542" s="486" t="str">
        <f t="shared" si="34"/>
        <v>UC</v>
      </c>
      <c r="N542" s="486" t="str">
        <f t="shared" si="37"/>
        <v>IAAS</v>
      </c>
    </row>
    <row r="543" spans="1:14">
      <c r="A543" s="1" t="s">
        <v>1394</v>
      </c>
      <c r="B543" s="1" t="s">
        <v>2341</v>
      </c>
      <c r="C543" s="1">
        <v>0.2</v>
      </c>
      <c r="D543" s="1">
        <v>0.2</v>
      </c>
      <c r="E543" s="1" t="s">
        <v>2342</v>
      </c>
      <c r="F543" s="1" t="s">
        <v>2290</v>
      </c>
      <c r="G543" s="1" t="s">
        <v>2399</v>
      </c>
      <c r="H543" s="1" t="s">
        <v>2394</v>
      </c>
      <c r="I543" s="1" t="s">
        <v>1636</v>
      </c>
      <c r="J543" s="1" t="s">
        <v>2158</v>
      </c>
      <c r="K543" s="492" t="str">
        <f t="shared" si="35"/>
        <v>Service</v>
      </c>
      <c r="L543" s="486" t="str">
        <f t="shared" si="36"/>
        <v>UNIT</v>
      </c>
      <c r="M543" s="486" t="str">
        <f t="shared" si="34"/>
        <v>UC</v>
      </c>
      <c r="N543" s="486" t="str">
        <f t="shared" si="37"/>
        <v>IAAS</v>
      </c>
    </row>
    <row r="544" spans="1:14">
      <c r="A544" s="1" t="s">
        <v>1329</v>
      </c>
      <c r="B544" s="1" t="s">
        <v>1372</v>
      </c>
      <c r="C544" s="1">
        <v>20.1614</v>
      </c>
      <c r="D544" s="1">
        <v>13.440899999999999</v>
      </c>
      <c r="E544" s="1" t="s">
        <v>2192</v>
      </c>
      <c r="F544" s="1" t="s">
        <v>2290</v>
      </c>
      <c r="G544" s="1" t="s">
        <v>1838</v>
      </c>
      <c r="H544" s="1" t="s">
        <v>2161</v>
      </c>
      <c r="I544" s="1" t="s">
        <v>1636</v>
      </c>
      <c r="J544" s="1" t="s">
        <v>2159</v>
      </c>
      <c r="K544" s="492" t="str">
        <f t="shared" si="35"/>
        <v>ExaCS</v>
      </c>
      <c r="L544" s="486" t="str">
        <f t="shared" si="36"/>
        <v>HR</v>
      </c>
      <c r="M544" s="486" t="str">
        <f t="shared" si="34"/>
        <v>UC</v>
      </c>
      <c r="N544" s="486" t="str">
        <f t="shared" si="37"/>
        <v>PAAS</v>
      </c>
    </row>
    <row r="545" spans="1:14">
      <c r="A545" s="1" t="s">
        <v>1373</v>
      </c>
      <c r="B545" s="1" t="s">
        <v>1374</v>
      </c>
      <c r="C545" s="1">
        <v>0</v>
      </c>
      <c r="D545" s="1">
        <v>10000</v>
      </c>
      <c r="E545" s="1" t="s">
        <v>2178</v>
      </c>
      <c r="F545" s="1" t="s">
        <v>2290</v>
      </c>
      <c r="G545" s="1" t="s">
        <v>1838</v>
      </c>
      <c r="H545" s="1" t="s">
        <v>2394</v>
      </c>
      <c r="I545" s="1" t="s">
        <v>1636</v>
      </c>
      <c r="J545" s="1" t="s">
        <v>2159</v>
      </c>
      <c r="K545" s="492" t="str">
        <f t="shared" si="35"/>
        <v>ExaCS</v>
      </c>
      <c r="L545" s="486" t="str">
        <f t="shared" si="36"/>
        <v>UNIT</v>
      </c>
      <c r="M545" s="486" t="str">
        <f t="shared" si="34"/>
        <v>UC</v>
      </c>
      <c r="N545" s="486" t="str">
        <f t="shared" si="37"/>
        <v>PAAS</v>
      </c>
    </row>
    <row r="546" spans="1:14">
      <c r="A546" s="1" t="s">
        <v>1221</v>
      </c>
      <c r="B546" s="1" t="s">
        <v>1257</v>
      </c>
      <c r="C546" s="1">
        <v>0</v>
      </c>
      <c r="D546" s="1">
        <v>9000</v>
      </c>
      <c r="E546" s="1" t="s">
        <v>1154</v>
      </c>
      <c r="F546" s="1" t="s">
        <v>2290</v>
      </c>
      <c r="G546" s="1" t="s">
        <v>2160</v>
      </c>
      <c r="H546" s="1" t="s">
        <v>2397</v>
      </c>
      <c r="I546" s="1" t="s">
        <v>2160</v>
      </c>
      <c r="J546" s="1" t="s">
        <v>2159</v>
      </c>
      <c r="K546" s="492" t="str">
        <f t="shared" si="35"/>
        <v>CC</v>
      </c>
      <c r="L546" s="486" t="str">
        <f t="shared" si="36"/>
        <v>EA</v>
      </c>
      <c r="M546" s="486" t="str">
        <f t="shared" si="34"/>
        <v>CC</v>
      </c>
      <c r="N546" s="486" t="str">
        <f t="shared" si="37"/>
        <v>PAAS</v>
      </c>
    </row>
    <row r="547" spans="1:14">
      <c r="A547" s="1" t="s">
        <v>1222</v>
      </c>
      <c r="B547" s="1" t="s">
        <v>1258</v>
      </c>
      <c r="C547" s="1">
        <v>0</v>
      </c>
      <c r="D547" s="1">
        <v>3000</v>
      </c>
      <c r="E547" s="1" t="s">
        <v>1154</v>
      </c>
      <c r="F547" s="1" t="s">
        <v>2290</v>
      </c>
      <c r="G547" s="1" t="s">
        <v>2160</v>
      </c>
      <c r="H547" s="1" t="s">
        <v>2397</v>
      </c>
      <c r="I547" s="1" t="s">
        <v>2160</v>
      </c>
      <c r="J547" s="1" t="s">
        <v>2159</v>
      </c>
      <c r="K547" s="492" t="str">
        <f t="shared" si="35"/>
        <v>CC</v>
      </c>
      <c r="L547" s="486" t="str">
        <f t="shared" si="36"/>
        <v>EA</v>
      </c>
      <c r="M547" s="486" t="str">
        <f t="shared" si="34"/>
        <v>CC</v>
      </c>
      <c r="N547" s="486" t="str">
        <f t="shared" si="37"/>
        <v>PAAS</v>
      </c>
    </row>
    <row r="548" spans="1:14">
      <c r="A548" s="1" t="s">
        <v>1223</v>
      </c>
      <c r="B548" s="1" t="s">
        <v>1941</v>
      </c>
      <c r="C548" s="1">
        <v>0</v>
      </c>
      <c r="D548" s="1">
        <v>4200</v>
      </c>
      <c r="E548" s="1" t="s">
        <v>1154</v>
      </c>
      <c r="F548" s="1" t="s">
        <v>2290</v>
      </c>
      <c r="G548" s="1" t="s">
        <v>2160</v>
      </c>
      <c r="H548" s="1" t="s">
        <v>2397</v>
      </c>
      <c r="I548" s="1" t="s">
        <v>2160</v>
      </c>
      <c r="J548" s="1" t="s">
        <v>2159</v>
      </c>
      <c r="K548" s="492" t="str">
        <f t="shared" si="35"/>
        <v>CC</v>
      </c>
      <c r="L548" s="486" t="str">
        <f t="shared" si="36"/>
        <v>EA</v>
      </c>
      <c r="M548" s="486" t="str">
        <f t="shared" si="34"/>
        <v>CC</v>
      </c>
      <c r="N548" s="486" t="str">
        <f t="shared" si="37"/>
        <v>PAAS</v>
      </c>
    </row>
    <row r="549" spans="1:14">
      <c r="A549" s="1" t="s">
        <v>1360</v>
      </c>
      <c r="B549" s="1" t="s">
        <v>1585</v>
      </c>
      <c r="C549" s="1">
        <v>0</v>
      </c>
      <c r="D549" s="1">
        <v>4000</v>
      </c>
      <c r="E549" s="1" t="s">
        <v>2178</v>
      </c>
      <c r="F549" s="1" t="s">
        <v>2290</v>
      </c>
      <c r="G549" s="1" t="s">
        <v>2160</v>
      </c>
      <c r="H549" s="1" t="s">
        <v>2394</v>
      </c>
      <c r="I549" s="1" t="s">
        <v>2160</v>
      </c>
      <c r="J549" s="1" t="s">
        <v>2159</v>
      </c>
      <c r="K549" s="492" t="str">
        <f t="shared" si="35"/>
        <v>CC</v>
      </c>
      <c r="L549" s="486" t="str">
        <f t="shared" si="36"/>
        <v>UNIT</v>
      </c>
      <c r="M549" s="486" t="str">
        <f t="shared" si="34"/>
        <v>CC</v>
      </c>
      <c r="N549" s="486" t="str">
        <f t="shared" si="37"/>
        <v>PAAS</v>
      </c>
    </row>
    <row r="550" spans="1:14">
      <c r="A550" s="1" t="s">
        <v>1361</v>
      </c>
      <c r="B550" s="1" t="s">
        <v>1586</v>
      </c>
      <c r="C550" s="1">
        <v>0</v>
      </c>
      <c r="D550" s="1">
        <v>3000</v>
      </c>
      <c r="E550" s="1" t="s">
        <v>2178</v>
      </c>
      <c r="F550" s="1" t="s">
        <v>2290</v>
      </c>
      <c r="G550" s="1" t="s">
        <v>2160</v>
      </c>
      <c r="H550" s="1" t="s">
        <v>2394</v>
      </c>
      <c r="I550" s="1" t="s">
        <v>2160</v>
      </c>
      <c r="J550" s="1" t="s">
        <v>2159</v>
      </c>
      <c r="K550" s="492" t="str">
        <f t="shared" si="35"/>
        <v>CC</v>
      </c>
      <c r="L550" s="486" t="str">
        <f t="shared" si="36"/>
        <v>UNIT</v>
      </c>
      <c r="M550" s="486" t="str">
        <f t="shared" si="34"/>
        <v>CC</v>
      </c>
      <c r="N550" s="486" t="str">
        <f t="shared" si="37"/>
        <v>PAAS</v>
      </c>
    </row>
    <row r="551" spans="1:14">
      <c r="A551" s="1" t="s">
        <v>1587</v>
      </c>
      <c r="B551" s="1" t="s">
        <v>1588</v>
      </c>
      <c r="C551" s="1">
        <v>0</v>
      </c>
      <c r="D551" s="1">
        <v>4000</v>
      </c>
      <c r="E551" s="1" t="s">
        <v>2178</v>
      </c>
      <c r="F551" s="1" t="s">
        <v>2290</v>
      </c>
      <c r="G551" s="1" t="s">
        <v>2160</v>
      </c>
      <c r="H551" s="1" t="s">
        <v>2394</v>
      </c>
      <c r="I551" s="1" t="s">
        <v>2160</v>
      </c>
      <c r="J551" s="1" t="s">
        <v>2159</v>
      </c>
      <c r="K551" s="492" t="str">
        <f t="shared" si="35"/>
        <v>CC</v>
      </c>
      <c r="L551" s="486" t="str">
        <f t="shared" si="36"/>
        <v>UNIT</v>
      </c>
      <c r="M551" s="486" t="str">
        <f t="shared" si="34"/>
        <v>CC</v>
      </c>
      <c r="N551" s="486" t="str">
        <f t="shared" si="37"/>
        <v>PAAS</v>
      </c>
    </row>
    <row r="552" spans="1:14">
      <c r="A552" s="1" t="s">
        <v>1589</v>
      </c>
      <c r="B552" s="1" t="s">
        <v>1590</v>
      </c>
      <c r="C552" s="1">
        <v>0</v>
      </c>
      <c r="D552" s="1">
        <v>3000</v>
      </c>
      <c r="E552" s="1" t="s">
        <v>2178</v>
      </c>
      <c r="F552" s="1" t="s">
        <v>2290</v>
      </c>
      <c r="G552" s="1" t="s">
        <v>2160</v>
      </c>
      <c r="H552" s="1" t="s">
        <v>2394</v>
      </c>
      <c r="I552" s="1" t="s">
        <v>2160</v>
      </c>
      <c r="J552" s="1" t="s">
        <v>2159</v>
      </c>
      <c r="K552" s="492" t="str">
        <f t="shared" si="35"/>
        <v>CC</v>
      </c>
      <c r="L552" s="486" t="str">
        <f t="shared" si="36"/>
        <v>UNIT</v>
      </c>
      <c r="M552" s="486" t="str">
        <f t="shared" si="34"/>
        <v>CC</v>
      </c>
      <c r="N552" s="486" t="str">
        <f t="shared" si="37"/>
        <v>PAAS</v>
      </c>
    </row>
    <row r="553" spans="1:14">
      <c r="A553" s="1" t="s">
        <v>1259</v>
      </c>
      <c r="B553" s="1" t="s">
        <v>1670</v>
      </c>
      <c r="C553" s="1">
        <v>0</v>
      </c>
      <c r="D553" s="1">
        <v>20</v>
      </c>
      <c r="E553" s="1" t="s">
        <v>2176</v>
      </c>
      <c r="F553" s="1" t="s">
        <v>2290</v>
      </c>
      <c r="G553" s="1" t="s">
        <v>1839</v>
      </c>
      <c r="H553" s="1" t="s">
        <v>2394</v>
      </c>
      <c r="I553" s="1" t="s">
        <v>1636</v>
      </c>
      <c r="J553" s="1" t="s">
        <v>2159</v>
      </c>
      <c r="K553" s="492" t="str">
        <f t="shared" si="35"/>
        <v>Analytics</v>
      </c>
      <c r="L553" s="486" t="str">
        <f t="shared" si="36"/>
        <v>UNIT</v>
      </c>
      <c r="M553" s="486" t="str">
        <f t="shared" si="34"/>
        <v>UC</v>
      </c>
      <c r="N553" s="486" t="str">
        <f t="shared" si="37"/>
        <v>PAAS</v>
      </c>
    </row>
    <row r="554" spans="1:14">
      <c r="A554" s="1" t="s">
        <v>1353</v>
      </c>
      <c r="B554" s="1" t="s">
        <v>1670</v>
      </c>
      <c r="C554" s="1">
        <v>0</v>
      </c>
      <c r="D554" s="1">
        <v>1000</v>
      </c>
      <c r="E554" s="1" t="s">
        <v>2168</v>
      </c>
      <c r="F554" s="1" t="s">
        <v>2290</v>
      </c>
      <c r="G554" s="1" t="s">
        <v>1839</v>
      </c>
      <c r="H554" s="1" t="s">
        <v>2394</v>
      </c>
      <c r="I554" s="1" t="s">
        <v>1636</v>
      </c>
      <c r="J554" s="1" t="s">
        <v>2159</v>
      </c>
      <c r="K554" s="492" t="str">
        <f t="shared" si="35"/>
        <v>Analytics</v>
      </c>
      <c r="L554" s="486" t="str">
        <f t="shared" si="36"/>
        <v>UNIT</v>
      </c>
      <c r="M554" s="486" t="str">
        <f t="shared" si="34"/>
        <v>UC</v>
      </c>
      <c r="N554" s="486" t="str">
        <f t="shared" si="37"/>
        <v>PAAS</v>
      </c>
    </row>
    <row r="555" spans="1:14">
      <c r="A555" s="1" t="s">
        <v>1260</v>
      </c>
      <c r="B555" s="1" t="s">
        <v>1261</v>
      </c>
      <c r="C555" s="1">
        <v>0</v>
      </c>
      <c r="D555" s="1">
        <v>100</v>
      </c>
      <c r="E555" s="1" t="s">
        <v>2176</v>
      </c>
      <c r="F555" s="1" t="s">
        <v>2290</v>
      </c>
      <c r="G555" s="1" t="s">
        <v>1839</v>
      </c>
      <c r="H555" s="1" t="s">
        <v>2394</v>
      </c>
      <c r="I555" s="1" t="s">
        <v>1636</v>
      </c>
      <c r="J555" s="1" t="s">
        <v>2159</v>
      </c>
      <c r="K555" s="492" t="str">
        <f t="shared" si="35"/>
        <v>Analytics</v>
      </c>
      <c r="L555" s="486" t="str">
        <f t="shared" si="36"/>
        <v>UNIT</v>
      </c>
      <c r="M555" s="486" t="str">
        <f t="shared" si="34"/>
        <v>UC</v>
      </c>
      <c r="N555" s="486" t="str">
        <f t="shared" si="37"/>
        <v>PAAS</v>
      </c>
    </row>
    <row r="556" spans="1:14">
      <c r="A556" s="1" t="s">
        <v>1354</v>
      </c>
      <c r="B556" s="1" t="s">
        <v>1261</v>
      </c>
      <c r="C556" s="1">
        <v>0</v>
      </c>
      <c r="D556" s="1">
        <v>2000</v>
      </c>
      <c r="E556" s="1" t="s">
        <v>2168</v>
      </c>
      <c r="F556" s="1" t="s">
        <v>2290</v>
      </c>
      <c r="G556" s="1" t="s">
        <v>1839</v>
      </c>
      <c r="H556" s="1" t="s">
        <v>2394</v>
      </c>
      <c r="I556" s="1" t="s">
        <v>1636</v>
      </c>
      <c r="J556" s="1" t="s">
        <v>2159</v>
      </c>
      <c r="K556" s="492" t="str">
        <f t="shared" si="35"/>
        <v>Analytics</v>
      </c>
      <c r="L556" s="486" t="str">
        <f t="shared" si="36"/>
        <v>UNIT</v>
      </c>
      <c r="M556" s="486" t="str">
        <f t="shared" si="34"/>
        <v>UC</v>
      </c>
      <c r="N556" s="486" t="str">
        <f t="shared" si="37"/>
        <v>PAAS</v>
      </c>
    </row>
    <row r="557" spans="1:14">
      <c r="A557" s="1" t="s">
        <v>1224</v>
      </c>
      <c r="B557" s="1" t="s">
        <v>1942</v>
      </c>
      <c r="C557" s="1">
        <v>0</v>
      </c>
      <c r="D557" s="1">
        <v>9000</v>
      </c>
      <c r="E557" s="1" t="s">
        <v>1154</v>
      </c>
      <c r="F557" s="1" t="s">
        <v>2290</v>
      </c>
      <c r="G557" s="1" t="s">
        <v>2160</v>
      </c>
      <c r="H557" s="1" t="s">
        <v>2397</v>
      </c>
      <c r="I557" s="1" t="s">
        <v>2160</v>
      </c>
      <c r="J557" s="1" t="s">
        <v>2159</v>
      </c>
      <c r="K557" s="492" t="str">
        <f t="shared" si="35"/>
        <v>CC</v>
      </c>
      <c r="L557" s="486" t="str">
        <f t="shared" si="36"/>
        <v>EA</v>
      </c>
      <c r="M557" s="486" t="str">
        <f t="shared" si="34"/>
        <v>CC</v>
      </c>
      <c r="N557" s="486" t="str">
        <f t="shared" si="37"/>
        <v>PAAS</v>
      </c>
    </row>
    <row r="558" spans="1:14">
      <c r="A558" s="1" t="s">
        <v>2296</v>
      </c>
      <c r="B558" s="1" t="s">
        <v>1943</v>
      </c>
      <c r="C558" s="1">
        <v>0</v>
      </c>
      <c r="D558" s="1">
        <v>3000</v>
      </c>
      <c r="E558" s="1" t="s">
        <v>1154</v>
      </c>
      <c r="F558" s="1" t="s">
        <v>2290</v>
      </c>
      <c r="G558" s="1" t="s">
        <v>2160</v>
      </c>
      <c r="H558" s="1" t="s">
        <v>2397</v>
      </c>
      <c r="I558" s="1" t="s">
        <v>2160</v>
      </c>
      <c r="J558" s="1" t="s">
        <v>2159</v>
      </c>
      <c r="K558" s="492" t="str">
        <f t="shared" si="35"/>
        <v>CC</v>
      </c>
      <c r="L558" s="486" t="str">
        <f t="shared" si="36"/>
        <v>EA</v>
      </c>
      <c r="M558" s="486" t="str">
        <f t="shared" si="34"/>
        <v>CC</v>
      </c>
      <c r="N558" s="486" t="str">
        <f t="shared" si="37"/>
        <v>PAAS</v>
      </c>
    </row>
    <row r="559" spans="1:14">
      <c r="A559" s="1" t="s">
        <v>1225</v>
      </c>
      <c r="B559" s="1" t="s">
        <v>1944</v>
      </c>
      <c r="C559" s="1">
        <v>0</v>
      </c>
      <c r="D559" s="1">
        <v>4200</v>
      </c>
      <c r="E559" s="1" t="s">
        <v>1154</v>
      </c>
      <c r="F559" s="1" t="s">
        <v>2290</v>
      </c>
      <c r="G559" s="1" t="s">
        <v>2160</v>
      </c>
      <c r="H559" s="1" t="s">
        <v>2397</v>
      </c>
      <c r="I559" s="1" t="s">
        <v>2160</v>
      </c>
      <c r="J559" s="1" t="s">
        <v>2159</v>
      </c>
      <c r="K559" s="492" t="str">
        <f t="shared" si="35"/>
        <v>CC</v>
      </c>
      <c r="L559" s="486" t="str">
        <f t="shared" si="36"/>
        <v>EA</v>
      </c>
      <c r="M559" s="486" t="str">
        <f t="shared" si="34"/>
        <v>CC</v>
      </c>
      <c r="N559" s="486" t="str">
        <f t="shared" si="37"/>
        <v>PAAS</v>
      </c>
    </row>
    <row r="560" spans="1:14">
      <c r="A560" s="1" t="s">
        <v>1362</v>
      </c>
      <c r="B560" s="1" t="s">
        <v>1591</v>
      </c>
      <c r="C560" s="1">
        <v>0</v>
      </c>
      <c r="D560" s="1">
        <v>4000</v>
      </c>
      <c r="E560" s="1" t="s">
        <v>2178</v>
      </c>
      <c r="F560" s="1" t="s">
        <v>2290</v>
      </c>
      <c r="G560" s="1" t="s">
        <v>2160</v>
      </c>
      <c r="H560" s="1" t="s">
        <v>2394</v>
      </c>
      <c r="I560" s="1" t="s">
        <v>2160</v>
      </c>
      <c r="J560" s="1" t="s">
        <v>2159</v>
      </c>
      <c r="K560" s="492" t="str">
        <f t="shared" si="35"/>
        <v>CC</v>
      </c>
      <c r="L560" s="486" t="str">
        <f t="shared" si="36"/>
        <v>UNIT</v>
      </c>
      <c r="M560" s="486" t="str">
        <f t="shared" si="34"/>
        <v>CC</v>
      </c>
      <c r="N560" s="486" t="str">
        <f t="shared" si="37"/>
        <v>PAAS</v>
      </c>
    </row>
    <row r="561" spans="1:14">
      <c r="A561" s="1" t="s">
        <v>1363</v>
      </c>
      <c r="B561" s="1" t="s">
        <v>1592</v>
      </c>
      <c r="C561" s="1">
        <v>0</v>
      </c>
      <c r="D561" s="1">
        <v>3000</v>
      </c>
      <c r="E561" s="1" t="s">
        <v>2178</v>
      </c>
      <c r="F561" s="1" t="s">
        <v>2290</v>
      </c>
      <c r="G561" s="1" t="s">
        <v>2160</v>
      </c>
      <c r="H561" s="1" t="s">
        <v>2394</v>
      </c>
      <c r="I561" s="1" t="s">
        <v>2160</v>
      </c>
      <c r="J561" s="1" t="s">
        <v>2159</v>
      </c>
      <c r="K561" s="492" t="str">
        <f t="shared" si="35"/>
        <v>CC</v>
      </c>
      <c r="L561" s="486" t="str">
        <f t="shared" si="36"/>
        <v>UNIT</v>
      </c>
      <c r="M561" s="486" t="str">
        <f t="shared" si="34"/>
        <v>CC</v>
      </c>
      <c r="N561" s="486" t="str">
        <f t="shared" si="37"/>
        <v>PAAS</v>
      </c>
    </row>
    <row r="562" spans="1:14">
      <c r="A562" s="1" t="s">
        <v>1593</v>
      </c>
      <c r="B562" s="1" t="s">
        <v>1594</v>
      </c>
      <c r="C562" s="1">
        <v>0</v>
      </c>
      <c r="D562" s="1">
        <v>17750</v>
      </c>
      <c r="E562" s="1" t="s">
        <v>1154</v>
      </c>
      <c r="F562" s="1" t="s">
        <v>2290</v>
      </c>
      <c r="G562" s="1" t="s">
        <v>2160</v>
      </c>
      <c r="H562" s="1" t="s">
        <v>2397</v>
      </c>
      <c r="I562" s="1" t="s">
        <v>2160</v>
      </c>
      <c r="J562" s="1" t="s">
        <v>2159</v>
      </c>
      <c r="K562" s="492" t="str">
        <f t="shared" si="35"/>
        <v>CC</v>
      </c>
      <c r="L562" s="486" t="str">
        <f t="shared" si="36"/>
        <v>EA</v>
      </c>
      <c r="M562" s="486" t="str">
        <f t="shared" si="34"/>
        <v>CC</v>
      </c>
      <c r="N562" s="486" t="str">
        <f t="shared" si="37"/>
        <v>PAAS</v>
      </c>
    </row>
    <row r="563" spans="1:14">
      <c r="A563" s="1" t="s">
        <v>1595</v>
      </c>
      <c r="B563" s="1" t="s">
        <v>1596</v>
      </c>
      <c r="C563" s="1">
        <v>0</v>
      </c>
      <c r="D563" s="1">
        <v>13000</v>
      </c>
      <c r="E563" s="1" t="s">
        <v>1154</v>
      </c>
      <c r="F563" s="1" t="s">
        <v>2290</v>
      </c>
      <c r="G563" s="1" t="s">
        <v>2160</v>
      </c>
      <c r="H563" s="1" t="s">
        <v>2397</v>
      </c>
      <c r="I563" s="1" t="s">
        <v>2160</v>
      </c>
      <c r="J563" s="1" t="s">
        <v>2159</v>
      </c>
      <c r="K563" s="492" t="str">
        <f t="shared" si="35"/>
        <v>CC</v>
      </c>
      <c r="L563" s="486" t="str">
        <f t="shared" si="36"/>
        <v>EA</v>
      </c>
      <c r="M563" s="486" t="str">
        <f t="shared" si="34"/>
        <v>CC</v>
      </c>
      <c r="N563" s="486" t="str">
        <f t="shared" si="37"/>
        <v>PAAS</v>
      </c>
    </row>
    <row r="564" spans="1:14">
      <c r="A564" s="1" t="s">
        <v>1597</v>
      </c>
      <c r="B564" s="1" t="s">
        <v>1598</v>
      </c>
      <c r="C564" s="1">
        <v>0</v>
      </c>
      <c r="D564" s="1">
        <v>6640</v>
      </c>
      <c r="E564" s="1" t="s">
        <v>1154</v>
      </c>
      <c r="F564" s="1" t="s">
        <v>2290</v>
      </c>
      <c r="G564" s="1" t="s">
        <v>2160</v>
      </c>
      <c r="H564" s="1" t="s">
        <v>2397</v>
      </c>
      <c r="I564" s="1" t="s">
        <v>2160</v>
      </c>
      <c r="J564" s="1" t="s">
        <v>2159</v>
      </c>
      <c r="K564" s="492" t="str">
        <f t="shared" si="35"/>
        <v>CC</v>
      </c>
      <c r="L564" s="486" t="str">
        <f t="shared" si="36"/>
        <v>EA</v>
      </c>
      <c r="M564" s="486" t="str">
        <f t="shared" si="34"/>
        <v>CC</v>
      </c>
      <c r="N564" s="486" t="str">
        <f t="shared" si="37"/>
        <v>PAAS</v>
      </c>
    </row>
    <row r="565" spans="1:14">
      <c r="A565" s="1" t="s">
        <v>1599</v>
      </c>
      <c r="B565" s="1" t="s">
        <v>1600</v>
      </c>
      <c r="C565" s="1">
        <v>0</v>
      </c>
      <c r="D565" s="1">
        <v>4920</v>
      </c>
      <c r="E565" s="1" t="s">
        <v>1154</v>
      </c>
      <c r="F565" s="1" t="s">
        <v>2290</v>
      </c>
      <c r="G565" s="1" t="s">
        <v>2160</v>
      </c>
      <c r="H565" s="1" t="s">
        <v>2397</v>
      </c>
      <c r="I565" s="1" t="s">
        <v>2160</v>
      </c>
      <c r="J565" s="1" t="s">
        <v>2159</v>
      </c>
      <c r="K565" s="492" t="str">
        <f t="shared" si="35"/>
        <v>CC</v>
      </c>
      <c r="L565" s="486" t="str">
        <f t="shared" si="36"/>
        <v>EA</v>
      </c>
      <c r="M565" s="486" t="str">
        <f t="shared" si="34"/>
        <v>CC</v>
      </c>
      <c r="N565" s="486" t="str">
        <f t="shared" si="37"/>
        <v>PAAS</v>
      </c>
    </row>
    <row r="566" spans="1:14">
      <c r="A566" s="1" t="s">
        <v>1601</v>
      </c>
      <c r="B566" s="1" t="s">
        <v>1602</v>
      </c>
      <c r="C566" s="1">
        <v>0</v>
      </c>
      <c r="D566" s="1">
        <v>4000</v>
      </c>
      <c r="E566" s="1" t="s">
        <v>2178</v>
      </c>
      <c r="F566" s="1" t="s">
        <v>2290</v>
      </c>
      <c r="G566" s="1" t="s">
        <v>2160</v>
      </c>
      <c r="H566" s="1" t="s">
        <v>2394</v>
      </c>
      <c r="I566" s="1" t="s">
        <v>2160</v>
      </c>
      <c r="J566" s="1" t="s">
        <v>2159</v>
      </c>
      <c r="K566" s="492" t="str">
        <f t="shared" si="35"/>
        <v>CC</v>
      </c>
      <c r="L566" s="486" t="str">
        <f t="shared" si="36"/>
        <v>UNIT</v>
      </c>
      <c r="M566" s="486" t="str">
        <f t="shared" si="34"/>
        <v>CC</v>
      </c>
      <c r="N566" s="486" t="str">
        <f t="shared" si="37"/>
        <v>PAAS</v>
      </c>
    </row>
    <row r="567" spans="1:14">
      <c r="A567" s="1" t="s">
        <v>1603</v>
      </c>
      <c r="B567" s="1" t="s">
        <v>1604</v>
      </c>
      <c r="C567" s="1">
        <v>0</v>
      </c>
      <c r="D567" s="1">
        <v>3000</v>
      </c>
      <c r="E567" s="1" t="s">
        <v>2178</v>
      </c>
      <c r="F567" s="1" t="s">
        <v>2290</v>
      </c>
      <c r="G567" s="1" t="s">
        <v>2160</v>
      </c>
      <c r="H567" s="1" t="s">
        <v>2394</v>
      </c>
      <c r="I567" s="1" t="s">
        <v>2160</v>
      </c>
      <c r="J567" s="1" t="s">
        <v>2159</v>
      </c>
      <c r="K567" s="492" t="str">
        <f t="shared" si="35"/>
        <v>CC</v>
      </c>
      <c r="L567" s="486" t="str">
        <f t="shared" si="36"/>
        <v>UNIT</v>
      </c>
      <c r="M567" s="486" t="str">
        <f t="shared" si="34"/>
        <v>CC</v>
      </c>
      <c r="N567" s="486" t="str">
        <f t="shared" si="37"/>
        <v>PAAS</v>
      </c>
    </row>
    <row r="568" spans="1:14">
      <c r="A568" s="1" t="s">
        <v>1605</v>
      </c>
      <c r="B568" s="1" t="s">
        <v>1606</v>
      </c>
      <c r="C568" s="1">
        <v>0</v>
      </c>
      <c r="D568" s="1">
        <v>17750</v>
      </c>
      <c r="E568" s="1" t="s">
        <v>1154</v>
      </c>
      <c r="F568" s="1" t="s">
        <v>2290</v>
      </c>
      <c r="G568" s="1" t="s">
        <v>2160</v>
      </c>
      <c r="H568" s="1" t="s">
        <v>2397</v>
      </c>
      <c r="I568" s="1" t="s">
        <v>2160</v>
      </c>
      <c r="J568" s="1" t="s">
        <v>2159</v>
      </c>
      <c r="K568" s="492" t="str">
        <f t="shared" si="35"/>
        <v>CC</v>
      </c>
      <c r="L568" s="486" t="str">
        <f t="shared" si="36"/>
        <v>EA</v>
      </c>
      <c r="M568" s="486" t="str">
        <f t="shared" si="34"/>
        <v>CC</v>
      </c>
      <c r="N568" s="486" t="str">
        <f t="shared" si="37"/>
        <v>PAAS</v>
      </c>
    </row>
    <row r="569" spans="1:14">
      <c r="A569" s="1" t="s">
        <v>1607</v>
      </c>
      <c r="B569" s="1" t="s">
        <v>1608</v>
      </c>
      <c r="C569" s="1">
        <v>0</v>
      </c>
      <c r="D569" s="1">
        <v>13000</v>
      </c>
      <c r="E569" s="1" t="s">
        <v>1154</v>
      </c>
      <c r="F569" s="1" t="s">
        <v>2290</v>
      </c>
      <c r="G569" s="1" t="s">
        <v>2160</v>
      </c>
      <c r="H569" s="1" t="s">
        <v>2397</v>
      </c>
      <c r="I569" s="1" t="s">
        <v>2160</v>
      </c>
      <c r="J569" s="1" t="s">
        <v>2159</v>
      </c>
      <c r="K569" s="492" t="str">
        <f t="shared" si="35"/>
        <v>CC</v>
      </c>
      <c r="L569" s="486" t="str">
        <f t="shared" si="36"/>
        <v>EA</v>
      </c>
      <c r="M569" s="486" t="str">
        <f t="shared" si="34"/>
        <v>CC</v>
      </c>
      <c r="N569" s="486" t="str">
        <f t="shared" si="37"/>
        <v>PAAS</v>
      </c>
    </row>
    <row r="570" spans="1:14">
      <c r="A570" s="1" t="s">
        <v>1609</v>
      </c>
      <c r="B570" s="1" t="s">
        <v>1610</v>
      </c>
      <c r="C570" s="1">
        <v>0</v>
      </c>
      <c r="D570" s="1">
        <v>6640</v>
      </c>
      <c r="E570" s="1" t="s">
        <v>1154</v>
      </c>
      <c r="F570" s="1" t="s">
        <v>2290</v>
      </c>
      <c r="G570" s="1" t="s">
        <v>2160</v>
      </c>
      <c r="H570" s="1" t="s">
        <v>2397</v>
      </c>
      <c r="I570" s="1" t="s">
        <v>2160</v>
      </c>
      <c r="J570" s="1" t="s">
        <v>2159</v>
      </c>
      <c r="K570" s="492" t="str">
        <f t="shared" si="35"/>
        <v>CC</v>
      </c>
      <c r="L570" s="486" t="str">
        <f t="shared" si="36"/>
        <v>EA</v>
      </c>
      <c r="M570" s="486" t="str">
        <f t="shared" si="34"/>
        <v>CC</v>
      </c>
      <c r="N570" s="486" t="str">
        <f t="shared" si="37"/>
        <v>PAAS</v>
      </c>
    </row>
    <row r="571" spans="1:14">
      <c r="A571" s="1" t="s">
        <v>1611</v>
      </c>
      <c r="B571" s="1" t="s">
        <v>1612</v>
      </c>
      <c r="C571" s="1">
        <v>0</v>
      </c>
      <c r="D571" s="1">
        <v>4920</v>
      </c>
      <c r="E571" s="1" t="s">
        <v>1154</v>
      </c>
      <c r="F571" s="1" t="s">
        <v>2290</v>
      </c>
      <c r="G571" s="1" t="s">
        <v>2160</v>
      </c>
      <c r="H571" s="1" t="s">
        <v>2397</v>
      </c>
      <c r="I571" s="1" t="s">
        <v>2160</v>
      </c>
      <c r="J571" s="1" t="s">
        <v>2159</v>
      </c>
      <c r="K571" s="492" t="str">
        <f t="shared" si="35"/>
        <v>CC</v>
      </c>
      <c r="L571" s="486" t="str">
        <f t="shared" si="36"/>
        <v>EA</v>
      </c>
      <c r="M571" s="486" t="str">
        <f t="shared" si="34"/>
        <v>CC</v>
      </c>
      <c r="N571" s="486" t="str">
        <f t="shared" si="37"/>
        <v>PAAS</v>
      </c>
    </row>
    <row r="572" spans="1:14">
      <c r="A572" s="1" t="s">
        <v>1330</v>
      </c>
      <c r="B572" s="1" t="s">
        <v>2343</v>
      </c>
      <c r="C572" s="1">
        <v>2.5000000000000001E-3</v>
      </c>
      <c r="D572" s="1">
        <v>2.5000000000000001E-3</v>
      </c>
      <c r="E572" s="1" t="s">
        <v>2344</v>
      </c>
      <c r="F572" s="1" t="s">
        <v>2290</v>
      </c>
      <c r="G572" s="1" t="s">
        <v>2399</v>
      </c>
      <c r="H572" s="1" t="s">
        <v>2394</v>
      </c>
      <c r="I572" s="1" t="s">
        <v>1636</v>
      </c>
      <c r="J572" s="1" t="s">
        <v>2158</v>
      </c>
      <c r="K572" s="492" t="str">
        <f t="shared" si="35"/>
        <v>Service</v>
      </c>
      <c r="L572" s="486" t="str">
        <f t="shared" si="36"/>
        <v>UNIT</v>
      </c>
      <c r="M572" s="486" t="str">
        <f t="shared" si="34"/>
        <v>UC</v>
      </c>
      <c r="N572" s="486" t="str">
        <f t="shared" si="37"/>
        <v>IAAS</v>
      </c>
    </row>
    <row r="573" spans="1:14">
      <c r="A573" s="1" t="s">
        <v>1331</v>
      </c>
      <c r="B573" s="1" t="s">
        <v>2345</v>
      </c>
      <c r="C573" s="1">
        <v>1.5E-3</v>
      </c>
      <c r="D573" s="1">
        <v>1.5E-3</v>
      </c>
      <c r="E573" s="1" t="s">
        <v>2344</v>
      </c>
      <c r="F573" s="1" t="s">
        <v>2290</v>
      </c>
      <c r="G573" s="1" t="s">
        <v>2399</v>
      </c>
      <c r="H573" s="1" t="s">
        <v>2394</v>
      </c>
      <c r="I573" s="1" t="s">
        <v>1636</v>
      </c>
      <c r="J573" s="1" t="s">
        <v>2158</v>
      </c>
      <c r="K573" s="492" t="str">
        <f t="shared" si="35"/>
        <v>Service</v>
      </c>
      <c r="L573" s="486" t="str">
        <f t="shared" si="36"/>
        <v>UNIT</v>
      </c>
      <c r="M573" s="486" t="str">
        <f t="shared" si="34"/>
        <v>UC</v>
      </c>
      <c r="N573" s="486" t="str">
        <f t="shared" si="37"/>
        <v>IAAS</v>
      </c>
    </row>
    <row r="574" spans="1:14">
      <c r="A574" s="1" t="s">
        <v>1282</v>
      </c>
      <c r="B574" s="1" t="s">
        <v>1945</v>
      </c>
      <c r="C574" s="1">
        <v>0</v>
      </c>
      <c r="D574" s="1">
        <v>0</v>
      </c>
      <c r="E574" s="1" t="s">
        <v>1154</v>
      </c>
      <c r="F574" s="1" t="s">
        <v>2290</v>
      </c>
      <c r="G574" s="1" t="s">
        <v>2392</v>
      </c>
      <c r="H574" s="1" t="s">
        <v>2397</v>
      </c>
      <c r="I574" s="1" t="s">
        <v>1636</v>
      </c>
      <c r="J574" s="1" t="s">
        <v>2159</v>
      </c>
      <c r="K574" s="492" t="str">
        <f t="shared" si="35"/>
        <v>Platform</v>
      </c>
      <c r="L574" s="486" t="str">
        <f t="shared" si="36"/>
        <v>EA</v>
      </c>
      <c r="M574" s="486" t="str">
        <f t="shared" si="34"/>
        <v>UC</v>
      </c>
      <c r="N574" s="486" t="str">
        <f t="shared" si="37"/>
        <v>PAAS</v>
      </c>
    </row>
    <row r="575" spans="1:14">
      <c r="A575" s="1" t="s">
        <v>1283</v>
      </c>
      <c r="B575" s="1" t="s">
        <v>1946</v>
      </c>
      <c r="C575" s="1">
        <v>0</v>
      </c>
      <c r="D575" s="1">
        <v>0</v>
      </c>
      <c r="E575" s="1" t="s">
        <v>1154</v>
      </c>
      <c r="F575" s="1" t="s">
        <v>2290</v>
      </c>
      <c r="G575" s="1" t="s">
        <v>2392</v>
      </c>
      <c r="H575" s="1" t="s">
        <v>2397</v>
      </c>
      <c r="I575" s="1" t="s">
        <v>1636</v>
      </c>
      <c r="J575" s="1" t="s">
        <v>2159</v>
      </c>
      <c r="K575" s="492" t="str">
        <f t="shared" si="35"/>
        <v>Platform</v>
      </c>
      <c r="L575" s="486" t="str">
        <f t="shared" si="36"/>
        <v>EA</v>
      </c>
      <c r="M575" s="486" t="str">
        <f t="shared" si="34"/>
        <v>UC</v>
      </c>
      <c r="N575" s="486" t="str">
        <f t="shared" si="37"/>
        <v>PAAS</v>
      </c>
    </row>
    <row r="576" spans="1:14">
      <c r="A576" s="1" t="s">
        <v>1332</v>
      </c>
      <c r="B576" s="1" t="s">
        <v>1333</v>
      </c>
      <c r="C576" s="1">
        <v>2.5000000000000001E-2</v>
      </c>
      <c r="D576" s="1">
        <v>2.5000000000000001E-2</v>
      </c>
      <c r="E576" s="1" t="s">
        <v>2225</v>
      </c>
      <c r="F576" s="1" t="s">
        <v>2290</v>
      </c>
      <c r="G576" s="1" t="s">
        <v>2399</v>
      </c>
      <c r="H576" s="1" t="s">
        <v>2162</v>
      </c>
      <c r="I576" s="1" t="s">
        <v>1636</v>
      </c>
      <c r="J576" s="1" t="s">
        <v>2158</v>
      </c>
      <c r="K576" s="492" t="str">
        <f t="shared" si="35"/>
        <v>Service</v>
      </c>
      <c r="L576" s="486" t="str">
        <f t="shared" si="36"/>
        <v>GB</v>
      </c>
      <c r="M576" s="486" t="str">
        <f t="shared" si="34"/>
        <v>UC</v>
      </c>
      <c r="N576" s="486" t="str">
        <f t="shared" si="37"/>
        <v>IAAS</v>
      </c>
    </row>
    <row r="577" spans="1:14">
      <c r="A577" s="1" t="s">
        <v>1334</v>
      </c>
      <c r="B577" s="1" t="s">
        <v>1335</v>
      </c>
      <c r="C577" s="1">
        <v>2.0000000000000001E-4</v>
      </c>
      <c r="D577" s="1">
        <v>2.0000000000000001E-4</v>
      </c>
      <c r="E577" s="1" t="s">
        <v>2226</v>
      </c>
      <c r="F577" s="1" t="s">
        <v>2290</v>
      </c>
      <c r="G577" s="1" t="s">
        <v>1840</v>
      </c>
      <c r="H577" s="1" t="s">
        <v>2161</v>
      </c>
      <c r="I577" s="1" t="s">
        <v>1636</v>
      </c>
      <c r="J577" s="1" t="s">
        <v>2158</v>
      </c>
      <c r="K577" s="492" t="str">
        <f t="shared" si="35"/>
        <v>Storage</v>
      </c>
      <c r="L577" s="486" t="str">
        <f t="shared" si="36"/>
        <v>HR</v>
      </c>
      <c r="M577" s="486" t="str">
        <f t="shared" si="34"/>
        <v>UC</v>
      </c>
      <c r="N577" s="486" t="str">
        <f t="shared" si="37"/>
        <v>IAAS</v>
      </c>
    </row>
    <row r="578" spans="1:14">
      <c r="A578" s="1" t="s">
        <v>1336</v>
      </c>
      <c r="B578" s="1" t="s">
        <v>2346</v>
      </c>
      <c r="C578" s="1">
        <v>0.6</v>
      </c>
      <c r="D578" s="1">
        <v>0.6</v>
      </c>
      <c r="E578" s="1" t="s">
        <v>2347</v>
      </c>
      <c r="F578" s="1" t="s">
        <v>2290</v>
      </c>
      <c r="G578" s="1" t="s">
        <v>2399</v>
      </c>
      <c r="H578" s="1" t="s">
        <v>2394</v>
      </c>
      <c r="I578" s="1" t="s">
        <v>1636</v>
      </c>
      <c r="J578" s="1" t="s">
        <v>2158</v>
      </c>
      <c r="K578" s="492" t="str">
        <f t="shared" si="35"/>
        <v>Service</v>
      </c>
      <c r="L578" s="486" t="str">
        <f t="shared" si="36"/>
        <v>UNIT</v>
      </c>
      <c r="M578" s="486" t="str">
        <f t="shared" si="34"/>
        <v>UC</v>
      </c>
      <c r="N578" s="486" t="str">
        <f t="shared" si="37"/>
        <v>IAAS</v>
      </c>
    </row>
    <row r="579" spans="1:14">
      <c r="A579" s="1" t="s">
        <v>1337</v>
      </c>
      <c r="B579" s="1" t="s">
        <v>2348</v>
      </c>
      <c r="C579" s="1">
        <v>0.02</v>
      </c>
      <c r="D579" s="1">
        <v>0.02</v>
      </c>
      <c r="E579" s="1" t="s">
        <v>2200</v>
      </c>
      <c r="F579" s="1" t="s">
        <v>2290</v>
      </c>
      <c r="G579" s="1" t="s">
        <v>2399</v>
      </c>
      <c r="H579" s="1" t="s">
        <v>2394</v>
      </c>
      <c r="I579" s="1" t="s">
        <v>1636</v>
      </c>
      <c r="J579" s="1" t="s">
        <v>2158</v>
      </c>
      <c r="K579" s="492" t="str">
        <f t="shared" si="35"/>
        <v>Service</v>
      </c>
      <c r="L579" s="486" t="str">
        <f t="shared" si="36"/>
        <v>UNIT</v>
      </c>
      <c r="M579" s="486" t="str">
        <f t="shared" si="34"/>
        <v>UC</v>
      </c>
      <c r="N579" s="486" t="str">
        <f t="shared" si="37"/>
        <v>IAAS</v>
      </c>
    </row>
    <row r="580" spans="1:14">
      <c r="A580" s="1" t="s">
        <v>2466</v>
      </c>
      <c r="B580" s="1" t="s">
        <v>2467</v>
      </c>
      <c r="C580" s="1">
        <v>0</v>
      </c>
      <c r="D580" s="1">
        <v>10000</v>
      </c>
      <c r="E580" s="1" t="s">
        <v>2178</v>
      </c>
      <c r="F580" s="1" t="s">
        <v>2290</v>
      </c>
      <c r="G580" s="1" t="s">
        <v>2160</v>
      </c>
      <c r="H580" s="1" t="s">
        <v>2394</v>
      </c>
      <c r="I580" s="1" t="s">
        <v>2160</v>
      </c>
      <c r="J580" s="1" t="s">
        <v>2159</v>
      </c>
      <c r="K580" s="492" t="str">
        <f t="shared" si="35"/>
        <v>CC</v>
      </c>
      <c r="L580" s="486" t="str">
        <f t="shared" si="36"/>
        <v>UNIT</v>
      </c>
      <c r="M580" s="486" t="str">
        <f t="shared" ref="M580:M643" si="38">_xlfn.IFS(K580="CC","CC",K580="Rapid Start","SRV",F580="Y","UC0",TRUE,"UC")</f>
        <v>CC</v>
      </c>
      <c r="N580" s="486" t="str">
        <f t="shared" si="37"/>
        <v>PAAS</v>
      </c>
    </row>
    <row r="581" spans="1:14">
      <c r="A581" s="1" t="s">
        <v>2468</v>
      </c>
      <c r="B581" s="1" t="s">
        <v>2469</v>
      </c>
      <c r="C581" s="1">
        <v>0</v>
      </c>
      <c r="D581" s="1">
        <v>13500</v>
      </c>
      <c r="E581" s="1" t="s">
        <v>2178</v>
      </c>
      <c r="F581" s="1" t="s">
        <v>2290</v>
      </c>
      <c r="G581" s="1" t="s">
        <v>2160</v>
      </c>
      <c r="H581" s="1" t="s">
        <v>2394</v>
      </c>
      <c r="I581" s="1" t="s">
        <v>2160</v>
      </c>
      <c r="J581" s="1" t="s">
        <v>2159</v>
      </c>
      <c r="K581" s="492" t="str">
        <f t="shared" si="35"/>
        <v>CC</v>
      </c>
      <c r="L581" s="486" t="str">
        <f t="shared" si="36"/>
        <v>UNIT</v>
      </c>
      <c r="M581" s="486" t="str">
        <f t="shared" si="38"/>
        <v>CC</v>
      </c>
      <c r="N581" s="486" t="str">
        <f t="shared" si="37"/>
        <v>PAAS</v>
      </c>
    </row>
    <row r="582" spans="1:14">
      <c r="A582" s="1" t="s">
        <v>2470</v>
      </c>
      <c r="B582" s="1" t="s">
        <v>2471</v>
      </c>
      <c r="C582" s="1">
        <v>0</v>
      </c>
      <c r="D582" s="1">
        <v>27000</v>
      </c>
      <c r="E582" s="1" t="s">
        <v>2178</v>
      </c>
      <c r="F582" s="1" t="s">
        <v>2290</v>
      </c>
      <c r="G582" s="1" t="s">
        <v>2160</v>
      </c>
      <c r="H582" s="1" t="s">
        <v>2394</v>
      </c>
      <c r="I582" s="1" t="s">
        <v>2160</v>
      </c>
      <c r="J582" s="1" t="s">
        <v>2159</v>
      </c>
      <c r="K582" s="492" t="str">
        <f t="shared" si="35"/>
        <v>CC</v>
      </c>
      <c r="L582" s="486" t="str">
        <f t="shared" si="36"/>
        <v>UNIT</v>
      </c>
      <c r="M582" s="486" t="str">
        <f t="shared" si="38"/>
        <v>CC</v>
      </c>
      <c r="N582" s="486" t="str">
        <f t="shared" si="37"/>
        <v>PAAS</v>
      </c>
    </row>
    <row r="583" spans="1:14">
      <c r="A583" s="1" t="s">
        <v>2472</v>
      </c>
      <c r="B583" s="1" t="s">
        <v>2473</v>
      </c>
      <c r="C583" s="1">
        <v>0</v>
      </c>
      <c r="D583" s="1">
        <v>54000</v>
      </c>
      <c r="E583" s="1" t="s">
        <v>2178</v>
      </c>
      <c r="F583" s="1" t="s">
        <v>2290</v>
      </c>
      <c r="G583" s="1" t="s">
        <v>2160</v>
      </c>
      <c r="H583" s="1" t="s">
        <v>2394</v>
      </c>
      <c r="I583" s="1" t="s">
        <v>2160</v>
      </c>
      <c r="J583" s="1" t="s">
        <v>2159</v>
      </c>
      <c r="K583" s="492" t="str">
        <f t="shared" si="35"/>
        <v>CC</v>
      </c>
      <c r="L583" s="486" t="str">
        <f t="shared" si="36"/>
        <v>UNIT</v>
      </c>
      <c r="M583" s="486" t="str">
        <f t="shared" si="38"/>
        <v>CC</v>
      </c>
      <c r="N583" s="486" t="str">
        <f t="shared" si="37"/>
        <v>PAAS</v>
      </c>
    </row>
    <row r="584" spans="1:14">
      <c r="A584" s="1" t="s">
        <v>2135</v>
      </c>
      <c r="B584" s="1" t="s">
        <v>2136</v>
      </c>
      <c r="C584" s="1">
        <v>0</v>
      </c>
      <c r="D584" s="1">
        <v>2700</v>
      </c>
      <c r="E584" s="1" t="s">
        <v>2178</v>
      </c>
      <c r="F584" s="1" t="s">
        <v>2290</v>
      </c>
      <c r="G584" s="1" t="s">
        <v>2160</v>
      </c>
      <c r="H584" s="1" t="s">
        <v>2394</v>
      </c>
      <c r="I584" s="1" t="s">
        <v>2160</v>
      </c>
      <c r="J584" s="1" t="s">
        <v>2159</v>
      </c>
      <c r="K584" s="492" t="str">
        <f t="shared" si="35"/>
        <v>CC</v>
      </c>
      <c r="L584" s="486" t="str">
        <f t="shared" si="36"/>
        <v>UNIT</v>
      </c>
      <c r="M584" s="486" t="str">
        <f t="shared" si="38"/>
        <v>CC</v>
      </c>
      <c r="N584" s="486" t="str">
        <f t="shared" si="37"/>
        <v>PAAS</v>
      </c>
    </row>
    <row r="585" spans="1:14">
      <c r="A585" s="1" t="s">
        <v>2137</v>
      </c>
      <c r="B585" s="1" t="s">
        <v>2138</v>
      </c>
      <c r="C585" s="1">
        <v>0</v>
      </c>
      <c r="D585" s="1">
        <v>2000</v>
      </c>
      <c r="E585" s="1" t="s">
        <v>2178</v>
      </c>
      <c r="F585" s="1" t="s">
        <v>2290</v>
      </c>
      <c r="G585" s="1" t="s">
        <v>2160</v>
      </c>
      <c r="H585" s="1" t="s">
        <v>2394</v>
      </c>
      <c r="I585" s="1" t="s">
        <v>2160</v>
      </c>
      <c r="J585" s="1" t="s">
        <v>2159</v>
      </c>
      <c r="K585" s="492" t="str">
        <f t="shared" si="35"/>
        <v>CC</v>
      </c>
      <c r="L585" s="486" t="str">
        <f t="shared" si="36"/>
        <v>UNIT</v>
      </c>
      <c r="M585" s="486" t="str">
        <f t="shared" si="38"/>
        <v>CC</v>
      </c>
      <c r="N585" s="486" t="str">
        <f t="shared" si="37"/>
        <v>PAAS</v>
      </c>
    </row>
    <row r="586" spans="1:14">
      <c r="A586" s="1" t="s">
        <v>2474</v>
      </c>
      <c r="B586" s="1" t="s">
        <v>2475</v>
      </c>
      <c r="C586" s="1">
        <v>0</v>
      </c>
      <c r="D586" s="1">
        <v>10000</v>
      </c>
      <c r="E586" s="1" t="s">
        <v>2178</v>
      </c>
      <c r="F586" s="1" t="s">
        <v>2290</v>
      </c>
      <c r="G586" s="1" t="s">
        <v>2160</v>
      </c>
      <c r="H586" s="1" t="s">
        <v>2394</v>
      </c>
      <c r="I586" s="1" t="s">
        <v>2160</v>
      </c>
      <c r="J586" s="1" t="s">
        <v>2159</v>
      </c>
      <c r="K586" s="492" t="str">
        <f t="shared" si="35"/>
        <v>CC</v>
      </c>
      <c r="L586" s="486" t="str">
        <f t="shared" si="36"/>
        <v>UNIT</v>
      </c>
      <c r="M586" s="486" t="str">
        <f t="shared" si="38"/>
        <v>CC</v>
      </c>
      <c r="N586" s="486" t="str">
        <f t="shared" si="37"/>
        <v>PAAS</v>
      </c>
    </row>
    <row r="587" spans="1:14">
      <c r="A587" s="1" t="s">
        <v>2476</v>
      </c>
      <c r="B587" s="1" t="s">
        <v>2477</v>
      </c>
      <c r="C587" s="1">
        <v>0</v>
      </c>
      <c r="D587" s="1">
        <v>13500</v>
      </c>
      <c r="E587" s="1" t="s">
        <v>2178</v>
      </c>
      <c r="F587" s="1" t="s">
        <v>2290</v>
      </c>
      <c r="G587" s="1" t="s">
        <v>2160</v>
      </c>
      <c r="H587" s="1" t="s">
        <v>2394</v>
      </c>
      <c r="I587" s="1" t="s">
        <v>2160</v>
      </c>
      <c r="J587" s="1" t="s">
        <v>2159</v>
      </c>
      <c r="K587" s="492" t="str">
        <f t="shared" si="35"/>
        <v>CC</v>
      </c>
      <c r="L587" s="486" t="str">
        <f t="shared" si="36"/>
        <v>UNIT</v>
      </c>
      <c r="M587" s="486" t="str">
        <f t="shared" si="38"/>
        <v>CC</v>
      </c>
      <c r="N587" s="486" t="str">
        <f t="shared" si="37"/>
        <v>PAAS</v>
      </c>
    </row>
    <row r="588" spans="1:14">
      <c r="A588" s="1" t="s">
        <v>2478</v>
      </c>
      <c r="B588" s="1" t="s">
        <v>2479</v>
      </c>
      <c r="C588" s="1">
        <v>0</v>
      </c>
      <c r="D588" s="1">
        <v>27000</v>
      </c>
      <c r="E588" s="1" t="s">
        <v>2178</v>
      </c>
      <c r="F588" s="1" t="s">
        <v>2290</v>
      </c>
      <c r="G588" s="1" t="s">
        <v>2160</v>
      </c>
      <c r="H588" s="1" t="s">
        <v>2394</v>
      </c>
      <c r="I588" s="1" t="s">
        <v>2160</v>
      </c>
      <c r="J588" s="1" t="s">
        <v>2159</v>
      </c>
      <c r="K588" s="492" t="str">
        <f t="shared" si="35"/>
        <v>CC</v>
      </c>
      <c r="L588" s="486" t="str">
        <f t="shared" si="36"/>
        <v>UNIT</v>
      </c>
      <c r="M588" s="486" t="str">
        <f t="shared" si="38"/>
        <v>CC</v>
      </c>
      <c r="N588" s="486" t="str">
        <f t="shared" si="37"/>
        <v>PAAS</v>
      </c>
    </row>
    <row r="589" spans="1:14">
      <c r="A589" s="1" t="s">
        <v>2480</v>
      </c>
      <c r="B589" s="1" t="s">
        <v>2481</v>
      </c>
      <c r="C589" s="1">
        <v>0</v>
      </c>
      <c r="D589" s="1">
        <v>54000</v>
      </c>
      <c r="E589" s="1" t="s">
        <v>2178</v>
      </c>
      <c r="F589" s="1" t="s">
        <v>2290</v>
      </c>
      <c r="G589" s="1" t="s">
        <v>2160</v>
      </c>
      <c r="H589" s="1" t="s">
        <v>2394</v>
      </c>
      <c r="I589" s="1" t="s">
        <v>2160</v>
      </c>
      <c r="J589" s="1" t="s">
        <v>2159</v>
      </c>
      <c r="K589" s="492" t="str">
        <f t="shared" si="35"/>
        <v>CC</v>
      </c>
      <c r="L589" s="486" t="str">
        <f t="shared" si="36"/>
        <v>UNIT</v>
      </c>
      <c r="M589" s="486" t="str">
        <f t="shared" si="38"/>
        <v>CC</v>
      </c>
      <c r="N589" s="486" t="str">
        <f t="shared" si="37"/>
        <v>PAAS</v>
      </c>
    </row>
    <row r="590" spans="1:14">
      <c r="A590" s="1" t="s">
        <v>2139</v>
      </c>
      <c r="B590" s="1" t="s">
        <v>2140</v>
      </c>
      <c r="C590" s="1">
        <v>0</v>
      </c>
      <c r="D590" s="1">
        <v>2700</v>
      </c>
      <c r="E590" s="1" t="s">
        <v>2178</v>
      </c>
      <c r="F590" s="1" t="s">
        <v>2290</v>
      </c>
      <c r="G590" s="1" t="s">
        <v>2160</v>
      </c>
      <c r="H590" s="1" t="s">
        <v>2394</v>
      </c>
      <c r="I590" s="1" t="s">
        <v>2160</v>
      </c>
      <c r="J590" s="1" t="s">
        <v>2159</v>
      </c>
      <c r="K590" s="492" t="str">
        <f t="shared" ref="K590:K653" si="39" xml:space="preserve"> _xlfn.IFS(ISNUMBER(SEARCH("Universal Credits",B590)),"UC",
ISNUMBER(SEARCH("Ravello",B590)),"Deprecated",
ISNUMBER(SEARCH("Cloud Machine",B590)),"Deprecated",
ISNUMBER(SEARCH("Compute",B590)),"Compute",
ISNUMBER(SEARCH("Load Balancer",B590)),"Network",
ISNUMBER(SEARCH("FastConnect",B590)),"Network",
ISNUMBER(SEARCH("Database OCPU",B590)),"CC OCPU",
ISNUMBER(SEARCH("at Customer",B590)),"CC",
ISNUMBER(SEARCH("Exadata Storage",B590)),"Exa Storage",
ISNUMBER(SEARCH("Storage",B590)),"Storage",
ISNUMBER(SEARCH("Block ",B590)),"Storage",
ISNUMBER(SEARCH("Autonomous Data Warehouse",B590)),"ADW",
ISNUMBER(SEARCH("Autonomous Transaction Processing",B590)),"ATP",
ISNUMBER(SEARCH("Database Exadata",B590)),"ExaCS",
ISNUMBER(SEARCH("Database",B590)),"DBaaS",
ISNUMBER(SEARCH("Essbase",B590)),"DBaaS",
ISNUMBER(SEARCH("integration",B590)),"Integration",
ISNUMBER(SEARCH("SOA",B590)),"Integration",
ISNUMBER(SEARCH("Management Cloud",B590)),"Service",
ISNUMBER(SEARCH("Analytics",B590)),"Analytics",
ISNUMBER(SEARCH("Storage",B590)),"Storage",
ISNUMBER(SEARCH("Block ",B590)),"Storage",
ISNUMBER(SEARCH("Identity",B590)),"Platform",
ISNUMBER(SEARCH("Content",B590)),"Platform",
ISNUMBER(SEARCH("Weblogic",B590)),"Platform",
ISNUMBER(SEARCH("Digital Assistant",B590)),"Platform",
ISNUMBER(SEARCH("Advance",B590)),"New",
ISNUMBER(SEARCH("Limited",B590)),"Classic",
ISNUMBER(SEARCH("Classic",B590)),"Classic",
ISNUMBER(SEARCH("Government",B590)),"Government",
ISNUMBER(SEARCH("Metered",B590)),"Deprecated",
VALUE(RIGHT(A590,5))&lt;88206,"Deprecated",
TRUE,"Service")</f>
        <v>CC</v>
      </c>
      <c r="L590" s="486" t="str">
        <f t="shared" ref="L590:L653" si="40">_xlfn.IFS(ISNUMBER(SEARCH("Hour",E590)),"HR",ISNUMBER(SEARCH("Gigabyte",E590)),"GB",ISNUMBER(SEARCH("Terabyte",E590)),"TB",ISNUMBER(SEARCH("Requests",E590)),"REQ",ISNUMBER(SEARCH("Each",E590)),"EA","TRUE","UNIT")</f>
        <v>UNIT</v>
      </c>
      <c r="M590" s="486" t="str">
        <f t="shared" si="38"/>
        <v>CC</v>
      </c>
      <c r="N590" s="486" t="str">
        <f t="shared" ref="N590:N653" si="41">_xlfn.IFS(K590="Storage","IAAS",K590="Compute","IAAS",K590="Network","IAAS",K590="Service","IAAS",L590="REQ","IAAS",TRUE,"PAAS")</f>
        <v>PAAS</v>
      </c>
    </row>
    <row r="591" spans="1:14">
      <c r="A591" s="1" t="s">
        <v>2141</v>
      </c>
      <c r="B591" s="1" t="s">
        <v>2142</v>
      </c>
      <c r="C591" s="1">
        <v>0</v>
      </c>
      <c r="D591" s="1">
        <v>2000</v>
      </c>
      <c r="E591" s="1" t="s">
        <v>2178</v>
      </c>
      <c r="F591" s="1" t="s">
        <v>2290</v>
      </c>
      <c r="G591" s="1" t="s">
        <v>2160</v>
      </c>
      <c r="H591" s="1" t="s">
        <v>2394</v>
      </c>
      <c r="I591" s="1" t="s">
        <v>2160</v>
      </c>
      <c r="J591" s="1" t="s">
        <v>2159</v>
      </c>
      <c r="K591" s="492" t="str">
        <f t="shared" si="39"/>
        <v>CC</v>
      </c>
      <c r="L591" s="486" t="str">
        <f t="shared" si="40"/>
        <v>UNIT</v>
      </c>
      <c r="M591" s="486" t="str">
        <f t="shared" si="38"/>
        <v>CC</v>
      </c>
      <c r="N591" s="486" t="str">
        <f t="shared" si="41"/>
        <v>PAAS</v>
      </c>
    </row>
    <row r="592" spans="1:14">
      <c r="A592" s="1" t="s">
        <v>1734</v>
      </c>
      <c r="B592" s="1" t="s">
        <v>1947</v>
      </c>
      <c r="C592" s="1">
        <v>0</v>
      </c>
      <c r="D592" s="1">
        <v>1.6800999999999999</v>
      </c>
      <c r="E592" s="1" t="s">
        <v>49</v>
      </c>
      <c r="F592" s="1" t="s">
        <v>2290</v>
      </c>
      <c r="G592" s="1" t="s">
        <v>2238</v>
      </c>
      <c r="H592" s="1" t="s">
        <v>2161</v>
      </c>
      <c r="I592" s="1" t="s">
        <v>1636</v>
      </c>
      <c r="J592" s="1" t="s">
        <v>2159</v>
      </c>
      <c r="K592" s="492" t="str">
        <f t="shared" si="39"/>
        <v>CC OCPU</v>
      </c>
      <c r="L592" s="486" t="str">
        <f t="shared" si="40"/>
        <v>HR</v>
      </c>
      <c r="M592" s="486" t="str">
        <f t="shared" si="38"/>
        <v>UC</v>
      </c>
      <c r="N592" s="486" t="str">
        <f t="shared" si="41"/>
        <v>PAAS</v>
      </c>
    </row>
    <row r="593" spans="1:14">
      <c r="A593" s="1" t="s">
        <v>1735</v>
      </c>
      <c r="B593" s="1" t="s">
        <v>1948</v>
      </c>
      <c r="C593" s="1">
        <v>0</v>
      </c>
      <c r="D593" s="1">
        <v>0.3226</v>
      </c>
      <c r="E593" s="1" t="s">
        <v>49</v>
      </c>
      <c r="F593" s="1" t="s">
        <v>2290</v>
      </c>
      <c r="G593" s="1" t="s">
        <v>2238</v>
      </c>
      <c r="H593" s="1" t="s">
        <v>2161</v>
      </c>
      <c r="I593" s="1" t="s">
        <v>1636</v>
      </c>
      <c r="J593" s="1" t="s">
        <v>2159</v>
      </c>
      <c r="K593" s="492" t="str">
        <f t="shared" si="39"/>
        <v>CC OCPU</v>
      </c>
      <c r="L593" s="486" t="str">
        <f t="shared" si="40"/>
        <v>HR</v>
      </c>
      <c r="M593" s="486" t="str">
        <f t="shared" si="38"/>
        <v>UC</v>
      </c>
      <c r="N593" s="486" t="str">
        <f t="shared" si="41"/>
        <v>PAAS</v>
      </c>
    </row>
    <row r="594" spans="1:14">
      <c r="A594" s="1" t="s">
        <v>1375</v>
      </c>
      <c r="B594" s="1" t="s">
        <v>1376</v>
      </c>
      <c r="C594" s="1">
        <v>0</v>
      </c>
      <c r="D594" s="1">
        <v>0</v>
      </c>
      <c r="E594" s="1">
        <v>0</v>
      </c>
      <c r="F594" s="1" t="s">
        <v>2290</v>
      </c>
      <c r="G594" s="1" t="s">
        <v>2400</v>
      </c>
      <c r="H594" s="1" t="s">
        <v>2394</v>
      </c>
      <c r="I594" s="1" t="s">
        <v>1636</v>
      </c>
      <c r="J594" s="1" t="s">
        <v>2159</v>
      </c>
      <c r="K594" s="492" t="str">
        <f t="shared" si="39"/>
        <v>Government</v>
      </c>
      <c r="L594" s="486" t="str">
        <f t="shared" si="40"/>
        <v>UNIT</v>
      </c>
      <c r="M594" s="486" t="str">
        <f t="shared" si="38"/>
        <v>UC</v>
      </c>
      <c r="N594" s="486" t="str">
        <f t="shared" si="41"/>
        <v>PAAS</v>
      </c>
    </row>
    <row r="595" spans="1:14">
      <c r="A595" s="1" t="s">
        <v>1377</v>
      </c>
      <c r="B595" s="1" t="s">
        <v>1378</v>
      </c>
      <c r="C595" s="1">
        <v>0</v>
      </c>
      <c r="D595" s="1">
        <v>0</v>
      </c>
      <c r="E595" s="1">
        <v>0</v>
      </c>
      <c r="F595" s="1" t="s">
        <v>2290</v>
      </c>
      <c r="G595" s="1" t="s">
        <v>2400</v>
      </c>
      <c r="H595" s="1" t="s">
        <v>2394</v>
      </c>
      <c r="I595" s="1" t="s">
        <v>1636</v>
      </c>
      <c r="J595" s="1" t="s">
        <v>2159</v>
      </c>
      <c r="K595" s="492" t="str">
        <f t="shared" si="39"/>
        <v>Government</v>
      </c>
      <c r="L595" s="486" t="str">
        <f t="shared" si="40"/>
        <v>UNIT</v>
      </c>
      <c r="M595" s="486" t="str">
        <f t="shared" si="38"/>
        <v>UC</v>
      </c>
      <c r="N595" s="486" t="str">
        <f t="shared" si="41"/>
        <v>PAAS</v>
      </c>
    </row>
    <row r="596" spans="1:14">
      <c r="A596" s="1" t="s">
        <v>1379</v>
      </c>
      <c r="B596" s="1" t="s">
        <v>1380</v>
      </c>
      <c r="C596" s="1">
        <v>0</v>
      </c>
      <c r="D596" s="1">
        <v>2.5000000000000001E-2</v>
      </c>
      <c r="E596" s="1" t="s">
        <v>2225</v>
      </c>
      <c r="F596" s="1" t="s">
        <v>2290</v>
      </c>
      <c r="G596" s="1" t="s">
        <v>2400</v>
      </c>
      <c r="H596" s="1" t="s">
        <v>2162</v>
      </c>
      <c r="I596" s="1" t="s">
        <v>1636</v>
      </c>
      <c r="J596" s="1" t="s">
        <v>2159</v>
      </c>
      <c r="K596" s="492" t="str">
        <f t="shared" si="39"/>
        <v>Government</v>
      </c>
      <c r="L596" s="486" t="str">
        <f t="shared" si="40"/>
        <v>GB</v>
      </c>
      <c r="M596" s="486" t="str">
        <f t="shared" si="38"/>
        <v>UC</v>
      </c>
      <c r="N596" s="486" t="str">
        <f t="shared" si="41"/>
        <v>PAAS</v>
      </c>
    </row>
    <row r="597" spans="1:14">
      <c r="A597" s="1" t="s">
        <v>1381</v>
      </c>
      <c r="B597" s="1" t="s">
        <v>1382</v>
      </c>
      <c r="C597" s="1">
        <v>0</v>
      </c>
      <c r="D597" s="1">
        <v>2.0000000000000001E-4</v>
      </c>
      <c r="E597" s="1" t="s">
        <v>2226</v>
      </c>
      <c r="F597" s="1" t="s">
        <v>2290</v>
      </c>
      <c r="G597" s="1" t="s">
        <v>1840</v>
      </c>
      <c r="H597" s="1" t="s">
        <v>2161</v>
      </c>
      <c r="I597" s="1" t="s">
        <v>1636</v>
      </c>
      <c r="J597" s="1" t="s">
        <v>2158</v>
      </c>
      <c r="K597" s="492" t="str">
        <f t="shared" si="39"/>
        <v>Storage</v>
      </c>
      <c r="L597" s="486" t="str">
        <f t="shared" si="40"/>
        <v>HR</v>
      </c>
      <c r="M597" s="486" t="str">
        <f t="shared" si="38"/>
        <v>UC</v>
      </c>
      <c r="N597" s="486" t="str">
        <f t="shared" si="41"/>
        <v>IAAS</v>
      </c>
    </row>
    <row r="598" spans="1:14">
      <c r="A598" s="1" t="s">
        <v>1383</v>
      </c>
      <c r="B598" s="1" t="s">
        <v>1384</v>
      </c>
      <c r="C598" s="1">
        <v>0</v>
      </c>
      <c r="D598" s="1">
        <v>0</v>
      </c>
      <c r="E598" s="1">
        <v>0</v>
      </c>
      <c r="F598" s="1" t="s">
        <v>2290</v>
      </c>
      <c r="G598" s="1" t="s">
        <v>2400</v>
      </c>
      <c r="H598" s="1" t="s">
        <v>2394</v>
      </c>
      <c r="I598" s="1" t="s">
        <v>1636</v>
      </c>
      <c r="J598" s="1" t="s">
        <v>2159</v>
      </c>
      <c r="K598" s="492" t="str">
        <f t="shared" si="39"/>
        <v>Government</v>
      </c>
      <c r="L598" s="486" t="str">
        <f t="shared" si="40"/>
        <v>UNIT</v>
      </c>
      <c r="M598" s="486" t="str">
        <f t="shared" si="38"/>
        <v>UC</v>
      </c>
      <c r="N598" s="486" t="str">
        <f t="shared" si="41"/>
        <v>PAAS</v>
      </c>
    </row>
    <row r="599" spans="1:14">
      <c r="A599" s="1" t="s">
        <v>1385</v>
      </c>
      <c r="B599" s="1" t="s">
        <v>1386</v>
      </c>
      <c r="C599" s="1">
        <v>0</v>
      </c>
      <c r="D599" s="1">
        <v>0</v>
      </c>
      <c r="E599" s="1">
        <v>0</v>
      </c>
      <c r="F599" s="1" t="s">
        <v>2290</v>
      </c>
      <c r="G599" s="1" t="s">
        <v>2400</v>
      </c>
      <c r="H599" s="1" t="s">
        <v>2394</v>
      </c>
      <c r="I599" s="1" t="s">
        <v>1636</v>
      </c>
      <c r="J599" s="1" t="s">
        <v>2159</v>
      </c>
      <c r="K599" s="492" t="str">
        <f t="shared" si="39"/>
        <v>Government</v>
      </c>
      <c r="L599" s="486" t="str">
        <f t="shared" si="40"/>
        <v>UNIT</v>
      </c>
      <c r="M599" s="486" t="str">
        <f t="shared" si="38"/>
        <v>UC</v>
      </c>
      <c r="N599" s="486" t="str">
        <f t="shared" si="41"/>
        <v>PAAS</v>
      </c>
    </row>
    <row r="600" spans="1:14">
      <c r="A600" s="1" t="s">
        <v>1364</v>
      </c>
      <c r="B600" s="1" t="s">
        <v>1365</v>
      </c>
      <c r="C600" s="1">
        <v>0</v>
      </c>
      <c r="D600" s="1">
        <v>600</v>
      </c>
      <c r="E600" s="1" t="s">
        <v>2227</v>
      </c>
      <c r="F600" s="1" t="s">
        <v>2290</v>
      </c>
      <c r="G600" s="1" t="s">
        <v>2391</v>
      </c>
      <c r="H600" s="1" t="s">
        <v>2394</v>
      </c>
      <c r="I600" s="1" t="s">
        <v>1636</v>
      </c>
      <c r="J600" s="1" t="s">
        <v>2159</v>
      </c>
      <c r="K600" s="492" t="str">
        <f t="shared" si="39"/>
        <v>Integration</v>
      </c>
      <c r="L600" s="486" t="str">
        <f t="shared" si="40"/>
        <v>UNIT</v>
      </c>
      <c r="M600" s="486" t="str">
        <f t="shared" si="38"/>
        <v>UC</v>
      </c>
      <c r="N600" s="486" t="str">
        <f t="shared" si="41"/>
        <v>PAAS</v>
      </c>
    </row>
    <row r="601" spans="1:14">
      <c r="A601" s="1" t="s">
        <v>1366</v>
      </c>
      <c r="B601" s="1" t="s">
        <v>1367</v>
      </c>
      <c r="C601" s="1">
        <v>0</v>
      </c>
      <c r="D601" s="1">
        <v>1200</v>
      </c>
      <c r="E601" s="1" t="s">
        <v>2227</v>
      </c>
      <c r="F601" s="1" t="s">
        <v>2290</v>
      </c>
      <c r="G601" s="1" t="s">
        <v>2391</v>
      </c>
      <c r="H601" s="1" t="s">
        <v>2394</v>
      </c>
      <c r="I601" s="1" t="s">
        <v>1636</v>
      </c>
      <c r="J601" s="1" t="s">
        <v>2159</v>
      </c>
      <c r="K601" s="492" t="str">
        <f t="shared" si="39"/>
        <v>Integration</v>
      </c>
      <c r="L601" s="486" t="str">
        <f t="shared" si="40"/>
        <v>UNIT</v>
      </c>
      <c r="M601" s="486" t="str">
        <f t="shared" si="38"/>
        <v>UC</v>
      </c>
      <c r="N601" s="486" t="str">
        <f t="shared" si="41"/>
        <v>PAAS</v>
      </c>
    </row>
    <row r="602" spans="1:14">
      <c r="A602" s="1" t="s">
        <v>1368</v>
      </c>
      <c r="B602" s="1" t="s">
        <v>1369</v>
      </c>
      <c r="C602" s="1">
        <v>6.3799999999999996E-2</v>
      </c>
      <c r="D602" s="1">
        <v>6.3799999999999996E-2</v>
      </c>
      <c r="E602" s="1" t="s">
        <v>49</v>
      </c>
      <c r="F602" s="1" t="s">
        <v>2290</v>
      </c>
      <c r="G602" s="1" t="s">
        <v>1835</v>
      </c>
      <c r="H602" s="1" t="s">
        <v>2161</v>
      </c>
      <c r="I602" s="1" t="s">
        <v>1636</v>
      </c>
      <c r="J602" s="1" t="s">
        <v>2158</v>
      </c>
      <c r="K602" s="492" t="str">
        <f t="shared" si="39"/>
        <v>Compute</v>
      </c>
      <c r="L602" s="486" t="str">
        <f t="shared" si="40"/>
        <v>HR</v>
      </c>
      <c r="M602" s="486" t="str">
        <f t="shared" si="38"/>
        <v>UC</v>
      </c>
      <c r="N602" s="486" t="str">
        <f t="shared" si="41"/>
        <v>IAAS</v>
      </c>
    </row>
    <row r="603" spans="1:14">
      <c r="A603" s="1" t="s">
        <v>1387</v>
      </c>
      <c r="B603" s="1" t="s">
        <v>1388</v>
      </c>
      <c r="C603" s="1">
        <v>6.3799999999999996E-2</v>
      </c>
      <c r="D603" s="1">
        <v>6.3799999999999996E-2</v>
      </c>
      <c r="E603" s="1" t="s">
        <v>49</v>
      </c>
      <c r="F603" s="1" t="s">
        <v>2290</v>
      </c>
      <c r="G603" s="1" t="s">
        <v>1835</v>
      </c>
      <c r="H603" s="1" t="s">
        <v>2161</v>
      </c>
      <c r="I603" s="1" t="s">
        <v>1636</v>
      </c>
      <c r="J603" s="1" t="s">
        <v>2158</v>
      </c>
      <c r="K603" s="492" t="str">
        <f t="shared" si="39"/>
        <v>Compute</v>
      </c>
      <c r="L603" s="486" t="str">
        <f t="shared" si="40"/>
        <v>HR</v>
      </c>
      <c r="M603" s="486" t="str">
        <f t="shared" si="38"/>
        <v>UC</v>
      </c>
      <c r="N603" s="486" t="str">
        <f t="shared" si="41"/>
        <v>IAAS</v>
      </c>
    </row>
    <row r="604" spans="1:14">
      <c r="A604" s="1" t="s">
        <v>1671</v>
      </c>
      <c r="B604" s="1" t="s">
        <v>1967</v>
      </c>
      <c r="C604" s="1">
        <v>0.2016</v>
      </c>
      <c r="D604" s="1">
        <v>0.13439999999999999</v>
      </c>
      <c r="E604" s="1" t="s">
        <v>49</v>
      </c>
      <c r="F604" s="1" t="s">
        <v>2290</v>
      </c>
      <c r="G604" s="1" t="s">
        <v>1835</v>
      </c>
      <c r="H604" s="1" t="s">
        <v>2161</v>
      </c>
      <c r="I604" s="1" t="s">
        <v>1636</v>
      </c>
      <c r="J604" s="1" t="s">
        <v>2158</v>
      </c>
      <c r="K604" s="492" t="str">
        <f t="shared" si="39"/>
        <v>Compute</v>
      </c>
      <c r="L604" s="486" t="str">
        <f t="shared" si="40"/>
        <v>HR</v>
      </c>
      <c r="M604" s="486" t="str">
        <f t="shared" si="38"/>
        <v>UC</v>
      </c>
      <c r="N604" s="486" t="str">
        <f t="shared" si="41"/>
        <v>IAAS</v>
      </c>
    </row>
    <row r="605" spans="1:14">
      <c r="A605" s="1" t="s">
        <v>1672</v>
      </c>
      <c r="B605" s="1" t="s">
        <v>2349</v>
      </c>
      <c r="C605" s="1">
        <v>0</v>
      </c>
      <c r="D605" s="1">
        <v>0.13439999999999999</v>
      </c>
      <c r="E605" s="1" t="s">
        <v>49</v>
      </c>
      <c r="F605" s="1" t="s">
        <v>2290</v>
      </c>
      <c r="G605" s="1" t="s">
        <v>1835</v>
      </c>
      <c r="H605" s="1" t="s">
        <v>2161</v>
      </c>
      <c r="I605" s="1" t="s">
        <v>1636</v>
      </c>
      <c r="J605" s="1" t="s">
        <v>2158</v>
      </c>
      <c r="K605" s="492" t="str">
        <f t="shared" si="39"/>
        <v>Compute</v>
      </c>
      <c r="L605" s="486" t="str">
        <f t="shared" si="40"/>
        <v>HR</v>
      </c>
      <c r="M605" s="486" t="str">
        <f t="shared" si="38"/>
        <v>UC</v>
      </c>
      <c r="N605" s="486" t="str">
        <f t="shared" si="41"/>
        <v>IAAS</v>
      </c>
    </row>
    <row r="606" spans="1:14">
      <c r="A606" s="1" t="s">
        <v>1673</v>
      </c>
      <c r="B606" s="1" t="s">
        <v>2350</v>
      </c>
      <c r="C606" s="1">
        <v>0</v>
      </c>
      <c r="D606" s="1">
        <v>0.16800000000000001</v>
      </c>
      <c r="E606" s="1" t="s">
        <v>49</v>
      </c>
      <c r="F606" s="1" t="s">
        <v>2290</v>
      </c>
      <c r="G606" s="1" t="s">
        <v>1835</v>
      </c>
      <c r="H606" s="1" t="s">
        <v>2161</v>
      </c>
      <c r="I606" s="1" t="s">
        <v>1636</v>
      </c>
      <c r="J606" s="1" t="s">
        <v>2158</v>
      </c>
      <c r="K606" s="492" t="str">
        <f t="shared" si="39"/>
        <v>Compute</v>
      </c>
      <c r="L606" s="486" t="str">
        <f t="shared" si="40"/>
        <v>HR</v>
      </c>
      <c r="M606" s="486" t="str">
        <f t="shared" si="38"/>
        <v>UC</v>
      </c>
      <c r="N606" s="486" t="str">
        <f t="shared" si="41"/>
        <v>IAAS</v>
      </c>
    </row>
    <row r="607" spans="1:14">
      <c r="A607" s="1" t="s">
        <v>1674</v>
      </c>
      <c r="B607" s="1" t="s">
        <v>2351</v>
      </c>
      <c r="C607" s="1">
        <v>0</v>
      </c>
      <c r="D607" s="1">
        <v>0.26750000000000002</v>
      </c>
      <c r="E607" s="1" t="s">
        <v>49</v>
      </c>
      <c r="F607" s="1" t="s">
        <v>2290</v>
      </c>
      <c r="G607" s="1" t="s">
        <v>1835</v>
      </c>
      <c r="H607" s="1" t="s">
        <v>2161</v>
      </c>
      <c r="I607" s="1" t="s">
        <v>1636</v>
      </c>
      <c r="J607" s="1" t="s">
        <v>2158</v>
      </c>
      <c r="K607" s="492" t="str">
        <f t="shared" si="39"/>
        <v>Compute</v>
      </c>
      <c r="L607" s="486" t="str">
        <f t="shared" si="40"/>
        <v>HR</v>
      </c>
      <c r="M607" s="486" t="str">
        <f t="shared" si="38"/>
        <v>UC</v>
      </c>
      <c r="N607" s="486" t="str">
        <f t="shared" si="41"/>
        <v>IAAS</v>
      </c>
    </row>
    <row r="608" spans="1:14">
      <c r="A608" s="1" t="s">
        <v>1675</v>
      </c>
      <c r="B608" s="1" t="s">
        <v>2352</v>
      </c>
      <c r="C608" s="1">
        <v>0</v>
      </c>
      <c r="D608" s="1">
        <v>0.192</v>
      </c>
      <c r="E608" s="1" t="s">
        <v>49</v>
      </c>
      <c r="F608" s="1" t="s">
        <v>2290</v>
      </c>
      <c r="G608" s="1" t="s">
        <v>1835</v>
      </c>
      <c r="H608" s="1" t="s">
        <v>2161</v>
      </c>
      <c r="I608" s="1" t="s">
        <v>1636</v>
      </c>
      <c r="J608" s="1" t="s">
        <v>2158</v>
      </c>
      <c r="K608" s="492" t="str">
        <f t="shared" si="39"/>
        <v>Compute</v>
      </c>
      <c r="L608" s="486" t="str">
        <f t="shared" si="40"/>
        <v>HR</v>
      </c>
      <c r="M608" s="486" t="str">
        <f t="shared" si="38"/>
        <v>UC</v>
      </c>
      <c r="N608" s="486" t="str">
        <f t="shared" si="41"/>
        <v>IAAS</v>
      </c>
    </row>
    <row r="609" spans="1:14">
      <c r="A609" s="1" t="s">
        <v>1676</v>
      </c>
      <c r="B609" s="1" t="s">
        <v>1968</v>
      </c>
      <c r="C609" s="1">
        <v>0.252</v>
      </c>
      <c r="D609" s="1">
        <v>0.16800000000000001</v>
      </c>
      <c r="E609" s="1" t="s">
        <v>49</v>
      </c>
      <c r="F609" s="1" t="s">
        <v>2290</v>
      </c>
      <c r="G609" s="1" t="s">
        <v>1835</v>
      </c>
      <c r="H609" s="1" t="s">
        <v>2161</v>
      </c>
      <c r="I609" s="1" t="s">
        <v>1636</v>
      </c>
      <c r="J609" s="1" t="s">
        <v>2158</v>
      </c>
      <c r="K609" s="492" t="str">
        <f t="shared" si="39"/>
        <v>Compute</v>
      </c>
      <c r="L609" s="486" t="str">
        <f t="shared" si="40"/>
        <v>HR</v>
      </c>
      <c r="M609" s="486" t="str">
        <f t="shared" si="38"/>
        <v>UC</v>
      </c>
      <c r="N609" s="486" t="str">
        <f t="shared" si="41"/>
        <v>IAAS</v>
      </c>
    </row>
    <row r="610" spans="1:14">
      <c r="A610" s="1" t="s">
        <v>1677</v>
      </c>
      <c r="B610" s="1" t="s">
        <v>1969</v>
      </c>
      <c r="C610" s="1">
        <v>0.40129999999999999</v>
      </c>
      <c r="D610" s="1">
        <v>0.26750000000000002</v>
      </c>
      <c r="E610" s="1" t="s">
        <v>49</v>
      </c>
      <c r="F610" s="1" t="s">
        <v>2290</v>
      </c>
      <c r="G610" s="1" t="s">
        <v>1835</v>
      </c>
      <c r="H610" s="1" t="s">
        <v>2161</v>
      </c>
      <c r="I610" s="1" t="s">
        <v>1636</v>
      </c>
      <c r="J610" s="1" t="s">
        <v>2158</v>
      </c>
      <c r="K610" s="492" t="str">
        <f t="shared" si="39"/>
        <v>Compute</v>
      </c>
      <c r="L610" s="486" t="str">
        <f t="shared" si="40"/>
        <v>HR</v>
      </c>
      <c r="M610" s="486" t="str">
        <f t="shared" si="38"/>
        <v>UC</v>
      </c>
      <c r="N610" s="486" t="str">
        <f t="shared" si="41"/>
        <v>IAAS</v>
      </c>
    </row>
    <row r="611" spans="1:14">
      <c r="A611" s="1" t="s">
        <v>1678</v>
      </c>
      <c r="B611" s="1" t="s">
        <v>1970</v>
      </c>
      <c r="C611" s="1">
        <v>0.28799999999999998</v>
      </c>
      <c r="D611" s="1">
        <v>0.192</v>
      </c>
      <c r="E611" s="1" t="s">
        <v>49</v>
      </c>
      <c r="F611" s="1" t="s">
        <v>2290</v>
      </c>
      <c r="G611" s="1" t="s">
        <v>1835</v>
      </c>
      <c r="H611" s="1" t="s">
        <v>2161</v>
      </c>
      <c r="I611" s="1" t="s">
        <v>1636</v>
      </c>
      <c r="J611" s="1" t="s">
        <v>2158</v>
      </c>
      <c r="K611" s="492" t="str">
        <f t="shared" si="39"/>
        <v>Compute</v>
      </c>
      <c r="L611" s="486" t="str">
        <f t="shared" si="40"/>
        <v>HR</v>
      </c>
      <c r="M611" s="486" t="str">
        <f t="shared" si="38"/>
        <v>UC</v>
      </c>
      <c r="N611" s="486" t="str">
        <f t="shared" si="41"/>
        <v>IAAS</v>
      </c>
    </row>
    <row r="612" spans="1:14">
      <c r="A612" s="1" t="s">
        <v>1615</v>
      </c>
      <c r="B612" s="1" t="s">
        <v>1616</v>
      </c>
      <c r="C612" s="1">
        <v>0</v>
      </c>
      <c r="D612" s="1">
        <v>450</v>
      </c>
      <c r="E612" s="1" t="s">
        <v>2176</v>
      </c>
      <c r="F612" s="1" t="s">
        <v>2290</v>
      </c>
      <c r="G612" s="1" t="s">
        <v>1839</v>
      </c>
      <c r="H612" s="1" t="s">
        <v>2394</v>
      </c>
      <c r="I612" s="1" t="s">
        <v>1636</v>
      </c>
      <c r="J612" s="1" t="s">
        <v>2159</v>
      </c>
      <c r="K612" s="492" t="str">
        <f t="shared" si="39"/>
        <v>Analytics</v>
      </c>
      <c r="L612" s="486" t="str">
        <f t="shared" si="40"/>
        <v>UNIT</v>
      </c>
      <c r="M612" s="486" t="str">
        <f t="shared" si="38"/>
        <v>UC</v>
      </c>
      <c r="N612" s="486" t="str">
        <f t="shared" si="41"/>
        <v>PAAS</v>
      </c>
    </row>
    <row r="613" spans="1:14">
      <c r="A613" s="1" t="s">
        <v>1628</v>
      </c>
      <c r="B613" s="1" t="s">
        <v>2353</v>
      </c>
      <c r="C613" s="1">
        <v>200</v>
      </c>
      <c r="D613" s="1">
        <v>133.33000000000001</v>
      </c>
      <c r="E613" s="1" t="s">
        <v>2228</v>
      </c>
      <c r="F613" s="1" t="s">
        <v>2290</v>
      </c>
      <c r="G613" s="1" t="s">
        <v>2392</v>
      </c>
      <c r="H613" s="1" t="s">
        <v>2394</v>
      </c>
      <c r="I613" s="1" t="s">
        <v>1636</v>
      </c>
      <c r="J613" s="1" t="s">
        <v>2159</v>
      </c>
      <c r="K613" s="492" t="str">
        <f t="shared" si="39"/>
        <v>Platform</v>
      </c>
      <c r="L613" s="486" t="str">
        <f t="shared" si="40"/>
        <v>UNIT</v>
      </c>
      <c r="M613" s="486" t="str">
        <f t="shared" si="38"/>
        <v>UC</v>
      </c>
      <c r="N613" s="486" t="str">
        <f t="shared" si="41"/>
        <v>PAAS</v>
      </c>
    </row>
    <row r="614" spans="1:14">
      <c r="A614" s="1" t="s">
        <v>1629</v>
      </c>
      <c r="B614" s="1" t="s">
        <v>1679</v>
      </c>
      <c r="C614" s="1">
        <v>0.22500000000000001</v>
      </c>
      <c r="D614" s="1">
        <v>0.15</v>
      </c>
      <c r="E614" s="1" t="s">
        <v>2187</v>
      </c>
      <c r="F614" s="1" t="s">
        <v>2290</v>
      </c>
      <c r="G614" s="1" t="s">
        <v>2392</v>
      </c>
      <c r="H614" s="1" t="s">
        <v>2162</v>
      </c>
      <c r="I614" s="1" t="s">
        <v>1636</v>
      </c>
      <c r="J614" s="1" t="s">
        <v>2159</v>
      </c>
      <c r="K614" s="492" t="str">
        <f t="shared" si="39"/>
        <v>Platform</v>
      </c>
      <c r="L614" s="486" t="str">
        <f t="shared" si="40"/>
        <v>GB</v>
      </c>
      <c r="M614" s="486" t="str">
        <f t="shared" si="38"/>
        <v>UC</v>
      </c>
      <c r="N614" s="486" t="str">
        <f t="shared" si="41"/>
        <v>PAAS</v>
      </c>
    </row>
    <row r="615" spans="1:14">
      <c r="A615" s="1" t="s">
        <v>1971</v>
      </c>
      <c r="B615" s="1" t="s">
        <v>1972</v>
      </c>
      <c r="C615" s="1">
        <v>0</v>
      </c>
      <c r="D615" s="1">
        <v>600</v>
      </c>
      <c r="E615" s="1" t="s">
        <v>2228</v>
      </c>
      <c r="F615" s="1" t="s">
        <v>2290</v>
      </c>
      <c r="G615" s="1" t="s">
        <v>2392</v>
      </c>
      <c r="H615" s="1" t="s">
        <v>2394</v>
      </c>
      <c r="I615" s="1" t="s">
        <v>1636</v>
      </c>
      <c r="J615" s="1" t="s">
        <v>2159</v>
      </c>
      <c r="K615" s="492" t="str">
        <f t="shared" si="39"/>
        <v>Platform</v>
      </c>
      <c r="L615" s="486" t="str">
        <f t="shared" si="40"/>
        <v>UNIT</v>
      </c>
      <c r="M615" s="486" t="str">
        <f t="shared" si="38"/>
        <v>UC</v>
      </c>
      <c r="N615" s="486" t="str">
        <f t="shared" si="41"/>
        <v>PAAS</v>
      </c>
    </row>
    <row r="616" spans="1:14">
      <c r="A616" s="1" t="s">
        <v>1973</v>
      </c>
      <c r="B616" s="1" t="s">
        <v>1974</v>
      </c>
      <c r="C616" s="1">
        <v>0</v>
      </c>
      <c r="D616" s="1">
        <v>0.15</v>
      </c>
      <c r="E616" s="1" t="s">
        <v>2187</v>
      </c>
      <c r="F616" s="1" t="s">
        <v>2290</v>
      </c>
      <c r="G616" s="1" t="s">
        <v>2392</v>
      </c>
      <c r="H616" s="1" t="s">
        <v>2162</v>
      </c>
      <c r="I616" s="1" t="s">
        <v>1636</v>
      </c>
      <c r="J616" s="1" t="s">
        <v>2159</v>
      </c>
      <c r="K616" s="492" t="str">
        <f t="shared" si="39"/>
        <v>Platform</v>
      </c>
      <c r="L616" s="486" t="str">
        <f t="shared" si="40"/>
        <v>GB</v>
      </c>
      <c r="M616" s="486" t="str">
        <f t="shared" si="38"/>
        <v>UC</v>
      </c>
      <c r="N616" s="486" t="str">
        <f t="shared" si="41"/>
        <v>PAAS</v>
      </c>
    </row>
    <row r="617" spans="1:14">
      <c r="A617" s="1" t="s">
        <v>2133</v>
      </c>
      <c r="B617" s="1" t="s">
        <v>2292</v>
      </c>
      <c r="C617" s="1">
        <v>0.4839</v>
      </c>
      <c r="D617" s="1">
        <v>0.3226</v>
      </c>
      <c r="E617" s="1" t="s">
        <v>49</v>
      </c>
      <c r="F617" s="1" t="s">
        <v>2290</v>
      </c>
      <c r="G617" s="1" t="s">
        <v>2392</v>
      </c>
      <c r="H617" s="1" t="s">
        <v>2161</v>
      </c>
      <c r="I617" s="1" t="s">
        <v>1636</v>
      </c>
      <c r="J617" s="1" t="s">
        <v>2159</v>
      </c>
      <c r="K617" s="492" t="str">
        <f t="shared" si="39"/>
        <v>Platform</v>
      </c>
      <c r="L617" s="486" t="str">
        <f t="shared" si="40"/>
        <v>HR</v>
      </c>
      <c r="M617" s="486" t="str">
        <f t="shared" si="38"/>
        <v>UC</v>
      </c>
      <c r="N617" s="486" t="str">
        <f t="shared" si="41"/>
        <v>PAAS</v>
      </c>
    </row>
    <row r="618" spans="1:14">
      <c r="A618" s="1" t="s">
        <v>2134</v>
      </c>
      <c r="B618" s="1" t="s">
        <v>2293</v>
      </c>
      <c r="C618" s="1">
        <v>1.355</v>
      </c>
      <c r="D618" s="1">
        <v>0.90329999999999999</v>
      </c>
      <c r="E618" s="1" t="s">
        <v>49</v>
      </c>
      <c r="F618" s="1" t="s">
        <v>2290</v>
      </c>
      <c r="G618" s="1" t="s">
        <v>2392</v>
      </c>
      <c r="H618" s="1" t="s">
        <v>2161</v>
      </c>
      <c r="I618" s="1" t="s">
        <v>1636</v>
      </c>
      <c r="J618" s="1" t="s">
        <v>2159</v>
      </c>
      <c r="K618" s="492" t="str">
        <f t="shared" si="39"/>
        <v>Platform</v>
      </c>
      <c r="L618" s="486" t="str">
        <f t="shared" si="40"/>
        <v>HR</v>
      </c>
      <c r="M618" s="486" t="str">
        <f t="shared" si="38"/>
        <v>UC</v>
      </c>
      <c r="N618" s="486" t="str">
        <f t="shared" si="41"/>
        <v>PAAS</v>
      </c>
    </row>
    <row r="619" spans="1:14">
      <c r="A619" s="1" t="s">
        <v>1395</v>
      </c>
      <c r="B619" s="1" t="s">
        <v>1396</v>
      </c>
      <c r="C619" s="1">
        <v>0</v>
      </c>
      <c r="D619" s="1">
        <v>0.14169999999999999</v>
      </c>
      <c r="E619" s="1" t="s">
        <v>2229</v>
      </c>
      <c r="F619" s="1" t="s">
        <v>2290</v>
      </c>
      <c r="G619" s="1" t="s">
        <v>2400</v>
      </c>
      <c r="H619" s="1" t="s">
        <v>2162</v>
      </c>
      <c r="I619" s="1" t="s">
        <v>1636</v>
      </c>
      <c r="J619" s="1" t="s">
        <v>2159</v>
      </c>
      <c r="K619" s="492" t="str">
        <f t="shared" si="39"/>
        <v>Government</v>
      </c>
      <c r="L619" s="486" t="str">
        <f t="shared" si="40"/>
        <v>GB</v>
      </c>
      <c r="M619" s="486" t="str">
        <f t="shared" si="38"/>
        <v>UC</v>
      </c>
      <c r="N619" s="486" t="str">
        <f t="shared" si="41"/>
        <v>PAAS</v>
      </c>
    </row>
    <row r="620" spans="1:14">
      <c r="A620" s="1" t="s">
        <v>1397</v>
      </c>
      <c r="B620" s="1" t="s">
        <v>1398</v>
      </c>
      <c r="C620" s="1">
        <v>0</v>
      </c>
      <c r="D620" s="1">
        <v>0.2</v>
      </c>
      <c r="E620" s="1" t="s">
        <v>2230</v>
      </c>
      <c r="F620" s="1" t="s">
        <v>2290</v>
      </c>
      <c r="G620" s="1" t="s">
        <v>2400</v>
      </c>
      <c r="H620" s="1" t="s">
        <v>2394</v>
      </c>
      <c r="I620" s="1" t="s">
        <v>1636</v>
      </c>
      <c r="J620" s="1" t="s">
        <v>2159</v>
      </c>
      <c r="K620" s="492" t="str">
        <f t="shared" si="39"/>
        <v>Government</v>
      </c>
      <c r="L620" s="486" t="str">
        <f t="shared" si="40"/>
        <v>UNIT</v>
      </c>
      <c r="M620" s="486" t="str">
        <f t="shared" si="38"/>
        <v>UC</v>
      </c>
      <c r="N620" s="486" t="str">
        <f t="shared" si="41"/>
        <v>PAAS</v>
      </c>
    </row>
    <row r="621" spans="1:14">
      <c r="A621" s="1" t="s">
        <v>1680</v>
      </c>
      <c r="B621" s="1" t="s">
        <v>1681</v>
      </c>
      <c r="C621" s="1" t="s">
        <v>133</v>
      </c>
      <c r="D621" s="1">
        <v>1.6800999999999999</v>
      </c>
      <c r="E621" s="1" t="s">
        <v>49</v>
      </c>
      <c r="F621" s="1" t="s">
        <v>2290</v>
      </c>
      <c r="G621" s="1" t="s">
        <v>2238</v>
      </c>
      <c r="H621" s="1" t="s">
        <v>2161</v>
      </c>
      <c r="I621" s="1" t="s">
        <v>1636</v>
      </c>
      <c r="J621" s="1" t="s">
        <v>2159</v>
      </c>
      <c r="K621" s="492" t="str">
        <f t="shared" si="39"/>
        <v>CC OCPU</v>
      </c>
      <c r="L621" s="486" t="str">
        <f t="shared" si="40"/>
        <v>HR</v>
      </c>
      <c r="M621" s="486" t="str">
        <f t="shared" si="38"/>
        <v>UC</v>
      </c>
      <c r="N621" s="486" t="str">
        <f t="shared" si="41"/>
        <v>PAAS</v>
      </c>
    </row>
    <row r="622" spans="1:14">
      <c r="A622" s="1" t="s">
        <v>1682</v>
      </c>
      <c r="B622" s="1" t="s">
        <v>1683</v>
      </c>
      <c r="C622" s="1" t="s">
        <v>133</v>
      </c>
      <c r="D622" s="1">
        <v>0.3226</v>
      </c>
      <c r="E622" s="1" t="s">
        <v>49</v>
      </c>
      <c r="F622" s="1" t="s">
        <v>2290</v>
      </c>
      <c r="G622" s="1" t="s">
        <v>2238</v>
      </c>
      <c r="H622" s="1" t="s">
        <v>2161</v>
      </c>
      <c r="I622" s="1" t="s">
        <v>1636</v>
      </c>
      <c r="J622" s="1" t="s">
        <v>2159</v>
      </c>
      <c r="K622" s="492" t="str">
        <f t="shared" si="39"/>
        <v>CC OCPU</v>
      </c>
      <c r="L622" s="486" t="str">
        <f t="shared" si="40"/>
        <v>HR</v>
      </c>
      <c r="M622" s="486" t="str">
        <f t="shared" si="38"/>
        <v>UC</v>
      </c>
      <c r="N622" s="486" t="str">
        <f t="shared" si="41"/>
        <v>PAAS</v>
      </c>
    </row>
    <row r="623" spans="1:14">
      <c r="A623" s="1" t="s">
        <v>1617</v>
      </c>
      <c r="B623" s="1" t="s">
        <v>2143</v>
      </c>
      <c r="C623" s="1">
        <v>1.47</v>
      </c>
      <c r="D623" s="1">
        <v>1.47</v>
      </c>
      <c r="E623" s="1" t="s">
        <v>49</v>
      </c>
      <c r="F623" s="1" t="s">
        <v>2290</v>
      </c>
      <c r="G623" s="1" t="s">
        <v>1835</v>
      </c>
      <c r="H623" s="1" t="s">
        <v>2161</v>
      </c>
      <c r="I623" s="1" t="s">
        <v>1636</v>
      </c>
      <c r="J623" s="1" t="s">
        <v>2158</v>
      </c>
      <c r="K623" s="492" t="str">
        <f t="shared" si="39"/>
        <v>Compute</v>
      </c>
      <c r="L623" s="486" t="str">
        <f t="shared" si="40"/>
        <v>HR</v>
      </c>
      <c r="M623" s="486" t="str">
        <f t="shared" si="38"/>
        <v>UC</v>
      </c>
      <c r="N623" s="486" t="str">
        <f t="shared" si="41"/>
        <v>IAAS</v>
      </c>
    </row>
    <row r="624" spans="1:14">
      <c r="A624" s="1" t="s">
        <v>1618</v>
      </c>
      <c r="B624" s="1" t="s">
        <v>2144</v>
      </c>
      <c r="C624" s="1">
        <v>0.37</v>
      </c>
      <c r="D624" s="1">
        <v>0.37</v>
      </c>
      <c r="E624" s="1" t="s">
        <v>49</v>
      </c>
      <c r="F624" s="1" t="s">
        <v>2290</v>
      </c>
      <c r="G624" s="1" t="s">
        <v>1835</v>
      </c>
      <c r="H624" s="1" t="s">
        <v>2161</v>
      </c>
      <c r="I624" s="1" t="s">
        <v>1636</v>
      </c>
      <c r="J624" s="1" t="s">
        <v>2158</v>
      </c>
      <c r="K624" s="492" t="str">
        <f t="shared" si="39"/>
        <v>Compute</v>
      </c>
      <c r="L624" s="486" t="str">
        <f t="shared" si="40"/>
        <v>HR</v>
      </c>
      <c r="M624" s="486" t="str">
        <f t="shared" si="38"/>
        <v>UC</v>
      </c>
      <c r="N624" s="486" t="str">
        <f t="shared" si="41"/>
        <v>IAAS</v>
      </c>
    </row>
    <row r="625" spans="1:14">
      <c r="A625" s="1" t="s">
        <v>1619</v>
      </c>
      <c r="B625" s="1" t="s">
        <v>1620</v>
      </c>
      <c r="C625" s="1">
        <v>0</v>
      </c>
      <c r="D625" s="1">
        <v>7000</v>
      </c>
      <c r="E625" s="1" t="s">
        <v>1154</v>
      </c>
      <c r="F625" s="1" t="s">
        <v>2290</v>
      </c>
      <c r="G625" s="1" t="s">
        <v>2160</v>
      </c>
      <c r="H625" s="1" t="s">
        <v>2397</v>
      </c>
      <c r="I625" s="1" t="s">
        <v>2160</v>
      </c>
      <c r="J625" s="1" t="s">
        <v>2159</v>
      </c>
      <c r="K625" s="492" t="str">
        <f t="shared" si="39"/>
        <v>CC</v>
      </c>
      <c r="L625" s="486" t="str">
        <f t="shared" si="40"/>
        <v>EA</v>
      </c>
      <c r="M625" s="486" t="str">
        <f t="shared" si="38"/>
        <v>CC</v>
      </c>
      <c r="N625" s="486" t="str">
        <f t="shared" si="41"/>
        <v>PAAS</v>
      </c>
    </row>
    <row r="626" spans="1:14">
      <c r="A626" s="1" t="s">
        <v>2409</v>
      </c>
      <c r="B626" s="1" t="s">
        <v>1621</v>
      </c>
      <c r="C626" s="1">
        <v>0</v>
      </c>
      <c r="D626" s="1">
        <v>3000</v>
      </c>
      <c r="E626" s="1" t="s">
        <v>1154</v>
      </c>
      <c r="F626" s="1" t="s">
        <v>2290</v>
      </c>
      <c r="G626" s="1" t="s">
        <v>2160</v>
      </c>
      <c r="H626" s="1" t="s">
        <v>2397</v>
      </c>
      <c r="I626" s="1" t="s">
        <v>2160</v>
      </c>
      <c r="J626" s="1" t="s">
        <v>2159</v>
      </c>
      <c r="K626" s="492" t="str">
        <f t="shared" si="39"/>
        <v>CC</v>
      </c>
      <c r="L626" s="486" t="str">
        <f t="shared" si="40"/>
        <v>EA</v>
      </c>
      <c r="M626" s="486" t="str">
        <f t="shared" si="38"/>
        <v>CC</v>
      </c>
      <c r="N626" s="486" t="str">
        <f t="shared" si="41"/>
        <v>PAAS</v>
      </c>
    </row>
    <row r="627" spans="1:14">
      <c r="A627" s="1" t="s">
        <v>1622</v>
      </c>
      <c r="B627" s="1" t="s">
        <v>1623</v>
      </c>
      <c r="C627" s="1">
        <v>0</v>
      </c>
      <c r="D627" s="1">
        <v>1100</v>
      </c>
      <c r="E627" s="1" t="s">
        <v>1154</v>
      </c>
      <c r="F627" s="1" t="s">
        <v>2290</v>
      </c>
      <c r="G627" s="1" t="s">
        <v>2160</v>
      </c>
      <c r="H627" s="1" t="s">
        <v>2397</v>
      </c>
      <c r="I627" s="1" t="s">
        <v>2160</v>
      </c>
      <c r="J627" s="1" t="s">
        <v>2159</v>
      </c>
      <c r="K627" s="492" t="str">
        <f t="shared" si="39"/>
        <v>CC</v>
      </c>
      <c r="L627" s="486" t="str">
        <f t="shared" si="40"/>
        <v>EA</v>
      </c>
      <c r="M627" s="486" t="str">
        <f t="shared" si="38"/>
        <v>CC</v>
      </c>
      <c r="N627" s="486" t="str">
        <f t="shared" si="41"/>
        <v>PAAS</v>
      </c>
    </row>
    <row r="628" spans="1:14">
      <c r="A628" s="1" t="s">
        <v>1624</v>
      </c>
      <c r="B628" s="1" t="s">
        <v>1625</v>
      </c>
      <c r="C628" s="1">
        <v>0</v>
      </c>
      <c r="D628" s="1">
        <v>4000</v>
      </c>
      <c r="E628" s="1" t="s">
        <v>1154</v>
      </c>
      <c r="F628" s="1" t="s">
        <v>2290</v>
      </c>
      <c r="G628" s="1" t="s">
        <v>2160</v>
      </c>
      <c r="H628" s="1" t="s">
        <v>2397</v>
      </c>
      <c r="I628" s="1" t="s">
        <v>2160</v>
      </c>
      <c r="J628" s="1" t="s">
        <v>2159</v>
      </c>
      <c r="K628" s="492" t="str">
        <f t="shared" si="39"/>
        <v>CC</v>
      </c>
      <c r="L628" s="486" t="str">
        <f t="shared" si="40"/>
        <v>EA</v>
      </c>
      <c r="M628" s="486" t="str">
        <f t="shared" si="38"/>
        <v>CC</v>
      </c>
      <c r="N628" s="486" t="str">
        <f t="shared" si="41"/>
        <v>PAAS</v>
      </c>
    </row>
    <row r="629" spans="1:14">
      <c r="A629" s="1" t="s">
        <v>1684</v>
      </c>
      <c r="B629" s="1" t="s">
        <v>1949</v>
      </c>
      <c r="C629" s="1">
        <v>0</v>
      </c>
      <c r="D629" s="1">
        <v>30000</v>
      </c>
      <c r="E629" s="1" t="s">
        <v>1154</v>
      </c>
      <c r="F629" s="1" t="s">
        <v>2290</v>
      </c>
      <c r="G629" s="1" t="s">
        <v>2160</v>
      </c>
      <c r="H629" s="1" t="s">
        <v>2397</v>
      </c>
      <c r="I629" s="1" t="s">
        <v>2160</v>
      </c>
      <c r="J629" s="1" t="s">
        <v>2159</v>
      </c>
      <c r="K629" s="492" t="str">
        <f t="shared" si="39"/>
        <v>CC</v>
      </c>
      <c r="L629" s="486" t="str">
        <f t="shared" si="40"/>
        <v>EA</v>
      </c>
      <c r="M629" s="486" t="str">
        <f t="shared" si="38"/>
        <v>CC</v>
      </c>
      <c r="N629" s="486" t="str">
        <f t="shared" si="41"/>
        <v>PAAS</v>
      </c>
    </row>
    <row r="630" spans="1:14">
      <c r="A630" s="1" t="s">
        <v>1685</v>
      </c>
      <c r="B630" s="1" t="s">
        <v>1686</v>
      </c>
      <c r="C630" s="1">
        <v>0</v>
      </c>
      <c r="D630" s="1">
        <v>0</v>
      </c>
      <c r="E630" s="1">
        <v>0</v>
      </c>
      <c r="F630" s="1" t="s">
        <v>2290</v>
      </c>
      <c r="G630" s="1" t="s">
        <v>1836</v>
      </c>
      <c r="H630" s="1" t="s">
        <v>2394</v>
      </c>
      <c r="I630" s="1" t="s">
        <v>1636</v>
      </c>
      <c r="J630" s="1" t="s">
        <v>2159</v>
      </c>
      <c r="K630" s="492" t="str">
        <f t="shared" si="39"/>
        <v>ADW</v>
      </c>
      <c r="L630" s="486" t="str">
        <f t="shared" si="40"/>
        <v>UNIT</v>
      </c>
      <c r="M630" s="486" t="str">
        <f t="shared" si="38"/>
        <v>UC</v>
      </c>
      <c r="N630" s="486" t="str">
        <f t="shared" si="41"/>
        <v>PAAS</v>
      </c>
    </row>
    <row r="631" spans="1:14">
      <c r="A631" s="1" t="s">
        <v>1687</v>
      </c>
      <c r="B631" s="1" t="s">
        <v>1688</v>
      </c>
      <c r="C631" s="1">
        <v>0</v>
      </c>
      <c r="D631" s="1">
        <v>0</v>
      </c>
      <c r="E631" s="1">
        <v>0</v>
      </c>
      <c r="F631" s="1" t="s">
        <v>2290</v>
      </c>
      <c r="G631" s="1" t="s">
        <v>2132</v>
      </c>
      <c r="H631" s="1" t="s">
        <v>2394</v>
      </c>
      <c r="I631" s="1" t="s">
        <v>1636</v>
      </c>
      <c r="J631" s="1" t="s">
        <v>2159</v>
      </c>
      <c r="K631" s="492" t="str">
        <f t="shared" si="39"/>
        <v>Exa Storage</v>
      </c>
      <c r="L631" s="486" t="str">
        <f t="shared" si="40"/>
        <v>UNIT</v>
      </c>
      <c r="M631" s="486" t="str">
        <f t="shared" si="38"/>
        <v>UC</v>
      </c>
      <c r="N631" s="486" t="str">
        <f t="shared" si="41"/>
        <v>PAAS</v>
      </c>
    </row>
    <row r="632" spans="1:14">
      <c r="A632" s="1" t="s">
        <v>1689</v>
      </c>
      <c r="B632" s="1" t="s">
        <v>1690</v>
      </c>
      <c r="C632" s="1">
        <v>0</v>
      </c>
      <c r="D632" s="1">
        <v>0</v>
      </c>
      <c r="E632" s="1">
        <v>0</v>
      </c>
      <c r="F632" s="1" t="s">
        <v>2290</v>
      </c>
      <c r="G632" s="1" t="s">
        <v>1837</v>
      </c>
      <c r="H632" s="1" t="s">
        <v>2394</v>
      </c>
      <c r="I632" s="1" t="s">
        <v>1636</v>
      </c>
      <c r="J632" s="1" t="s">
        <v>2159</v>
      </c>
      <c r="K632" s="492" t="str">
        <f t="shared" si="39"/>
        <v>ATP</v>
      </c>
      <c r="L632" s="486" t="str">
        <f t="shared" si="40"/>
        <v>UNIT</v>
      </c>
      <c r="M632" s="486" t="str">
        <f t="shared" si="38"/>
        <v>UC</v>
      </c>
      <c r="N632" s="486" t="str">
        <f t="shared" si="41"/>
        <v>PAAS</v>
      </c>
    </row>
    <row r="633" spans="1:14">
      <c r="A633" s="1" t="s">
        <v>1691</v>
      </c>
      <c r="B633" s="1" t="s">
        <v>1692</v>
      </c>
      <c r="C633" s="1">
        <v>0</v>
      </c>
      <c r="D633" s="1">
        <v>0</v>
      </c>
      <c r="E633" s="1">
        <v>0</v>
      </c>
      <c r="F633" s="1" t="s">
        <v>2290</v>
      </c>
      <c r="G633" s="1" t="s">
        <v>2132</v>
      </c>
      <c r="H633" s="1" t="s">
        <v>2394</v>
      </c>
      <c r="I633" s="1" t="s">
        <v>1636</v>
      </c>
      <c r="J633" s="1" t="s">
        <v>2159</v>
      </c>
      <c r="K633" s="492" t="str">
        <f t="shared" si="39"/>
        <v>Exa Storage</v>
      </c>
      <c r="L633" s="486" t="str">
        <f t="shared" si="40"/>
        <v>UNIT</v>
      </c>
      <c r="M633" s="486" t="str">
        <f t="shared" si="38"/>
        <v>UC</v>
      </c>
      <c r="N633" s="486" t="str">
        <f t="shared" si="41"/>
        <v>PAAS</v>
      </c>
    </row>
    <row r="634" spans="1:14">
      <c r="A634" s="1" t="s">
        <v>1693</v>
      </c>
      <c r="B634" s="1" t="s">
        <v>1694</v>
      </c>
      <c r="C634" s="1">
        <v>0</v>
      </c>
      <c r="D634" s="1">
        <v>0</v>
      </c>
      <c r="E634" s="1">
        <v>0</v>
      </c>
      <c r="F634" s="1" t="s">
        <v>2290</v>
      </c>
      <c r="G634" s="1" t="s">
        <v>1835</v>
      </c>
      <c r="H634" s="1" t="s">
        <v>2394</v>
      </c>
      <c r="I634" s="1" t="s">
        <v>1636</v>
      </c>
      <c r="J634" s="1" t="s">
        <v>2158</v>
      </c>
      <c r="K634" s="492" t="str">
        <f t="shared" si="39"/>
        <v>Compute</v>
      </c>
      <c r="L634" s="486" t="str">
        <f t="shared" si="40"/>
        <v>UNIT</v>
      </c>
      <c r="M634" s="486" t="str">
        <f t="shared" si="38"/>
        <v>UC</v>
      </c>
      <c r="N634" s="486" t="str">
        <f t="shared" si="41"/>
        <v>IAAS</v>
      </c>
    </row>
    <row r="635" spans="1:14">
      <c r="A635" s="1" t="s">
        <v>1695</v>
      </c>
      <c r="B635" s="1" t="s">
        <v>1696</v>
      </c>
      <c r="C635" s="1">
        <v>0</v>
      </c>
      <c r="D635" s="1">
        <v>0</v>
      </c>
      <c r="E635" s="1">
        <v>0</v>
      </c>
      <c r="F635" s="1" t="s">
        <v>2290</v>
      </c>
      <c r="G635" s="1" t="s">
        <v>1840</v>
      </c>
      <c r="H635" s="1" t="s">
        <v>2394</v>
      </c>
      <c r="I635" s="1" t="s">
        <v>1636</v>
      </c>
      <c r="J635" s="1" t="s">
        <v>2158</v>
      </c>
      <c r="K635" s="492" t="str">
        <f t="shared" si="39"/>
        <v>Storage</v>
      </c>
      <c r="L635" s="486" t="str">
        <f t="shared" si="40"/>
        <v>UNIT</v>
      </c>
      <c r="M635" s="486" t="str">
        <f t="shared" si="38"/>
        <v>UC</v>
      </c>
      <c r="N635" s="486" t="str">
        <f t="shared" si="41"/>
        <v>IAAS</v>
      </c>
    </row>
    <row r="636" spans="1:14">
      <c r="A636" s="1" t="s">
        <v>1697</v>
      </c>
      <c r="B636" s="1" t="s">
        <v>1698</v>
      </c>
      <c r="C636" s="1">
        <v>0</v>
      </c>
      <c r="D636" s="1">
        <v>0</v>
      </c>
      <c r="E636" s="1">
        <v>0</v>
      </c>
      <c r="F636" s="1" t="s">
        <v>2290</v>
      </c>
      <c r="G636" s="1" t="s">
        <v>2313</v>
      </c>
      <c r="H636" s="1" t="s">
        <v>2394</v>
      </c>
      <c r="I636" s="1" t="s">
        <v>1636</v>
      </c>
      <c r="J636" s="1" t="s">
        <v>2158</v>
      </c>
      <c r="K636" s="492" t="str">
        <f t="shared" si="39"/>
        <v>Network</v>
      </c>
      <c r="L636" s="486" t="str">
        <f t="shared" si="40"/>
        <v>UNIT</v>
      </c>
      <c r="M636" s="486" t="str">
        <f t="shared" si="38"/>
        <v>UC</v>
      </c>
      <c r="N636" s="486" t="str">
        <f t="shared" si="41"/>
        <v>IAAS</v>
      </c>
    </row>
    <row r="637" spans="1:14">
      <c r="A637" s="1" t="s">
        <v>1950</v>
      </c>
      <c r="B637" s="1" t="s">
        <v>2231</v>
      </c>
      <c r="C637" s="1">
        <v>27.2178</v>
      </c>
      <c r="D637" s="1">
        <v>18.145199999999999</v>
      </c>
      <c r="E637" s="1" t="s">
        <v>2192</v>
      </c>
      <c r="F637" s="1" t="s">
        <v>2290</v>
      </c>
      <c r="G637" s="1" t="s">
        <v>1838</v>
      </c>
      <c r="H637" s="1" t="s">
        <v>2161</v>
      </c>
      <c r="I637" s="1" t="s">
        <v>1636</v>
      </c>
      <c r="J637" s="1" t="s">
        <v>2159</v>
      </c>
      <c r="K637" s="492" t="str">
        <f t="shared" si="39"/>
        <v>ExaCS</v>
      </c>
      <c r="L637" s="486" t="str">
        <f t="shared" si="40"/>
        <v>HR</v>
      </c>
      <c r="M637" s="486" t="str">
        <f t="shared" si="38"/>
        <v>UC</v>
      </c>
      <c r="N637" s="486" t="str">
        <f t="shared" si="41"/>
        <v>PAAS</v>
      </c>
    </row>
    <row r="638" spans="1:14">
      <c r="A638" s="1" t="s">
        <v>1951</v>
      </c>
      <c r="B638" s="1" t="s">
        <v>2354</v>
      </c>
      <c r="C638" s="1">
        <v>54.435499999999998</v>
      </c>
      <c r="D638" s="1">
        <v>36.290300000000002</v>
      </c>
      <c r="E638" s="1" t="s">
        <v>2192</v>
      </c>
      <c r="F638" s="1" t="s">
        <v>2290</v>
      </c>
      <c r="G638" s="1" t="s">
        <v>1838</v>
      </c>
      <c r="H638" s="1" t="s">
        <v>2161</v>
      </c>
      <c r="I638" s="1" t="s">
        <v>1636</v>
      </c>
      <c r="J638" s="1" t="s">
        <v>2159</v>
      </c>
      <c r="K638" s="492" t="str">
        <f t="shared" si="39"/>
        <v>ExaCS</v>
      </c>
      <c r="L638" s="486" t="str">
        <f t="shared" si="40"/>
        <v>HR</v>
      </c>
      <c r="M638" s="486" t="str">
        <f t="shared" si="38"/>
        <v>UC</v>
      </c>
      <c r="N638" s="486" t="str">
        <f t="shared" si="41"/>
        <v>PAAS</v>
      </c>
    </row>
    <row r="639" spans="1:14">
      <c r="A639" s="1" t="s">
        <v>1952</v>
      </c>
      <c r="B639" s="1" t="s">
        <v>2355</v>
      </c>
      <c r="C639" s="1">
        <v>108.87090000000001</v>
      </c>
      <c r="D639" s="1">
        <v>72.580600000000004</v>
      </c>
      <c r="E639" s="1" t="s">
        <v>2192</v>
      </c>
      <c r="F639" s="1" t="s">
        <v>2290</v>
      </c>
      <c r="G639" s="1" t="s">
        <v>1838</v>
      </c>
      <c r="H639" s="1" t="s">
        <v>2161</v>
      </c>
      <c r="I639" s="1" t="s">
        <v>1636</v>
      </c>
      <c r="J639" s="1" t="s">
        <v>2159</v>
      </c>
      <c r="K639" s="492" t="str">
        <f t="shared" si="39"/>
        <v>ExaCS</v>
      </c>
      <c r="L639" s="486" t="str">
        <f t="shared" si="40"/>
        <v>HR</v>
      </c>
      <c r="M639" s="486" t="str">
        <f t="shared" si="38"/>
        <v>UC</v>
      </c>
      <c r="N639" s="486" t="str">
        <f t="shared" si="41"/>
        <v>PAAS</v>
      </c>
    </row>
    <row r="640" spans="1:14">
      <c r="A640" s="1" t="s">
        <v>2410</v>
      </c>
      <c r="B640" s="1" t="s">
        <v>1975</v>
      </c>
      <c r="C640" s="1">
        <v>0</v>
      </c>
      <c r="D640" s="1">
        <v>13500</v>
      </c>
      <c r="E640" s="1" t="s">
        <v>2178</v>
      </c>
      <c r="F640" s="1" t="s">
        <v>2290</v>
      </c>
      <c r="G640" s="1" t="s">
        <v>1838</v>
      </c>
      <c r="H640" s="1" t="s">
        <v>2394</v>
      </c>
      <c r="I640" s="1" t="s">
        <v>1636</v>
      </c>
      <c r="J640" s="1" t="s">
        <v>2159</v>
      </c>
      <c r="K640" s="492" t="str">
        <f t="shared" si="39"/>
        <v>ExaCS</v>
      </c>
      <c r="L640" s="486" t="str">
        <f t="shared" si="40"/>
        <v>UNIT</v>
      </c>
      <c r="M640" s="486" t="str">
        <f t="shared" si="38"/>
        <v>UC</v>
      </c>
      <c r="N640" s="486" t="str">
        <f t="shared" si="41"/>
        <v>PAAS</v>
      </c>
    </row>
    <row r="641" spans="1:14">
      <c r="A641" s="1" t="s">
        <v>1976</v>
      </c>
      <c r="B641" s="1" t="s">
        <v>1977</v>
      </c>
      <c r="C641" s="1">
        <v>0</v>
      </c>
      <c r="D641" s="1">
        <v>27000</v>
      </c>
      <c r="E641" s="1" t="s">
        <v>2178</v>
      </c>
      <c r="F641" s="1" t="s">
        <v>2290</v>
      </c>
      <c r="G641" s="1" t="s">
        <v>1838</v>
      </c>
      <c r="H641" s="1" t="s">
        <v>2394</v>
      </c>
      <c r="I641" s="1" t="s">
        <v>1636</v>
      </c>
      <c r="J641" s="1" t="s">
        <v>2159</v>
      </c>
      <c r="K641" s="492" t="str">
        <f t="shared" si="39"/>
        <v>ExaCS</v>
      </c>
      <c r="L641" s="486" t="str">
        <f t="shared" si="40"/>
        <v>UNIT</v>
      </c>
      <c r="M641" s="486" t="str">
        <f t="shared" si="38"/>
        <v>UC</v>
      </c>
      <c r="N641" s="486" t="str">
        <f t="shared" si="41"/>
        <v>PAAS</v>
      </c>
    </row>
    <row r="642" spans="1:14">
      <c r="A642" s="1" t="s">
        <v>1978</v>
      </c>
      <c r="B642" s="1" t="s">
        <v>1979</v>
      </c>
      <c r="C642" s="1">
        <v>0</v>
      </c>
      <c r="D642" s="1">
        <v>54000</v>
      </c>
      <c r="E642" s="1" t="s">
        <v>2178</v>
      </c>
      <c r="F642" s="1" t="s">
        <v>2290</v>
      </c>
      <c r="G642" s="1" t="s">
        <v>1838</v>
      </c>
      <c r="H642" s="1" t="s">
        <v>2394</v>
      </c>
      <c r="I642" s="1" t="s">
        <v>1636</v>
      </c>
      <c r="J642" s="1" t="s">
        <v>2159</v>
      </c>
      <c r="K642" s="492" t="str">
        <f t="shared" si="39"/>
        <v>ExaCS</v>
      </c>
      <c r="L642" s="486" t="str">
        <f t="shared" si="40"/>
        <v>UNIT</v>
      </c>
      <c r="M642" s="486" t="str">
        <f t="shared" si="38"/>
        <v>UC</v>
      </c>
      <c r="N642" s="486" t="str">
        <f t="shared" si="41"/>
        <v>PAAS</v>
      </c>
    </row>
    <row r="643" spans="1:14">
      <c r="A643" s="1" t="s">
        <v>1699</v>
      </c>
      <c r="B643" s="1" t="s">
        <v>1829</v>
      </c>
      <c r="C643" s="1">
        <v>3.3999999999999998E-3</v>
      </c>
      <c r="D643" s="1">
        <v>3.3999999999999998E-3</v>
      </c>
      <c r="E643" s="1" t="s">
        <v>2189</v>
      </c>
      <c r="F643" s="1" t="s">
        <v>2290</v>
      </c>
      <c r="G643" s="1" t="s">
        <v>1840</v>
      </c>
      <c r="H643" s="1" t="s">
        <v>2395</v>
      </c>
      <c r="I643" s="1" t="s">
        <v>1636</v>
      </c>
      <c r="J643" s="1" t="s">
        <v>2158</v>
      </c>
      <c r="K643" s="492" t="str">
        <f t="shared" si="39"/>
        <v>Storage</v>
      </c>
      <c r="L643" s="486" t="str">
        <f t="shared" si="40"/>
        <v>REQ</v>
      </c>
      <c r="M643" s="486" t="str">
        <f t="shared" si="38"/>
        <v>UC</v>
      </c>
      <c r="N643" s="486" t="str">
        <f t="shared" si="41"/>
        <v>IAAS</v>
      </c>
    </row>
    <row r="644" spans="1:14">
      <c r="A644" s="1" t="s">
        <v>1700</v>
      </c>
      <c r="B644" s="1" t="s">
        <v>1830</v>
      </c>
      <c r="C644" s="1">
        <v>2.5499999999999998E-2</v>
      </c>
      <c r="D644" s="1">
        <v>2.5499999999999998E-2</v>
      </c>
      <c r="E644" s="1" t="s">
        <v>2175</v>
      </c>
      <c r="F644" s="1" t="s">
        <v>2290</v>
      </c>
      <c r="G644" s="1" t="s">
        <v>1840</v>
      </c>
      <c r="H644" s="1" t="s">
        <v>2162</v>
      </c>
      <c r="I644" s="1" t="s">
        <v>1636</v>
      </c>
      <c r="J644" s="1" t="s">
        <v>2158</v>
      </c>
      <c r="K644" s="492" t="str">
        <f t="shared" si="39"/>
        <v>Storage</v>
      </c>
      <c r="L644" s="486" t="str">
        <f t="shared" si="40"/>
        <v>GB</v>
      </c>
      <c r="M644" s="486" t="str">
        <f t="shared" ref="M644:M704" si="42">_xlfn.IFS(K644="CC","CC",K644="Rapid Start","SRV",F644="Y","UC0",TRUE,"UC")</f>
        <v>UC</v>
      </c>
      <c r="N644" s="486" t="str">
        <f t="shared" si="41"/>
        <v>IAAS</v>
      </c>
    </row>
    <row r="645" spans="1:14">
      <c r="A645" s="1" t="s">
        <v>1701</v>
      </c>
      <c r="B645" s="1" t="s">
        <v>1953</v>
      </c>
      <c r="C645" s="1">
        <v>0.15</v>
      </c>
      <c r="D645" s="1">
        <v>0.1</v>
      </c>
      <c r="E645" s="1" t="s">
        <v>2232</v>
      </c>
      <c r="F645" s="1" t="s">
        <v>2290</v>
      </c>
      <c r="G645" s="1" t="s">
        <v>2309</v>
      </c>
      <c r="H645" s="1" t="s">
        <v>2394</v>
      </c>
      <c r="I645" s="1" t="s">
        <v>1636</v>
      </c>
      <c r="J645" s="1" t="s">
        <v>2159</v>
      </c>
      <c r="K645" s="492" t="str">
        <f t="shared" si="39"/>
        <v>DBaaS</v>
      </c>
      <c r="L645" s="486" t="str">
        <f t="shared" si="40"/>
        <v>UNIT</v>
      </c>
      <c r="M645" s="486" t="str">
        <f t="shared" si="42"/>
        <v>UC</v>
      </c>
      <c r="N645" s="486" t="str">
        <f t="shared" si="41"/>
        <v>PAAS</v>
      </c>
    </row>
    <row r="646" spans="1:14">
      <c r="A646" s="1" t="s">
        <v>2411</v>
      </c>
      <c r="B646" s="1" t="s">
        <v>1954</v>
      </c>
      <c r="C646" s="1">
        <v>0</v>
      </c>
      <c r="D646" s="1">
        <v>0</v>
      </c>
      <c r="E646" s="1" t="s">
        <v>1154</v>
      </c>
      <c r="F646" s="1" t="s">
        <v>2290</v>
      </c>
      <c r="G646" s="1" t="s">
        <v>2309</v>
      </c>
      <c r="H646" s="1" t="s">
        <v>2397</v>
      </c>
      <c r="I646" s="1" t="s">
        <v>1636</v>
      </c>
      <c r="J646" s="1" t="s">
        <v>2159</v>
      </c>
      <c r="K646" s="492" t="str">
        <f t="shared" si="39"/>
        <v>DBaaS</v>
      </c>
      <c r="L646" s="486" t="str">
        <f t="shared" si="40"/>
        <v>EA</v>
      </c>
      <c r="M646" s="486" t="str">
        <f t="shared" si="42"/>
        <v>UC</v>
      </c>
      <c r="N646" s="486" t="str">
        <f t="shared" si="41"/>
        <v>PAAS</v>
      </c>
    </row>
    <row r="647" spans="1:14">
      <c r="A647" s="1" t="s">
        <v>1702</v>
      </c>
      <c r="B647" s="1" t="s">
        <v>1831</v>
      </c>
      <c r="C647" s="1">
        <v>2.5999999999999999E-3</v>
      </c>
      <c r="D647" s="1">
        <v>2.5999999999999999E-3</v>
      </c>
      <c r="E647" s="1" t="s">
        <v>2175</v>
      </c>
      <c r="F647" s="1" t="s">
        <v>2290</v>
      </c>
      <c r="G647" s="1" t="s">
        <v>1840</v>
      </c>
      <c r="H647" s="1" t="s">
        <v>2162</v>
      </c>
      <c r="I647" s="1" t="s">
        <v>1636</v>
      </c>
      <c r="J647" s="1" t="s">
        <v>2158</v>
      </c>
      <c r="K647" s="492" t="str">
        <f t="shared" si="39"/>
        <v>Storage</v>
      </c>
      <c r="L647" s="486" t="str">
        <f t="shared" si="40"/>
        <v>GB</v>
      </c>
      <c r="M647" s="486" t="str">
        <f t="shared" si="42"/>
        <v>UC</v>
      </c>
      <c r="N647" s="486" t="str">
        <f t="shared" si="41"/>
        <v>IAAS</v>
      </c>
    </row>
    <row r="648" spans="1:14">
      <c r="A648" s="1" t="s">
        <v>1842</v>
      </c>
      <c r="B648" s="1" t="s">
        <v>1843</v>
      </c>
      <c r="C648" s="1">
        <v>2.5499999999999998E-2</v>
      </c>
      <c r="D648" s="1">
        <v>2.5499999999999998E-2</v>
      </c>
      <c r="E648" s="1" t="s">
        <v>2175</v>
      </c>
      <c r="F648" s="1" t="s">
        <v>2290</v>
      </c>
      <c r="G648" s="1" t="s">
        <v>1840</v>
      </c>
      <c r="H648" s="1" t="s">
        <v>2162</v>
      </c>
      <c r="I648" s="1" t="s">
        <v>1636</v>
      </c>
      <c r="J648" s="1" t="s">
        <v>2158</v>
      </c>
      <c r="K648" s="492" t="str">
        <f t="shared" si="39"/>
        <v>Storage</v>
      </c>
      <c r="L648" s="486" t="str">
        <f t="shared" si="40"/>
        <v>GB</v>
      </c>
      <c r="M648" s="486" t="str">
        <f t="shared" si="42"/>
        <v>UC</v>
      </c>
      <c r="N648" s="486" t="str">
        <f t="shared" si="41"/>
        <v>IAAS</v>
      </c>
    </row>
    <row r="649" spans="1:14">
      <c r="A649" s="1" t="s">
        <v>1844</v>
      </c>
      <c r="B649" s="1" t="s">
        <v>1845</v>
      </c>
      <c r="C649" s="1">
        <v>1.6999999999999999E-3</v>
      </c>
      <c r="D649" s="1">
        <v>1.6999999999999999E-3</v>
      </c>
      <c r="E649" s="1" t="s">
        <v>2233</v>
      </c>
      <c r="F649" s="1" t="s">
        <v>2290</v>
      </c>
      <c r="G649" s="1" t="s">
        <v>1840</v>
      </c>
      <c r="H649" s="1" t="s">
        <v>2162</v>
      </c>
      <c r="I649" s="1" t="s">
        <v>1636</v>
      </c>
      <c r="J649" s="1" t="s">
        <v>2158</v>
      </c>
      <c r="K649" s="492" t="str">
        <f t="shared" si="39"/>
        <v>Storage</v>
      </c>
      <c r="L649" s="486" t="str">
        <f t="shared" si="40"/>
        <v>GB</v>
      </c>
      <c r="M649" s="486" t="str">
        <f t="shared" si="42"/>
        <v>UC</v>
      </c>
      <c r="N649" s="486" t="str">
        <f t="shared" si="41"/>
        <v>IAAS</v>
      </c>
    </row>
    <row r="650" spans="1:14">
      <c r="A650" s="1" t="s">
        <v>1846</v>
      </c>
      <c r="B650" s="1" t="s">
        <v>1847</v>
      </c>
      <c r="C650" s="1">
        <v>0</v>
      </c>
      <c r="D650" s="1">
        <v>2.5499999999999998E-2</v>
      </c>
      <c r="E650" s="1" t="s">
        <v>2175</v>
      </c>
      <c r="F650" s="1" t="s">
        <v>2290</v>
      </c>
      <c r="G650" s="1" t="s">
        <v>1840</v>
      </c>
      <c r="H650" s="1" t="s">
        <v>2162</v>
      </c>
      <c r="I650" s="1" t="s">
        <v>1636</v>
      </c>
      <c r="J650" s="1" t="s">
        <v>2158</v>
      </c>
      <c r="K650" s="492" t="str">
        <f t="shared" si="39"/>
        <v>Storage</v>
      </c>
      <c r="L650" s="486" t="str">
        <f t="shared" si="40"/>
        <v>GB</v>
      </c>
      <c r="M650" s="486" t="str">
        <f t="shared" si="42"/>
        <v>UC</v>
      </c>
      <c r="N650" s="486" t="str">
        <f t="shared" si="41"/>
        <v>IAAS</v>
      </c>
    </row>
    <row r="651" spans="1:14">
      <c r="A651" s="1" t="s">
        <v>1848</v>
      </c>
      <c r="B651" s="1" t="s">
        <v>1849</v>
      </c>
      <c r="C651" s="1">
        <v>0</v>
      </c>
      <c r="D651" s="1">
        <v>1.6999999999999999E-3</v>
      </c>
      <c r="E651" s="1" t="s">
        <v>2233</v>
      </c>
      <c r="F651" s="1" t="s">
        <v>2290</v>
      </c>
      <c r="G651" s="1" t="s">
        <v>1840</v>
      </c>
      <c r="H651" s="1" t="s">
        <v>2162</v>
      </c>
      <c r="I651" s="1" t="s">
        <v>1636</v>
      </c>
      <c r="J651" s="1" t="s">
        <v>2158</v>
      </c>
      <c r="K651" s="492" t="str">
        <f t="shared" si="39"/>
        <v>Storage</v>
      </c>
      <c r="L651" s="486" t="str">
        <f t="shared" si="40"/>
        <v>GB</v>
      </c>
      <c r="M651" s="486" t="str">
        <f t="shared" si="42"/>
        <v>UC</v>
      </c>
      <c r="N651" s="486" t="str">
        <f t="shared" si="41"/>
        <v>IAAS</v>
      </c>
    </row>
    <row r="652" spans="1:14">
      <c r="A652" s="1" t="s">
        <v>1850</v>
      </c>
      <c r="B652" s="1" t="s">
        <v>2274</v>
      </c>
      <c r="C652" s="1">
        <v>0</v>
      </c>
      <c r="D652" s="1">
        <v>0</v>
      </c>
      <c r="E652" s="1" t="s">
        <v>1154</v>
      </c>
      <c r="F652" s="1" t="s">
        <v>2290</v>
      </c>
      <c r="G652" s="1" t="s">
        <v>2400</v>
      </c>
      <c r="H652" s="1" t="s">
        <v>2397</v>
      </c>
      <c r="I652" s="1" t="s">
        <v>1636</v>
      </c>
      <c r="J652" s="1" t="s">
        <v>2159</v>
      </c>
      <c r="K652" s="492" t="str">
        <f t="shared" si="39"/>
        <v>Government</v>
      </c>
      <c r="L652" s="486" t="str">
        <f t="shared" si="40"/>
        <v>EA</v>
      </c>
      <c r="M652" s="486" t="str">
        <f t="shared" si="42"/>
        <v>UC</v>
      </c>
      <c r="N652" s="486" t="str">
        <f t="shared" si="41"/>
        <v>PAAS</v>
      </c>
    </row>
    <row r="653" spans="1:14">
      <c r="A653" s="1" t="s">
        <v>1980</v>
      </c>
      <c r="B653" s="1" t="s">
        <v>1981</v>
      </c>
      <c r="C653" s="1">
        <v>3</v>
      </c>
      <c r="D653" s="1">
        <v>2</v>
      </c>
      <c r="E653" s="1" t="s">
        <v>2183</v>
      </c>
      <c r="F653" s="1" t="s">
        <v>2290</v>
      </c>
      <c r="G653" s="1" t="s">
        <v>2399</v>
      </c>
      <c r="H653" s="1" t="s">
        <v>2394</v>
      </c>
      <c r="I653" s="1" t="s">
        <v>1636</v>
      </c>
      <c r="J653" s="1" t="s">
        <v>2158</v>
      </c>
      <c r="K653" s="492" t="str">
        <f t="shared" si="39"/>
        <v>Service</v>
      </c>
      <c r="L653" s="486" t="str">
        <f t="shared" si="40"/>
        <v>UNIT</v>
      </c>
      <c r="M653" s="486" t="str">
        <f t="shared" si="42"/>
        <v>UC</v>
      </c>
      <c r="N653" s="486" t="str">
        <f t="shared" si="41"/>
        <v>IAAS</v>
      </c>
    </row>
    <row r="654" spans="1:14">
      <c r="A654" s="1" t="s">
        <v>1982</v>
      </c>
      <c r="B654" s="1" t="s">
        <v>1983</v>
      </c>
      <c r="C654" s="1">
        <v>0</v>
      </c>
      <c r="D654" s="1">
        <v>3</v>
      </c>
      <c r="E654" s="1" t="s">
        <v>2183</v>
      </c>
      <c r="F654" s="1" t="s">
        <v>2290</v>
      </c>
      <c r="G654" s="1" t="s">
        <v>2400</v>
      </c>
      <c r="H654" s="1" t="s">
        <v>2394</v>
      </c>
      <c r="I654" s="1" t="s">
        <v>1636</v>
      </c>
      <c r="J654" s="1" t="s">
        <v>2159</v>
      </c>
      <c r="K654" s="492" t="str">
        <f t="shared" ref="K654:K704" si="43" xml:space="preserve"> _xlfn.IFS(ISNUMBER(SEARCH("Universal Credits",B654)),"UC",
ISNUMBER(SEARCH("Ravello",B654)),"Deprecated",
ISNUMBER(SEARCH("Cloud Machine",B654)),"Deprecated",
ISNUMBER(SEARCH("Compute",B654)),"Compute",
ISNUMBER(SEARCH("Load Balancer",B654)),"Network",
ISNUMBER(SEARCH("FastConnect",B654)),"Network",
ISNUMBER(SEARCH("Database OCPU",B654)),"CC OCPU",
ISNUMBER(SEARCH("at Customer",B654)),"CC",
ISNUMBER(SEARCH("Exadata Storage",B654)),"Exa Storage",
ISNUMBER(SEARCH("Storage",B654)),"Storage",
ISNUMBER(SEARCH("Block ",B654)),"Storage",
ISNUMBER(SEARCH("Autonomous Data Warehouse",B654)),"ADW",
ISNUMBER(SEARCH("Autonomous Transaction Processing",B654)),"ATP",
ISNUMBER(SEARCH("Database Exadata",B654)),"ExaCS",
ISNUMBER(SEARCH("Database",B654)),"DBaaS",
ISNUMBER(SEARCH("Essbase",B654)),"DBaaS",
ISNUMBER(SEARCH("integration",B654)),"Integration",
ISNUMBER(SEARCH("SOA",B654)),"Integration",
ISNUMBER(SEARCH("Management Cloud",B654)),"Service",
ISNUMBER(SEARCH("Analytics",B654)),"Analytics",
ISNUMBER(SEARCH("Storage",B654)),"Storage",
ISNUMBER(SEARCH("Block ",B654)),"Storage",
ISNUMBER(SEARCH("Identity",B654)),"Platform",
ISNUMBER(SEARCH("Content",B654)),"Platform",
ISNUMBER(SEARCH("Weblogic",B654)),"Platform",
ISNUMBER(SEARCH("Digital Assistant",B654)),"Platform",
ISNUMBER(SEARCH("Advance",B654)),"New",
ISNUMBER(SEARCH("Limited",B654)),"Classic",
ISNUMBER(SEARCH("Classic",B654)),"Classic",
ISNUMBER(SEARCH("Government",B654)),"Government",
ISNUMBER(SEARCH("Metered",B654)),"Deprecated",
VALUE(RIGHT(A654,5))&lt;88206,"Deprecated",
TRUE,"Service")</f>
        <v>Government</v>
      </c>
      <c r="L654" s="486" t="str">
        <f t="shared" ref="L654:L704" si="44">_xlfn.IFS(ISNUMBER(SEARCH("Hour",E654)),"HR",ISNUMBER(SEARCH("Gigabyte",E654)),"GB",ISNUMBER(SEARCH("Terabyte",E654)),"TB",ISNUMBER(SEARCH("Requests",E654)),"REQ",ISNUMBER(SEARCH("Each",E654)),"EA","TRUE","UNIT")</f>
        <v>UNIT</v>
      </c>
      <c r="M654" s="486" t="str">
        <f t="shared" si="42"/>
        <v>UC</v>
      </c>
      <c r="N654" s="486" t="str">
        <f t="shared" ref="N654:N704" si="45">_xlfn.IFS(K654="Storage","IAAS",K654="Compute","IAAS",K654="Network","IAAS",K654="Service","IAAS",L654="REQ","IAAS",TRUE,"PAAS")</f>
        <v>PAAS</v>
      </c>
    </row>
    <row r="655" spans="1:14">
      <c r="A655" s="1" t="s">
        <v>2021</v>
      </c>
      <c r="B655" s="1" t="s">
        <v>2336</v>
      </c>
      <c r="C655" s="1">
        <v>1</v>
      </c>
      <c r="D655" s="1">
        <v>0.66669999999999996</v>
      </c>
      <c r="E655" s="1" t="s">
        <v>2234</v>
      </c>
      <c r="F655" s="1" t="s">
        <v>2290</v>
      </c>
      <c r="G655" s="1" t="s">
        <v>2399</v>
      </c>
      <c r="H655" s="1" t="s">
        <v>2394</v>
      </c>
      <c r="I655" s="1" t="s">
        <v>1636</v>
      </c>
      <c r="J655" s="1" t="s">
        <v>2158</v>
      </c>
      <c r="K655" s="492" t="str">
        <f t="shared" si="43"/>
        <v>Service</v>
      </c>
      <c r="L655" s="486" t="str">
        <f t="shared" si="44"/>
        <v>UNIT</v>
      </c>
      <c r="M655" s="486" t="str">
        <f t="shared" si="42"/>
        <v>UC</v>
      </c>
      <c r="N655" s="486" t="str">
        <f t="shared" si="45"/>
        <v>IAAS</v>
      </c>
    </row>
    <row r="656" spans="1:14">
      <c r="A656" s="1" t="s">
        <v>2022</v>
      </c>
      <c r="B656" s="1" t="s">
        <v>2023</v>
      </c>
      <c r="C656" s="1">
        <v>0</v>
      </c>
      <c r="D656" s="1">
        <v>0.66669999999999996</v>
      </c>
      <c r="E656" s="1" t="s">
        <v>2234</v>
      </c>
      <c r="F656" s="1" t="s">
        <v>2290</v>
      </c>
      <c r="G656" s="1" t="s">
        <v>2400</v>
      </c>
      <c r="H656" s="1" t="s">
        <v>2394</v>
      </c>
      <c r="I656" s="1" t="s">
        <v>1636</v>
      </c>
      <c r="J656" s="1" t="s">
        <v>2159</v>
      </c>
      <c r="K656" s="492" t="str">
        <f t="shared" si="43"/>
        <v>Government</v>
      </c>
      <c r="L656" s="486" t="str">
        <f t="shared" si="44"/>
        <v>UNIT</v>
      </c>
      <c r="M656" s="486" t="str">
        <f t="shared" si="42"/>
        <v>UC</v>
      </c>
      <c r="N656" s="486" t="str">
        <f t="shared" si="45"/>
        <v>PAAS</v>
      </c>
    </row>
    <row r="657" spans="1:14">
      <c r="A657" s="1" t="s">
        <v>2145</v>
      </c>
      <c r="B657" s="1" t="s">
        <v>2146</v>
      </c>
      <c r="C657" s="1">
        <v>2.5202</v>
      </c>
      <c r="D657" s="1">
        <v>1.6800999999999999</v>
      </c>
      <c r="E657" s="1" t="s">
        <v>49</v>
      </c>
      <c r="F657" s="1" t="s">
        <v>2290</v>
      </c>
      <c r="G657" s="1" t="s">
        <v>1837</v>
      </c>
      <c r="H657" s="1" t="s">
        <v>2161</v>
      </c>
      <c r="I657" s="1" t="s">
        <v>1636</v>
      </c>
      <c r="J657" s="1" t="s">
        <v>2159</v>
      </c>
      <c r="K657" s="492" t="str">
        <f t="shared" si="43"/>
        <v>ATP</v>
      </c>
      <c r="L657" s="486" t="str">
        <f t="shared" si="44"/>
        <v>HR</v>
      </c>
      <c r="M657" s="486" t="str">
        <f t="shared" si="42"/>
        <v>UC</v>
      </c>
      <c r="N657" s="486" t="str">
        <f t="shared" si="45"/>
        <v>PAAS</v>
      </c>
    </row>
    <row r="658" spans="1:14">
      <c r="A658" s="1" t="s">
        <v>2147</v>
      </c>
      <c r="B658" s="1" t="s">
        <v>2148</v>
      </c>
      <c r="C658" s="1">
        <v>2.5202</v>
      </c>
      <c r="D658" s="1">
        <v>1.6800999999999999</v>
      </c>
      <c r="E658" s="1" t="s">
        <v>49</v>
      </c>
      <c r="F658" s="1" t="s">
        <v>2290</v>
      </c>
      <c r="G658" s="1" t="s">
        <v>1836</v>
      </c>
      <c r="H658" s="1" t="s">
        <v>2161</v>
      </c>
      <c r="I658" s="1" t="s">
        <v>1636</v>
      </c>
      <c r="J658" s="1" t="s">
        <v>2159</v>
      </c>
      <c r="K658" s="492" t="str">
        <f t="shared" si="43"/>
        <v>ADW</v>
      </c>
      <c r="L658" s="486" t="str">
        <f t="shared" si="44"/>
        <v>HR</v>
      </c>
      <c r="M658" s="486" t="str">
        <f t="shared" si="42"/>
        <v>UC</v>
      </c>
      <c r="N658" s="486" t="str">
        <f t="shared" si="45"/>
        <v>PAAS</v>
      </c>
    </row>
    <row r="659" spans="1:14">
      <c r="A659" s="1" t="s">
        <v>2149</v>
      </c>
      <c r="B659" s="1" t="s">
        <v>2150</v>
      </c>
      <c r="C659" s="1">
        <v>0.4839</v>
      </c>
      <c r="D659" s="1">
        <v>0.3226</v>
      </c>
      <c r="E659" s="1" t="s">
        <v>49</v>
      </c>
      <c r="F659" s="1" t="s">
        <v>2290</v>
      </c>
      <c r="G659" s="1" t="s">
        <v>1837</v>
      </c>
      <c r="H659" s="1" t="s">
        <v>2161</v>
      </c>
      <c r="I659" s="1" t="s">
        <v>1636</v>
      </c>
      <c r="J659" s="1" t="s">
        <v>2159</v>
      </c>
      <c r="K659" s="492" t="str">
        <f t="shared" si="43"/>
        <v>ATP</v>
      </c>
      <c r="L659" s="486" t="str">
        <f t="shared" si="44"/>
        <v>HR</v>
      </c>
      <c r="M659" s="486" t="str">
        <f t="shared" si="42"/>
        <v>UC</v>
      </c>
      <c r="N659" s="486" t="str">
        <f t="shared" si="45"/>
        <v>PAAS</v>
      </c>
    </row>
    <row r="660" spans="1:14">
      <c r="A660" s="1" t="s">
        <v>2151</v>
      </c>
      <c r="B660" s="1" t="s">
        <v>2152</v>
      </c>
      <c r="C660" s="1">
        <v>0.4839</v>
      </c>
      <c r="D660" s="1">
        <v>0.3226</v>
      </c>
      <c r="E660" s="1" t="s">
        <v>49</v>
      </c>
      <c r="F660" s="1" t="s">
        <v>2290</v>
      </c>
      <c r="G660" s="1" t="s">
        <v>1836</v>
      </c>
      <c r="H660" s="1" t="s">
        <v>2161</v>
      </c>
      <c r="I660" s="1" t="s">
        <v>1636</v>
      </c>
      <c r="J660" s="1" t="s">
        <v>2159</v>
      </c>
      <c r="K660" s="492" t="str">
        <f t="shared" si="43"/>
        <v>ADW</v>
      </c>
      <c r="L660" s="486" t="str">
        <f t="shared" si="44"/>
        <v>HR</v>
      </c>
      <c r="M660" s="486" t="str">
        <f t="shared" si="42"/>
        <v>UC</v>
      </c>
      <c r="N660" s="486" t="str">
        <f t="shared" si="45"/>
        <v>PAAS</v>
      </c>
    </row>
    <row r="661" spans="1:14">
      <c r="A661" s="1" t="s">
        <v>2275</v>
      </c>
      <c r="B661" s="1" t="s">
        <v>2276</v>
      </c>
      <c r="C661" s="1">
        <v>450</v>
      </c>
      <c r="D661" s="1">
        <v>300</v>
      </c>
      <c r="E661" s="1" t="s">
        <v>2277</v>
      </c>
      <c r="F661" s="1" t="s">
        <v>2290</v>
      </c>
      <c r="G661" s="1" t="s">
        <v>2392</v>
      </c>
      <c r="H661" s="1" t="s">
        <v>2394</v>
      </c>
      <c r="I661" s="1" t="s">
        <v>1636</v>
      </c>
      <c r="J661" s="1" t="s">
        <v>2159</v>
      </c>
      <c r="K661" s="492" t="str">
        <f t="shared" si="43"/>
        <v>Platform</v>
      </c>
      <c r="L661" s="486" t="str">
        <f t="shared" si="44"/>
        <v>UNIT</v>
      </c>
      <c r="M661" s="486" t="str">
        <f t="shared" si="42"/>
        <v>UC</v>
      </c>
      <c r="N661" s="486" t="str">
        <f t="shared" si="45"/>
        <v>PAAS</v>
      </c>
    </row>
    <row r="662" spans="1:14">
      <c r="A662" s="1" t="s">
        <v>2278</v>
      </c>
      <c r="B662" s="1" t="s">
        <v>2279</v>
      </c>
      <c r="C662" s="1">
        <v>0</v>
      </c>
      <c r="D662" s="1">
        <v>300</v>
      </c>
      <c r="E662" s="1" t="s">
        <v>2277</v>
      </c>
      <c r="F662" s="1" t="s">
        <v>2290</v>
      </c>
      <c r="G662" s="1" t="s">
        <v>2392</v>
      </c>
      <c r="H662" s="1" t="s">
        <v>2394</v>
      </c>
      <c r="I662" s="1" t="s">
        <v>1636</v>
      </c>
      <c r="J662" s="1" t="s">
        <v>2159</v>
      </c>
      <c r="K662" s="492" t="str">
        <f t="shared" si="43"/>
        <v>Platform</v>
      </c>
      <c r="L662" s="486" t="str">
        <f t="shared" si="44"/>
        <v>UNIT</v>
      </c>
      <c r="M662" s="486" t="str">
        <f t="shared" si="42"/>
        <v>UC</v>
      </c>
      <c r="N662" s="486" t="str">
        <f t="shared" si="45"/>
        <v>PAAS</v>
      </c>
    </row>
    <row r="663" spans="1:14">
      <c r="A663" s="1" t="s">
        <v>2280</v>
      </c>
      <c r="B663" s="1" t="s">
        <v>2281</v>
      </c>
      <c r="C663" s="1">
        <v>2.5000000000000001E-2</v>
      </c>
      <c r="D663" s="1">
        <v>2.5000000000000001E-2</v>
      </c>
      <c r="E663" s="1" t="s">
        <v>49</v>
      </c>
      <c r="F663" s="1" t="s">
        <v>2290</v>
      </c>
      <c r="G663" s="1" t="s">
        <v>1835</v>
      </c>
      <c r="H663" s="1" t="s">
        <v>2161</v>
      </c>
      <c r="I663" s="1" t="s">
        <v>1636</v>
      </c>
      <c r="J663" s="1" t="s">
        <v>2158</v>
      </c>
      <c r="K663" s="492" t="str">
        <f t="shared" si="43"/>
        <v>Compute</v>
      </c>
      <c r="L663" s="486" t="str">
        <f t="shared" si="44"/>
        <v>HR</v>
      </c>
      <c r="M663" s="486" t="str">
        <f t="shared" si="42"/>
        <v>UC</v>
      </c>
      <c r="N663" s="486" t="str">
        <f t="shared" si="45"/>
        <v>IAAS</v>
      </c>
    </row>
    <row r="664" spans="1:14">
      <c r="A664" s="1" t="s">
        <v>2282</v>
      </c>
      <c r="B664" s="1" t="s">
        <v>2283</v>
      </c>
      <c r="C664" s="1">
        <v>1.5E-3</v>
      </c>
      <c r="D664" s="1">
        <v>1.5E-3</v>
      </c>
      <c r="E664" s="1" t="s">
        <v>2294</v>
      </c>
      <c r="F664" s="1" t="s">
        <v>2290</v>
      </c>
      <c r="G664" s="1" t="s">
        <v>1835</v>
      </c>
      <c r="H664" s="1" t="s">
        <v>2161</v>
      </c>
      <c r="I664" s="1" t="s">
        <v>1636</v>
      </c>
      <c r="J664" s="1" t="s">
        <v>2158</v>
      </c>
      <c r="K664" s="492" t="str">
        <f t="shared" si="43"/>
        <v>Compute</v>
      </c>
      <c r="L664" s="486" t="str">
        <f t="shared" si="44"/>
        <v>HR</v>
      </c>
      <c r="M664" s="486" t="str">
        <f t="shared" si="42"/>
        <v>UC</v>
      </c>
      <c r="N664" s="486" t="str">
        <f t="shared" si="45"/>
        <v>IAAS</v>
      </c>
    </row>
    <row r="665" spans="1:14">
      <c r="A665" s="1" t="s">
        <v>2153</v>
      </c>
      <c r="B665" s="1" t="s">
        <v>2154</v>
      </c>
      <c r="C665" s="1">
        <v>2.4617</v>
      </c>
      <c r="D665" s="1">
        <v>1.6411</v>
      </c>
      <c r="E665" s="1" t="s">
        <v>49</v>
      </c>
      <c r="F665" s="1" t="s">
        <v>2290</v>
      </c>
      <c r="G665" s="1" t="s">
        <v>2309</v>
      </c>
      <c r="H665" s="1" t="s">
        <v>2161</v>
      </c>
      <c r="I665" s="1" t="s">
        <v>1636</v>
      </c>
      <c r="J665" s="1" t="s">
        <v>2159</v>
      </c>
      <c r="K665" s="492" t="str">
        <f t="shared" si="43"/>
        <v>DBaaS</v>
      </c>
      <c r="L665" s="486" t="str">
        <f t="shared" si="44"/>
        <v>HR</v>
      </c>
      <c r="M665" s="486" t="str">
        <f t="shared" si="42"/>
        <v>UC</v>
      </c>
      <c r="N665" s="486" t="str">
        <f t="shared" si="45"/>
        <v>PAAS</v>
      </c>
    </row>
    <row r="666" spans="1:14">
      <c r="A666" s="1" t="s">
        <v>2356</v>
      </c>
      <c r="B666" s="1" t="s">
        <v>2357</v>
      </c>
      <c r="C666" s="1">
        <v>0</v>
      </c>
      <c r="D666" s="1">
        <v>2.5000000000000001E-2</v>
      </c>
      <c r="E666" s="1" t="s">
        <v>49</v>
      </c>
      <c r="F666" s="1" t="s">
        <v>2290</v>
      </c>
      <c r="G666" s="1" t="s">
        <v>1835</v>
      </c>
      <c r="H666" s="1" t="s">
        <v>2161</v>
      </c>
      <c r="I666" s="1" t="s">
        <v>1636</v>
      </c>
      <c r="J666" s="1" t="s">
        <v>2158</v>
      </c>
      <c r="K666" s="492" t="str">
        <f t="shared" si="43"/>
        <v>Compute</v>
      </c>
      <c r="L666" s="486" t="str">
        <f t="shared" si="44"/>
        <v>HR</v>
      </c>
      <c r="M666" s="486" t="str">
        <f t="shared" si="42"/>
        <v>UC</v>
      </c>
      <c r="N666" s="486" t="str">
        <f t="shared" si="45"/>
        <v>IAAS</v>
      </c>
    </row>
    <row r="667" spans="1:14">
      <c r="A667" s="1" t="s">
        <v>2358</v>
      </c>
      <c r="B667" s="1" t="s">
        <v>2359</v>
      </c>
      <c r="C667" s="1">
        <v>0</v>
      </c>
      <c r="D667" s="1">
        <v>1.5E-3</v>
      </c>
      <c r="E667" s="1" t="s">
        <v>2294</v>
      </c>
      <c r="F667" s="1" t="s">
        <v>2290</v>
      </c>
      <c r="G667" s="1" t="s">
        <v>1835</v>
      </c>
      <c r="H667" s="1" t="s">
        <v>2161</v>
      </c>
      <c r="I667" s="1" t="s">
        <v>1636</v>
      </c>
      <c r="J667" s="1" t="s">
        <v>2158</v>
      </c>
      <c r="K667" s="492" t="str">
        <f t="shared" si="43"/>
        <v>Compute</v>
      </c>
      <c r="L667" s="486" t="str">
        <f t="shared" si="44"/>
        <v>HR</v>
      </c>
      <c r="M667" s="486" t="str">
        <f t="shared" si="42"/>
        <v>UC</v>
      </c>
      <c r="N667" s="486" t="str">
        <f t="shared" si="45"/>
        <v>IAAS</v>
      </c>
    </row>
    <row r="668" spans="1:14">
      <c r="A668" s="1" t="s">
        <v>2155</v>
      </c>
      <c r="B668" s="1" t="s">
        <v>2156</v>
      </c>
      <c r="C668" s="1">
        <v>0</v>
      </c>
      <c r="D668" s="1">
        <v>5</v>
      </c>
      <c r="E668" s="1" t="s">
        <v>2235</v>
      </c>
      <c r="F668" s="1" t="s">
        <v>2290</v>
      </c>
      <c r="G668" s="1" t="s">
        <v>1839</v>
      </c>
      <c r="H668" s="1" t="s">
        <v>2394</v>
      </c>
      <c r="I668" s="1" t="s">
        <v>1636</v>
      </c>
      <c r="J668" s="1" t="s">
        <v>2159</v>
      </c>
      <c r="K668" s="492" t="str">
        <f t="shared" si="43"/>
        <v>Analytics</v>
      </c>
      <c r="L668" s="486" t="str">
        <f t="shared" si="44"/>
        <v>UNIT</v>
      </c>
      <c r="M668" s="486" t="str">
        <f t="shared" si="42"/>
        <v>UC</v>
      </c>
      <c r="N668" s="486" t="str">
        <f t="shared" si="45"/>
        <v>PAAS</v>
      </c>
    </row>
    <row r="669" spans="1:14">
      <c r="A669" s="1" t="s">
        <v>2284</v>
      </c>
      <c r="B669" s="1" t="s">
        <v>2328</v>
      </c>
      <c r="C669" s="1" t="s">
        <v>133</v>
      </c>
      <c r="D669" s="1">
        <v>0.2031</v>
      </c>
      <c r="E669" s="1" t="s">
        <v>49</v>
      </c>
      <c r="F669" s="1" t="s">
        <v>588</v>
      </c>
      <c r="G669" s="1" t="s">
        <v>2399</v>
      </c>
      <c r="H669" s="1" t="s">
        <v>2161</v>
      </c>
      <c r="I669" s="1" t="s">
        <v>2398</v>
      </c>
      <c r="J669" s="1" t="s">
        <v>2158</v>
      </c>
      <c r="K669" s="492" t="str">
        <f t="shared" si="43"/>
        <v>Service</v>
      </c>
      <c r="L669" s="486" t="str">
        <f t="shared" si="44"/>
        <v>HR</v>
      </c>
      <c r="M669" s="486" t="str">
        <f t="shared" si="42"/>
        <v>UC0</v>
      </c>
      <c r="N669" s="486" t="str">
        <f t="shared" si="45"/>
        <v>IAAS</v>
      </c>
    </row>
    <row r="670" spans="1:14">
      <c r="A670" s="1" t="s">
        <v>2329</v>
      </c>
      <c r="B670" s="1" t="s">
        <v>2330</v>
      </c>
      <c r="C670" s="1" t="s">
        <v>133</v>
      </c>
      <c r="D670" s="1">
        <v>1.6800999999999999</v>
      </c>
      <c r="E670" s="1" t="s">
        <v>49</v>
      </c>
      <c r="F670" s="1" t="s">
        <v>2290</v>
      </c>
      <c r="G670" s="1" t="s">
        <v>2238</v>
      </c>
      <c r="H670" s="1" t="s">
        <v>2161</v>
      </c>
      <c r="I670" s="1" t="s">
        <v>1636</v>
      </c>
      <c r="J670" s="1" t="s">
        <v>2159</v>
      </c>
      <c r="K670" s="492" t="str">
        <f t="shared" si="43"/>
        <v>CC OCPU</v>
      </c>
      <c r="L670" s="486" t="str">
        <f t="shared" si="44"/>
        <v>HR</v>
      </c>
      <c r="M670" s="486" t="str">
        <f t="shared" si="42"/>
        <v>UC</v>
      </c>
      <c r="N670" s="486" t="str">
        <f t="shared" si="45"/>
        <v>PAAS</v>
      </c>
    </row>
    <row r="671" spans="1:14">
      <c r="A671" s="1" t="s">
        <v>2331</v>
      </c>
      <c r="B671" s="1" t="s">
        <v>2332</v>
      </c>
      <c r="C671" s="1" t="s">
        <v>133</v>
      </c>
      <c r="D671" s="1">
        <v>1.6800999999999999</v>
      </c>
      <c r="E671" s="1" t="s">
        <v>49</v>
      </c>
      <c r="F671" s="1" t="s">
        <v>2290</v>
      </c>
      <c r="G671" s="1" t="s">
        <v>2238</v>
      </c>
      <c r="H671" s="1" t="s">
        <v>2161</v>
      </c>
      <c r="I671" s="1" t="s">
        <v>1636</v>
      </c>
      <c r="J671" s="1" t="s">
        <v>2159</v>
      </c>
      <c r="K671" s="492" t="str">
        <f t="shared" si="43"/>
        <v>CC OCPU</v>
      </c>
      <c r="L671" s="486" t="str">
        <f t="shared" si="44"/>
        <v>HR</v>
      </c>
      <c r="M671" s="486" t="str">
        <f t="shared" si="42"/>
        <v>UC</v>
      </c>
      <c r="N671" s="486" t="str">
        <f t="shared" si="45"/>
        <v>PAAS</v>
      </c>
    </row>
    <row r="672" spans="1:14">
      <c r="A672" s="1" t="s">
        <v>2333</v>
      </c>
      <c r="B672" s="1" t="s">
        <v>2334</v>
      </c>
      <c r="C672" s="1" t="s">
        <v>133</v>
      </c>
      <c r="D672" s="1">
        <v>0.3226</v>
      </c>
      <c r="E672" s="1" t="s">
        <v>49</v>
      </c>
      <c r="F672" s="1" t="s">
        <v>2290</v>
      </c>
      <c r="G672" s="1" t="s">
        <v>2238</v>
      </c>
      <c r="H672" s="1" t="s">
        <v>2161</v>
      </c>
      <c r="I672" s="1" t="s">
        <v>1636</v>
      </c>
      <c r="J672" s="1" t="s">
        <v>2159</v>
      </c>
      <c r="K672" s="492" t="str">
        <f t="shared" si="43"/>
        <v>CC OCPU</v>
      </c>
      <c r="L672" s="486" t="str">
        <f t="shared" si="44"/>
        <v>HR</v>
      </c>
      <c r="M672" s="486" t="str">
        <f t="shared" si="42"/>
        <v>UC</v>
      </c>
      <c r="N672" s="486" t="str">
        <f t="shared" si="45"/>
        <v>PAAS</v>
      </c>
    </row>
    <row r="673" spans="1:14">
      <c r="A673" s="1" t="s">
        <v>2335</v>
      </c>
      <c r="B673" s="1" t="s">
        <v>2482</v>
      </c>
      <c r="C673" s="1" t="s">
        <v>133</v>
      </c>
      <c r="D673" s="1">
        <v>0.3226</v>
      </c>
      <c r="E673" s="1" t="s">
        <v>49</v>
      </c>
      <c r="F673" s="1" t="s">
        <v>2290</v>
      </c>
      <c r="G673" s="1" t="s">
        <v>2238</v>
      </c>
      <c r="H673" s="1" t="s">
        <v>2161</v>
      </c>
      <c r="I673" s="1" t="s">
        <v>1636</v>
      </c>
      <c r="J673" s="1" t="s">
        <v>2159</v>
      </c>
      <c r="K673" s="492" t="str">
        <f t="shared" si="43"/>
        <v>CC OCPU</v>
      </c>
      <c r="L673" s="486" t="str">
        <f t="shared" si="44"/>
        <v>HR</v>
      </c>
      <c r="M673" s="486" t="str">
        <f t="shared" si="42"/>
        <v>UC</v>
      </c>
      <c r="N673" s="486" t="str">
        <f t="shared" si="45"/>
        <v>PAAS</v>
      </c>
    </row>
    <row r="674" spans="1:14">
      <c r="A674" s="1" t="s">
        <v>2285</v>
      </c>
      <c r="B674" s="1" t="s">
        <v>2286</v>
      </c>
      <c r="C674" s="1">
        <v>8.7499999999999994E-2</v>
      </c>
      <c r="D674" s="1">
        <v>5.8299999999999998E-2</v>
      </c>
      <c r="E674" s="1" t="s">
        <v>49</v>
      </c>
      <c r="F674" s="1" t="s">
        <v>2290</v>
      </c>
      <c r="G674" s="1" t="s">
        <v>2309</v>
      </c>
      <c r="H674" s="1" t="s">
        <v>2161</v>
      </c>
      <c r="I674" s="1" t="s">
        <v>1636</v>
      </c>
      <c r="J674" s="1" t="s">
        <v>2159</v>
      </c>
      <c r="K674" s="492" t="str">
        <f t="shared" si="43"/>
        <v>DBaaS</v>
      </c>
      <c r="L674" s="486" t="str">
        <f t="shared" si="44"/>
        <v>HR</v>
      </c>
      <c r="M674" s="486" t="str">
        <f t="shared" si="42"/>
        <v>UC</v>
      </c>
      <c r="N674" s="486" t="str">
        <f t="shared" si="45"/>
        <v>PAAS</v>
      </c>
    </row>
    <row r="675" spans="1:14">
      <c r="A675" s="1" t="s">
        <v>2287</v>
      </c>
      <c r="B675" s="1" t="s">
        <v>2288</v>
      </c>
      <c r="C675" s="1">
        <v>7.4999999999999997E-2</v>
      </c>
      <c r="D675" s="1">
        <v>0.05</v>
      </c>
      <c r="E675" s="1" t="s">
        <v>2175</v>
      </c>
      <c r="F675" s="1" t="s">
        <v>2290</v>
      </c>
      <c r="G675" s="1" t="s">
        <v>1840</v>
      </c>
      <c r="H675" s="1" t="s">
        <v>2162</v>
      </c>
      <c r="I675" s="1" t="s">
        <v>1636</v>
      </c>
      <c r="J675" s="1" t="s">
        <v>2158</v>
      </c>
      <c r="K675" s="492" t="str">
        <f t="shared" si="43"/>
        <v>Storage</v>
      </c>
      <c r="L675" s="486" t="str">
        <f t="shared" si="44"/>
        <v>GB</v>
      </c>
      <c r="M675" s="486" t="str">
        <f t="shared" si="42"/>
        <v>UC</v>
      </c>
      <c r="N675" s="486" t="str">
        <f t="shared" si="45"/>
        <v>IAAS</v>
      </c>
    </row>
    <row r="676" spans="1:14">
      <c r="A676" s="1" t="s">
        <v>2295</v>
      </c>
      <c r="B676" s="1" t="s">
        <v>2360</v>
      </c>
      <c r="C676" s="1">
        <v>0</v>
      </c>
      <c r="D676" s="1">
        <v>0.2031</v>
      </c>
      <c r="E676" s="1" t="s">
        <v>49</v>
      </c>
      <c r="F676" s="1" t="s">
        <v>588</v>
      </c>
      <c r="G676" s="1" t="s">
        <v>2400</v>
      </c>
      <c r="H676" s="1" t="s">
        <v>2161</v>
      </c>
      <c r="I676" s="1" t="s">
        <v>2398</v>
      </c>
      <c r="J676" s="1" t="s">
        <v>2159</v>
      </c>
      <c r="K676" s="492" t="str">
        <f t="shared" si="43"/>
        <v>Government</v>
      </c>
      <c r="L676" s="486" t="str">
        <f t="shared" si="44"/>
        <v>HR</v>
      </c>
      <c r="M676" s="486" t="str">
        <f t="shared" si="42"/>
        <v>UC0</v>
      </c>
      <c r="N676" s="486" t="str">
        <f t="shared" si="45"/>
        <v>PAAS</v>
      </c>
    </row>
    <row r="677" spans="1:14">
      <c r="A677" s="1" t="s">
        <v>2361</v>
      </c>
      <c r="B677" s="1" t="s">
        <v>2362</v>
      </c>
      <c r="C677" s="1">
        <v>1.3559000000000001</v>
      </c>
      <c r="D677" s="1">
        <v>0.90390000000000004</v>
      </c>
      <c r="E677" s="1" t="s">
        <v>49</v>
      </c>
      <c r="F677" s="1" t="s">
        <v>2290</v>
      </c>
      <c r="G677" s="1" t="s">
        <v>2391</v>
      </c>
      <c r="H677" s="1" t="s">
        <v>2161</v>
      </c>
      <c r="I677" s="1" t="s">
        <v>1636</v>
      </c>
      <c r="J677" s="1" t="s">
        <v>2159</v>
      </c>
      <c r="K677" s="492" t="str">
        <f t="shared" si="43"/>
        <v>Integration</v>
      </c>
      <c r="L677" s="486" t="str">
        <f t="shared" si="44"/>
        <v>HR</v>
      </c>
      <c r="M677" s="486" t="str">
        <f t="shared" si="42"/>
        <v>UC</v>
      </c>
      <c r="N677" s="486" t="str">
        <f t="shared" si="45"/>
        <v>PAAS</v>
      </c>
    </row>
    <row r="678" spans="1:14">
      <c r="A678" s="1" t="s">
        <v>2363</v>
      </c>
      <c r="B678" s="1" t="s">
        <v>2386</v>
      </c>
      <c r="C678" s="1">
        <v>2.2633999999999999</v>
      </c>
      <c r="D678" s="1">
        <v>1.5088999999999999</v>
      </c>
      <c r="E678" s="1" t="s">
        <v>49</v>
      </c>
      <c r="F678" s="1" t="s">
        <v>2290</v>
      </c>
      <c r="G678" s="1" t="s">
        <v>2391</v>
      </c>
      <c r="H678" s="1" t="s">
        <v>2161</v>
      </c>
      <c r="I678" s="1" t="s">
        <v>1636</v>
      </c>
      <c r="J678" s="1" t="s">
        <v>2159</v>
      </c>
      <c r="K678" s="492" t="str">
        <f t="shared" si="43"/>
        <v>Integration</v>
      </c>
      <c r="L678" s="486" t="str">
        <f t="shared" si="44"/>
        <v>HR</v>
      </c>
      <c r="M678" s="486" t="str">
        <f t="shared" si="42"/>
        <v>UC</v>
      </c>
      <c r="N678" s="486" t="str">
        <f t="shared" si="45"/>
        <v>PAAS</v>
      </c>
    </row>
    <row r="679" spans="1:14">
      <c r="A679" s="1" t="s">
        <v>2364</v>
      </c>
      <c r="B679" s="1" t="s">
        <v>2365</v>
      </c>
      <c r="C679" s="1">
        <v>0.05</v>
      </c>
      <c r="D679" s="1">
        <v>0.05</v>
      </c>
      <c r="E679" s="1" t="s">
        <v>2366</v>
      </c>
      <c r="F679" s="1" t="s">
        <v>2290</v>
      </c>
      <c r="G679" s="1" t="s">
        <v>1840</v>
      </c>
      <c r="H679" s="1" t="s">
        <v>2162</v>
      </c>
      <c r="I679" s="1" t="s">
        <v>1636</v>
      </c>
      <c r="J679" s="1" t="s">
        <v>2158</v>
      </c>
      <c r="K679" s="492" t="str">
        <f t="shared" si="43"/>
        <v>Storage</v>
      </c>
      <c r="L679" s="486" t="str">
        <f t="shared" si="44"/>
        <v>GB</v>
      </c>
      <c r="M679" s="486" t="str">
        <f t="shared" si="42"/>
        <v>UC</v>
      </c>
      <c r="N679" s="486" t="str">
        <f t="shared" si="45"/>
        <v>IAAS</v>
      </c>
    </row>
    <row r="680" spans="1:14">
      <c r="A680" s="1" t="s">
        <v>2367</v>
      </c>
      <c r="B680" s="1" t="s">
        <v>2368</v>
      </c>
      <c r="C680" s="1">
        <v>0</v>
      </c>
      <c r="D680" s="1">
        <v>0</v>
      </c>
      <c r="E680" s="1">
        <v>0</v>
      </c>
      <c r="F680" s="1" t="s">
        <v>2290</v>
      </c>
      <c r="G680" s="1" t="s">
        <v>1840</v>
      </c>
      <c r="H680" s="1" t="s">
        <v>2394</v>
      </c>
      <c r="I680" s="1" t="s">
        <v>1636</v>
      </c>
      <c r="J680" s="1" t="s">
        <v>2158</v>
      </c>
      <c r="K680" s="492" t="str">
        <f t="shared" si="43"/>
        <v>Storage</v>
      </c>
      <c r="L680" s="486" t="str">
        <f t="shared" si="44"/>
        <v>UNIT</v>
      </c>
      <c r="M680" s="486" t="str">
        <f t="shared" si="42"/>
        <v>UC</v>
      </c>
      <c r="N680" s="486" t="str">
        <f t="shared" si="45"/>
        <v>IAAS</v>
      </c>
    </row>
    <row r="681" spans="1:14">
      <c r="A681" s="1" t="s">
        <v>2369</v>
      </c>
      <c r="B681" s="1" t="s">
        <v>2387</v>
      </c>
      <c r="C681" s="1">
        <v>0.3</v>
      </c>
      <c r="D681" s="1">
        <v>0.2</v>
      </c>
      <c r="E681" s="1" t="s">
        <v>2370</v>
      </c>
      <c r="F681" s="1" t="s">
        <v>2290</v>
      </c>
      <c r="G681" s="1" t="s">
        <v>2391</v>
      </c>
      <c r="H681" s="1" t="s">
        <v>2161</v>
      </c>
      <c r="I681" s="1" t="s">
        <v>1636</v>
      </c>
      <c r="J681" s="1" t="s">
        <v>2159</v>
      </c>
      <c r="K681" s="492" t="str">
        <f t="shared" si="43"/>
        <v>Integration</v>
      </c>
      <c r="L681" s="486" t="str">
        <f t="shared" si="44"/>
        <v>HR</v>
      </c>
      <c r="M681" s="486" t="str">
        <f t="shared" si="42"/>
        <v>UC</v>
      </c>
      <c r="N681" s="486" t="str">
        <f t="shared" si="45"/>
        <v>PAAS</v>
      </c>
    </row>
    <row r="682" spans="1:14">
      <c r="A682" s="1" t="s">
        <v>2371</v>
      </c>
      <c r="B682" s="1" t="s">
        <v>2388</v>
      </c>
      <c r="C682" s="1">
        <v>7.4999999999999997E-2</v>
      </c>
      <c r="D682" s="1">
        <v>0.05</v>
      </c>
      <c r="E682" s="1" t="s">
        <v>2212</v>
      </c>
      <c r="F682" s="1" t="s">
        <v>2290</v>
      </c>
      <c r="G682" s="1" t="s">
        <v>2391</v>
      </c>
      <c r="H682" s="1" t="s">
        <v>2161</v>
      </c>
      <c r="I682" s="1" t="s">
        <v>1636</v>
      </c>
      <c r="J682" s="1" t="s">
        <v>2159</v>
      </c>
      <c r="K682" s="492" t="str">
        <f t="shared" si="43"/>
        <v>Integration</v>
      </c>
      <c r="L682" s="486" t="str">
        <f t="shared" si="44"/>
        <v>HR</v>
      </c>
      <c r="M682" s="486" t="str">
        <f t="shared" si="42"/>
        <v>UC</v>
      </c>
      <c r="N682" s="486" t="str">
        <f t="shared" si="45"/>
        <v>PAAS</v>
      </c>
    </row>
    <row r="683" spans="1:14">
      <c r="A683"/>
      <c r="B683"/>
      <c r="C683"/>
      <c r="D683"/>
      <c r="E683"/>
      <c r="F683"/>
      <c r="G683" s="1" t="e">
        <v>#VALUE!</v>
      </c>
      <c r="H683" s="1" t="s">
        <v>2394</v>
      </c>
      <c r="I683" s="1" t="e">
        <v>#VALUE!</v>
      </c>
      <c r="J683" s="1" t="e">
        <v>#VALUE!</v>
      </c>
      <c r="K683" s="492" t="e">
        <f t="shared" si="43"/>
        <v>#VALUE!</v>
      </c>
      <c r="L683" s="486" t="str">
        <f t="shared" si="44"/>
        <v>UNIT</v>
      </c>
      <c r="M683" s="486" t="e">
        <f t="shared" si="42"/>
        <v>#VALUE!</v>
      </c>
      <c r="N683" s="486" t="e">
        <f t="shared" si="45"/>
        <v>#VALUE!</v>
      </c>
    </row>
    <row r="684" spans="1:14">
      <c r="A684"/>
      <c r="B684"/>
      <c r="C684"/>
      <c r="D684"/>
      <c r="E684"/>
      <c r="F684"/>
      <c r="G684" s="1" t="e">
        <v>#VALUE!</v>
      </c>
      <c r="H684" s="1" t="s">
        <v>2394</v>
      </c>
      <c r="I684" s="1" t="e">
        <v>#VALUE!</v>
      </c>
      <c r="J684" s="1" t="e">
        <v>#VALUE!</v>
      </c>
      <c r="K684" s="492" t="e">
        <f t="shared" si="43"/>
        <v>#VALUE!</v>
      </c>
      <c r="L684" s="486" t="str">
        <f t="shared" si="44"/>
        <v>UNIT</v>
      </c>
      <c r="M684" s="486" t="e">
        <f t="shared" si="42"/>
        <v>#VALUE!</v>
      </c>
      <c r="N684" s="486" t="e">
        <f t="shared" si="45"/>
        <v>#VALUE!</v>
      </c>
    </row>
    <row r="685" spans="1:14">
      <c r="A685"/>
      <c r="B685"/>
      <c r="C685"/>
      <c r="D685"/>
      <c r="E685"/>
      <c r="F685"/>
      <c r="G685" s="1" t="e">
        <v>#VALUE!</v>
      </c>
      <c r="H685" s="1" t="s">
        <v>2394</v>
      </c>
      <c r="I685" s="1" t="e">
        <v>#VALUE!</v>
      </c>
      <c r="J685" s="1" t="e">
        <v>#VALUE!</v>
      </c>
      <c r="K685" s="492" t="e">
        <f t="shared" si="43"/>
        <v>#VALUE!</v>
      </c>
      <c r="L685" s="486" t="str">
        <f t="shared" si="44"/>
        <v>UNIT</v>
      </c>
      <c r="M685" s="486" t="e">
        <f t="shared" si="42"/>
        <v>#VALUE!</v>
      </c>
      <c r="N685" s="486" t="e">
        <f t="shared" si="45"/>
        <v>#VALUE!</v>
      </c>
    </row>
    <row r="686" spans="1:14">
      <c r="A686"/>
      <c r="B686"/>
      <c r="C686"/>
      <c r="D686"/>
      <c r="E686"/>
      <c r="F686"/>
      <c r="G686" s="1" t="e">
        <v>#VALUE!</v>
      </c>
      <c r="H686" s="1" t="s">
        <v>2394</v>
      </c>
      <c r="I686" s="1" t="e">
        <v>#VALUE!</v>
      </c>
      <c r="J686" s="1" t="e">
        <v>#VALUE!</v>
      </c>
      <c r="K686" s="492" t="e">
        <f t="shared" si="43"/>
        <v>#VALUE!</v>
      </c>
      <c r="L686" s="486" t="str">
        <f t="shared" si="44"/>
        <v>UNIT</v>
      </c>
      <c r="M686" s="486" t="e">
        <f t="shared" si="42"/>
        <v>#VALUE!</v>
      </c>
      <c r="N686" s="486" t="e">
        <f t="shared" si="45"/>
        <v>#VALUE!</v>
      </c>
    </row>
    <row r="687" spans="1:14">
      <c r="A687"/>
      <c r="B687"/>
      <c r="C687"/>
      <c r="D687"/>
      <c r="E687"/>
      <c r="F687"/>
      <c r="G687" s="1" t="e">
        <v>#VALUE!</v>
      </c>
      <c r="H687" s="1" t="s">
        <v>2394</v>
      </c>
      <c r="I687" s="1" t="e">
        <v>#VALUE!</v>
      </c>
      <c r="J687" s="1" t="e">
        <v>#VALUE!</v>
      </c>
      <c r="K687" s="492" t="e">
        <f t="shared" si="43"/>
        <v>#VALUE!</v>
      </c>
      <c r="L687" s="486" t="str">
        <f t="shared" si="44"/>
        <v>UNIT</v>
      </c>
      <c r="M687" s="486" t="e">
        <f t="shared" si="42"/>
        <v>#VALUE!</v>
      </c>
      <c r="N687" s="486" t="e">
        <f t="shared" si="45"/>
        <v>#VALUE!</v>
      </c>
    </row>
    <row r="688" spans="1:14">
      <c r="A688"/>
      <c r="B688"/>
      <c r="C688"/>
      <c r="D688"/>
      <c r="E688"/>
      <c r="F688"/>
      <c r="G688" s="1" t="e">
        <v>#VALUE!</v>
      </c>
      <c r="H688" s="1" t="s">
        <v>2394</v>
      </c>
      <c r="I688" s="1" t="e">
        <v>#VALUE!</v>
      </c>
      <c r="J688" s="1" t="e">
        <v>#VALUE!</v>
      </c>
      <c r="K688" s="492" t="e">
        <f t="shared" si="43"/>
        <v>#VALUE!</v>
      </c>
      <c r="L688" s="486" t="str">
        <f t="shared" si="44"/>
        <v>UNIT</v>
      </c>
      <c r="M688" s="486" t="e">
        <f t="shared" si="42"/>
        <v>#VALUE!</v>
      </c>
      <c r="N688" s="486" t="e">
        <f t="shared" si="45"/>
        <v>#VALUE!</v>
      </c>
    </row>
    <row r="689" spans="1:14">
      <c r="A689"/>
      <c r="B689"/>
      <c r="C689"/>
      <c r="D689"/>
      <c r="E689"/>
      <c r="F689"/>
      <c r="G689" s="1" t="e">
        <v>#VALUE!</v>
      </c>
      <c r="H689" s="1" t="s">
        <v>2394</v>
      </c>
      <c r="I689" s="1" t="e">
        <v>#VALUE!</v>
      </c>
      <c r="J689" s="1" t="e">
        <v>#VALUE!</v>
      </c>
      <c r="K689" s="492" t="e">
        <f t="shared" si="43"/>
        <v>#VALUE!</v>
      </c>
      <c r="L689" s="486" t="str">
        <f t="shared" si="44"/>
        <v>UNIT</v>
      </c>
      <c r="M689" s="486" t="e">
        <f t="shared" si="42"/>
        <v>#VALUE!</v>
      </c>
      <c r="N689" s="486" t="e">
        <f t="shared" si="45"/>
        <v>#VALUE!</v>
      </c>
    </row>
    <row r="690" spans="1:14">
      <c r="A690"/>
      <c r="B690"/>
      <c r="C690"/>
      <c r="D690"/>
      <c r="E690"/>
      <c r="F690"/>
      <c r="G690" s="1" t="e">
        <v>#VALUE!</v>
      </c>
      <c r="H690" s="1" t="s">
        <v>2394</v>
      </c>
      <c r="I690" s="1" t="e">
        <v>#VALUE!</v>
      </c>
      <c r="J690" s="1" t="e">
        <v>#VALUE!</v>
      </c>
      <c r="K690" s="492" t="e">
        <f t="shared" si="43"/>
        <v>#VALUE!</v>
      </c>
      <c r="L690" s="486" t="str">
        <f t="shared" si="44"/>
        <v>UNIT</v>
      </c>
      <c r="M690" s="486" t="e">
        <f t="shared" si="42"/>
        <v>#VALUE!</v>
      </c>
      <c r="N690" s="486" t="e">
        <f t="shared" si="45"/>
        <v>#VALUE!</v>
      </c>
    </row>
    <row r="691" spans="1:14">
      <c r="A691"/>
      <c r="B691"/>
      <c r="C691"/>
      <c r="D691"/>
      <c r="E691"/>
      <c r="F691"/>
      <c r="G691" s="1" t="e">
        <v>#VALUE!</v>
      </c>
      <c r="H691" s="1" t="s">
        <v>2394</v>
      </c>
      <c r="I691" s="1" t="e">
        <v>#VALUE!</v>
      </c>
      <c r="J691" s="1" t="e">
        <v>#VALUE!</v>
      </c>
      <c r="K691" s="492" t="e">
        <f t="shared" si="43"/>
        <v>#VALUE!</v>
      </c>
      <c r="L691" s="486" t="str">
        <f t="shared" si="44"/>
        <v>UNIT</v>
      </c>
      <c r="M691" s="486" t="e">
        <f t="shared" si="42"/>
        <v>#VALUE!</v>
      </c>
      <c r="N691" s="486" t="e">
        <f t="shared" si="45"/>
        <v>#VALUE!</v>
      </c>
    </row>
    <row r="692" spans="1:14">
      <c r="A692"/>
      <c r="B692"/>
      <c r="C692"/>
      <c r="D692"/>
      <c r="E692"/>
      <c r="F692"/>
      <c r="G692" s="1" t="e">
        <v>#VALUE!</v>
      </c>
      <c r="H692" s="1" t="s">
        <v>2394</v>
      </c>
      <c r="I692" s="1" t="e">
        <v>#VALUE!</v>
      </c>
      <c r="J692" s="1" t="e">
        <v>#VALUE!</v>
      </c>
      <c r="K692" s="492" t="e">
        <f t="shared" si="43"/>
        <v>#VALUE!</v>
      </c>
      <c r="L692" s="486" t="str">
        <f t="shared" si="44"/>
        <v>UNIT</v>
      </c>
      <c r="M692" s="486" t="e">
        <f t="shared" si="42"/>
        <v>#VALUE!</v>
      </c>
      <c r="N692" s="486" t="e">
        <f t="shared" si="45"/>
        <v>#VALUE!</v>
      </c>
    </row>
    <row r="693" spans="1:14">
      <c r="A693"/>
      <c r="B693"/>
      <c r="C693"/>
      <c r="D693"/>
      <c r="E693"/>
      <c r="F693"/>
      <c r="G693" s="1" t="e">
        <v>#VALUE!</v>
      </c>
      <c r="H693" s="1" t="s">
        <v>2394</v>
      </c>
      <c r="I693" s="1" t="e">
        <v>#VALUE!</v>
      </c>
      <c r="J693" s="1" t="e">
        <v>#VALUE!</v>
      </c>
      <c r="K693" s="492" t="e">
        <f t="shared" si="43"/>
        <v>#VALUE!</v>
      </c>
      <c r="L693" s="486" t="str">
        <f t="shared" si="44"/>
        <v>UNIT</v>
      </c>
      <c r="M693" s="486" t="e">
        <f t="shared" si="42"/>
        <v>#VALUE!</v>
      </c>
      <c r="N693" s="486" t="e">
        <f t="shared" si="45"/>
        <v>#VALUE!</v>
      </c>
    </row>
    <row r="694" spans="1:14">
      <c r="A694"/>
      <c r="B694"/>
      <c r="C694"/>
      <c r="D694"/>
      <c r="E694"/>
      <c r="F694"/>
      <c r="G694" s="1" t="e">
        <v>#VALUE!</v>
      </c>
      <c r="H694" s="1" t="s">
        <v>2394</v>
      </c>
      <c r="I694" s="1" t="e">
        <v>#VALUE!</v>
      </c>
      <c r="J694" s="1" t="e">
        <v>#VALUE!</v>
      </c>
      <c r="K694" s="492" t="e">
        <f t="shared" si="43"/>
        <v>#VALUE!</v>
      </c>
      <c r="L694" s="486" t="str">
        <f t="shared" si="44"/>
        <v>UNIT</v>
      </c>
      <c r="M694" s="486" t="e">
        <f t="shared" si="42"/>
        <v>#VALUE!</v>
      </c>
      <c r="N694" s="486" t="e">
        <f t="shared" si="45"/>
        <v>#VALUE!</v>
      </c>
    </row>
    <row r="695" spans="1:14">
      <c r="A695"/>
      <c r="B695"/>
      <c r="C695"/>
      <c r="D695"/>
      <c r="E695"/>
      <c r="F695"/>
      <c r="G695" s="1" t="e">
        <v>#VALUE!</v>
      </c>
      <c r="H695" s="1" t="s">
        <v>2394</v>
      </c>
      <c r="I695" s="1" t="e">
        <v>#VALUE!</v>
      </c>
      <c r="J695" s="1" t="e">
        <v>#VALUE!</v>
      </c>
      <c r="K695" s="492" t="e">
        <f t="shared" si="43"/>
        <v>#VALUE!</v>
      </c>
      <c r="L695" s="486" t="str">
        <f t="shared" si="44"/>
        <v>UNIT</v>
      </c>
      <c r="M695" s="486" t="e">
        <f t="shared" si="42"/>
        <v>#VALUE!</v>
      </c>
      <c r="N695" s="486" t="e">
        <f t="shared" si="45"/>
        <v>#VALUE!</v>
      </c>
    </row>
    <row r="696" spans="1:14">
      <c r="A696"/>
      <c r="B696"/>
      <c r="C696"/>
      <c r="D696"/>
      <c r="E696"/>
      <c r="F696"/>
      <c r="G696" s="1" t="e">
        <v>#VALUE!</v>
      </c>
      <c r="H696" s="1" t="s">
        <v>2394</v>
      </c>
      <c r="I696" s="1" t="e">
        <v>#VALUE!</v>
      </c>
      <c r="J696" s="1" t="e">
        <v>#VALUE!</v>
      </c>
      <c r="K696" s="492" t="e">
        <f t="shared" si="43"/>
        <v>#VALUE!</v>
      </c>
      <c r="L696" s="486" t="str">
        <f t="shared" si="44"/>
        <v>UNIT</v>
      </c>
      <c r="M696" s="486" t="e">
        <f t="shared" si="42"/>
        <v>#VALUE!</v>
      </c>
      <c r="N696" s="486" t="e">
        <f t="shared" si="45"/>
        <v>#VALUE!</v>
      </c>
    </row>
    <row r="697" spans="1:14">
      <c r="A697"/>
      <c r="B697"/>
      <c r="C697"/>
      <c r="D697"/>
      <c r="E697"/>
      <c r="F697"/>
      <c r="G697" s="1" t="e">
        <v>#VALUE!</v>
      </c>
      <c r="H697" s="1" t="s">
        <v>2394</v>
      </c>
      <c r="I697" s="1" t="e">
        <v>#VALUE!</v>
      </c>
      <c r="J697" s="1" t="e">
        <v>#VALUE!</v>
      </c>
      <c r="K697" s="492" t="e">
        <f t="shared" si="43"/>
        <v>#VALUE!</v>
      </c>
      <c r="L697" s="486" t="str">
        <f t="shared" si="44"/>
        <v>UNIT</v>
      </c>
      <c r="M697" s="486" t="e">
        <f t="shared" si="42"/>
        <v>#VALUE!</v>
      </c>
      <c r="N697" s="486" t="e">
        <f t="shared" si="45"/>
        <v>#VALUE!</v>
      </c>
    </row>
    <row r="698" spans="1:14">
      <c r="A698"/>
      <c r="B698"/>
      <c r="C698"/>
      <c r="D698"/>
      <c r="E698"/>
      <c r="F698"/>
      <c r="G698" s="1" t="e">
        <v>#VALUE!</v>
      </c>
      <c r="H698" s="1" t="s">
        <v>2394</v>
      </c>
      <c r="I698" s="1" t="e">
        <v>#VALUE!</v>
      </c>
      <c r="J698" s="1" t="e">
        <v>#VALUE!</v>
      </c>
      <c r="K698" s="492" t="e">
        <f t="shared" si="43"/>
        <v>#VALUE!</v>
      </c>
      <c r="L698" s="486" t="str">
        <f t="shared" si="44"/>
        <v>UNIT</v>
      </c>
      <c r="M698" s="486" t="e">
        <f t="shared" si="42"/>
        <v>#VALUE!</v>
      </c>
      <c r="N698" s="486" t="e">
        <f t="shared" si="45"/>
        <v>#VALUE!</v>
      </c>
    </row>
    <row r="699" spans="1:14">
      <c r="A699"/>
      <c r="B699"/>
      <c r="C699"/>
      <c r="D699"/>
      <c r="E699"/>
      <c r="F699"/>
      <c r="G699" s="1" t="e">
        <v>#VALUE!</v>
      </c>
      <c r="H699" s="1" t="s">
        <v>2394</v>
      </c>
      <c r="I699" s="1" t="e">
        <v>#VALUE!</v>
      </c>
      <c r="J699" s="1" t="e">
        <v>#VALUE!</v>
      </c>
      <c r="K699" s="492" t="e">
        <f t="shared" si="43"/>
        <v>#VALUE!</v>
      </c>
      <c r="L699" s="486" t="str">
        <f t="shared" si="44"/>
        <v>UNIT</v>
      </c>
      <c r="M699" s="486" t="e">
        <f t="shared" si="42"/>
        <v>#VALUE!</v>
      </c>
      <c r="N699" s="486" t="e">
        <f t="shared" si="45"/>
        <v>#VALUE!</v>
      </c>
    </row>
    <row r="700" spans="1:14">
      <c r="A700"/>
      <c r="B700"/>
      <c r="C700"/>
      <c r="D700"/>
      <c r="E700"/>
      <c r="F700"/>
      <c r="G700" s="1" t="e">
        <v>#VALUE!</v>
      </c>
      <c r="H700" s="1" t="s">
        <v>2394</v>
      </c>
      <c r="I700" s="1" t="e">
        <v>#VALUE!</v>
      </c>
      <c r="J700" s="1" t="e">
        <v>#VALUE!</v>
      </c>
      <c r="K700" s="492" t="e">
        <f t="shared" si="43"/>
        <v>#VALUE!</v>
      </c>
      <c r="L700" s="486" t="str">
        <f t="shared" si="44"/>
        <v>UNIT</v>
      </c>
      <c r="M700" s="486" t="e">
        <f t="shared" si="42"/>
        <v>#VALUE!</v>
      </c>
      <c r="N700" s="486" t="e">
        <f t="shared" si="45"/>
        <v>#VALUE!</v>
      </c>
    </row>
    <row r="701" spans="1:14">
      <c r="A701"/>
      <c r="B701"/>
      <c r="C701"/>
      <c r="D701"/>
      <c r="E701"/>
      <c r="F701"/>
      <c r="G701" s="1" t="e">
        <v>#VALUE!</v>
      </c>
      <c r="H701" s="1" t="s">
        <v>2394</v>
      </c>
      <c r="I701" s="1" t="e">
        <v>#VALUE!</v>
      </c>
      <c r="J701" s="1" t="e">
        <v>#VALUE!</v>
      </c>
      <c r="K701" s="492" t="e">
        <f t="shared" si="43"/>
        <v>#VALUE!</v>
      </c>
      <c r="L701" s="486" t="str">
        <f t="shared" si="44"/>
        <v>UNIT</v>
      </c>
      <c r="M701" s="486" t="e">
        <f t="shared" si="42"/>
        <v>#VALUE!</v>
      </c>
      <c r="N701" s="486" t="e">
        <f t="shared" si="45"/>
        <v>#VALUE!</v>
      </c>
    </row>
    <row r="702" spans="1:14">
      <c r="A702"/>
      <c r="B702"/>
      <c r="C702"/>
      <c r="D702"/>
      <c r="E702"/>
      <c r="F702"/>
      <c r="G702" s="1" t="e">
        <v>#VALUE!</v>
      </c>
      <c r="H702" s="1" t="s">
        <v>2394</v>
      </c>
      <c r="I702" s="1" t="e">
        <v>#VALUE!</v>
      </c>
      <c r="J702" s="1" t="e">
        <v>#VALUE!</v>
      </c>
      <c r="K702" s="492" t="e">
        <f t="shared" si="43"/>
        <v>#VALUE!</v>
      </c>
      <c r="L702" s="486" t="str">
        <f t="shared" si="44"/>
        <v>UNIT</v>
      </c>
      <c r="M702" s="486" t="e">
        <f t="shared" si="42"/>
        <v>#VALUE!</v>
      </c>
      <c r="N702" s="486" t="e">
        <f t="shared" si="45"/>
        <v>#VALUE!</v>
      </c>
    </row>
    <row r="703" spans="1:14">
      <c r="A703"/>
      <c r="B703"/>
      <c r="C703"/>
      <c r="D703"/>
      <c r="E703"/>
      <c r="F703"/>
      <c r="G703" s="1" t="e">
        <v>#VALUE!</v>
      </c>
      <c r="H703" s="1" t="s">
        <v>2394</v>
      </c>
      <c r="I703" s="1" t="e">
        <v>#VALUE!</v>
      </c>
      <c r="J703" s="1" t="e">
        <v>#VALUE!</v>
      </c>
      <c r="K703" s="492" t="e">
        <f t="shared" si="43"/>
        <v>#VALUE!</v>
      </c>
      <c r="L703" s="486" t="str">
        <f t="shared" si="44"/>
        <v>UNIT</v>
      </c>
      <c r="M703" s="486" t="e">
        <f t="shared" si="42"/>
        <v>#VALUE!</v>
      </c>
      <c r="N703" s="486" t="e">
        <f t="shared" si="45"/>
        <v>#VALUE!</v>
      </c>
    </row>
    <row r="704" spans="1:14">
      <c r="A704"/>
      <c r="B704"/>
      <c r="C704"/>
      <c r="D704"/>
      <c r="E704"/>
      <c r="F704"/>
      <c r="G704" s="1" t="e">
        <v>#VALUE!</v>
      </c>
      <c r="H704" s="1" t="s">
        <v>2394</v>
      </c>
      <c r="I704" s="1" t="e">
        <v>#VALUE!</v>
      </c>
      <c r="J704" s="1" t="e">
        <v>#VALUE!</v>
      </c>
      <c r="K704" s="492" t="e">
        <f t="shared" si="43"/>
        <v>#VALUE!</v>
      </c>
      <c r="L704" s="486" t="str">
        <f t="shared" si="44"/>
        <v>UNIT</v>
      </c>
      <c r="M704" s="486" t="e">
        <f t="shared" si="42"/>
        <v>#VALUE!</v>
      </c>
      <c r="N704" s="486" t="e">
        <f t="shared" si="45"/>
        <v>#VALUE!</v>
      </c>
    </row>
    <row r="705" spans="1:10">
      <c r="A705"/>
      <c r="B705"/>
      <c r="C705"/>
      <c r="D705"/>
      <c r="E705"/>
      <c r="F705"/>
      <c r="G705" s="1">
        <v>0</v>
      </c>
      <c r="H705" s="1">
        <v>0</v>
      </c>
      <c r="I705" s="1">
        <v>0</v>
      </c>
      <c r="J705" s="1">
        <v>0</v>
      </c>
    </row>
    <row r="706" spans="1:10">
      <c r="A706"/>
      <c r="B706"/>
      <c r="C706"/>
      <c r="D706"/>
      <c r="E706"/>
      <c r="F706"/>
      <c r="G706" s="1">
        <v>0</v>
      </c>
      <c r="H706" s="1">
        <v>0</v>
      </c>
      <c r="I706" s="1">
        <v>0</v>
      </c>
      <c r="J706" s="1">
        <v>0</v>
      </c>
    </row>
    <row r="707" spans="1:10">
      <c r="A707"/>
      <c r="B707"/>
      <c r="C707"/>
      <c r="D707"/>
      <c r="E707"/>
      <c r="F707"/>
      <c r="G707" s="1">
        <v>0</v>
      </c>
      <c r="H707" s="1">
        <v>0</v>
      </c>
      <c r="I707" s="1">
        <v>0</v>
      </c>
      <c r="J707" s="1">
        <v>0</v>
      </c>
    </row>
    <row r="708" spans="1:10">
      <c r="A708"/>
      <c r="B708"/>
      <c r="C708"/>
      <c r="D708"/>
      <c r="E708"/>
      <c r="F708"/>
      <c r="G708" s="1">
        <v>0</v>
      </c>
      <c r="H708" s="1">
        <v>0</v>
      </c>
      <c r="I708" s="1">
        <v>0</v>
      </c>
      <c r="J708" s="1">
        <v>0</v>
      </c>
    </row>
    <row r="709" spans="1:10">
      <c r="A709"/>
      <c r="B709"/>
      <c r="C709"/>
      <c r="D709"/>
      <c r="E709"/>
      <c r="F709"/>
      <c r="G709" s="1">
        <v>0</v>
      </c>
      <c r="H709" s="1">
        <v>0</v>
      </c>
      <c r="I709" s="1">
        <v>0</v>
      </c>
      <c r="J709" s="1">
        <v>0</v>
      </c>
    </row>
    <row r="710" spans="1:10">
      <c r="A710"/>
      <c r="B710"/>
      <c r="C710"/>
      <c r="D710"/>
      <c r="E710"/>
      <c r="F710"/>
      <c r="G710" s="1">
        <v>0</v>
      </c>
      <c r="H710" s="1">
        <v>0</v>
      </c>
      <c r="I710" s="1">
        <v>0</v>
      </c>
      <c r="J710" s="1">
        <v>0</v>
      </c>
    </row>
    <row r="711" spans="1:10">
      <c r="A711"/>
      <c r="B711"/>
      <c r="C711"/>
      <c r="D711"/>
      <c r="E711"/>
      <c r="F711"/>
      <c r="G711" s="1">
        <v>0</v>
      </c>
      <c r="H711" s="1">
        <v>0</v>
      </c>
      <c r="I711" s="1">
        <v>0</v>
      </c>
      <c r="J711" s="1">
        <v>0</v>
      </c>
    </row>
    <row r="712" spans="1:10">
      <c r="A712"/>
      <c r="B712"/>
      <c r="C712"/>
      <c r="D712"/>
      <c r="E712"/>
      <c r="F712"/>
      <c r="G712" s="1">
        <v>0</v>
      </c>
      <c r="H712" s="1">
        <v>0</v>
      </c>
      <c r="I712" s="1">
        <v>0</v>
      </c>
      <c r="J712" s="1">
        <v>0</v>
      </c>
    </row>
    <row r="713" spans="1:10">
      <c r="A713"/>
      <c r="B713"/>
      <c r="C713"/>
      <c r="D713"/>
      <c r="E713"/>
      <c r="F713"/>
      <c r="G713" s="1">
        <v>0</v>
      </c>
      <c r="H713" s="1">
        <v>0</v>
      </c>
      <c r="I713" s="1">
        <v>0</v>
      </c>
      <c r="J713" s="1">
        <v>0</v>
      </c>
    </row>
    <row r="714" spans="1:10">
      <c r="A714"/>
      <c r="B714"/>
      <c r="C714"/>
      <c r="D714"/>
      <c r="E714"/>
      <c r="F714"/>
      <c r="G714" s="1">
        <v>0</v>
      </c>
      <c r="H714" s="1">
        <v>0</v>
      </c>
      <c r="I714" s="1">
        <v>0</v>
      </c>
      <c r="J714" s="1">
        <v>0</v>
      </c>
    </row>
    <row r="715" spans="1:10">
      <c r="A715"/>
      <c r="B715"/>
      <c r="C715"/>
      <c r="D715"/>
      <c r="E715"/>
      <c r="F715"/>
      <c r="G715" s="1">
        <v>0</v>
      </c>
      <c r="H715" s="1">
        <v>0</v>
      </c>
      <c r="I715" s="1">
        <v>0</v>
      </c>
      <c r="J715" s="1">
        <v>0</v>
      </c>
    </row>
    <row r="716" spans="1:10">
      <c r="A716"/>
      <c r="B716"/>
      <c r="C716"/>
      <c r="D716"/>
      <c r="E716"/>
      <c r="F716"/>
      <c r="G716" s="1">
        <v>0</v>
      </c>
      <c r="H716" s="1">
        <v>0</v>
      </c>
      <c r="I716" s="1">
        <v>0</v>
      </c>
      <c r="J716" s="1">
        <v>0</v>
      </c>
    </row>
    <row r="717" spans="1:10">
      <c r="A717"/>
      <c r="B717"/>
      <c r="C717"/>
      <c r="D717"/>
      <c r="E717"/>
      <c r="F717"/>
      <c r="G717" s="1">
        <v>0</v>
      </c>
      <c r="H717" s="1">
        <v>0</v>
      </c>
      <c r="I717" s="1">
        <v>0</v>
      </c>
      <c r="J717" s="1">
        <v>0</v>
      </c>
    </row>
    <row r="718" spans="1:10">
      <c r="A718"/>
      <c r="B718"/>
      <c r="C718"/>
      <c r="D718"/>
      <c r="E718"/>
      <c r="F718"/>
      <c r="G718" s="1">
        <v>0</v>
      </c>
      <c r="H718" s="1">
        <v>0</v>
      </c>
      <c r="I718" s="1">
        <v>0</v>
      </c>
      <c r="J718" s="1">
        <v>0</v>
      </c>
    </row>
    <row r="719" spans="1:10">
      <c r="A719"/>
      <c r="B719"/>
      <c r="C719"/>
      <c r="D719"/>
      <c r="E719"/>
      <c r="F719"/>
      <c r="G719" s="1">
        <v>0</v>
      </c>
      <c r="H719" s="1">
        <v>0</v>
      </c>
      <c r="I719" s="1">
        <v>0</v>
      </c>
      <c r="J719" s="1">
        <v>0</v>
      </c>
    </row>
    <row r="720" spans="1:10">
      <c r="A720"/>
      <c r="B720"/>
      <c r="C720"/>
      <c r="D720"/>
      <c r="E720"/>
      <c r="F720"/>
      <c r="G720" s="1">
        <v>0</v>
      </c>
      <c r="H720" s="1">
        <v>0</v>
      </c>
      <c r="I720" s="1">
        <v>0</v>
      </c>
      <c r="J720" s="1">
        <v>0</v>
      </c>
    </row>
    <row r="721" spans="1:10">
      <c r="A721"/>
      <c r="B721"/>
      <c r="C721"/>
      <c r="D721"/>
      <c r="E721"/>
      <c r="F721"/>
      <c r="G721" s="1">
        <v>0</v>
      </c>
      <c r="H721" s="1">
        <v>0</v>
      </c>
      <c r="I721" s="1">
        <v>0</v>
      </c>
      <c r="J721" s="1">
        <v>0</v>
      </c>
    </row>
    <row r="722" spans="1:10">
      <c r="A722"/>
      <c r="B722"/>
      <c r="C722"/>
      <c r="D722"/>
      <c r="E722"/>
      <c r="F722"/>
      <c r="G722" s="1">
        <v>0</v>
      </c>
      <c r="H722" s="1">
        <v>0</v>
      </c>
      <c r="I722" s="1">
        <v>0</v>
      </c>
      <c r="J722" s="1">
        <v>0</v>
      </c>
    </row>
    <row r="723" spans="1:10">
      <c r="A723"/>
      <c r="B723"/>
      <c r="C723"/>
      <c r="D723"/>
      <c r="E723"/>
      <c r="F723"/>
      <c r="G723" s="1">
        <v>0</v>
      </c>
      <c r="H723" s="1">
        <v>0</v>
      </c>
      <c r="I723" s="1">
        <v>0</v>
      </c>
      <c r="J723" s="1">
        <v>0</v>
      </c>
    </row>
    <row r="724" spans="1:10">
      <c r="A724"/>
      <c r="B724"/>
      <c r="C724"/>
      <c r="D724"/>
      <c r="E724"/>
      <c r="F724"/>
      <c r="G724" s="1">
        <v>0</v>
      </c>
      <c r="H724" s="1">
        <v>0</v>
      </c>
      <c r="I724" s="1">
        <v>0</v>
      </c>
      <c r="J724" s="1">
        <v>0</v>
      </c>
    </row>
    <row r="725" spans="1:10">
      <c r="A725"/>
      <c r="B725"/>
      <c r="C725"/>
      <c r="D725"/>
      <c r="E725"/>
      <c r="F725"/>
      <c r="G725" s="1">
        <v>0</v>
      </c>
      <c r="H725" s="1">
        <v>0</v>
      </c>
      <c r="I725" s="1">
        <v>0</v>
      </c>
      <c r="J725" s="1">
        <v>0</v>
      </c>
    </row>
    <row r="726" spans="1:10">
      <c r="A726"/>
      <c r="B726"/>
      <c r="C726"/>
      <c r="D726"/>
      <c r="E726"/>
      <c r="F726"/>
      <c r="G726" s="1">
        <v>0</v>
      </c>
      <c r="H726" s="1">
        <v>0</v>
      </c>
      <c r="I726" s="1">
        <v>0</v>
      </c>
      <c r="J726" s="1">
        <v>0</v>
      </c>
    </row>
    <row r="727" spans="1:10">
      <c r="A727"/>
      <c r="B727"/>
      <c r="C727"/>
      <c r="D727"/>
      <c r="E727"/>
      <c r="F727"/>
      <c r="G727" s="1">
        <v>0</v>
      </c>
      <c r="H727" s="1">
        <v>0</v>
      </c>
      <c r="I727" s="1">
        <v>0</v>
      </c>
      <c r="J727" s="1">
        <v>0</v>
      </c>
    </row>
    <row r="728" spans="1:10">
      <c r="A728"/>
      <c r="B728"/>
      <c r="C728"/>
      <c r="D728"/>
      <c r="E728"/>
      <c r="F728"/>
      <c r="G728" s="1">
        <v>0</v>
      </c>
      <c r="H728" s="1">
        <v>0</v>
      </c>
      <c r="I728" s="1">
        <v>0</v>
      </c>
      <c r="J728" s="1">
        <v>0</v>
      </c>
    </row>
    <row r="729" spans="1:10">
      <c r="A729"/>
      <c r="B729"/>
      <c r="C729"/>
      <c r="D729"/>
      <c r="E729"/>
      <c r="F729"/>
      <c r="G729" s="1">
        <v>0</v>
      </c>
      <c r="H729" s="1">
        <v>0</v>
      </c>
      <c r="I729" s="1">
        <v>0</v>
      </c>
      <c r="J729" s="1">
        <v>0</v>
      </c>
    </row>
    <row r="730" spans="1:10">
      <c r="A730"/>
      <c r="B730"/>
      <c r="C730"/>
      <c r="D730"/>
      <c r="E730"/>
      <c r="F730"/>
      <c r="G730" s="1">
        <v>0</v>
      </c>
      <c r="H730" s="1">
        <v>0</v>
      </c>
      <c r="I730" s="1">
        <v>0</v>
      </c>
      <c r="J730" s="1">
        <v>0</v>
      </c>
    </row>
    <row r="731" spans="1:10">
      <c r="A731"/>
      <c r="B731"/>
      <c r="C731"/>
      <c r="D731"/>
      <c r="E731"/>
      <c r="F731"/>
      <c r="G731" s="1">
        <v>0</v>
      </c>
      <c r="H731" s="1">
        <v>0</v>
      </c>
      <c r="I731" s="1">
        <v>0</v>
      </c>
      <c r="J731" s="1">
        <v>0</v>
      </c>
    </row>
    <row r="732" spans="1:10">
      <c r="A732"/>
      <c r="B732"/>
      <c r="C732"/>
      <c r="D732"/>
      <c r="E732"/>
      <c r="F732"/>
      <c r="G732" s="1">
        <v>0</v>
      </c>
      <c r="H732" s="1">
        <v>0</v>
      </c>
      <c r="I732" s="1">
        <v>0</v>
      </c>
      <c r="J732" s="1">
        <v>0</v>
      </c>
    </row>
    <row r="733" spans="1:10">
      <c r="A733"/>
      <c r="B733"/>
      <c r="C733"/>
      <c r="D733"/>
      <c r="E733"/>
      <c r="F733"/>
      <c r="G733" s="1">
        <v>0</v>
      </c>
      <c r="H733" s="1">
        <v>0</v>
      </c>
      <c r="I733" s="1">
        <v>0</v>
      </c>
      <c r="J733" s="1">
        <v>0</v>
      </c>
    </row>
    <row r="734" spans="1:10">
      <c r="A734"/>
      <c r="B734"/>
      <c r="C734"/>
      <c r="D734"/>
      <c r="E734"/>
      <c r="F734"/>
      <c r="G734" s="1">
        <v>0</v>
      </c>
      <c r="H734" s="1">
        <v>0</v>
      </c>
      <c r="I734" s="1">
        <v>0</v>
      </c>
      <c r="J734" s="1">
        <v>0</v>
      </c>
    </row>
    <row r="735" spans="1:10">
      <c r="A735"/>
      <c r="B735"/>
      <c r="C735"/>
      <c r="D735"/>
      <c r="E735"/>
      <c r="F735"/>
      <c r="G735" s="1">
        <v>0</v>
      </c>
      <c r="H735" s="1">
        <v>0</v>
      </c>
      <c r="I735" s="1">
        <v>0</v>
      </c>
      <c r="J735" s="1">
        <v>0</v>
      </c>
    </row>
    <row r="736" spans="1:10">
      <c r="A736"/>
      <c r="B736"/>
      <c r="C736"/>
      <c r="D736"/>
      <c r="E736"/>
      <c r="F736"/>
      <c r="G736" s="1">
        <v>0</v>
      </c>
      <c r="H736" s="1">
        <v>0</v>
      </c>
      <c r="I736" s="1">
        <v>0</v>
      </c>
      <c r="J736" s="1">
        <v>0</v>
      </c>
    </row>
    <row r="737" spans="1:10">
      <c r="A737"/>
      <c r="B737"/>
      <c r="C737"/>
      <c r="D737"/>
      <c r="E737"/>
      <c r="F737"/>
      <c r="G737" s="1">
        <v>0</v>
      </c>
      <c r="H737" s="1">
        <v>0</v>
      </c>
      <c r="I737" s="1">
        <v>0</v>
      </c>
      <c r="J737" s="1">
        <v>0</v>
      </c>
    </row>
    <row r="738" spans="1:10">
      <c r="A738"/>
      <c r="B738"/>
      <c r="C738"/>
      <c r="D738"/>
      <c r="E738"/>
      <c r="F738"/>
      <c r="G738" s="1">
        <v>0</v>
      </c>
      <c r="H738" s="1">
        <v>0</v>
      </c>
      <c r="I738" s="1">
        <v>0</v>
      </c>
      <c r="J738" s="1">
        <v>0</v>
      </c>
    </row>
    <row r="739" spans="1:10">
      <c r="A739"/>
      <c r="B739"/>
      <c r="C739"/>
      <c r="D739"/>
      <c r="E739"/>
      <c r="F739"/>
      <c r="G739" s="1">
        <v>0</v>
      </c>
      <c r="H739" s="1">
        <v>0</v>
      </c>
      <c r="I739" s="1">
        <v>0</v>
      </c>
      <c r="J739" s="1">
        <v>0</v>
      </c>
    </row>
    <row r="740" spans="1:10">
      <c r="A740"/>
      <c r="B740"/>
      <c r="C740"/>
      <c r="D740"/>
      <c r="E740"/>
      <c r="F740"/>
      <c r="G740" s="1"/>
      <c r="H740" s="1"/>
      <c r="I740" s="1"/>
      <c r="J740" s="1"/>
    </row>
    <row r="741" spans="1:10">
      <c r="A741"/>
      <c r="B741"/>
      <c r="C741"/>
      <c r="D741"/>
      <c r="E741"/>
      <c r="F741"/>
      <c r="G741" s="1"/>
      <c r="H741" s="1"/>
      <c r="I741" s="1"/>
      <c r="J741" s="1"/>
    </row>
    <row r="742" spans="1:10">
      <c r="A742"/>
      <c r="B742"/>
      <c r="C742"/>
      <c r="D742"/>
      <c r="E742"/>
      <c r="F742"/>
      <c r="G742" s="1"/>
      <c r="H742" s="1"/>
      <c r="I742" s="1"/>
      <c r="J742" s="1"/>
    </row>
    <row r="743" spans="1:10">
      <c r="A743"/>
      <c r="B743"/>
      <c r="C743"/>
      <c r="D743"/>
      <c r="E743"/>
      <c r="F743"/>
      <c r="G743" s="1"/>
      <c r="H743" s="1"/>
      <c r="I743" s="1"/>
      <c r="J743" s="1"/>
    </row>
    <row r="744" spans="1:10">
      <c r="A744"/>
      <c r="B744"/>
      <c r="C744"/>
      <c r="D744"/>
      <c r="E744"/>
      <c r="F744"/>
      <c r="G744" s="1"/>
      <c r="H744" s="1"/>
      <c r="I744" s="1"/>
      <c r="J744" s="1"/>
    </row>
    <row r="745" spans="1:10">
      <c r="A745"/>
      <c r="B745"/>
      <c r="C745"/>
      <c r="D745"/>
      <c r="E745"/>
      <c r="F745"/>
      <c r="G745" s="1"/>
      <c r="H745" s="1"/>
      <c r="I745" s="1"/>
      <c r="J745" s="1"/>
    </row>
    <row r="746" spans="1:10">
      <c r="A746"/>
      <c r="B746"/>
      <c r="C746"/>
      <c r="D746"/>
      <c r="E746"/>
      <c r="F746"/>
      <c r="G746" s="1"/>
      <c r="H746" s="1"/>
      <c r="I746" s="1"/>
      <c r="J746" s="1"/>
    </row>
    <row r="747" spans="1:10">
      <c r="A747"/>
      <c r="B747"/>
      <c r="C747"/>
      <c r="D747"/>
      <c r="E747"/>
      <c r="F747"/>
      <c r="G747" s="1"/>
      <c r="H747" s="1"/>
      <c r="I747" s="1"/>
      <c r="J747" s="1"/>
    </row>
    <row r="748" spans="1:10">
      <c r="A748"/>
      <c r="B748"/>
      <c r="C748"/>
      <c r="D748"/>
      <c r="E748"/>
      <c r="F748"/>
      <c r="G748" s="1"/>
      <c r="H748" s="1"/>
      <c r="I748" s="1"/>
      <c r="J748" s="1"/>
    </row>
    <row r="749" spans="1:10">
      <c r="A749"/>
      <c r="B749"/>
      <c r="C749"/>
      <c r="D749"/>
      <c r="E749"/>
      <c r="F749"/>
      <c r="G749" s="1"/>
      <c r="H749" s="1"/>
      <c r="I749" s="1"/>
      <c r="J749" s="1"/>
    </row>
    <row r="750" spans="1:10">
      <c r="A750"/>
      <c r="B750"/>
      <c r="C750"/>
      <c r="D750"/>
      <c r="E750"/>
      <c r="F750"/>
      <c r="G750" s="1"/>
      <c r="H750" s="1"/>
      <c r="I750" s="1"/>
      <c r="J750" s="1"/>
    </row>
    <row r="751" spans="1:10">
      <c r="A751"/>
      <c r="B751"/>
      <c r="C751"/>
      <c r="D751"/>
      <c r="E751"/>
      <c r="F751"/>
      <c r="G751" s="1"/>
      <c r="H751" s="1"/>
      <c r="I751" s="1"/>
      <c r="J751" s="1"/>
    </row>
    <row r="752" spans="1:10">
      <c r="A752"/>
      <c r="B752"/>
      <c r="C752"/>
      <c r="D752"/>
      <c r="E752"/>
      <c r="F752"/>
      <c r="G752" s="1"/>
      <c r="H752" s="1"/>
      <c r="I752" s="1"/>
      <c r="J752" s="1"/>
    </row>
    <row r="753" spans="1:10">
      <c r="A753"/>
      <c r="B753"/>
      <c r="C753"/>
      <c r="D753"/>
      <c r="E753"/>
      <c r="F753"/>
      <c r="G753" s="1"/>
      <c r="H753" s="1"/>
      <c r="I753" s="1"/>
      <c r="J753" s="1"/>
    </row>
    <row r="754" spans="1:10">
      <c r="A754"/>
      <c r="B754"/>
      <c r="C754"/>
      <c r="D754"/>
      <c r="E754"/>
      <c r="F754"/>
      <c r="G754" s="1"/>
      <c r="H754" s="1"/>
      <c r="I754" s="1"/>
      <c r="J754" s="1"/>
    </row>
    <row r="755" spans="1:10">
      <c r="A755"/>
      <c r="B755"/>
      <c r="C755"/>
      <c r="D755"/>
      <c r="E755"/>
      <c r="F755"/>
      <c r="G755" s="1"/>
      <c r="H755" s="1"/>
      <c r="I755" s="1"/>
      <c r="J755" s="1"/>
    </row>
    <row r="756" spans="1:10">
      <c r="A756"/>
      <c r="B756"/>
      <c r="C756"/>
      <c r="D756"/>
      <c r="E756"/>
      <c r="F756"/>
      <c r="G756" s="1"/>
      <c r="H756" s="1"/>
      <c r="I756" s="1"/>
      <c r="J756" s="1"/>
    </row>
    <row r="757" spans="1:10">
      <c r="A757"/>
      <c r="B757"/>
      <c r="C757"/>
      <c r="D757"/>
      <c r="E757"/>
      <c r="F757"/>
      <c r="G757" s="1"/>
      <c r="H757" s="1"/>
      <c r="I757" s="1"/>
      <c r="J757" s="1"/>
    </row>
    <row r="758" spans="1:10">
      <c r="A758"/>
      <c r="B758"/>
      <c r="C758"/>
      <c r="D758"/>
      <c r="E758"/>
      <c r="F758"/>
      <c r="G758" s="1"/>
      <c r="H758" s="1"/>
      <c r="I758" s="1"/>
      <c r="J758" s="1"/>
    </row>
    <row r="759" spans="1:10">
      <c r="A759"/>
      <c r="B759"/>
      <c r="C759"/>
      <c r="D759"/>
      <c r="E759"/>
      <c r="F759"/>
      <c r="G759" s="1"/>
      <c r="H759" s="1"/>
      <c r="I759" s="1"/>
      <c r="J759" s="1"/>
    </row>
    <row r="760" spans="1:10">
      <c r="A760"/>
      <c r="B760"/>
      <c r="C760"/>
      <c r="D760"/>
      <c r="E760"/>
      <c r="F760"/>
      <c r="G760" s="1"/>
      <c r="H760" s="1"/>
      <c r="I760" s="1"/>
      <c r="J760" s="1"/>
    </row>
    <row r="761" spans="1:10">
      <c r="A761"/>
      <c r="B761"/>
      <c r="C761"/>
      <c r="D761"/>
      <c r="E761"/>
      <c r="F761"/>
      <c r="G761" s="1"/>
      <c r="H761" s="1"/>
      <c r="I761" s="1"/>
      <c r="J761" s="1"/>
    </row>
    <row r="762" spans="1:10">
      <c r="A762"/>
      <c r="B762"/>
      <c r="C762"/>
      <c r="D762"/>
      <c r="E762"/>
      <c r="F762"/>
      <c r="G762" s="1"/>
      <c r="H762" s="1"/>
      <c r="I762" s="1"/>
      <c r="J762" s="1"/>
    </row>
    <row r="763" spans="1:10">
      <c r="A763"/>
      <c r="B763"/>
      <c r="C763"/>
      <c r="D763"/>
      <c r="E763"/>
      <c r="F763"/>
      <c r="G763" s="1"/>
      <c r="H763" s="1"/>
      <c r="I763" s="1"/>
      <c r="J763" s="1"/>
    </row>
    <row r="764" spans="1:10">
      <c r="A764"/>
      <c r="B764"/>
      <c r="C764"/>
      <c r="D764"/>
      <c r="E764"/>
      <c r="F764"/>
      <c r="G764" s="1"/>
      <c r="H764" s="1"/>
      <c r="I764" s="1"/>
      <c r="J764" s="1"/>
    </row>
    <row r="765" spans="1:10">
      <c r="A765"/>
      <c r="B765"/>
      <c r="C765"/>
      <c r="D765"/>
      <c r="E765"/>
      <c r="F765"/>
      <c r="G765" s="1"/>
      <c r="H765" s="1"/>
      <c r="I765" s="1"/>
      <c r="J765" s="1"/>
    </row>
    <row r="766" spans="1:10">
      <c r="A766"/>
      <c r="B766"/>
      <c r="C766"/>
      <c r="D766"/>
      <c r="E766"/>
      <c r="F766"/>
      <c r="G766" s="1"/>
      <c r="H766" s="1"/>
      <c r="I766" s="1"/>
      <c r="J766" s="1"/>
    </row>
    <row r="767" spans="1:10">
      <c r="A767"/>
      <c r="B767"/>
      <c r="C767"/>
      <c r="D767"/>
      <c r="E767"/>
      <c r="F767"/>
      <c r="G767" s="1"/>
      <c r="H767" s="1"/>
      <c r="I767" s="1"/>
      <c r="J767" s="1"/>
    </row>
    <row r="768" spans="1:10">
      <c r="A768"/>
      <c r="B768"/>
      <c r="C768"/>
      <c r="D768"/>
      <c r="E768"/>
      <c r="F768"/>
      <c r="G768" s="1"/>
      <c r="H768" s="1"/>
      <c r="I768" s="1"/>
      <c r="J768" s="1"/>
    </row>
    <row r="769" spans="1:10">
      <c r="A769"/>
      <c r="B769"/>
      <c r="C769"/>
      <c r="D769"/>
      <c r="E769"/>
      <c r="F769"/>
      <c r="G769" s="1"/>
      <c r="H769" s="1"/>
      <c r="I769" s="1"/>
      <c r="J769" s="1"/>
    </row>
    <row r="770" spans="1:10">
      <c r="A770"/>
      <c r="B770"/>
      <c r="C770"/>
      <c r="D770"/>
      <c r="E770"/>
      <c r="F770"/>
      <c r="G770" s="1"/>
      <c r="H770" s="1"/>
      <c r="I770" s="1"/>
      <c r="J770" s="1"/>
    </row>
    <row r="771" spans="1:10">
      <c r="A771"/>
      <c r="B771"/>
      <c r="C771"/>
      <c r="D771"/>
      <c r="E771"/>
      <c r="F771"/>
      <c r="G771" s="1"/>
      <c r="H771" s="1"/>
      <c r="I771" s="1"/>
      <c r="J771" s="1"/>
    </row>
    <row r="772" spans="1:10">
      <c r="A772"/>
      <c r="B772"/>
      <c r="C772"/>
      <c r="D772"/>
      <c r="E772"/>
      <c r="F772"/>
      <c r="G772" s="1"/>
      <c r="H772" s="1"/>
      <c r="I772" s="1"/>
      <c r="J772" s="1"/>
    </row>
    <row r="773" spans="1:10">
      <c r="A773"/>
      <c r="B773"/>
      <c r="C773"/>
      <c r="D773"/>
      <c r="E773"/>
      <c r="F773"/>
      <c r="G773" s="1"/>
      <c r="H773" s="1"/>
      <c r="I773" s="1"/>
      <c r="J773" s="1"/>
    </row>
    <row r="774" spans="1:10">
      <c r="A774"/>
      <c r="B774"/>
      <c r="C774"/>
      <c r="D774"/>
      <c r="E774"/>
      <c r="F774"/>
      <c r="G774" s="1"/>
      <c r="H774" s="1"/>
      <c r="I774" s="1"/>
      <c r="J774" s="1"/>
    </row>
    <row r="775" spans="1:10">
      <c r="A775"/>
      <c r="B775"/>
      <c r="C775"/>
      <c r="D775"/>
      <c r="E775"/>
      <c r="F775"/>
      <c r="G775" s="1"/>
      <c r="H775" s="1"/>
      <c r="I775" s="1"/>
      <c r="J775" s="1"/>
    </row>
    <row r="776" spans="1:10">
      <c r="A776"/>
      <c r="B776"/>
      <c r="C776"/>
      <c r="D776"/>
      <c r="E776"/>
      <c r="F776"/>
      <c r="G776" s="1"/>
      <c r="H776" s="1"/>
      <c r="I776" s="1"/>
      <c r="J776" s="1"/>
    </row>
    <row r="777" spans="1:10">
      <c r="A777"/>
      <c r="B777"/>
      <c r="C777"/>
      <c r="D777"/>
      <c r="E777"/>
      <c r="F777"/>
      <c r="G777" s="1"/>
      <c r="H777" s="1"/>
      <c r="I777" s="1"/>
      <c r="J777" s="1"/>
    </row>
    <row r="778" spans="1:10">
      <c r="A778"/>
      <c r="B778"/>
      <c r="C778"/>
      <c r="D778"/>
      <c r="E778"/>
      <c r="F778"/>
      <c r="G778" s="1"/>
      <c r="H778" s="1"/>
      <c r="I778" s="1"/>
      <c r="J778" s="1"/>
    </row>
    <row r="779" spans="1:10">
      <c r="A779"/>
      <c r="B779"/>
      <c r="C779"/>
      <c r="D779"/>
      <c r="E779"/>
      <c r="F779"/>
      <c r="G779" s="1"/>
      <c r="H779" s="1"/>
      <c r="I779" s="1"/>
      <c r="J779" s="1"/>
    </row>
    <row r="780" spans="1:10">
      <c r="A780"/>
      <c r="B780"/>
      <c r="C780"/>
      <c r="D780"/>
      <c r="E780"/>
      <c r="F780"/>
      <c r="G780" s="1"/>
      <c r="H780" s="1"/>
      <c r="I780" s="1"/>
      <c r="J780" s="1"/>
    </row>
    <row r="781" spans="1:10">
      <c r="A781"/>
      <c r="B781"/>
      <c r="C781"/>
      <c r="D781"/>
      <c r="E781"/>
      <c r="F781"/>
      <c r="G781" s="1"/>
      <c r="H781" s="1"/>
      <c r="I781" s="1"/>
      <c r="J781" s="1"/>
    </row>
    <row r="782" spans="1:10">
      <c r="A782"/>
      <c r="B782"/>
      <c r="C782"/>
      <c r="D782"/>
      <c r="E782"/>
      <c r="F782"/>
      <c r="G782" s="1"/>
      <c r="H782" s="1"/>
      <c r="I782" s="1"/>
      <c r="J782" s="1"/>
    </row>
    <row r="783" spans="1:10">
      <c r="A783"/>
      <c r="B783"/>
      <c r="C783"/>
      <c r="D783"/>
      <c r="E783"/>
      <c r="F783"/>
      <c r="G783" s="1"/>
      <c r="H783" s="1"/>
      <c r="I783" s="1"/>
      <c r="J783" s="1"/>
    </row>
    <row r="784" spans="1:10">
      <c r="A784"/>
      <c r="B784"/>
      <c r="C784"/>
      <c r="D784"/>
      <c r="E784"/>
      <c r="F784"/>
      <c r="G784" s="1"/>
      <c r="H784" s="1"/>
      <c r="I784" s="1"/>
      <c r="J784" s="1"/>
    </row>
    <row r="785" spans="1:10">
      <c r="A785"/>
      <c r="B785"/>
      <c r="C785"/>
      <c r="D785"/>
      <c r="E785"/>
      <c r="F785"/>
      <c r="G785" s="1"/>
      <c r="H785" s="1"/>
      <c r="I785" s="1"/>
      <c r="J785" s="1"/>
    </row>
    <row r="786" spans="1:10">
      <c r="A786"/>
      <c r="B786"/>
      <c r="C786"/>
      <c r="D786"/>
      <c r="E786"/>
      <c r="F786"/>
      <c r="G786" s="1"/>
      <c r="H786" s="1"/>
      <c r="I786" s="1"/>
      <c r="J786" s="1"/>
    </row>
    <row r="787" spans="1:10">
      <c r="A787"/>
      <c r="B787"/>
      <c r="C787"/>
      <c r="D787"/>
      <c r="E787"/>
      <c r="F787"/>
      <c r="G787" s="1"/>
      <c r="H787" s="1"/>
      <c r="I787" s="1"/>
      <c r="J787" s="1"/>
    </row>
    <row r="788" spans="1:10">
      <c r="A788"/>
      <c r="B788"/>
      <c r="C788"/>
      <c r="D788"/>
      <c r="E788"/>
      <c r="F788"/>
      <c r="G788" s="1"/>
      <c r="H788" s="1"/>
      <c r="I788" s="1"/>
      <c r="J788" s="1"/>
    </row>
    <row r="789" spans="1:10">
      <c r="A789"/>
      <c r="B789"/>
      <c r="C789"/>
      <c r="D789"/>
      <c r="E789"/>
      <c r="F789"/>
      <c r="G789" s="1"/>
      <c r="H789" s="1"/>
      <c r="I789" s="1"/>
      <c r="J789" s="1"/>
    </row>
    <row r="790" spans="1:10">
      <c r="A790"/>
      <c r="B790"/>
      <c r="C790"/>
      <c r="D790"/>
      <c r="E790"/>
      <c r="F790"/>
      <c r="G790" s="1"/>
      <c r="H790" s="1"/>
      <c r="I790" s="1"/>
      <c r="J790" s="1"/>
    </row>
    <row r="791" spans="1:10">
      <c r="A791"/>
      <c r="B791"/>
      <c r="C791"/>
      <c r="D791"/>
      <c r="E791"/>
      <c r="F791"/>
      <c r="G791" s="1"/>
      <c r="H791" s="1"/>
      <c r="I791" s="1"/>
      <c r="J791" s="1"/>
    </row>
    <row r="792" spans="1:10">
      <c r="A792"/>
      <c r="B792"/>
      <c r="C792"/>
      <c r="D792"/>
      <c r="E792"/>
      <c r="F792"/>
      <c r="G792" s="1"/>
      <c r="H792" s="1"/>
      <c r="I792" s="1"/>
      <c r="J792" s="1"/>
    </row>
    <row r="793" spans="1:10">
      <c r="A793"/>
      <c r="B793"/>
      <c r="C793"/>
      <c r="D793"/>
      <c r="E793"/>
      <c r="F793"/>
      <c r="G793" s="1"/>
      <c r="H793" s="1"/>
      <c r="I793" s="1"/>
      <c r="J793" s="1"/>
    </row>
    <row r="794" spans="1:10">
      <c r="A794"/>
      <c r="B794"/>
      <c r="C794"/>
      <c r="D794"/>
      <c r="E794"/>
      <c r="F794"/>
      <c r="G794" s="1"/>
      <c r="H794" s="1"/>
      <c r="I794" s="1"/>
      <c r="J794" s="1"/>
    </row>
    <row r="795" spans="1:10">
      <c r="A795"/>
      <c r="B795"/>
      <c r="C795"/>
      <c r="D795"/>
      <c r="E795"/>
      <c r="F795"/>
      <c r="G795" s="1"/>
      <c r="H795" s="1"/>
      <c r="I795" s="1"/>
      <c r="J795" s="1"/>
    </row>
    <row r="796" spans="1:10">
      <c r="A796"/>
      <c r="B796"/>
      <c r="C796"/>
      <c r="D796"/>
      <c r="E796"/>
      <c r="F796"/>
      <c r="G796" s="1"/>
      <c r="H796" s="1"/>
      <c r="I796" s="1"/>
      <c r="J796" s="1"/>
    </row>
    <row r="797" spans="1:10">
      <c r="A797"/>
      <c r="B797"/>
      <c r="C797"/>
      <c r="D797"/>
      <c r="E797"/>
      <c r="F797"/>
      <c r="G797" s="1"/>
      <c r="H797" s="1"/>
      <c r="I797" s="1"/>
      <c r="J797" s="1"/>
    </row>
    <row r="798" spans="1:10">
      <c r="A798"/>
      <c r="B798"/>
      <c r="C798"/>
      <c r="D798"/>
      <c r="E798"/>
      <c r="F798"/>
      <c r="G798" s="1"/>
      <c r="H798" s="1"/>
      <c r="I798" s="1"/>
      <c r="J798" s="1"/>
    </row>
    <row r="799" spans="1:10">
      <c r="A799"/>
      <c r="B799"/>
      <c r="C799"/>
      <c r="D799"/>
      <c r="E799"/>
      <c r="F799"/>
      <c r="G799" s="1"/>
      <c r="H799" s="1"/>
      <c r="I799" s="1"/>
      <c r="J799" s="1"/>
    </row>
    <row r="800" spans="1:10">
      <c r="A800"/>
      <c r="B800"/>
      <c r="C800"/>
      <c r="D800"/>
      <c r="E800"/>
      <c r="F800"/>
      <c r="G800" s="1"/>
      <c r="H800" s="1"/>
      <c r="I800" s="1"/>
      <c r="J800" s="1"/>
    </row>
    <row r="801" spans="1:10">
      <c r="A801" s="1"/>
      <c r="C801" s="1"/>
      <c r="D801" s="1"/>
      <c r="E801" s="1"/>
      <c r="F801" s="1"/>
      <c r="G801" s="1"/>
      <c r="H801" s="1"/>
      <c r="I801" s="1"/>
      <c r="J801" s="1"/>
    </row>
    <row r="802" spans="1:10">
      <c r="A802" s="1"/>
      <c r="C802" s="1"/>
      <c r="D802" s="1"/>
      <c r="E802" s="1"/>
      <c r="F802" s="1"/>
      <c r="G802" s="1"/>
      <c r="H802" s="1"/>
      <c r="I802" s="1"/>
      <c r="J802" s="1"/>
    </row>
    <row r="803" spans="1:10">
      <c r="A803" s="1"/>
      <c r="C803" s="1"/>
      <c r="D803" s="1"/>
      <c r="E803" s="1"/>
      <c r="F803" s="1"/>
      <c r="G803" s="1"/>
      <c r="H803" s="1"/>
      <c r="I803" s="1"/>
      <c r="J803" s="1"/>
    </row>
    <row r="804" spans="1:10">
      <c r="A804" s="1"/>
      <c r="C804" s="1"/>
      <c r="D804" s="1"/>
      <c r="E804" s="1"/>
      <c r="F804" s="1"/>
      <c r="G804" s="1"/>
      <c r="H804" s="1"/>
      <c r="I804" s="1"/>
      <c r="J804" s="1"/>
    </row>
    <row r="805" spans="1:10">
      <c r="A805" s="1"/>
      <c r="C805" s="1"/>
      <c r="D805" s="1"/>
      <c r="E805" s="1"/>
      <c r="F805" s="1"/>
      <c r="G805" s="1"/>
      <c r="H805" s="1"/>
      <c r="I805" s="1"/>
      <c r="J805" s="1"/>
    </row>
    <row r="806" spans="1:10">
      <c r="A806" s="1"/>
      <c r="C806" s="1"/>
      <c r="D806" s="1"/>
      <c r="E806" s="1"/>
      <c r="F806" s="1"/>
      <c r="G806" s="1"/>
      <c r="H806" s="1"/>
      <c r="I806" s="1"/>
      <c r="J806" s="1"/>
    </row>
    <row r="807" spans="1:10">
      <c r="A807" s="1"/>
      <c r="C807" s="1"/>
      <c r="D807" s="1"/>
      <c r="E807" s="1"/>
      <c r="F807" s="1"/>
      <c r="G807" s="1"/>
      <c r="H807" s="1"/>
      <c r="I807" s="1"/>
      <c r="J807" s="1"/>
    </row>
    <row r="808" spans="1:10">
      <c r="A808" s="1"/>
      <c r="C808" s="1"/>
      <c r="D808" s="1"/>
      <c r="E808" s="1"/>
      <c r="F808" s="1"/>
      <c r="G808" s="1"/>
      <c r="H808" s="1"/>
      <c r="I808" s="1"/>
      <c r="J808" s="1"/>
    </row>
    <row r="809" spans="1:10">
      <c r="A809" s="1"/>
      <c r="C809" s="1"/>
      <c r="D809" s="1"/>
      <c r="E809" s="1"/>
      <c r="F809" s="1"/>
      <c r="G809" s="1"/>
      <c r="H809" s="1"/>
      <c r="I809" s="1"/>
      <c r="J809" s="1"/>
    </row>
    <row r="810" spans="1:10">
      <c r="A810" s="1"/>
      <c r="C810" s="1"/>
      <c r="D810" s="1"/>
      <c r="E810" s="1"/>
      <c r="F810" s="1"/>
      <c r="G810" s="1"/>
      <c r="H810" s="1"/>
      <c r="I810" s="1"/>
      <c r="J810" s="1"/>
    </row>
    <row r="811" spans="1:10">
      <c r="A811" s="1"/>
      <c r="C811" s="1"/>
      <c r="D811" s="1"/>
      <c r="E811" s="1"/>
      <c r="F811" s="1"/>
      <c r="G811" s="1"/>
      <c r="H811" s="1"/>
      <c r="I811" s="1"/>
      <c r="J811" s="1"/>
    </row>
    <row r="812" spans="1:10">
      <c r="A812" s="1"/>
      <c r="C812" s="1"/>
      <c r="D812" s="1"/>
      <c r="E812" s="1"/>
      <c r="F812" s="1"/>
      <c r="G812" s="1"/>
      <c r="H812" s="1"/>
      <c r="I812" s="1"/>
      <c r="J812" s="1"/>
    </row>
    <row r="813" spans="1:10">
      <c r="A813" s="1"/>
      <c r="C813" s="1"/>
      <c r="D813" s="1"/>
      <c r="E813" s="1"/>
      <c r="F813" s="1"/>
      <c r="G813" s="1"/>
      <c r="H813" s="1"/>
      <c r="I813" s="1"/>
      <c r="J813" s="1"/>
    </row>
    <row r="814" spans="1:10">
      <c r="A814" s="1"/>
      <c r="C814" s="1"/>
      <c r="D814" s="1"/>
      <c r="E814" s="1"/>
      <c r="F814" s="1"/>
      <c r="G814" s="1"/>
      <c r="H814" s="1"/>
      <c r="I814" s="1"/>
      <c r="J814" s="1"/>
    </row>
    <row r="815" spans="1:10">
      <c r="A815" s="1"/>
      <c r="C815" s="1"/>
      <c r="D815" s="1"/>
      <c r="E815" s="1"/>
      <c r="F815" s="1"/>
      <c r="G815" s="1"/>
      <c r="H815" s="1"/>
      <c r="I815" s="1"/>
      <c r="J815" s="1"/>
    </row>
    <row r="816" spans="1:10">
      <c r="A816" s="1"/>
      <c r="C816" s="1"/>
      <c r="D816" s="1"/>
      <c r="E816" s="1"/>
      <c r="F816" s="1"/>
      <c r="G816" s="1"/>
      <c r="H816" s="1"/>
      <c r="I816" s="1"/>
      <c r="J816" s="1"/>
    </row>
    <row r="817" spans="1:10">
      <c r="A817" s="1"/>
      <c r="C817" s="1"/>
      <c r="D817" s="1"/>
      <c r="E817" s="1"/>
      <c r="F817" s="1"/>
      <c r="G817" s="1"/>
      <c r="H817" s="1"/>
      <c r="I817" s="1"/>
      <c r="J817" s="1"/>
    </row>
    <row r="818" spans="1:10">
      <c r="A818" s="1"/>
      <c r="C818" s="1"/>
      <c r="D818" s="1"/>
      <c r="E818" s="1"/>
      <c r="F818" s="1"/>
      <c r="G818" s="1"/>
      <c r="H818" s="1"/>
      <c r="I818" s="1"/>
      <c r="J818" s="1"/>
    </row>
    <row r="819" spans="1:10">
      <c r="A819" s="1"/>
      <c r="C819" s="1"/>
      <c r="D819" s="1"/>
      <c r="E819" s="1"/>
      <c r="F819" s="1"/>
      <c r="G819" s="1"/>
      <c r="H819" s="1"/>
      <c r="I819" s="1"/>
      <c r="J819" s="1"/>
    </row>
    <row r="820" spans="1:10">
      <c r="A820" s="1"/>
      <c r="C820" s="1"/>
      <c r="D820" s="1"/>
      <c r="E820" s="1"/>
      <c r="F820" s="1"/>
      <c r="G820" s="1"/>
      <c r="H820" s="1"/>
      <c r="I820" s="1"/>
      <c r="J820" s="1"/>
    </row>
    <row r="821" spans="1:10">
      <c r="A821" s="1"/>
      <c r="C821" s="1"/>
      <c r="D821" s="1"/>
      <c r="E821" s="1"/>
      <c r="F821" s="1"/>
      <c r="G821" s="1"/>
      <c r="H821" s="1"/>
      <c r="I821" s="1"/>
      <c r="J821" s="1"/>
    </row>
    <row r="822" spans="1:10">
      <c r="A822" s="1"/>
      <c r="C822" s="1"/>
      <c r="D822" s="1"/>
      <c r="E822" s="1"/>
      <c r="F822" s="1"/>
      <c r="G822" s="1"/>
      <c r="H822" s="1"/>
      <c r="I822" s="1"/>
      <c r="J822" s="1"/>
    </row>
    <row r="823" spans="1:10">
      <c r="A823" s="1"/>
      <c r="C823" s="1"/>
      <c r="D823" s="1"/>
      <c r="E823" s="1"/>
      <c r="F823" s="1"/>
      <c r="G823" s="1"/>
      <c r="H823" s="1"/>
      <c r="I823" s="1"/>
      <c r="J823" s="1"/>
    </row>
    <row r="824" spans="1:10">
      <c r="A824" s="1"/>
      <c r="C824" s="1"/>
      <c r="D824" s="1"/>
      <c r="E824" s="1"/>
      <c r="F824" s="1"/>
      <c r="G824" s="1"/>
      <c r="H824" s="1"/>
      <c r="I824" s="1"/>
      <c r="J824" s="1"/>
    </row>
    <row r="825" spans="1:10">
      <c r="A825" s="1"/>
      <c r="C825" s="1"/>
      <c r="D825" s="1"/>
      <c r="E825" s="1"/>
      <c r="F825" s="1"/>
      <c r="G825" s="1"/>
      <c r="H825" s="1"/>
      <c r="I825" s="1"/>
      <c r="J825" s="1"/>
    </row>
    <row r="826" spans="1:10">
      <c r="A826" s="1"/>
      <c r="C826" s="1"/>
      <c r="D826" s="1"/>
      <c r="E826" s="1"/>
      <c r="F826" s="1"/>
      <c r="G826" s="1"/>
      <c r="H826" s="1"/>
      <c r="I826" s="1"/>
      <c r="J826" s="1"/>
    </row>
    <row r="827" spans="1:10">
      <c r="A827" s="1"/>
      <c r="C827" s="1"/>
      <c r="D827" s="1"/>
      <c r="E827" s="1"/>
      <c r="F827" s="1"/>
      <c r="G827" s="1"/>
      <c r="H827" s="1"/>
      <c r="I827" s="1"/>
      <c r="J827" s="1"/>
    </row>
    <row r="828" spans="1:10">
      <c r="A828" s="1"/>
      <c r="C828" s="1"/>
      <c r="D828" s="1"/>
      <c r="E828" s="1"/>
      <c r="F828" s="1"/>
      <c r="G828" s="1"/>
      <c r="H828" s="1"/>
      <c r="I828" s="1"/>
      <c r="J828" s="1"/>
    </row>
    <row r="829" spans="1:10">
      <c r="A829" s="1"/>
      <c r="C829" s="1"/>
      <c r="D829" s="1"/>
      <c r="E829" s="1"/>
      <c r="F829" s="1"/>
      <c r="G829" s="1"/>
      <c r="H829" s="1"/>
      <c r="I829" s="1"/>
      <c r="J829" s="1"/>
    </row>
    <row r="830" spans="1:10">
      <c r="A830" s="1"/>
      <c r="C830" s="1"/>
      <c r="D830" s="1"/>
      <c r="E830" s="1"/>
      <c r="F830" s="1"/>
      <c r="G830" s="1"/>
      <c r="H830" s="1"/>
      <c r="I830" s="1"/>
      <c r="J830" s="1"/>
    </row>
    <row r="831" spans="1:10">
      <c r="A831" s="1"/>
      <c r="C831" s="1"/>
      <c r="D831" s="1"/>
      <c r="E831" s="1"/>
      <c r="F831" s="1"/>
      <c r="G831" s="1"/>
      <c r="H831" s="1"/>
      <c r="I831" s="1"/>
      <c r="J831" s="1"/>
    </row>
    <row r="832" spans="1:10">
      <c r="A832" s="1"/>
      <c r="C832" s="1"/>
      <c r="D832" s="1"/>
      <c r="E832" s="1"/>
      <c r="F832" s="1"/>
      <c r="G832" s="1"/>
      <c r="H832" s="1"/>
      <c r="I832" s="1"/>
      <c r="J832" s="1"/>
    </row>
    <row r="833" spans="1:10">
      <c r="A833" s="1"/>
      <c r="C833" s="1"/>
      <c r="D833" s="1"/>
      <c r="E833" s="1"/>
      <c r="F833" s="1"/>
      <c r="G833" s="1"/>
      <c r="H833" s="1"/>
      <c r="I833" s="1"/>
      <c r="J833" s="1"/>
    </row>
    <row r="834" spans="1:10">
      <c r="A834" s="1"/>
      <c r="C834" s="1"/>
      <c r="D834" s="1"/>
      <c r="E834" s="1"/>
      <c r="F834" s="1"/>
      <c r="G834" s="1"/>
      <c r="H834" s="1"/>
      <c r="I834" s="1"/>
      <c r="J834" s="1"/>
    </row>
    <row r="835" spans="1:10">
      <c r="A835" s="1"/>
      <c r="C835" s="1"/>
      <c r="D835" s="1"/>
      <c r="E835" s="1"/>
      <c r="F835" s="1"/>
      <c r="G835" s="1"/>
      <c r="H835" s="1"/>
      <c r="I835" s="1"/>
      <c r="J835" s="1"/>
    </row>
    <row r="836" spans="1:10">
      <c r="A836" s="1"/>
      <c r="C836" s="1"/>
      <c r="D836" s="1"/>
      <c r="E836" s="1"/>
      <c r="F836" s="1"/>
      <c r="G836" s="1"/>
      <c r="H836" s="1"/>
      <c r="I836" s="1"/>
      <c r="J836" s="1"/>
    </row>
    <row r="837" spans="1:10">
      <c r="A837" s="1"/>
      <c r="C837" s="1"/>
      <c r="D837" s="1"/>
      <c r="E837" s="1"/>
      <c r="F837" s="1"/>
      <c r="G837" s="1"/>
      <c r="H837" s="1"/>
      <c r="I837" s="1"/>
      <c r="J837" s="1"/>
    </row>
    <row r="838" spans="1:10">
      <c r="A838" s="1"/>
      <c r="C838" s="1"/>
      <c r="D838" s="1"/>
      <c r="E838" s="1"/>
      <c r="F838" s="1"/>
      <c r="G838" s="1"/>
      <c r="H838" s="1"/>
      <c r="I838" s="1"/>
      <c r="J838" s="1"/>
    </row>
    <row r="839" spans="1:10">
      <c r="A839" s="1"/>
      <c r="C839" s="1"/>
      <c r="D839" s="1"/>
      <c r="E839" s="1"/>
      <c r="F839" s="1"/>
      <c r="G839" s="1"/>
      <c r="H839" s="1"/>
      <c r="I839" s="1"/>
      <c r="J839" s="1"/>
    </row>
    <row r="840" spans="1:10">
      <c r="A840" s="1"/>
      <c r="C840" s="1"/>
      <c r="D840" s="1"/>
      <c r="E840" s="1"/>
      <c r="F840" s="1"/>
      <c r="G840" s="1"/>
      <c r="H840" s="1"/>
      <c r="I840" s="1"/>
      <c r="J840" s="1"/>
    </row>
    <row r="841" spans="1:10">
      <c r="A841" s="1"/>
      <c r="C841" s="1"/>
      <c r="D841" s="1"/>
      <c r="E841" s="1"/>
      <c r="F841" s="1"/>
      <c r="G841" s="1"/>
      <c r="H841" s="1"/>
      <c r="I841" s="1"/>
      <c r="J841" s="1"/>
    </row>
    <row r="842" spans="1:10">
      <c r="A842" s="1"/>
      <c r="C842" s="1"/>
      <c r="D842" s="1"/>
      <c r="E842" s="1"/>
      <c r="F842" s="1"/>
      <c r="G842" s="1"/>
      <c r="H842" s="1"/>
      <c r="I842" s="1"/>
      <c r="J842" s="1"/>
    </row>
    <row r="843" spans="1:10">
      <c r="A843" s="1"/>
      <c r="C843" s="1"/>
      <c r="D843" s="1"/>
      <c r="E843" s="1"/>
      <c r="F843" s="1"/>
      <c r="G843" s="1"/>
      <c r="H843" s="1"/>
      <c r="I843" s="1"/>
      <c r="J843" s="1"/>
    </row>
    <row r="844" spans="1:10">
      <c r="A844" s="1"/>
      <c r="C844" s="1"/>
      <c r="D844" s="1"/>
      <c r="E844" s="1"/>
      <c r="F844" s="1"/>
      <c r="G844" s="1"/>
      <c r="H844" s="1"/>
      <c r="I844" s="1"/>
      <c r="J844" s="1"/>
    </row>
    <row r="845" spans="1:10">
      <c r="A845" s="1"/>
      <c r="C845" s="1"/>
      <c r="D845" s="1"/>
      <c r="E845" s="1"/>
      <c r="F845" s="1"/>
      <c r="G845" s="1"/>
      <c r="H845" s="1"/>
      <c r="I845" s="1"/>
      <c r="J845" s="1"/>
    </row>
    <row r="846" spans="1:10">
      <c r="A846" s="1"/>
      <c r="C846" s="1"/>
      <c r="D846" s="1"/>
      <c r="E846" s="1"/>
      <c r="F846" s="1"/>
      <c r="G846" s="1"/>
      <c r="H846" s="1"/>
      <c r="I846" s="1"/>
      <c r="J846" s="1"/>
    </row>
    <row r="847" spans="1:10">
      <c r="A847" s="1"/>
      <c r="C847" s="1"/>
      <c r="D847" s="1"/>
      <c r="E847" s="1"/>
      <c r="F847" s="1"/>
      <c r="G847" s="1"/>
      <c r="H847" s="1"/>
      <c r="I847" s="1"/>
      <c r="J847" s="1"/>
    </row>
    <row r="848" spans="1:10">
      <c r="A848" s="1"/>
      <c r="C848" s="1"/>
      <c r="D848" s="1"/>
      <c r="E848" s="1"/>
      <c r="F848" s="1"/>
      <c r="G848" s="1"/>
      <c r="H848" s="1"/>
      <c r="I848" s="1"/>
      <c r="J848" s="1"/>
    </row>
    <row r="849" spans="1:10">
      <c r="A849" s="1"/>
      <c r="C849" s="1"/>
      <c r="D849" s="1"/>
      <c r="E849" s="1"/>
      <c r="F849" s="1"/>
      <c r="G849" s="1"/>
      <c r="H849" s="1"/>
      <c r="I849" s="1"/>
      <c r="J849" s="1"/>
    </row>
    <row r="850" spans="1:10">
      <c r="A850" s="1"/>
      <c r="C850" s="1"/>
      <c r="D850" s="1"/>
      <c r="E850" s="1"/>
      <c r="F850" s="1"/>
      <c r="G850" s="1"/>
      <c r="H850" s="1"/>
      <c r="I850" s="1"/>
      <c r="J850" s="1"/>
    </row>
    <row r="851" spans="1:10">
      <c r="A851" s="1"/>
      <c r="C851" s="1"/>
      <c r="D851" s="1"/>
      <c r="E851" s="1"/>
      <c r="F851" s="1"/>
      <c r="G851" s="1"/>
      <c r="H851" s="1"/>
      <c r="I851" s="1"/>
      <c r="J851" s="1"/>
    </row>
    <row r="852" spans="1:10">
      <c r="A852" s="1"/>
      <c r="C852" s="1"/>
      <c r="D852" s="1"/>
      <c r="E852" s="1"/>
      <c r="F852" s="1"/>
      <c r="G852" s="1"/>
      <c r="H852" s="1"/>
      <c r="I852" s="1"/>
      <c r="J852" s="1"/>
    </row>
    <row r="853" spans="1:10">
      <c r="A853" s="1"/>
      <c r="C853" s="1"/>
      <c r="D853" s="1"/>
      <c r="E853" s="1"/>
      <c r="F853" s="1"/>
      <c r="G853" s="1"/>
      <c r="H853" s="1"/>
      <c r="I853" s="1"/>
      <c r="J853" s="1"/>
    </row>
    <row r="854" spans="1:10">
      <c r="A854" s="1"/>
      <c r="C854" s="1"/>
      <c r="D854" s="1"/>
      <c r="E854" s="1"/>
      <c r="F854" s="1"/>
      <c r="G854" s="1"/>
      <c r="H854" s="1"/>
      <c r="I854" s="1"/>
      <c r="J854" s="1"/>
    </row>
    <row r="855" spans="1:10">
      <c r="A855" s="1"/>
      <c r="C855" s="1"/>
      <c r="D855" s="1"/>
      <c r="E855" s="1"/>
      <c r="F855" s="1"/>
      <c r="G855" s="1"/>
      <c r="H855" s="1"/>
      <c r="I855" s="1"/>
      <c r="J855" s="1"/>
    </row>
    <row r="856" spans="1:10">
      <c r="A856" s="1"/>
      <c r="C856" s="1"/>
      <c r="D856" s="1"/>
      <c r="E856" s="1"/>
      <c r="F856" s="1"/>
      <c r="G856" s="1"/>
      <c r="H856" s="1"/>
      <c r="I856" s="1"/>
      <c r="J856" s="1"/>
    </row>
    <row r="857" spans="1:10">
      <c r="A857" s="1"/>
      <c r="C857" s="1"/>
      <c r="D857" s="1"/>
      <c r="E857" s="1"/>
      <c r="F857" s="1"/>
      <c r="G857" s="1"/>
      <c r="H857" s="1"/>
      <c r="I857" s="1"/>
      <c r="J857" s="1"/>
    </row>
    <row r="858" spans="1:10">
      <c r="A858" s="1"/>
      <c r="C858" s="1"/>
      <c r="D858" s="1"/>
      <c r="E858" s="1"/>
      <c r="F858" s="1"/>
      <c r="G858" s="1"/>
      <c r="H858" s="1"/>
      <c r="I858" s="1"/>
      <c r="J858" s="1"/>
    </row>
    <row r="859" spans="1:10">
      <c r="A859" s="1"/>
      <c r="C859" s="1"/>
      <c r="D859" s="1"/>
      <c r="E859" s="1"/>
      <c r="F859" s="1"/>
      <c r="G859" s="1"/>
      <c r="H859" s="1"/>
      <c r="I859" s="1"/>
      <c r="J859" s="1"/>
    </row>
    <row r="860" spans="1:10">
      <c r="A860" s="1"/>
      <c r="C860" s="1"/>
      <c r="D860" s="1"/>
      <c r="E860" s="1"/>
      <c r="F860" s="1"/>
      <c r="G860" s="1"/>
      <c r="H860" s="1"/>
      <c r="I860" s="1"/>
      <c r="J860" s="1"/>
    </row>
    <row r="861" spans="1:10">
      <c r="A861" s="1"/>
      <c r="C861" s="1"/>
      <c r="D861" s="1"/>
      <c r="E861" s="1"/>
      <c r="F861" s="1"/>
      <c r="G861" s="1"/>
      <c r="H861" s="1"/>
      <c r="I861" s="1"/>
      <c r="J861" s="1"/>
    </row>
    <row r="862" spans="1:10">
      <c r="A862" s="1"/>
      <c r="C862" s="1"/>
      <c r="D862" s="1"/>
      <c r="E862" s="1"/>
      <c r="F862" s="1"/>
      <c r="G862" s="1"/>
      <c r="H862" s="1"/>
      <c r="I862" s="1"/>
      <c r="J862" s="1"/>
    </row>
    <row r="863" spans="1:10">
      <c r="A863" s="1"/>
      <c r="C863" s="1"/>
      <c r="D863" s="1"/>
      <c r="E863" s="1"/>
      <c r="F863" s="1"/>
      <c r="G863" s="1"/>
      <c r="H863" s="1"/>
      <c r="I863" s="1"/>
      <c r="J863" s="1"/>
    </row>
    <row r="864" spans="1:10">
      <c r="A864" s="1"/>
      <c r="C864" s="1"/>
      <c r="D864" s="1"/>
      <c r="E864" s="1"/>
      <c r="F864" s="1"/>
      <c r="G864" s="1"/>
      <c r="H864" s="1"/>
      <c r="I864" s="1"/>
      <c r="J864" s="1"/>
    </row>
    <row r="865" spans="1:10">
      <c r="A865" s="1"/>
      <c r="C865" s="1"/>
      <c r="D865" s="1"/>
      <c r="E865" s="1"/>
      <c r="F865" s="1"/>
      <c r="G865" s="1"/>
      <c r="H865" s="1"/>
      <c r="I865" s="1"/>
      <c r="J865" s="1"/>
    </row>
    <row r="866" spans="1:10">
      <c r="A866" s="1"/>
      <c r="C866" s="1"/>
      <c r="D866" s="1"/>
      <c r="E866" s="1"/>
      <c r="F866" s="1"/>
      <c r="G866" s="1"/>
      <c r="H866" s="1"/>
      <c r="I866" s="1"/>
      <c r="J866" s="1"/>
    </row>
    <row r="867" spans="1:10">
      <c r="A867" s="1"/>
      <c r="C867" s="1"/>
      <c r="D867" s="1"/>
      <c r="E867" s="1"/>
      <c r="F867" s="1"/>
      <c r="G867" s="1"/>
      <c r="H867" s="1"/>
      <c r="I867" s="1"/>
      <c r="J867" s="1"/>
    </row>
    <row r="868" spans="1:10">
      <c r="A868" s="1"/>
      <c r="C868" s="1"/>
      <c r="D868" s="1"/>
      <c r="E868" s="1"/>
      <c r="F868" s="1"/>
      <c r="G868" s="1"/>
      <c r="H868" s="1"/>
      <c r="I868" s="1"/>
      <c r="J868" s="1"/>
    </row>
    <row r="869" spans="1:10">
      <c r="A869" s="1"/>
      <c r="C869" s="1"/>
      <c r="D869" s="1"/>
      <c r="E869" s="1"/>
      <c r="F869" s="1"/>
      <c r="G869" s="1"/>
      <c r="H869" s="1"/>
      <c r="I869" s="1"/>
      <c r="J869" s="1"/>
    </row>
    <row r="870" spans="1:10">
      <c r="A870" s="1"/>
      <c r="C870" s="1"/>
      <c r="D870" s="1"/>
      <c r="E870" s="1"/>
      <c r="F870" s="1"/>
      <c r="G870" s="1"/>
      <c r="H870" s="1"/>
      <c r="I870" s="1"/>
      <c r="J870" s="1"/>
    </row>
    <row r="871" spans="1:10">
      <c r="A871" s="1"/>
      <c r="C871" s="1"/>
      <c r="D871" s="1"/>
      <c r="E871" s="1"/>
      <c r="F871" s="1"/>
      <c r="G871" s="1"/>
      <c r="H871" s="1"/>
      <c r="I871" s="1"/>
      <c r="J871" s="1"/>
    </row>
    <row r="872" spans="1:10">
      <c r="A872" s="1"/>
      <c r="C872" s="1"/>
      <c r="D872" s="1"/>
      <c r="E872" s="1"/>
      <c r="F872" s="1"/>
      <c r="G872" s="1"/>
      <c r="H872" s="1"/>
      <c r="I872" s="1"/>
      <c r="J872" s="1"/>
    </row>
    <row r="873" spans="1:10">
      <c r="A873" s="1"/>
      <c r="C873" s="1"/>
      <c r="D873" s="1"/>
      <c r="E873" s="1"/>
      <c r="F873" s="1"/>
      <c r="G873" s="1"/>
      <c r="H873" s="1"/>
      <c r="I873" s="1"/>
      <c r="J873" s="1"/>
    </row>
    <row r="874" spans="1:10">
      <c r="A874" s="1"/>
      <c r="C874" s="1"/>
      <c r="D874" s="1"/>
      <c r="E874" s="1"/>
      <c r="F874" s="1"/>
      <c r="G874" s="1"/>
      <c r="H874" s="1"/>
      <c r="I874" s="1"/>
      <c r="J874" s="1"/>
    </row>
    <row r="875" spans="1:10">
      <c r="A875" s="1"/>
      <c r="C875" s="1"/>
      <c r="D875" s="1"/>
      <c r="E875" s="1"/>
      <c r="F875" s="1"/>
      <c r="G875" s="1"/>
      <c r="H875" s="1"/>
      <c r="I875" s="1"/>
      <c r="J875" s="1"/>
    </row>
    <row r="876" spans="1:10">
      <c r="A876" s="1"/>
      <c r="C876" s="1"/>
      <c r="D876" s="1"/>
      <c r="E876" s="1"/>
      <c r="F876" s="1"/>
      <c r="G876" s="1"/>
      <c r="H876" s="1"/>
      <c r="I876" s="1"/>
      <c r="J876" s="1"/>
    </row>
    <row r="877" spans="1:10">
      <c r="A877" s="1"/>
      <c r="C877" s="1"/>
      <c r="D877" s="1"/>
      <c r="E877" s="1"/>
      <c r="F877" s="1"/>
      <c r="G877" s="1"/>
      <c r="H877" s="1"/>
      <c r="I877" s="1"/>
      <c r="J877" s="1"/>
    </row>
    <row r="878" spans="1:10">
      <c r="A878" s="1"/>
      <c r="C878" s="1"/>
      <c r="D878" s="1"/>
      <c r="E878" s="1"/>
      <c r="F878" s="1"/>
      <c r="G878" s="1"/>
      <c r="H878" s="1"/>
      <c r="I878" s="1"/>
      <c r="J878" s="1"/>
    </row>
    <row r="879" spans="1:10">
      <c r="A879" s="1"/>
      <c r="C879" s="1"/>
      <c r="D879" s="1"/>
      <c r="E879" s="1"/>
      <c r="F879" s="1"/>
      <c r="G879" s="1"/>
      <c r="H879" s="1"/>
      <c r="I879" s="1"/>
      <c r="J879" s="1"/>
    </row>
    <row r="880" spans="1:10">
      <c r="A880" s="1"/>
      <c r="C880" s="1"/>
      <c r="D880" s="1"/>
      <c r="E880" s="1"/>
      <c r="F880" s="1"/>
      <c r="G880" s="1"/>
      <c r="H880" s="1"/>
      <c r="I880" s="1"/>
      <c r="J880" s="1"/>
    </row>
    <row r="881" spans="1:10">
      <c r="A881" s="1"/>
      <c r="C881" s="1"/>
      <c r="D881" s="1"/>
      <c r="E881" s="1"/>
      <c r="F881" s="1"/>
      <c r="G881" s="1"/>
      <c r="H881" s="1"/>
      <c r="I881" s="1"/>
      <c r="J881" s="1"/>
    </row>
    <row r="882" spans="1:10">
      <c r="A882" s="1"/>
      <c r="C882" s="1"/>
      <c r="D882" s="1"/>
      <c r="E882" s="1"/>
      <c r="F882" s="1"/>
      <c r="G882" s="1"/>
      <c r="H882" s="1"/>
      <c r="I882" s="1"/>
      <c r="J882" s="1"/>
    </row>
    <row r="883" spans="1:10">
      <c r="A883" s="1"/>
      <c r="C883" s="1"/>
      <c r="D883" s="1"/>
      <c r="E883" s="1"/>
      <c r="F883" s="1"/>
      <c r="G883" s="1"/>
      <c r="H883" s="1"/>
      <c r="I883" s="1"/>
      <c r="J883" s="1"/>
    </row>
    <row r="884" spans="1:10">
      <c r="A884" s="1"/>
      <c r="C884" s="1"/>
      <c r="D884" s="1"/>
      <c r="E884" s="1"/>
      <c r="F884" s="1"/>
      <c r="G884" s="1"/>
      <c r="H884" s="1"/>
      <c r="I884" s="1"/>
      <c r="J884" s="1"/>
    </row>
    <row r="885" spans="1:10">
      <c r="A885" s="1"/>
      <c r="C885" s="1"/>
      <c r="D885" s="1"/>
      <c r="E885" s="1"/>
      <c r="F885" s="1"/>
      <c r="G885" s="1"/>
      <c r="H885" s="1"/>
      <c r="I885" s="1"/>
      <c r="J885" s="1"/>
    </row>
    <row r="886" spans="1:10">
      <c r="A886" s="1"/>
      <c r="C886" s="1"/>
      <c r="D886" s="1"/>
      <c r="E886" s="1"/>
      <c r="F886" s="1"/>
      <c r="G886" s="1"/>
      <c r="H886" s="1"/>
      <c r="I886" s="1"/>
      <c r="J886" s="1"/>
    </row>
    <row r="887" spans="1:10">
      <c r="A887" s="1"/>
      <c r="C887" s="1"/>
      <c r="D887" s="1"/>
      <c r="E887" s="1"/>
      <c r="F887" s="1"/>
      <c r="G887" s="1"/>
      <c r="H887" s="1"/>
      <c r="I887" s="1"/>
      <c r="J887" s="1"/>
    </row>
    <row r="888" spans="1:10">
      <c r="A888" s="1"/>
      <c r="C888" s="1"/>
      <c r="D888" s="1"/>
      <c r="E888" s="1"/>
      <c r="F888" s="1"/>
      <c r="G888" s="1"/>
      <c r="H888" s="1"/>
      <c r="I888" s="1"/>
      <c r="J888" s="1"/>
    </row>
    <row r="889" spans="1:10">
      <c r="A889" s="1"/>
      <c r="C889" s="1"/>
      <c r="D889" s="1"/>
      <c r="E889" s="1"/>
      <c r="F889" s="1"/>
      <c r="G889" s="1"/>
      <c r="H889" s="1"/>
      <c r="I889" s="1"/>
      <c r="J889" s="1"/>
    </row>
    <row r="890" spans="1:10">
      <c r="A890" s="1"/>
      <c r="C890" s="1"/>
      <c r="D890" s="1"/>
      <c r="E890" s="1"/>
      <c r="F890" s="1"/>
      <c r="G890" s="1"/>
      <c r="H890" s="1"/>
      <c r="I890" s="1"/>
      <c r="J890" s="1"/>
    </row>
    <row r="891" spans="1:10">
      <c r="A891" s="1"/>
      <c r="C891" s="1"/>
      <c r="D891" s="1"/>
      <c r="E891" s="1"/>
      <c r="F891" s="1"/>
      <c r="G891" s="1"/>
      <c r="H891" s="1"/>
      <c r="I891" s="1"/>
      <c r="J891" s="1"/>
    </row>
    <row r="892" spans="1:10">
      <c r="A892" s="1"/>
      <c r="C892" s="1"/>
      <c r="D892" s="1"/>
      <c r="E892" s="1"/>
      <c r="F892" s="1"/>
      <c r="G892" s="1"/>
      <c r="H892" s="1"/>
      <c r="I892" s="1"/>
      <c r="J892" s="1"/>
    </row>
    <row r="893" spans="1:10">
      <c r="A893" s="1"/>
      <c r="C893" s="1"/>
      <c r="D893" s="1"/>
      <c r="E893" s="1"/>
      <c r="F893" s="1"/>
      <c r="G893" s="1"/>
      <c r="H893" s="1"/>
      <c r="I893" s="1"/>
      <c r="J893" s="1"/>
    </row>
    <row r="894" spans="1:10">
      <c r="A894" s="1"/>
      <c r="C894" s="1"/>
      <c r="D894" s="1"/>
      <c r="E894" s="1"/>
      <c r="F894" s="1"/>
      <c r="G894" s="1"/>
      <c r="H894" s="1"/>
      <c r="I894" s="1"/>
      <c r="J894" s="1"/>
    </row>
    <row r="895" spans="1:10">
      <c r="A895" s="1"/>
      <c r="C895" s="1"/>
      <c r="D895" s="1"/>
      <c r="E895" s="1"/>
      <c r="F895" s="1"/>
      <c r="G895" s="1"/>
      <c r="H895" s="1"/>
      <c r="I895" s="1"/>
      <c r="J895" s="1"/>
    </row>
    <row r="896" spans="1:10">
      <c r="A896" s="1"/>
      <c r="C896" s="1"/>
      <c r="D896" s="1"/>
      <c r="E896" s="1"/>
      <c r="F896" s="1"/>
      <c r="G896" s="1"/>
      <c r="H896" s="1"/>
      <c r="I896" s="1"/>
      <c r="J896" s="1"/>
    </row>
    <row r="897" spans="1:10">
      <c r="A897" s="1"/>
      <c r="C897" s="1"/>
      <c r="D897" s="1"/>
      <c r="E897" s="1"/>
      <c r="F897" s="1"/>
      <c r="G897" s="1"/>
      <c r="H897" s="1"/>
      <c r="I897" s="1"/>
      <c r="J897" s="1"/>
    </row>
    <row r="898" spans="1:10">
      <c r="A898" s="1"/>
      <c r="C898" s="1"/>
      <c r="D898" s="1"/>
      <c r="E898" s="1"/>
      <c r="F898" s="1"/>
      <c r="G898" s="1"/>
      <c r="H898" s="1"/>
      <c r="I898" s="1"/>
      <c r="J898" s="1"/>
    </row>
    <row r="899" spans="1:10">
      <c r="A899" s="1"/>
      <c r="C899" s="1"/>
      <c r="D899" s="1"/>
      <c r="E899" s="1"/>
      <c r="F899" s="1"/>
      <c r="G899" s="1"/>
      <c r="H899" s="1"/>
      <c r="I899" s="1"/>
      <c r="J899" s="1"/>
    </row>
    <row r="900" spans="1:10">
      <c r="A900" s="1"/>
      <c r="C900" s="1"/>
      <c r="D900" s="1"/>
      <c r="E900" s="1"/>
      <c r="F900" s="1"/>
      <c r="G900" s="1"/>
      <c r="H900" s="1"/>
      <c r="I900" s="1"/>
      <c r="J900" s="1"/>
    </row>
    <row r="901" spans="1:10">
      <c r="A901" s="1"/>
      <c r="C901" s="1"/>
      <c r="D901" s="1"/>
      <c r="E901" s="1"/>
      <c r="F901" s="1"/>
      <c r="G901" s="1"/>
      <c r="H901" s="1"/>
      <c r="I901" s="1"/>
      <c r="J901" s="1"/>
    </row>
    <row r="902" spans="1:10">
      <c r="A902" s="1"/>
      <c r="C902" s="1"/>
      <c r="D902" s="1"/>
      <c r="E902" s="1"/>
      <c r="F902" s="1"/>
      <c r="G902" s="1"/>
      <c r="H902" s="1"/>
      <c r="I902" s="1"/>
      <c r="J902" s="1"/>
    </row>
    <row r="903" spans="1:10">
      <c r="A903" s="1"/>
      <c r="C903" s="1"/>
      <c r="D903" s="1"/>
      <c r="E903" s="1"/>
      <c r="F903" s="1"/>
      <c r="G903" s="1"/>
      <c r="H903" s="1"/>
      <c r="I903" s="1"/>
      <c r="J903" s="1"/>
    </row>
    <row r="904" spans="1:10">
      <c r="A904" s="1"/>
      <c r="C904" s="1"/>
      <c r="D904" s="1"/>
      <c r="E904" s="1"/>
      <c r="F904" s="1"/>
      <c r="G904" s="1"/>
      <c r="H904" s="1"/>
      <c r="I904" s="1"/>
      <c r="J904" s="1"/>
    </row>
    <row r="905" spans="1:10">
      <c r="A905" s="1"/>
      <c r="C905" s="1"/>
      <c r="D905" s="1"/>
      <c r="E905" s="1"/>
      <c r="F905" s="1"/>
      <c r="G905" s="1"/>
      <c r="H905" s="1"/>
      <c r="I905" s="1"/>
      <c r="J905" s="1"/>
    </row>
    <row r="906" spans="1:10">
      <c r="A906" s="1"/>
      <c r="C906" s="1"/>
      <c r="D906" s="1"/>
      <c r="E906" s="1"/>
      <c r="F906" s="1"/>
      <c r="G906" s="1"/>
      <c r="H906" s="1"/>
      <c r="I906" s="1"/>
      <c r="J906" s="1"/>
    </row>
    <row r="907" spans="1:10">
      <c r="A907" s="1"/>
      <c r="C907" s="1"/>
      <c r="D907" s="1"/>
      <c r="E907" s="1"/>
      <c r="F907" s="1"/>
      <c r="G907" s="1"/>
      <c r="H907" s="1"/>
      <c r="I907" s="1"/>
      <c r="J907" s="1"/>
    </row>
    <row r="908" spans="1:10">
      <c r="A908" s="1"/>
      <c r="C908" s="1"/>
      <c r="D908" s="1"/>
      <c r="E908" s="1"/>
      <c r="F908" s="1"/>
      <c r="G908" s="1"/>
      <c r="H908" s="1"/>
      <c r="I908" s="1"/>
      <c r="J908" s="1"/>
    </row>
    <row r="909" spans="1:10">
      <c r="A909" s="1"/>
      <c r="C909" s="1"/>
      <c r="D909" s="1"/>
      <c r="E909" s="1"/>
      <c r="F909" s="1"/>
      <c r="G909" s="1"/>
      <c r="H909" s="1"/>
      <c r="I909" s="1"/>
      <c r="J909" s="1"/>
    </row>
    <row r="910" spans="1:10">
      <c r="A910" s="1"/>
      <c r="C910" s="1"/>
      <c r="D910" s="1"/>
      <c r="E910" s="1"/>
      <c r="F910" s="1"/>
      <c r="G910" s="1"/>
      <c r="H910" s="1"/>
      <c r="I910" s="1"/>
      <c r="J910" s="1"/>
    </row>
    <row r="911" spans="1:10">
      <c r="A911" s="1"/>
      <c r="C911" s="1"/>
      <c r="D911" s="1"/>
      <c r="E911" s="1"/>
      <c r="F911" s="1"/>
      <c r="G911" s="1"/>
      <c r="H911" s="1"/>
      <c r="I911" s="1"/>
      <c r="J911" s="1"/>
    </row>
    <row r="912" spans="1:10">
      <c r="A912" s="1"/>
      <c r="C912" s="1"/>
      <c r="D912" s="1"/>
      <c r="E912" s="1"/>
      <c r="F912" s="1"/>
      <c r="G912" s="1"/>
      <c r="H912" s="1"/>
      <c r="I912" s="1"/>
      <c r="J912" s="1"/>
    </row>
    <row r="913" spans="3:10">
      <c r="C913" s="1"/>
      <c r="D913" s="1"/>
      <c r="E913" s="1"/>
      <c r="F913" s="1"/>
      <c r="G913" s="1"/>
      <c r="H913" s="1"/>
      <c r="I913" s="1"/>
      <c r="J913" s="1"/>
    </row>
    <row r="914" spans="3:10">
      <c r="C914" s="1"/>
      <c r="D914" s="1"/>
      <c r="E914" s="1"/>
      <c r="F914" s="1"/>
      <c r="G914" s="1"/>
      <c r="H914" s="1"/>
      <c r="I914" s="1"/>
      <c r="J914" s="1"/>
    </row>
    <row r="915" spans="3:10">
      <c r="C915" s="1"/>
      <c r="D915" s="1"/>
      <c r="E915" s="1"/>
      <c r="F915" s="1"/>
      <c r="G915" s="1"/>
      <c r="H915" s="1"/>
      <c r="I915" s="1"/>
      <c r="J915" s="1"/>
    </row>
    <row r="916" spans="3:10">
      <c r="C916" s="1"/>
      <c r="D916" s="1"/>
      <c r="E916" s="1"/>
      <c r="F916" s="1"/>
      <c r="G916" s="1"/>
      <c r="H916" s="1"/>
      <c r="I916" s="1"/>
      <c r="J916" s="1"/>
    </row>
    <row r="917" spans="3:10">
      <c r="C917" s="1"/>
      <c r="D917" s="1"/>
      <c r="E917" s="1"/>
      <c r="F917" s="1"/>
      <c r="G917" s="1"/>
      <c r="H917" s="1"/>
      <c r="I917" s="1"/>
      <c r="J917" s="1"/>
    </row>
    <row r="918" spans="3:10">
      <c r="C918" s="1"/>
      <c r="D918" s="1"/>
      <c r="E918" s="1"/>
      <c r="F918" s="1"/>
      <c r="G918" s="1"/>
      <c r="H918" s="1"/>
      <c r="I918" s="1"/>
      <c r="J918" s="1"/>
    </row>
    <row r="919" spans="3:10">
      <c r="C919" s="1"/>
      <c r="D919" s="1"/>
      <c r="E919" s="1"/>
      <c r="F919" s="1"/>
      <c r="G919" s="1"/>
      <c r="H919" s="1"/>
      <c r="I919" s="1"/>
      <c r="J919" s="1"/>
    </row>
    <row r="920" spans="3:10">
      <c r="C920" s="1"/>
      <c r="D920" s="1"/>
      <c r="E920" s="1"/>
      <c r="F920" s="1"/>
      <c r="G920" s="1"/>
      <c r="H920" s="1"/>
      <c r="I920" s="1"/>
      <c r="J920" s="1"/>
    </row>
    <row r="921" spans="3:10">
      <c r="C921" s="1"/>
      <c r="D921" s="1"/>
      <c r="E921" s="1"/>
      <c r="F921" s="1"/>
      <c r="G921" s="1"/>
      <c r="H921" s="1"/>
      <c r="I921" s="1"/>
      <c r="J921" s="1"/>
    </row>
    <row r="922" spans="3:10">
      <c r="C922" s="1"/>
      <c r="D922" s="1"/>
      <c r="E922" s="1"/>
      <c r="F922" s="1"/>
      <c r="G922" s="1"/>
      <c r="H922" s="1"/>
      <c r="I922" s="1"/>
      <c r="J922" s="1"/>
    </row>
    <row r="923" spans="3:10">
      <c r="C923" s="1"/>
      <c r="D923" s="1"/>
      <c r="E923" s="1"/>
      <c r="F923" s="1"/>
      <c r="G923" s="1"/>
      <c r="H923" s="1"/>
      <c r="I923" s="1"/>
      <c r="J923" s="1"/>
    </row>
    <row r="924" spans="3:10">
      <c r="C924" s="1"/>
      <c r="D924" s="1"/>
      <c r="E924" s="1"/>
      <c r="F924" s="1"/>
      <c r="G924" s="1"/>
      <c r="H924" s="1"/>
      <c r="I924" s="1"/>
      <c r="J924" s="1"/>
    </row>
    <row r="925" spans="3:10">
      <c r="C925" s="1"/>
      <c r="D925" s="1"/>
      <c r="E925" s="1"/>
      <c r="F925" s="1"/>
      <c r="G925" s="1"/>
      <c r="H925" s="1"/>
      <c r="I925" s="1"/>
      <c r="J925" s="1"/>
    </row>
    <row r="926" spans="3:10">
      <c r="C926" s="1"/>
      <c r="D926" s="1"/>
      <c r="E926" s="1"/>
      <c r="F926" s="1"/>
      <c r="G926" s="1"/>
      <c r="H926" s="1"/>
      <c r="I926" s="1"/>
      <c r="J926" s="1"/>
    </row>
    <row r="927" spans="3:10">
      <c r="C927" s="1"/>
      <c r="D927" s="1"/>
      <c r="E927" s="1"/>
      <c r="F927" s="1"/>
      <c r="G927" s="1"/>
      <c r="H927" s="1"/>
      <c r="I927" s="1"/>
      <c r="J927" s="1"/>
    </row>
    <row r="928" spans="3:10">
      <c r="C928" s="1"/>
      <c r="D928" s="1"/>
      <c r="E928" s="1"/>
      <c r="F928" s="1"/>
      <c r="G928" s="1"/>
      <c r="H928" s="1"/>
      <c r="I928" s="1"/>
      <c r="J928" s="1"/>
    </row>
    <row r="929" spans="3:10">
      <c r="C929" s="1"/>
      <c r="D929" s="1"/>
      <c r="E929" s="1"/>
      <c r="F929" s="1"/>
      <c r="G929" s="1"/>
      <c r="H929" s="1"/>
      <c r="I929" s="1"/>
      <c r="J929" s="1"/>
    </row>
    <row r="930" spans="3:10">
      <c r="C930" s="1"/>
      <c r="D930" s="1"/>
      <c r="E930" s="1"/>
      <c r="F930" s="1"/>
      <c r="G930" s="1"/>
      <c r="H930" s="1"/>
      <c r="I930" s="1"/>
      <c r="J930" s="1"/>
    </row>
    <row r="931" spans="3:10">
      <c r="C931" s="1"/>
      <c r="D931" s="1"/>
      <c r="E931" s="1"/>
      <c r="F931" s="1"/>
      <c r="G931" s="1"/>
      <c r="H931" s="1"/>
      <c r="I931" s="1"/>
      <c r="J931" s="1"/>
    </row>
    <row r="932" spans="3:10">
      <c r="C932" s="1"/>
      <c r="D932" s="1"/>
      <c r="E932" s="1"/>
      <c r="F932" s="1"/>
      <c r="G932" s="1"/>
      <c r="H932" s="1"/>
      <c r="I932" s="1"/>
      <c r="J932" s="1"/>
    </row>
    <row r="933" spans="3:10">
      <c r="C933" s="1"/>
      <c r="D933" s="1"/>
      <c r="E933" s="1"/>
      <c r="F933" s="1"/>
      <c r="G933" s="1"/>
      <c r="H933" s="1"/>
      <c r="I933" s="1"/>
      <c r="J933" s="1"/>
    </row>
    <row r="934" spans="3:10">
      <c r="C934" s="1"/>
      <c r="D934" s="1"/>
      <c r="E934" s="1"/>
      <c r="F934" s="1"/>
      <c r="G934" s="1"/>
      <c r="H934" s="1"/>
      <c r="I934" s="1"/>
      <c r="J934" s="1"/>
    </row>
    <row r="935" spans="3:10">
      <c r="C935" s="1"/>
      <c r="D935" s="1"/>
      <c r="E935" s="1"/>
      <c r="F935" s="1"/>
      <c r="G935" s="1"/>
      <c r="H935" s="1"/>
      <c r="I935" s="1"/>
      <c r="J935" s="1"/>
    </row>
    <row r="936" spans="3:10">
      <c r="C936" s="1"/>
      <c r="D936" s="1"/>
      <c r="E936" s="1"/>
      <c r="F936" s="1"/>
      <c r="G936" s="1"/>
      <c r="H936" s="1"/>
      <c r="I936" s="1"/>
      <c r="J936" s="1"/>
    </row>
    <row r="937" spans="3:10">
      <c r="C937" s="1"/>
      <c r="D937" s="1"/>
      <c r="E937" s="1"/>
      <c r="F937" s="1"/>
      <c r="G937" s="1"/>
      <c r="H937" s="1"/>
      <c r="I937" s="1"/>
      <c r="J937" s="1"/>
    </row>
    <row r="938" spans="3:10">
      <c r="C938" s="1"/>
      <c r="D938" s="1"/>
      <c r="E938" s="1"/>
      <c r="F938" s="1"/>
      <c r="G938" s="1"/>
      <c r="H938" s="1"/>
      <c r="I938" s="1"/>
      <c r="J938" s="1"/>
    </row>
    <row r="939" spans="3:10">
      <c r="C939" s="1"/>
      <c r="D939" s="1"/>
      <c r="E939" s="1"/>
      <c r="F939" s="1"/>
      <c r="G939" s="1"/>
      <c r="H939" s="1"/>
      <c r="I939" s="1"/>
      <c r="J939" s="1"/>
    </row>
    <row r="940" spans="3:10">
      <c r="C940" s="1"/>
      <c r="D940" s="1"/>
      <c r="E940" s="1"/>
      <c r="F940" s="1"/>
      <c r="G940" s="1"/>
      <c r="H940" s="1"/>
      <c r="I940" s="1"/>
      <c r="J940" s="1"/>
    </row>
    <row r="941" spans="3:10">
      <c r="C941" s="1"/>
      <c r="D941" s="1"/>
      <c r="E941" s="1"/>
      <c r="F941" s="1"/>
      <c r="G941" s="1"/>
      <c r="H941" s="1"/>
      <c r="I941" s="1"/>
      <c r="J941" s="1"/>
    </row>
    <row r="942" spans="3:10">
      <c r="C942" s="1"/>
      <c r="D942" s="1"/>
      <c r="E942" s="1"/>
      <c r="F942" s="1"/>
      <c r="G942" s="1"/>
      <c r="H942" s="1"/>
      <c r="I942" s="1"/>
      <c r="J942" s="1"/>
    </row>
    <row r="943" spans="3:10">
      <c r="C943" s="1"/>
      <c r="D943" s="1"/>
      <c r="E943" s="1"/>
      <c r="F943" s="1"/>
      <c r="G943" s="1"/>
      <c r="H943" s="1"/>
      <c r="I943" s="1"/>
      <c r="J943" s="1"/>
    </row>
    <row r="944" spans="3:10">
      <c r="C944" s="1"/>
      <c r="D944" s="1"/>
      <c r="E944" s="1"/>
      <c r="F944" s="1"/>
      <c r="G944" s="1"/>
      <c r="H944" s="1"/>
      <c r="I944" s="1"/>
      <c r="J944" s="1"/>
    </row>
    <row r="945" spans="3:10">
      <c r="C945" s="1"/>
      <c r="D945" s="1"/>
      <c r="E945" s="1"/>
      <c r="F945" s="1"/>
      <c r="G945" s="1"/>
      <c r="H945" s="1"/>
      <c r="I945" s="1"/>
      <c r="J945" s="1"/>
    </row>
    <row r="946" spans="3:10">
      <c r="C946" s="1"/>
      <c r="D946" s="1"/>
      <c r="E946" s="1"/>
      <c r="F946" s="1"/>
      <c r="G946" s="1"/>
      <c r="H946" s="1"/>
      <c r="I946" s="1"/>
      <c r="J946" s="1"/>
    </row>
    <row r="947" spans="3:10">
      <c r="C947" s="1"/>
      <c r="D947" s="1"/>
      <c r="E947" s="1"/>
      <c r="F947" s="1"/>
      <c r="G947" s="1"/>
      <c r="H947" s="1"/>
      <c r="I947" s="1"/>
      <c r="J947" s="1"/>
    </row>
    <row r="948" spans="3:10">
      <c r="C948" s="1"/>
      <c r="D948" s="1"/>
      <c r="E948" s="1"/>
      <c r="F948" s="1"/>
      <c r="G948" s="1"/>
      <c r="H948" s="1"/>
      <c r="I948" s="1"/>
      <c r="J948" s="1"/>
    </row>
    <row r="949" spans="3:10">
      <c r="C949" s="1"/>
      <c r="D949" s="1"/>
      <c r="E949" s="1"/>
      <c r="F949" s="1"/>
      <c r="G949" s="1"/>
      <c r="H949" s="1"/>
      <c r="I949" s="1"/>
      <c r="J949" s="1"/>
    </row>
    <row r="950" spans="3:10">
      <c r="C950" s="1"/>
      <c r="D950" s="1"/>
      <c r="E950" s="1"/>
      <c r="F950" s="1"/>
      <c r="G950" s="1"/>
      <c r="H950" s="1"/>
      <c r="I950" s="1"/>
      <c r="J950" s="1"/>
    </row>
    <row r="951" spans="3:10">
      <c r="C951" s="1"/>
      <c r="D951" s="1"/>
      <c r="E951" s="1"/>
      <c r="F951" s="1"/>
      <c r="G951" s="1"/>
      <c r="H951" s="1"/>
      <c r="I951" s="1"/>
      <c r="J951" s="1"/>
    </row>
    <row r="952" spans="3:10">
      <c r="C952" s="1"/>
      <c r="D952" s="1"/>
      <c r="E952" s="1"/>
      <c r="F952" s="1"/>
      <c r="G952" s="1"/>
      <c r="H952" s="1"/>
      <c r="I952" s="1"/>
      <c r="J952" s="1"/>
    </row>
    <row r="953" spans="3:10">
      <c r="C953" s="1"/>
      <c r="D953" s="1"/>
      <c r="E953" s="1"/>
      <c r="F953" s="1"/>
      <c r="G953" s="1"/>
      <c r="H953" s="1"/>
      <c r="I953" s="1"/>
      <c r="J953" s="1"/>
    </row>
    <row r="954" spans="3:10">
      <c r="C954" s="1"/>
      <c r="D954" s="1"/>
      <c r="E954" s="1"/>
      <c r="F954" s="1"/>
      <c r="G954" s="1"/>
      <c r="H954" s="1"/>
      <c r="I954" s="1"/>
      <c r="J954" s="1"/>
    </row>
    <row r="955" spans="3:10">
      <c r="C955" s="1"/>
      <c r="D955" s="1"/>
      <c r="E955" s="1"/>
      <c r="F955" s="1"/>
      <c r="G955" s="1"/>
      <c r="H955" s="1"/>
      <c r="I955" s="1"/>
      <c r="J955" s="1"/>
    </row>
    <row r="956" spans="3:10">
      <c r="C956" s="1"/>
      <c r="D956" s="1"/>
      <c r="E956" s="1"/>
      <c r="F956" s="1"/>
      <c r="G956" s="1"/>
      <c r="H956" s="1"/>
      <c r="I956" s="1"/>
      <c r="J956" s="1"/>
    </row>
    <row r="957" spans="3:10">
      <c r="C957" s="1"/>
      <c r="D957" s="1"/>
      <c r="E957" s="1"/>
      <c r="F957" s="1"/>
      <c r="G957" s="1"/>
      <c r="H957" s="1"/>
      <c r="I957" s="1"/>
      <c r="J957" s="1"/>
    </row>
    <row r="958" spans="3:10">
      <c r="C958" s="1"/>
      <c r="D958" s="1"/>
      <c r="E958" s="1"/>
      <c r="F958" s="1"/>
      <c r="G958" s="1"/>
      <c r="H958" s="1"/>
      <c r="I958" s="1"/>
      <c r="J958" s="1"/>
    </row>
    <row r="959" spans="3:10">
      <c r="C959" s="1"/>
      <c r="D959" s="1"/>
      <c r="E959" s="1"/>
      <c r="F959" s="1"/>
      <c r="G959" s="1"/>
      <c r="H959" s="1"/>
      <c r="I959" s="1"/>
      <c r="J959" s="1"/>
    </row>
    <row r="960" spans="3:10">
      <c r="C960" s="1"/>
      <c r="D960" s="1"/>
      <c r="E960" s="1"/>
      <c r="F960" s="1"/>
      <c r="G960" s="1"/>
      <c r="H960" s="1"/>
      <c r="I960" s="1"/>
      <c r="J960" s="1"/>
    </row>
    <row r="961" spans="3:10">
      <c r="C961" s="1"/>
      <c r="D961" s="1"/>
      <c r="E961" s="1"/>
      <c r="F961" s="1"/>
      <c r="G961" s="1"/>
      <c r="H961" s="1"/>
      <c r="I961" s="1"/>
      <c r="J961" s="1"/>
    </row>
    <row r="962" spans="3:10">
      <c r="C962" s="1"/>
      <c r="D962" s="1"/>
      <c r="E962" s="1"/>
      <c r="F962" s="1"/>
      <c r="G962" s="1"/>
      <c r="H962" s="1"/>
      <c r="I962" s="1"/>
      <c r="J962" s="1"/>
    </row>
    <row r="963" spans="3:10">
      <c r="C963" s="1"/>
      <c r="D963" s="1"/>
      <c r="E963" s="1"/>
      <c r="F963" s="1"/>
      <c r="G963" s="1"/>
      <c r="H963" s="1"/>
      <c r="I963" s="1"/>
      <c r="J963" s="1"/>
    </row>
    <row r="964" spans="3:10">
      <c r="C964" s="1"/>
      <c r="D964" s="1"/>
      <c r="E964" s="1"/>
      <c r="F964" s="1"/>
      <c r="G964" s="1"/>
      <c r="H964" s="1"/>
      <c r="I964" s="1"/>
      <c r="J964" s="1"/>
    </row>
    <row r="965" spans="3:10">
      <c r="C965" s="1"/>
      <c r="D965" s="1"/>
      <c r="E965" s="1"/>
      <c r="F965" s="1"/>
      <c r="G965" s="1"/>
      <c r="H965" s="1"/>
      <c r="I965" s="1"/>
      <c r="J965" s="1"/>
    </row>
    <row r="966" spans="3:10">
      <c r="C966" s="1"/>
      <c r="D966" s="1"/>
      <c r="E966" s="1"/>
      <c r="F966" s="1"/>
      <c r="G966" s="1"/>
      <c r="H966" s="1"/>
      <c r="I966" s="1"/>
      <c r="J966" s="1"/>
    </row>
    <row r="967" spans="3:10">
      <c r="C967" s="1"/>
      <c r="D967" s="1"/>
      <c r="E967" s="1"/>
      <c r="F967" s="1"/>
      <c r="G967" s="1"/>
      <c r="H967" s="1"/>
      <c r="I967" s="1"/>
      <c r="J967" s="1"/>
    </row>
    <row r="968" spans="3:10">
      <c r="C968" s="1"/>
      <c r="D968" s="1"/>
      <c r="E968" s="1"/>
      <c r="F968" s="1"/>
      <c r="G968" s="1"/>
      <c r="H968" s="1"/>
      <c r="I968" s="1"/>
      <c r="J968" s="1"/>
    </row>
    <row r="969" spans="3:10">
      <c r="C969" s="1"/>
      <c r="D969" s="1"/>
      <c r="E969" s="1"/>
      <c r="F969" s="1"/>
      <c r="G969" s="1"/>
      <c r="H969" s="1"/>
      <c r="I969" s="1"/>
      <c r="J969" s="1"/>
    </row>
    <row r="970" spans="3:10">
      <c r="C970" s="1"/>
      <c r="D970" s="1"/>
      <c r="E970" s="1"/>
      <c r="F970" s="1"/>
      <c r="G970" s="1"/>
      <c r="H970" s="1"/>
      <c r="I970" s="1"/>
      <c r="J970" s="1"/>
    </row>
    <row r="971" spans="3:10">
      <c r="C971" s="1"/>
      <c r="D971" s="1"/>
      <c r="E971" s="1"/>
      <c r="F971" s="1"/>
      <c r="G971" s="1"/>
      <c r="H971" s="1"/>
      <c r="I971" s="1"/>
      <c r="J971" s="1"/>
    </row>
    <row r="972" spans="3:10">
      <c r="C972" s="1"/>
      <c r="D972" s="1"/>
      <c r="E972" s="1"/>
      <c r="F972" s="1"/>
      <c r="G972" s="1"/>
      <c r="H972" s="1"/>
      <c r="I972" s="1"/>
      <c r="J972" s="1"/>
    </row>
    <row r="973" spans="3:10">
      <c r="C973" s="1"/>
      <c r="D973" s="1"/>
      <c r="E973" s="1"/>
      <c r="F973" s="1"/>
      <c r="G973" s="1"/>
      <c r="H973" s="1"/>
      <c r="I973" s="1"/>
      <c r="J973" s="1"/>
    </row>
    <row r="974" spans="3:10">
      <c r="C974" s="1"/>
      <c r="D974" s="1"/>
      <c r="E974" s="1"/>
      <c r="F974" s="1"/>
      <c r="G974" s="1"/>
      <c r="H974" s="1"/>
      <c r="I974" s="1"/>
      <c r="J974" s="1"/>
    </row>
    <row r="975" spans="3:10">
      <c r="C975" s="1"/>
      <c r="D975" s="1"/>
      <c r="E975" s="1"/>
      <c r="F975" s="1"/>
      <c r="G975" s="1"/>
      <c r="H975" s="1"/>
      <c r="I975" s="1"/>
      <c r="J975" s="1"/>
    </row>
    <row r="976" spans="3:10">
      <c r="C976" s="1"/>
      <c r="D976" s="1"/>
      <c r="E976" s="1"/>
      <c r="F976" s="1"/>
      <c r="G976" s="1"/>
      <c r="H976" s="1"/>
      <c r="I976" s="1"/>
      <c r="J976" s="1"/>
    </row>
    <row r="977" spans="3:10">
      <c r="C977" s="1"/>
      <c r="D977" s="1"/>
      <c r="E977" s="1"/>
      <c r="F977" s="1"/>
      <c r="G977" s="1"/>
      <c r="H977" s="1"/>
      <c r="I977" s="1"/>
      <c r="J977" s="1"/>
    </row>
    <row r="978" spans="3:10">
      <c r="C978" s="1"/>
      <c r="D978" s="1"/>
      <c r="E978" s="1"/>
      <c r="F978" s="1"/>
      <c r="G978" s="1"/>
      <c r="H978" s="1"/>
      <c r="I978" s="1"/>
      <c r="J978" s="1"/>
    </row>
    <row r="979" spans="3:10">
      <c r="C979" s="1"/>
      <c r="D979" s="1"/>
      <c r="E979" s="1"/>
      <c r="F979" s="1"/>
      <c r="G979" s="1"/>
      <c r="H979" s="1"/>
      <c r="I979" s="1"/>
      <c r="J979" s="1"/>
    </row>
    <row r="980" spans="3:10">
      <c r="C980" s="1"/>
      <c r="D980" s="1"/>
      <c r="E980" s="1"/>
      <c r="F980" s="1"/>
      <c r="G980" s="1"/>
      <c r="H980" s="1"/>
      <c r="I980" s="1"/>
      <c r="J980" s="1"/>
    </row>
    <row r="981" spans="3:10">
      <c r="C981" s="1"/>
      <c r="D981" s="1"/>
      <c r="E981" s="1"/>
      <c r="F981" s="1"/>
      <c r="G981" s="1"/>
      <c r="H981" s="1"/>
      <c r="I981" s="1"/>
      <c r="J981" s="1"/>
    </row>
    <row r="982" spans="3:10">
      <c r="C982" s="1"/>
      <c r="D982" s="1"/>
      <c r="E982" s="1"/>
      <c r="F982" s="1"/>
      <c r="G982" s="1"/>
      <c r="H982" s="1"/>
      <c r="I982" s="1"/>
      <c r="J982" s="1"/>
    </row>
    <row r="983" spans="3:10">
      <c r="C983" s="1"/>
      <c r="D983" s="1"/>
      <c r="E983" s="1"/>
      <c r="F983" s="1"/>
      <c r="G983" s="1"/>
      <c r="H983" s="1"/>
      <c r="I983" s="1"/>
      <c r="J983" s="1"/>
    </row>
    <row r="984" spans="3:10">
      <c r="C984" s="1"/>
      <c r="D984" s="1"/>
      <c r="E984" s="1"/>
      <c r="F984" s="1"/>
      <c r="G984" s="1"/>
      <c r="H984" s="1"/>
      <c r="I984" s="1"/>
      <c r="J984" s="1"/>
    </row>
    <row r="985" spans="3:10">
      <c r="C985" s="1"/>
      <c r="D985" s="1"/>
      <c r="E985" s="1"/>
      <c r="F985" s="1"/>
      <c r="G985" s="1"/>
      <c r="H985" s="1"/>
      <c r="I985" s="1"/>
      <c r="J985" s="1"/>
    </row>
    <row r="986" spans="3:10">
      <c r="C986" s="1"/>
      <c r="D986" s="1"/>
      <c r="E986" s="1"/>
      <c r="F986" s="1"/>
      <c r="G986" s="1"/>
      <c r="H986" s="1"/>
      <c r="I986" s="1"/>
      <c r="J986" s="1"/>
    </row>
    <row r="987" spans="3:10">
      <c r="C987" s="1"/>
      <c r="D987" s="1"/>
      <c r="E987" s="1"/>
      <c r="F987" s="1"/>
      <c r="G987" s="1"/>
      <c r="H987" s="1"/>
      <c r="I987" s="1"/>
      <c r="J987" s="1"/>
    </row>
    <row r="988" spans="3:10">
      <c r="C988" s="1"/>
      <c r="D988" s="1"/>
      <c r="E988" s="1"/>
      <c r="F988" s="1"/>
      <c r="G988" s="1"/>
      <c r="H988" s="1"/>
      <c r="I988" s="1"/>
      <c r="J988" s="1"/>
    </row>
    <row r="989" spans="3:10">
      <c r="C989" s="1"/>
      <c r="D989" s="1"/>
      <c r="E989" s="1"/>
      <c r="F989" s="1"/>
      <c r="G989" s="1"/>
      <c r="H989" s="1"/>
      <c r="I989" s="1"/>
      <c r="J989" s="1"/>
    </row>
    <row r="990" spans="3:10">
      <c r="C990" s="1"/>
      <c r="D990" s="1"/>
      <c r="E990" s="1"/>
      <c r="F990" s="1"/>
      <c r="G990" s="1"/>
      <c r="H990" s="1"/>
      <c r="I990" s="1"/>
      <c r="J990" s="1"/>
    </row>
    <row r="991" spans="3:10">
      <c r="C991" s="1"/>
      <c r="D991" s="1"/>
      <c r="E991" s="1"/>
      <c r="F991" s="1"/>
      <c r="G991" s="1"/>
      <c r="H991" s="1"/>
      <c r="I991" s="1"/>
      <c r="J991" s="1"/>
    </row>
    <row r="992" spans="3:10">
      <c r="C992" s="1"/>
      <c r="D992" s="1"/>
      <c r="E992" s="1"/>
      <c r="F992" s="1"/>
      <c r="G992" s="1"/>
      <c r="H992" s="1"/>
      <c r="I992" s="1"/>
      <c r="J992" s="1"/>
    </row>
    <row r="993" spans="3:10">
      <c r="C993" s="1"/>
      <c r="D993" s="1"/>
      <c r="E993" s="1"/>
      <c r="F993" s="1"/>
      <c r="G993" s="1"/>
      <c r="H993" s="1"/>
      <c r="I993" s="1"/>
      <c r="J993" s="1"/>
    </row>
    <row r="994" spans="3:10">
      <c r="C994" s="1"/>
      <c r="D994" s="1"/>
      <c r="E994" s="1"/>
      <c r="F994" s="1"/>
      <c r="G994" s="1"/>
      <c r="H994" s="1"/>
      <c r="I994" s="1"/>
      <c r="J994" s="1"/>
    </row>
    <row r="995" spans="3:10">
      <c r="C995" s="1"/>
      <c r="D995" s="1"/>
      <c r="E995" s="1"/>
      <c r="F995" s="1"/>
      <c r="G995" s="1"/>
      <c r="H995" s="1"/>
      <c r="I995" s="1"/>
      <c r="J995" s="1"/>
    </row>
    <row r="996" spans="3:10">
      <c r="C996" s="1"/>
      <c r="D996" s="1"/>
      <c r="E996" s="1"/>
      <c r="F996" s="1"/>
      <c r="G996" s="1"/>
      <c r="H996" s="1"/>
      <c r="I996" s="1"/>
      <c r="J996" s="1"/>
    </row>
    <row r="997" spans="3:10">
      <c r="C997" s="1"/>
      <c r="D997" s="1"/>
      <c r="E997" s="1"/>
      <c r="F997" s="1"/>
      <c r="G997" s="1"/>
      <c r="H997" s="1"/>
      <c r="I997" s="1"/>
      <c r="J997" s="1"/>
    </row>
    <row r="998" spans="3:10">
      <c r="C998" s="1"/>
      <c r="D998" s="1"/>
      <c r="E998" s="1"/>
      <c r="F998" s="1"/>
      <c r="G998" s="1"/>
      <c r="H998" s="1"/>
      <c r="I998" s="1"/>
      <c r="J998" s="1"/>
    </row>
    <row r="999" spans="3:10">
      <c r="C999" s="1"/>
      <c r="D999" s="1"/>
      <c r="E999" s="1"/>
      <c r="F999" s="1"/>
      <c r="G999" s="1"/>
      <c r="H999" s="1"/>
      <c r="I999" s="1"/>
      <c r="J999" s="1"/>
    </row>
    <row r="1000" spans="3:10">
      <c r="C1000" s="1"/>
      <c r="D1000" s="1"/>
      <c r="E1000" s="1"/>
      <c r="F1000" s="1"/>
      <c r="G1000" s="1"/>
      <c r="H1000" s="1"/>
      <c r="I1000" s="1"/>
      <c r="J1000" s="1"/>
    </row>
    <row r="1001" spans="3:10">
      <c r="C1001" s="1"/>
      <c r="D1001" s="1"/>
      <c r="E1001" s="1"/>
      <c r="F1001" s="1"/>
      <c r="G1001" s="1"/>
      <c r="H1001" s="1"/>
      <c r="I1001" s="1"/>
      <c r="J1001" s="1"/>
    </row>
    <row r="1002" spans="3:10">
      <c r="C1002" s="1"/>
      <c r="D1002" s="1"/>
      <c r="E1002" s="1"/>
      <c r="F1002" s="1"/>
      <c r="G1002" s="1"/>
      <c r="H1002" s="1"/>
      <c r="I1002" s="1"/>
      <c r="J1002" s="1"/>
    </row>
    <row r="1003" spans="3:10">
      <c r="C1003" s="1"/>
      <c r="D1003" s="1"/>
      <c r="E1003" s="1"/>
      <c r="F1003" s="1"/>
      <c r="G1003" s="1"/>
      <c r="H1003" s="1"/>
      <c r="I1003" s="1"/>
      <c r="J1003" s="1"/>
    </row>
    <row r="1004" spans="3:10">
      <c r="C1004" s="1"/>
      <c r="D1004" s="1"/>
      <c r="E1004" s="1"/>
      <c r="F1004" s="1"/>
      <c r="G1004" s="1"/>
      <c r="H1004" s="1"/>
      <c r="I1004" s="1"/>
      <c r="J1004" s="1"/>
    </row>
    <row r="1005" spans="3:10">
      <c r="C1005" s="1"/>
      <c r="D1005" s="1"/>
      <c r="E1005" s="1"/>
      <c r="F1005" s="1"/>
      <c r="G1005" s="1"/>
      <c r="H1005" s="1"/>
      <c r="I1005" s="1"/>
      <c r="J1005" s="1"/>
    </row>
    <row r="1006" spans="3:10">
      <c r="C1006" s="1"/>
      <c r="D1006" s="1"/>
      <c r="E1006" s="1"/>
      <c r="F1006" s="1"/>
      <c r="G1006" s="1"/>
      <c r="H1006" s="1"/>
      <c r="I1006" s="1"/>
      <c r="J1006" s="1"/>
    </row>
    <row r="1007" spans="3:10">
      <c r="C1007" s="1"/>
      <c r="D1007" s="1"/>
      <c r="E1007" s="1"/>
      <c r="F1007" s="1"/>
      <c r="G1007" s="1"/>
      <c r="H1007" s="1"/>
      <c r="I1007" s="1"/>
      <c r="J1007" s="1"/>
    </row>
    <row r="1008" spans="3:10">
      <c r="C1008" s="1"/>
      <c r="D1008" s="1"/>
      <c r="E1008" s="1"/>
      <c r="F1008" s="1"/>
      <c r="G1008" s="1"/>
      <c r="H1008" s="1"/>
      <c r="I1008" s="1"/>
      <c r="J1008" s="1"/>
    </row>
    <row r="1009" spans="3:10">
      <c r="C1009" s="1"/>
      <c r="D1009" s="1"/>
      <c r="E1009" s="1"/>
      <c r="F1009" s="1"/>
      <c r="G1009" s="1"/>
      <c r="H1009" s="1"/>
      <c r="I1009" s="1"/>
      <c r="J1009" s="1"/>
    </row>
    <row r="1010" spans="3:10">
      <c r="C1010" s="1"/>
      <c r="D1010" s="1"/>
      <c r="E1010" s="1"/>
      <c r="F1010" s="1"/>
      <c r="G1010" s="1"/>
      <c r="H1010" s="1"/>
      <c r="I1010" s="1"/>
      <c r="J1010" s="1"/>
    </row>
    <row r="1011" spans="3:10">
      <c r="C1011" s="1"/>
      <c r="D1011" s="1"/>
      <c r="E1011" s="1"/>
      <c r="F1011" s="1"/>
      <c r="G1011" s="1"/>
      <c r="H1011" s="1"/>
      <c r="I1011" s="1"/>
      <c r="J1011" s="1"/>
    </row>
    <row r="1012" spans="3:10">
      <c r="C1012" s="1"/>
      <c r="D1012" s="1"/>
      <c r="E1012" s="1"/>
      <c r="F1012" s="1"/>
      <c r="G1012" s="1"/>
      <c r="H1012" s="1"/>
      <c r="I1012" s="1"/>
      <c r="J1012" s="1"/>
    </row>
    <row r="1013" spans="3:10">
      <c r="C1013" s="1"/>
      <c r="D1013" s="1"/>
      <c r="E1013" s="1"/>
      <c r="F1013" s="1"/>
      <c r="G1013" s="1"/>
      <c r="H1013" s="1"/>
      <c r="I1013" s="1"/>
      <c r="J1013" s="1"/>
    </row>
    <row r="1014" spans="3:10">
      <c r="C1014" s="1"/>
      <c r="D1014" s="1"/>
      <c r="E1014" s="1"/>
      <c r="F1014" s="1"/>
      <c r="G1014" s="1"/>
      <c r="H1014" s="1"/>
      <c r="I1014" s="1"/>
      <c r="J1014" s="1"/>
    </row>
    <row r="1015" spans="3:10">
      <c r="C1015" s="1"/>
      <c r="D1015" s="1"/>
      <c r="E1015" s="1"/>
      <c r="F1015" s="1"/>
      <c r="G1015" s="1"/>
      <c r="H1015" s="1"/>
      <c r="I1015" s="1"/>
      <c r="J1015" s="1"/>
    </row>
    <row r="1016" spans="3:10">
      <c r="C1016" s="1"/>
      <c r="D1016" s="1"/>
      <c r="E1016" s="1"/>
      <c r="F1016" s="1"/>
      <c r="G1016" s="1"/>
      <c r="H1016" s="1"/>
      <c r="I1016" s="1"/>
      <c r="J1016" s="1"/>
    </row>
    <row r="1017" spans="3:10">
      <c r="C1017" s="1"/>
      <c r="D1017" s="1"/>
      <c r="E1017" s="1"/>
      <c r="F1017" s="1"/>
      <c r="G1017" s="1"/>
      <c r="H1017" s="1"/>
      <c r="I1017" s="1"/>
      <c r="J1017" s="1"/>
    </row>
    <row r="1018" spans="3:10">
      <c r="C1018" s="1"/>
      <c r="D1018" s="1"/>
      <c r="E1018" s="1"/>
      <c r="F1018" s="1"/>
      <c r="G1018" s="1"/>
      <c r="H1018" s="1"/>
      <c r="I1018" s="1"/>
      <c r="J1018" s="1"/>
    </row>
  </sheetData>
  <autoFilter ref="A2:N1018" xr:uid="{A099B277-0503-4AA4-8E3F-3CB22A144B07}"/>
  <conditionalFormatting sqref="A16:A463">
    <cfRule type="cellIs" dxfId="16" priority="6" operator="equal">
      <formula>A15</formula>
    </cfRule>
  </conditionalFormatting>
  <conditionalFormatting sqref="A13 A2:A10">
    <cfRule type="cellIs" dxfId="15" priority="7" operator="equal">
      <formula>#REF!</formula>
    </cfRule>
  </conditionalFormatting>
  <conditionalFormatting sqref="A21">
    <cfRule type="cellIs" dxfId="14" priority="5" operator="equal">
      <formula>A20</formula>
    </cfRule>
  </conditionalFormatting>
  <conditionalFormatting sqref="A15">
    <cfRule type="cellIs" dxfId="13" priority="8" operator="equal">
      <formula>#REF!</formula>
    </cfRule>
  </conditionalFormatting>
  <conditionalFormatting sqref="A14">
    <cfRule type="cellIs" dxfId="12" priority="4" operator="equal">
      <formula>#REF!</formula>
    </cfRule>
  </conditionalFormatting>
  <conditionalFormatting sqref="A464:A644">
    <cfRule type="cellIs" dxfId="11" priority="3" operator="equal">
      <formula>A463</formula>
    </cfRule>
  </conditionalFormatting>
  <conditionalFormatting sqref="A12">
    <cfRule type="cellIs" dxfId="10" priority="2" operator="equal">
      <formula>#REF!</formula>
    </cfRule>
  </conditionalFormatting>
  <conditionalFormatting sqref="A11">
    <cfRule type="cellIs" dxfId="9" priority="1" operator="equal">
      <formula>#REF!</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3F88F-5CDD-47B7-9930-DD28FE82EC29}">
  <sheetPr>
    <tabColor theme="1"/>
  </sheetPr>
  <dimension ref="A1:C75"/>
  <sheetViews>
    <sheetView workbookViewId="0">
      <selection activeCell="B3" sqref="B3"/>
    </sheetView>
  </sheetViews>
  <sheetFormatPr baseColWidth="10" defaultColWidth="8.83203125" defaultRowHeight="15"/>
  <cols>
    <col min="1" max="1" width="9.6640625" bestFit="1" customWidth="1"/>
  </cols>
  <sheetData>
    <row r="1" spans="1:3">
      <c r="A1" s="549">
        <v>44266</v>
      </c>
      <c r="B1" s="549"/>
    </row>
    <row r="2" spans="1:3">
      <c r="A2" s="11" t="s">
        <v>2920</v>
      </c>
      <c r="B2" s="11" t="s">
        <v>2998</v>
      </c>
      <c r="C2" s="11" t="s">
        <v>2921</v>
      </c>
    </row>
    <row r="3" spans="1:3">
      <c r="A3" s="1" t="s">
        <v>2847</v>
      </c>
      <c r="B3" s="1" t="s">
        <v>2958</v>
      </c>
      <c r="C3" s="1">
        <v>106.6022</v>
      </c>
    </row>
    <row r="4" spans="1:3">
      <c r="A4" s="1" t="s">
        <v>2848</v>
      </c>
      <c r="B4" s="1" t="s">
        <v>2959</v>
      </c>
      <c r="C4" s="1">
        <v>82.7102</v>
      </c>
    </row>
    <row r="5" spans="1:3">
      <c r="A5" s="1" t="s">
        <v>2849</v>
      </c>
      <c r="B5" s="1" t="s">
        <v>2960</v>
      </c>
      <c r="C5" s="1">
        <v>1.4467000000000001</v>
      </c>
    </row>
    <row r="6" spans="1:3">
      <c r="A6" s="1" t="s">
        <v>2850</v>
      </c>
      <c r="B6" s="1" t="s">
        <v>2961</v>
      </c>
      <c r="C6" s="1">
        <v>0.89810000000000001</v>
      </c>
    </row>
    <row r="7" spans="1:3">
      <c r="A7" s="1" t="s">
        <v>2851</v>
      </c>
      <c r="B7" s="1" t="s">
        <v>2962</v>
      </c>
      <c r="C7" s="1">
        <v>84.487700000000004</v>
      </c>
    </row>
    <row r="8" spans="1:3">
      <c r="A8" s="1" t="s">
        <v>2852</v>
      </c>
      <c r="B8" s="1" t="s">
        <v>2961</v>
      </c>
      <c r="C8" s="1">
        <v>0.89810000000000001</v>
      </c>
    </row>
    <row r="9" spans="1:3">
      <c r="A9" s="1" t="s">
        <v>2853</v>
      </c>
      <c r="B9" s="1" t="s">
        <v>2963</v>
      </c>
      <c r="C9" s="1">
        <v>1.8077000000000001</v>
      </c>
    </row>
    <row r="10" spans="1:3">
      <c r="A10" s="1" t="s">
        <v>2854</v>
      </c>
      <c r="B10" s="1" t="s">
        <v>2964</v>
      </c>
      <c r="C10" s="1">
        <v>5.2739000000000003</v>
      </c>
    </row>
    <row r="11" spans="1:3">
      <c r="A11" s="1" t="s">
        <v>2855</v>
      </c>
      <c r="B11" s="1" t="s">
        <v>2965</v>
      </c>
      <c r="C11" s="1">
        <v>1.7565999999999999</v>
      </c>
    </row>
    <row r="12" spans="1:3">
      <c r="A12" s="1" t="s">
        <v>2856</v>
      </c>
      <c r="B12" s="1" t="s">
        <v>2960</v>
      </c>
      <c r="C12" s="1">
        <v>1.3484</v>
      </c>
    </row>
    <row r="13" spans="1:3">
      <c r="A13" s="1" t="s">
        <v>2857</v>
      </c>
      <c r="B13" s="1" t="s">
        <v>2959</v>
      </c>
      <c r="C13" s="1">
        <v>776.46799999999996</v>
      </c>
    </row>
    <row r="14" spans="1:3">
      <c r="A14" s="1" t="s">
        <v>2858</v>
      </c>
      <c r="B14" s="1" t="s">
        <v>2966</v>
      </c>
      <c r="C14" s="1">
        <v>6.8220000000000001</v>
      </c>
    </row>
    <row r="15" spans="1:3">
      <c r="A15" s="1" t="s">
        <v>2859</v>
      </c>
      <c r="B15" s="1" t="s">
        <v>2959</v>
      </c>
      <c r="C15" s="1">
        <v>3733</v>
      </c>
    </row>
    <row r="16" spans="1:3">
      <c r="A16" s="1" t="s">
        <v>2860</v>
      </c>
      <c r="B16" s="1" t="s">
        <v>2967</v>
      </c>
      <c r="C16" s="1">
        <v>593.69200000000001</v>
      </c>
    </row>
    <row r="17" spans="1:3">
      <c r="A17" s="1" t="s">
        <v>2861</v>
      </c>
      <c r="B17" s="1" t="s">
        <v>2968</v>
      </c>
      <c r="C17" s="1">
        <v>6.6684999999999999</v>
      </c>
    </row>
    <row r="18" spans="1:3">
      <c r="A18" s="1" t="s">
        <v>2862</v>
      </c>
      <c r="B18" s="1" t="s">
        <v>2961</v>
      </c>
      <c r="C18" s="1">
        <v>0.89810000000000001</v>
      </c>
    </row>
    <row r="19" spans="1:3">
      <c r="A19" s="1" t="s">
        <v>2863</v>
      </c>
      <c r="B19" s="1" t="s">
        <v>2969</v>
      </c>
      <c r="C19" s="1">
        <v>23.2425</v>
      </c>
    </row>
    <row r="20" spans="1:3">
      <c r="A20" s="1" t="s">
        <v>2864</v>
      </c>
      <c r="B20" s="1" t="s">
        <v>2970</v>
      </c>
      <c r="C20" s="1">
        <v>6.6161000000000003</v>
      </c>
    </row>
    <row r="21" spans="1:3">
      <c r="A21" s="1" t="s">
        <v>2865</v>
      </c>
      <c r="B21" s="1" t="s">
        <v>2971</v>
      </c>
      <c r="C21" s="1">
        <v>16.808700000000002</v>
      </c>
    </row>
    <row r="22" spans="1:3">
      <c r="A22" s="1" t="s">
        <v>2866</v>
      </c>
      <c r="B22" s="1" t="s">
        <v>2961</v>
      </c>
      <c r="C22" s="1">
        <v>0.89810000000000001</v>
      </c>
    </row>
    <row r="23" spans="1:3">
      <c r="A23" s="1" t="s">
        <v>2867</v>
      </c>
      <c r="B23" s="1" t="s">
        <v>2961</v>
      </c>
      <c r="C23" s="1">
        <v>0.89810000000000001</v>
      </c>
    </row>
    <row r="24" spans="1:3">
      <c r="A24" s="1" t="s">
        <v>2868</v>
      </c>
      <c r="B24" s="1" t="s">
        <v>2961</v>
      </c>
      <c r="C24" s="1">
        <v>0.89810000000000001</v>
      </c>
    </row>
    <row r="25" spans="1:3">
      <c r="A25" s="1" t="s">
        <v>2869</v>
      </c>
      <c r="B25" s="1" t="s">
        <v>2961</v>
      </c>
      <c r="C25" s="1">
        <v>0.89810000000000001</v>
      </c>
    </row>
    <row r="26" spans="1:3">
      <c r="A26" s="1" t="s">
        <v>2870</v>
      </c>
      <c r="B26" s="1" t="s">
        <v>2961</v>
      </c>
      <c r="C26" s="1">
        <v>0.89810000000000001</v>
      </c>
    </row>
    <row r="27" spans="1:3">
      <c r="A27" s="1" t="s">
        <v>2871</v>
      </c>
      <c r="B27" s="1" t="s">
        <v>2960</v>
      </c>
      <c r="C27" s="1">
        <v>7.7499000000000002</v>
      </c>
    </row>
    <row r="28" spans="1:3">
      <c r="A28" s="1" t="s">
        <v>2872</v>
      </c>
      <c r="B28" s="1" t="s">
        <v>2972</v>
      </c>
      <c r="C28" s="1">
        <v>316.48</v>
      </c>
    </row>
    <row r="29" spans="1:3">
      <c r="A29" s="1" t="s">
        <v>2873</v>
      </c>
      <c r="B29" s="1" t="s">
        <v>2970</v>
      </c>
      <c r="C29" s="1">
        <v>137.08000000000001</v>
      </c>
    </row>
    <row r="30" spans="1:3">
      <c r="A30" s="1" t="s">
        <v>2874</v>
      </c>
      <c r="B30" s="1" t="s">
        <v>2973</v>
      </c>
      <c r="C30" s="1">
        <v>73.468800000000002</v>
      </c>
    </row>
    <row r="31" spans="1:3">
      <c r="A31" s="1" t="s">
        <v>2875</v>
      </c>
      <c r="B31" s="1" t="s">
        <v>2974</v>
      </c>
      <c r="C31" s="1">
        <v>14410</v>
      </c>
    </row>
    <row r="32" spans="1:3">
      <c r="A32" s="1" t="s">
        <v>2876</v>
      </c>
      <c r="B32" s="1" t="s">
        <v>2961</v>
      </c>
      <c r="C32" s="1">
        <v>0.89810000000000001</v>
      </c>
    </row>
    <row r="33" spans="1:3">
      <c r="A33" s="1" t="s">
        <v>2877</v>
      </c>
      <c r="B33" s="1" t="s">
        <v>2975</v>
      </c>
      <c r="C33" s="1">
        <v>3.6145999999999998</v>
      </c>
    </row>
    <row r="34" spans="1:3">
      <c r="A34" s="1" t="s">
        <v>2878</v>
      </c>
      <c r="B34" s="1" t="s">
        <v>2961</v>
      </c>
      <c r="C34" s="1">
        <v>0.89810000000000001</v>
      </c>
    </row>
    <row r="35" spans="1:3">
      <c r="A35" s="1" t="s">
        <v>2879</v>
      </c>
      <c r="B35" s="1" t="s">
        <v>2960</v>
      </c>
      <c r="C35" s="1">
        <v>96.91</v>
      </c>
    </row>
    <row r="36" spans="1:3">
      <c r="A36" s="1" t="s">
        <v>2880</v>
      </c>
      <c r="B36" s="1" t="s">
        <v>2976</v>
      </c>
      <c r="C36" s="1">
        <v>120</v>
      </c>
    </row>
    <row r="37" spans="1:3">
      <c r="A37" s="1" t="s">
        <v>2881</v>
      </c>
      <c r="B37" s="1" t="s">
        <v>2977</v>
      </c>
      <c r="C37" s="1">
        <v>412.57</v>
      </c>
    </row>
    <row r="38" spans="1:3">
      <c r="A38" s="1" t="s">
        <v>2882</v>
      </c>
      <c r="B38" s="1" t="s">
        <v>2978</v>
      </c>
      <c r="C38" s="1">
        <v>101.0275</v>
      </c>
    </row>
    <row r="39" spans="1:3">
      <c r="A39" s="1" t="s">
        <v>2883</v>
      </c>
      <c r="B39" s="1" t="s">
        <v>2979</v>
      </c>
      <c r="C39" s="1">
        <v>1194.52</v>
      </c>
    </row>
    <row r="40" spans="1:3">
      <c r="A40" s="1" t="s">
        <v>2884</v>
      </c>
      <c r="B40" s="1" t="s">
        <v>2980</v>
      </c>
      <c r="C40" s="1">
        <v>0.28999999999999998</v>
      </c>
    </row>
    <row r="41" spans="1:3">
      <c r="A41" s="1" t="s">
        <v>2885</v>
      </c>
      <c r="B41" s="1" t="s">
        <v>2961</v>
      </c>
      <c r="C41" s="1">
        <v>0.89810000000000001</v>
      </c>
    </row>
    <row r="42" spans="1:3">
      <c r="A42" s="1" t="s">
        <v>2886</v>
      </c>
      <c r="B42" s="1" t="s">
        <v>2971</v>
      </c>
      <c r="C42" s="1">
        <v>1507.5</v>
      </c>
    </row>
    <row r="43" spans="1:3">
      <c r="A43" s="1" t="s">
        <v>2887</v>
      </c>
      <c r="B43" s="1" t="s">
        <v>2961</v>
      </c>
      <c r="C43" s="1">
        <v>0.89810000000000001</v>
      </c>
    </row>
    <row r="44" spans="1:3">
      <c r="A44" s="1" t="s">
        <v>2888</v>
      </c>
      <c r="B44" s="1" t="s">
        <v>2981</v>
      </c>
      <c r="C44" s="1">
        <v>7.9840999999999998</v>
      </c>
    </row>
    <row r="45" spans="1:3">
      <c r="A45" s="1" t="s">
        <v>2889</v>
      </c>
      <c r="B45" s="1" t="s">
        <v>2982</v>
      </c>
      <c r="C45" s="1">
        <v>4.0542999999999996</v>
      </c>
    </row>
    <row r="46" spans="1:3">
      <c r="A46" s="1" t="s">
        <v>2890</v>
      </c>
      <c r="B46" s="1" t="s">
        <v>2983</v>
      </c>
      <c r="C46" s="1">
        <v>15.38</v>
      </c>
    </row>
    <row r="47" spans="1:3">
      <c r="A47" s="1" t="s">
        <v>2891</v>
      </c>
      <c r="B47" s="1" t="s">
        <v>2961</v>
      </c>
      <c r="C47" s="1">
        <v>0.89810000000000001</v>
      </c>
    </row>
    <row r="48" spans="1:3">
      <c r="A48" s="1" t="s">
        <v>2892</v>
      </c>
      <c r="B48" s="1" t="s">
        <v>2959</v>
      </c>
      <c r="C48" s="1">
        <v>20.051600000000001</v>
      </c>
    </row>
    <row r="49" spans="1:3">
      <c r="A49" s="1" t="s">
        <v>2893</v>
      </c>
      <c r="B49" s="1" t="s">
        <v>2984</v>
      </c>
      <c r="C49" s="1">
        <v>3.673</v>
      </c>
    </row>
    <row r="50" spans="1:3">
      <c r="A50" s="1" t="s">
        <v>2894</v>
      </c>
      <c r="B50" s="1" t="s">
        <v>2961</v>
      </c>
      <c r="C50" s="1">
        <v>0.89810000000000001</v>
      </c>
    </row>
    <row r="51" spans="1:3">
      <c r="A51" s="1" t="s">
        <v>2895</v>
      </c>
      <c r="B51" s="1" t="s">
        <v>2960</v>
      </c>
      <c r="C51" s="1">
        <v>1.5361</v>
      </c>
    </row>
    <row r="52" spans="1:3">
      <c r="A52" s="1" t="s">
        <v>2896</v>
      </c>
      <c r="B52" s="1" t="s">
        <v>2970</v>
      </c>
      <c r="C52" s="1">
        <v>9.8519000000000005</v>
      </c>
    </row>
    <row r="53" spans="1:3">
      <c r="A53" s="1" t="s">
        <v>2897</v>
      </c>
      <c r="B53" s="1" t="s">
        <v>2973</v>
      </c>
      <c r="C53" s="1">
        <v>165.613</v>
      </c>
    </row>
    <row r="54" spans="1:3">
      <c r="A54" s="1" t="s">
        <v>2898</v>
      </c>
      <c r="B54" s="1" t="s">
        <v>2985</v>
      </c>
      <c r="C54" s="1">
        <v>3.3698999999999999</v>
      </c>
    </row>
    <row r="55" spans="1:3">
      <c r="A55" s="1" t="s">
        <v>2899</v>
      </c>
      <c r="B55" s="1" t="s">
        <v>2959</v>
      </c>
      <c r="C55" s="1">
        <v>51.787999999999997</v>
      </c>
    </row>
    <row r="56" spans="1:3">
      <c r="A56" s="1" t="s">
        <v>2900</v>
      </c>
      <c r="B56" s="1" t="s">
        <v>2986</v>
      </c>
      <c r="C56" s="1">
        <v>3.8563000000000001</v>
      </c>
    </row>
    <row r="57" spans="1:3">
      <c r="A57" s="1" t="s">
        <v>2901</v>
      </c>
      <c r="B57" s="1" t="s">
        <v>2961</v>
      </c>
      <c r="C57" s="1">
        <v>0.89810000000000001</v>
      </c>
    </row>
    <row r="58" spans="1:3">
      <c r="A58" s="1" t="s">
        <v>2902</v>
      </c>
      <c r="B58" s="1" t="s">
        <v>2987</v>
      </c>
      <c r="C58" s="1">
        <v>3.6408</v>
      </c>
    </row>
    <row r="59" spans="1:3">
      <c r="A59" s="1" t="s">
        <v>2903</v>
      </c>
      <c r="B59" s="1" t="s">
        <v>2988</v>
      </c>
      <c r="C59" s="1">
        <v>4.0922000000000001</v>
      </c>
    </row>
    <row r="60" spans="1:3">
      <c r="A60" s="1" t="s">
        <v>2904</v>
      </c>
      <c r="B60" s="1" t="s">
        <v>2989</v>
      </c>
      <c r="C60" s="1">
        <v>70.698499999999996</v>
      </c>
    </row>
    <row r="61" spans="1:3">
      <c r="A61" s="1" t="s">
        <v>2905</v>
      </c>
      <c r="B61" s="1" t="s">
        <v>2990</v>
      </c>
      <c r="C61" s="1">
        <v>17.320499999999999</v>
      </c>
    </row>
    <row r="62" spans="1:3">
      <c r="A62" s="1" t="s">
        <v>2906</v>
      </c>
      <c r="B62" s="1" t="s">
        <v>2980</v>
      </c>
      <c r="C62" s="1">
        <v>105.9823</v>
      </c>
    </row>
    <row r="63" spans="1:3">
      <c r="A63" s="1" t="s">
        <v>2907</v>
      </c>
      <c r="B63" s="1" t="s">
        <v>2960</v>
      </c>
      <c r="C63" s="1">
        <v>1.3818999999999999</v>
      </c>
    </row>
    <row r="64" spans="1:3">
      <c r="A64" s="1" t="s">
        <v>2908</v>
      </c>
      <c r="B64" s="1" t="s">
        <v>2961</v>
      </c>
      <c r="C64" s="1">
        <v>0.89810000000000001</v>
      </c>
    </row>
    <row r="65" spans="1:3">
      <c r="A65" s="1" t="s">
        <v>2909</v>
      </c>
      <c r="B65" s="1" t="s">
        <v>2961</v>
      </c>
      <c r="C65" s="1">
        <v>0.89810000000000001</v>
      </c>
    </row>
    <row r="66" spans="1:3">
      <c r="A66" s="1" t="s">
        <v>2910</v>
      </c>
      <c r="B66" s="1" t="s">
        <v>2991</v>
      </c>
      <c r="C66" s="1">
        <v>14.7272</v>
      </c>
    </row>
    <row r="67" spans="1:3">
      <c r="A67" s="1" t="s">
        <v>2911</v>
      </c>
      <c r="B67" s="1" t="s">
        <v>2961</v>
      </c>
      <c r="C67" s="1">
        <v>0.89810000000000001</v>
      </c>
    </row>
    <row r="68" spans="1:3">
      <c r="A68" s="1" t="s">
        <v>2912</v>
      </c>
      <c r="B68" s="1" t="s">
        <v>2992</v>
      </c>
      <c r="C68" s="1">
        <v>9.5622000000000007</v>
      </c>
    </row>
    <row r="69" spans="1:3">
      <c r="A69" s="1" t="s">
        <v>2913</v>
      </c>
      <c r="B69" s="1" t="s">
        <v>2993</v>
      </c>
      <c r="C69" s="1">
        <v>1.0072000000000001</v>
      </c>
    </row>
    <row r="70" spans="1:3">
      <c r="A70" s="1" t="s">
        <v>2914</v>
      </c>
      <c r="B70" s="1" t="s">
        <v>2960</v>
      </c>
      <c r="C70" s="1">
        <v>31.611000000000001</v>
      </c>
    </row>
    <row r="71" spans="1:3">
      <c r="A71" s="1" t="s">
        <v>2915</v>
      </c>
      <c r="B71" s="1" t="s">
        <v>2994</v>
      </c>
      <c r="C71" s="1">
        <v>31.827000000000002</v>
      </c>
    </row>
    <row r="72" spans="1:3">
      <c r="A72" s="1" t="s">
        <v>2916</v>
      </c>
      <c r="B72" s="1" t="s">
        <v>2995</v>
      </c>
      <c r="C72" s="1">
        <v>7.6913999999999998</v>
      </c>
    </row>
    <row r="73" spans="1:3">
      <c r="A73" s="1" t="s">
        <v>2917</v>
      </c>
      <c r="B73" s="1" t="s">
        <v>2971</v>
      </c>
      <c r="C73" s="1">
        <v>0.79220000000000002</v>
      </c>
    </row>
    <row r="74" spans="1:3">
      <c r="A74" s="1" t="s">
        <v>2918</v>
      </c>
      <c r="B74" s="1" t="s">
        <v>2996</v>
      </c>
      <c r="C74" s="1">
        <v>1</v>
      </c>
    </row>
    <row r="75" spans="1:3">
      <c r="A75" s="1" t="s">
        <v>2919</v>
      </c>
      <c r="B75" s="1" t="s">
        <v>2997</v>
      </c>
      <c r="C75" s="1">
        <v>23411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667D6-1472-44F1-88B6-B8CB0B2998F7}">
  <sheetPr>
    <tabColor theme="3"/>
  </sheetPr>
  <dimension ref="A1:Y945"/>
  <sheetViews>
    <sheetView workbookViewId="0">
      <selection activeCell="B52" sqref="B52"/>
    </sheetView>
  </sheetViews>
  <sheetFormatPr baseColWidth="10" defaultColWidth="8.83203125" defaultRowHeight="15"/>
  <cols>
    <col min="1" max="1" width="9.1640625" customWidth="1"/>
    <col min="2" max="2" width="70" customWidth="1"/>
    <col min="3" max="4" width="0" hidden="1" customWidth="1"/>
    <col min="5" max="5" width="9.1640625" customWidth="1"/>
    <col min="6" max="11" width="9.1640625" hidden="1" customWidth="1"/>
    <col min="12" max="12" width="9.1640625" customWidth="1"/>
    <col min="14" max="14" width="9.1640625" customWidth="1"/>
    <col min="15" max="20" width="9.1640625" hidden="1" customWidth="1"/>
    <col min="21" max="21" width="0" hidden="1" customWidth="1"/>
  </cols>
  <sheetData>
    <row r="1" spans="1:25">
      <c r="A1" s="504">
        <v>43983</v>
      </c>
      <c r="B1" s="82" t="s">
        <v>2557</v>
      </c>
      <c r="C1" s="101"/>
      <c r="D1" s="101"/>
      <c r="E1" s="102"/>
      <c r="F1" s="101"/>
      <c r="G1" s="101"/>
      <c r="H1" s="103"/>
      <c r="I1" s="102"/>
      <c r="J1" s="101"/>
      <c r="K1" s="102"/>
      <c r="L1" s="101"/>
      <c r="M1" s="102"/>
      <c r="N1" s="101"/>
      <c r="O1" s="101"/>
      <c r="P1" s="101"/>
      <c r="Q1" s="102"/>
      <c r="R1" s="104"/>
      <c r="S1" s="105"/>
      <c r="T1" s="105"/>
      <c r="U1" s="105"/>
      <c r="V1" s="105"/>
      <c r="W1" s="105"/>
      <c r="X1" s="104"/>
      <c r="Y1" s="106"/>
    </row>
    <row r="2" spans="1:25">
      <c r="A2" s="504"/>
      <c r="B2" s="82">
        <v>1</v>
      </c>
      <c r="C2" s="101">
        <v>2</v>
      </c>
      <c r="D2" s="101">
        <v>3</v>
      </c>
      <c r="E2" s="102">
        <v>4</v>
      </c>
      <c r="F2" s="101">
        <v>5</v>
      </c>
      <c r="G2" s="101">
        <v>6</v>
      </c>
      <c r="H2" s="103">
        <v>7</v>
      </c>
      <c r="I2" s="102">
        <v>8</v>
      </c>
      <c r="J2" s="101">
        <v>9</v>
      </c>
      <c r="K2" s="103">
        <v>10</v>
      </c>
      <c r="L2" s="102">
        <v>11</v>
      </c>
      <c r="M2" s="101">
        <v>12</v>
      </c>
      <c r="N2" s="101"/>
      <c r="O2" s="101"/>
      <c r="P2" s="101"/>
      <c r="Q2" s="102"/>
      <c r="R2" s="104"/>
      <c r="S2" s="105"/>
      <c r="T2" s="105"/>
      <c r="U2" s="105"/>
      <c r="V2" s="105"/>
      <c r="W2" s="105"/>
      <c r="X2" s="104"/>
      <c r="Y2" s="106"/>
    </row>
    <row r="3" spans="1:25" ht="15" customHeight="1">
      <c r="A3" s="852" t="s">
        <v>611</v>
      </c>
      <c r="B3" s="852"/>
      <c r="C3" s="852"/>
      <c r="D3" s="852"/>
      <c r="E3" s="852"/>
      <c r="F3" s="852"/>
      <c r="G3" s="852"/>
      <c r="H3" s="852"/>
      <c r="I3" s="852"/>
      <c r="J3" s="852"/>
      <c r="K3" s="852"/>
      <c r="L3" s="852"/>
      <c r="M3" s="852"/>
      <c r="N3" s="852"/>
      <c r="O3" s="852"/>
      <c r="P3" s="852"/>
      <c r="Q3" s="852"/>
      <c r="R3" s="852"/>
      <c r="S3" s="852"/>
      <c r="T3" s="852"/>
      <c r="U3" s="852"/>
      <c r="V3" s="852"/>
    </row>
    <row r="4" spans="1:25" ht="15" customHeight="1">
      <c r="A4" s="853">
        <v>43983</v>
      </c>
      <c r="B4" s="853"/>
      <c r="C4" s="853"/>
      <c r="D4" s="853"/>
      <c r="E4" s="853"/>
      <c r="F4" s="853"/>
      <c r="G4" s="853"/>
      <c r="H4" s="853"/>
      <c r="I4" s="853"/>
      <c r="J4" s="853"/>
      <c r="K4" s="853"/>
      <c r="L4" s="853"/>
      <c r="M4" s="853"/>
      <c r="N4" s="853"/>
      <c r="O4" s="853"/>
      <c r="P4" s="853"/>
      <c r="Q4" s="853"/>
      <c r="R4" s="853"/>
      <c r="S4" s="853"/>
      <c r="T4" s="853"/>
      <c r="U4" s="853"/>
      <c r="V4" s="853"/>
    </row>
    <row r="5" spans="1:25" ht="16">
      <c r="A5" s="317"/>
      <c r="B5" s="317"/>
      <c r="C5" s="317"/>
      <c r="D5" s="317"/>
      <c r="E5" s="317"/>
      <c r="F5" s="317"/>
      <c r="G5" s="317"/>
      <c r="H5" s="317"/>
      <c r="I5" s="317"/>
      <c r="J5" s="317"/>
      <c r="K5" s="317"/>
      <c r="L5" s="317"/>
      <c r="M5" s="317"/>
      <c r="N5" s="317"/>
      <c r="O5" s="317"/>
      <c r="P5" s="317"/>
      <c r="Q5" s="317"/>
      <c r="R5" s="230"/>
      <c r="S5" s="230"/>
      <c r="T5" s="230"/>
      <c r="U5" s="230"/>
      <c r="V5" s="230"/>
    </row>
    <row r="6" spans="1:25">
      <c r="A6" s="109"/>
      <c r="B6" s="109"/>
      <c r="C6" s="109" t="s">
        <v>566</v>
      </c>
      <c r="D6" s="109"/>
      <c r="E6" s="110"/>
      <c r="F6" s="109"/>
      <c r="G6" s="109"/>
      <c r="H6" s="103"/>
      <c r="I6" s="110"/>
      <c r="J6" s="109"/>
      <c r="K6" s="110"/>
      <c r="L6" s="109"/>
      <c r="M6" s="110"/>
      <c r="N6" s="109"/>
      <c r="O6" s="109"/>
      <c r="P6" s="109"/>
      <c r="Q6" s="110"/>
      <c r="R6" s="109"/>
      <c r="S6" s="111"/>
      <c r="T6" s="111"/>
      <c r="U6" s="111"/>
      <c r="V6" s="111"/>
    </row>
    <row r="7" spans="1:25">
      <c r="A7" s="109"/>
      <c r="B7" s="109"/>
      <c r="C7" s="109"/>
      <c r="D7" s="109"/>
      <c r="E7" s="110"/>
      <c r="F7" s="109"/>
      <c r="G7" s="109"/>
      <c r="H7" s="103"/>
      <c r="I7" s="110"/>
      <c r="J7" s="109"/>
      <c r="K7" s="110"/>
      <c r="L7" s="109"/>
      <c r="M7" s="110"/>
      <c r="N7" s="109"/>
      <c r="O7" s="109"/>
      <c r="P7" s="109"/>
      <c r="Q7" s="110"/>
      <c r="R7" s="109"/>
      <c r="S7" s="111"/>
      <c r="T7" s="111"/>
      <c r="U7" s="111"/>
      <c r="V7" s="111"/>
    </row>
    <row r="8" spans="1:25">
      <c r="A8" s="109"/>
      <c r="B8" s="109"/>
      <c r="C8" s="109"/>
      <c r="D8" s="109"/>
      <c r="E8" s="110"/>
      <c r="F8" s="109"/>
      <c r="G8" s="109"/>
      <c r="H8" s="103"/>
      <c r="I8" s="110"/>
      <c r="J8" s="109"/>
      <c r="K8" s="110"/>
      <c r="L8" s="109"/>
      <c r="M8" s="110"/>
      <c r="N8" s="109"/>
      <c r="O8" s="109"/>
      <c r="P8" s="109"/>
      <c r="Q8" s="110"/>
      <c r="R8" s="109"/>
      <c r="S8" s="111"/>
      <c r="T8" s="111"/>
      <c r="U8" s="111"/>
      <c r="V8" s="111"/>
    </row>
    <row r="9" spans="1:25">
      <c r="A9" s="109"/>
      <c r="B9" s="109"/>
      <c r="C9" s="109"/>
      <c r="D9" s="109"/>
      <c r="E9" s="110"/>
      <c r="F9" s="109"/>
      <c r="G9" s="109"/>
      <c r="H9" s="103"/>
      <c r="I9" s="110"/>
      <c r="J9" s="109"/>
      <c r="K9" s="110"/>
      <c r="L9" s="109"/>
      <c r="M9" s="110"/>
      <c r="N9" s="109"/>
      <c r="O9" s="109"/>
      <c r="P9" s="109"/>
      <c r="Q9" s="110"/>
      <c r="R9" s="109"/>
      <c r="S9" s="111"/>
      <c r="T9" s="111"/>
      <c r="U9" s="111"/>
      <c r="V9" s="111"/>
    </row>
    <row r="10" spans="1:25">
      <c r="A10" s="107"/>
      <c r="B10" s="112" t="s">
        <v>612</v>
      </c>
      <c r="C10" s="107"/>
      <c r="D10" s="107"/>
      <c r="E10" s="107" t="s">
        <v>566</v>
      </c>
      <c r="F10" s="107"/>
      <c r="G10" s="107"/>
      <c r="H10" s="108"/>
      <c r="I10" s="107"/>
      <c r="J10" s="107"/>
      <c r="K10" s="107"/>
      <c r="L10" s="107"/>
      <c r="M10" s="107"/>
      <c r="N10" s="107"/>
      <c r="O10" s="107"/>
      <c r="P10" s="107"/>
      <c r="Q10" s="107"/>
      <c r="R10" s="107"/>
      <c r="S10" s="107"/>
      <c r="T10" s="107"/>
      <c r="U10" s="107" t="s">
        <v>683</v>
      </c>
      <c r="V10" s="105"/>
    </row>
    <row r="11" spans="1:25" ht="15.75" customHeight="1" thickBot="1">
      <c r="A11" s="113"/>
      <c r="B11" s="854" t="s">
        <v>684</v>
      </c>
      <c r="C11" s="854"/>
      <c r="D11" s="854"/>
      <c r="E11" s="854"/>
      <c r="F11" s="854"/>
      <c r="G11" s="854"/>
      <c r="H11" s="854"/>
      <c r="I11" s="854"/>
      <c r="J11" s="854"/>
      <c r="K11" s="854"/>
      <c r="L11" s="854"/>
      <c r="M11" s="854"/>
      <c r="N11" s="854"/>
      <c r="O11" s="854"/>
      <c r="P11" s="854"/>
      <c r="Q11" s="854"/>
      <c r="R11" s="854"/>
      <c r="S11" s="854"/>
      <c r="T11" s="854"/>
      <c r="U11" s="854"/>
      <c r="V11" s="315"/>
    </row>
    <row r="12" spans="1:25" ht="57" thickBot="1">
      <c r="A12" s="114"/>
      <c r="B12" s="114"/>
      <c r="C12" s="114"/>
      <c r="D12" s="115"/>
      <c r="E12" s="116" t="s">
        <v>648</v>
      </c>
      <c r="F12" s="115"/>
      <c r="G12" s="117" t="s">
        <v>649</v>
      </c>
      <c r="H12" s="118"/>
      <c r="I12" s="117" t="s">
        <v>650</v>
      </c>
      <c r="J12" s="115"/>
      <c r="K12" s="117" t="s">
        <v>651</v>
      </c>
      <c r="L12" s="115"/>
      <c r="M12" s="116" t="s">
        <v>613</v>
      </c>
      <c r="N12" s="119"/>
      <c r="O12" s="117" t="s">
        <v>649</v>
      </c>
      <c r="P12" s="119"/>
      <c r="Q12" s="117" t="s">
        <v>650</v>
      </c>
      <c r="R12" s="119"/>
      <c r="S12" s="117" t="s">
        <v>651</v>
      </c>
      <c r="T12" s="120"/>
      <c r="U12" s="117" t="s">
        <v>614</v>
      </c>
      <c r="V12" s="121"/>
    </row>
    <row r="13" spans="1:25" ht="16">
      <c r="A13" s="122"/>
      <c r="B13" s="851" t="s">
        <v>685</v>
      </c>
      <c r="C13" s="851"/>
      <c r="D13" s="109"/>
      <c r="E13" s="110"/>
      <c r="F13" s="109"/>
      <c r="G13" s="109"/>
      <c r="H13" s="103"/>
      <c r="I13" s="110"/>
      <c r="J13" s="109"/>
      <c r="K13" s="110"/>
      <c r="L13" s="109"/>
      <c r="M13" s="110"/>
      <c r="N13" s="123"/>
      <c r="O13" s="123"/>
      <c r="P13" s="123"/>
      <c r="Q13" s="124"/>
      <c r="R13" s="123"/>
      <c r="S13" s="125"/>
      <c r="T13" s="125"/>
      <c r="U13" s="125"/>
      <c r="V13" s="125"/>
    </row>
    <row r="14" spans="1:25" ht="16">
      <c r="A14" s="122"/>
      <c r="B14" s="127" t="s">
        <v>684</v>
      </c>
      <c r="C14" s="109"/>
      <c r="D14" s="109"/>
      <c r="E14" s="110"/>
      <c r="F14" s="109"/>
      <c r="G14" s="109"/>
      <c r="H14" s="103"/>
      <c r="I14" s="110"/>
      <c r="J14" s="109"/>
      <c r="K14" s="110"/>
      <c r="L14" s="109"/>
      <c r="M14" s="110"/>
      <c r="N14" s="123"/>
      <c r="O14" s="123"/>
      <c r="P14" s="123"/>
      <c r="Q14" s="124"/>
      <c r="R14" s="123"/>
      <c r="S14" s="125"/>
      <c r="T14" s="125"/>
      <c r="U14" s="125"/>
      <c r="V14" s="125"/>
    </row>
    <row r="15" spans="1:25" ht="16">
      <c r="A15" s="122" t="s">
        <v>566</v>
      </c>
      <c r="B15" s="109" t="s">
        <v>686</v>
      </c>
      <c r="C15" s="109"/>
      <c r="D15" s="128"/>
      <c r="E15" s="129">
        <v>350</v>
      </c>
      <c r="F15" s="128"/>
      <c r="G15" s="130">
        <v>77</v>
      </c>
      <c r="H15" s="131"/>
      <c r="I15" s="130">
        <v>52.5</v>
      </c>
      <c r="J15" s="128"/>
      <c r="K15" s="130">
        <v>24.5</v>
      </c>
      <c r="L15" s="128"/>
      <c r="M15" s="129">
        <v>17500</v>
      </c>
      <c r="N15" s="123"/>
      <c r="O15" s="130">
        <v>3850</v>
      </c>
      <c r="P15" s="123"/>
      <c r="Q15" s="130">
        <v>2625</v>
      </c>
      <c r="R15" s="123"/>
      <c r="S15" s="130">
        <v>1225</v>
      </c>
      <c r="T15" s="130"/>
      <c r="U15" s="132" t="s">
        <v>615</v>
      </c>
      <c r="V15" s="334"/>
    </row>
    <row r="16" spans="1:25" ht="16">
      <c r="A16" s="122"/>
      <c r="B16" s="109" t="s">
        <v>687</v>
      </c>
      <c r="C16" s="109"/>
      <c r="D16" s="128"/>
      <c r="E16" s="129">
        <v>950</v>
      </c>
      <c r="F16" s="128"/>
      <c r="G16" s="130">
        <v>209</v>
      </c>
      <c r="H16" s="131"/>
      <c r="I16" s="130">
        <v>142.5</v>
      </c>
      <c r="J16" s="128"/>
      <c r="K16" s="130">
        <v>66.5</v>
      </c>
      <c r="L16" s="128"/>
      <c r="M16" s="129">
        <v>47500</v>
      </c>
      <c r="N16" s="123"/>
      <c r="O16" s="130">
        <v>10450</v>
      </c>
      <c r="P16" s="123"/>
      <c r="Q16" s="130">
        <v>7125</v>
      </c>
      <c r="R16" s="123"/>
      <c r="S16" s="130">
        <v>3325</v>
      </c>
      <c r="T16" s="130"/>
      <c r="U16" s="132" t="s">
        <v>616</v>
      </c>
      <c r="V16" s="334"/>
    </row>
    <row r="17" spans="1:22" ht="16">
      <c r="A17" s="122"/>
      <c r="B17" s="109" t="s">
        <v>688</v>
      </c>
      <c r="C17" s="109"/>
      <c r="D17" s="128"/>
      <c r="E17" s="129">
        <v>460</v>
      </c>
      <c r="F17" s="128"/>
      <c r="G17" s="130">
        <v>101.2</v>
      </c>
      <c r="H17" s="131"/>
      <c r="I17" s="130">
        <v>69</v>
      </c>
      <c r="J17" s="128"/>
      <c r="K17" s="130">
        <v>32.200000000000003</v>
      </c>
      <c r="L17" s="128"/>
      <c r="M17" s="133" t="s">
        <v>133</v>
      </c>
      <c r="N17" s="123"/>
      <c r="O17" s="134" t="s">
        <v>133</v>
      </c>
      <c r="P17" s="123"/>
      <c r="Q17" s="130" t="s">
        <v>133</v>
      </c>
      <c r="R17" s="123"/>
      <c r="S17" s="130" t="s">
        <v>133</v>
      </c>
      <c r="T17" s="130"/>
      <c r="U17" s="132" t="s">
        <v>617</v>
      </c>
      <c r="V17" s="334"/>
    </row>
    <row r="18" spans="1:22" ht="16">
      <c r="A18" s="122"/>
      <c r="B18" s="109" t="s">
        <v>689</v>
      </c>
      <c r="C18" s="109"/>
      <c r="D18" s="128"/>
      <c r="E18" s="133" t="s">
        <v>133</v>
      </c>
      <c r="F18" s="128"/>
      <c r="G18" s="133" t="s">
        <v>133</v>
      </c>
      <c r="H18" s="131"/>
      <c r="I18" s="130">
        <v>0</v>
      </c>
      <c r="J18" s="128"/>
      <c r="K18" s="130">
        <v>0</v>
      </c>
      <c r="L18" s="128"/>
      <c r="M18" s="129">
        <v>23000</v>
      </c>
      <c r="N18" s="123"/>
      <c r="O18" s="130">
        <v>5060</v>
      </c>
      <c r="P18" s="123"/>
      <c r="Q18" s="130">
        <v>3450</v>
      </c>
      <c r="R18" s="123"/>
      <c r="S18" s="130">
        <v>1610</v>
      </c>
      <c r="T18" s="130"/>
      <c r="U18" s="135"/>
      <c r="V18" s="130"/>
    </row>
    <row r="19" spans="1:22" ht="16">
      <c r="A19" s="122"/>
      <c r="B19" s="109" t="s">
        <v>690</v>
      </c>
      <c r="C19" s="109"/>
      <c r="D19" s="128"/>
      <c r="E19" s="129">
        <v>200</v>
      </c>
      <c r="F19" s="128"/>
      <c r="G19" s="130">
        <v>44</v>
      </c>
      <c r="H19" s="131"/>
      <c r="I19" s="130">
        <v>0</v>
      </c>
      <c r="J19" s="128"/>
      <c r="K19" s="130">
        <v>0</v>
      </c>
      <c r="L19" s="128"/>
      <c r="M19" s="129">
        <v>10000</v>
      </c>
      <c r="N19" s="123"/>
      <c r="O19" s="130">
        <v>2200</v>
      </c>
      <c r="P19" s="123"/>
      <c r="Q19" s="130">
        <v>0</v>
      </c>
      <c r="R19" s="123"/>
      <c r="S19" s="130">
        <v>0</v>
      </c>
      <c r="T19" s="130"/>
      <c r="U19" s="132">
        <v>6</v>
      </c>
      <c r="V19" s="130"/>
    </row>
    <row r="20" spans="1:22" ht="16">
      <c r="A20" s="122"/>
      <c r="B20" s="136"/>
      <c r="C20" s="136"/>
      <c r="D20" s="137"/>
      <c r="E20" s="138"/>
      <c r="F20" s="137"/>
      <c r="G20" s="139"/>
      <c r="H20" s="140"/>
      <c r="I20" s="141"/>
      <c r="J20" s="137"/>
      <c r="K20" s="141"/>
      <c r="L20" s="137"/>
      <c r="M20" s="142"/>
      <c r="N20" s="143"/>
      <c r="O20" s="141"/>
      <c r="P20" s="143"/>
      <c r="Q20" s="141"/>
      <c r="R20" s="143"/>
      <c r="S20" s="141"/>
      <c r="T20" s="141"/>
      <c r="U20" s="141"/>
      <c r="V20" s="141"/>
    </row>
    <row r="21" spans="1:22" ht="16">
      <c r="A21" s="122"/>
      <c r="B21" s="144" t="s">
        <v>691</v>
      </c>
      <c r="C21" s="109"/>
      <c r="D21" s="128" t="s">
        <v>566</v>
      </c>
      <c r="E21" s="129"/>
      <c r="F21" s="128"/>
      <c r="G21" s="130"/>
      <c r="H21" s="131"/>
      <c r="I21" s="130"/>
      <c r="J21" s="128"/>
      <c r="K21" s="130"/>
      <c r="L21" s="128"/>
      <c r="M21" s="129"/>
      <c r="N21" s="123"/>
      <c r="O21" s="130" t="s">
        <v>566</v>
      </c>
      <c r="P21" s="123"/>
      <c r="Q21" s="130"/>
      <c r="R21" s="123"/>
      <c r="S21" s="130"/>
      <c r="T21" s="130"/>
      <c r="U21" s="130"/>
      <c r="V21" s="130"/>
    </row>
    <row r="22" spans="1:22" ht="16">
      <c r="A22" s="122"/>
      <c r="B22" s="109" t="s">
        <v>692</v>
      </c>
      <c r="C22" s="109"/>
      <c r="D22" s="128"/>
      <c r="E22" s="129">
        <v>350</v>
      </c>
      <c r="F22" s="128"/>
      <c r="G22" s="130">
        <v>77</v>
      </c>
      <c r="H22" s="131"/>
      <c r="I22" s="130">
        <v>0</v>
      </c>
      <c r="J22" s="128"/>
      <c r="K22" s="130">
        <v>0</v>
      </c>
      <c r="L22" s="128"/>
      <c r="M22" s="129">
        <v>17500</v>
      </c>
      <c r="N22" s="123"/>
      <c r="O22" s="130">
        <v>3850</v>
      </c>
      <c r="P22" s="123"/>
      <c r="Q22" s="130">
        <v>0</v>
      </c>
      <c r="R22" s="123"/>
      <c r="S22" s="130">
        <v>0</v>
      </c>
      <c r="T22" s="130"/>
      <c r="U22" s="132">
        <v>2</v>
      </c>
      <c r="V22" s="130"/>
    </row>
    <row r="23" spans="1:22" ht="16">
      <c r="A23" s="122"/>
      <c r="B23" s="109" t="s">
        <v>693</v>
      </c>
      <c r="C23" s="109"/>
      <c r="D23" s="128"/>
      <c r="E23" s="129">
        <v>460</v>
      </c>
      <c r="F23" s="128"/>
      <c r="G23" s="130">
        <v>101.2</v>
      </c>
      <c r="H23" s="131"/>
      <c r="I23" s="130">
        <v>69</v>
      </c>
      <c r="J23" s="128"/>
      <c r="K23" s="130">
        <v>32.200000000000003</v>
      </c>
      <c r="L23" s="128"/>
      <c r="M23" s="129">
        <v>23000</v>
      </c>
      <c r="N23" s="123"/>
      <c r="O23" s="130">
        <v>5060</v>
      </c>
      <c r="P23" s="123"/>
      <c r="Q23" s="130">
        <v>3450</v>
      </c>
      <c r="R23" s="123"/>
      <c r="S23" s="130">
        <v>1610</v>
      </c>
      <c r="T23" s="130"/>
      <c r="U23" s="132" t="s">
        <v>618</v>
      </c>
      <c r="V23" s="334"/>
    </row>
    <row r="24" spans="1:22" ht="16">
      <c r="A24" s="122" t="s">
        <v>566</v>
      </c>
      <c r="B24" s="109" t="s">
        <v>694</v>
      </c>
      <c r="C24" s="109"/>
      <c r="D24" s="128"/>
      <c r="E24" s="129">
        <v>200</v>
      </c>
      <c r="F24" s="128"/>
      <c r="G24" s="130">
        <v>44</v>
      </c>
      <c r="H24" s="131"/>
      <c r="I24" s="130">
        <v>30</v>
      </c>
      <c r="J24" s="128"/>
      <c r="K24" s="130">
        <v>14</v>
      </c>
      <c r="L24" s="128"/>
      <c r="M24" s="129">
        <v>10000</v>
      </c>
      <c r="N24" s="123"/>
      <c r="O24" s="130">
        <v>2200</v>
      </c>
      <c r="P24" s="123"/>
      <c r="Q24" s="130">
        <v>1500</v>
      </c>
      <c r="R24" s="123"/>
      <c r="S24" s="130">
        <v>700</v>
      </c>
      <c r="T24" s="130"/>
      <c r="U24" s="132">
        <v>2</v>
      </c>
      <c r="V24" s="334"/>
    </row>
    <row r="25" spans="1:22" ht="16">
      <c r="A25" s="122"/>
      <c r="B25" s="109" t="s">
        <v>695</v>
      </c>
      <c r="C25" s="109"/>
      <c r="D25" s="128"/>
      <c r="E25" s="129">
        <v>230</v>
      </c>
      <c r="F25" s="128"/>
      <c r="G25" s="130">
        <v>50.6</v>
      </c>
      <c r="H25" s="131"/>
      <c r="I25" s="130">
        <v>34.5</v>
      </c>
      <c r="J25" s="128"/>
      <c r="K25" s="130">
        <v>16.100000000000001</v>
      </c>
      <c r="L25" s="128"/>
      <c r="M25" s="129">
        <v>11500</v>
      </c>
      <c r="N25" s="123"/>
      <c r="O25" s="130">
        <v>2530</v>
      </c>
      <c r="P25" s="145"/>
      <c r="Q25" s="146">
        <v>1725</v>
      </c>
      <c r="R25" s="145"/>
      <c r="S25" s="146">
        <v>805</v>
      </c>
      <c r="T25" s="146"/>
      <c r="U25" s="132" t="s">
        <v>618</v>
      </c>
      <c r="V25" s="334"/>
    </row>
    <row r="26" spans="1:22" ht="16">
      <c r="A26" s="122"/>
      <c r="B26" s="109" t="s">
        <v>696</v>
      </c>
      <c r="C26" s="109"/>
      <c r="D26" s="128"/>
      <c r="E26" s="129">
        <v>230</v>
      </c>
      <c r="F26" s="128"/>
      <c r="G26" s="130">
        <v>50.6</v>
      </c>
      <c r="H26" s="131"/>
      <c r="I26" s="130">
        <v>34.5</v>
      </c>
      <c r="J26" s="128"/>
      <c r="K26" s="130">
        <v>16.100000000000001</v>
      </c>
      <c r="L26" s="128"/>
      <c r="M26" s="129">
        <v>11500</v>
      </c>
      <c r="N26" s="123"/>
      <c r="O26" s="130">
        <v>2530</v>
      </c>
      <c r="P26" s="123"/>
      <c r="Q26" s="130" t="e">
        <v>#REF!</v>
      </c>
      <c r="R26" s="123"/>
      <c r="S26" s="130" t="e">
        <v>#REF!</v>
      </c>
      <c r="T26" s="130"/>
      <c r="U26" s="132" t="s">
        <v>618</v>
      </c>
      <c r="V26" s="334"/>
    </row>
    <row r="27" spans="1:22" ht="16">
      <c r="A27" s="122"/>
      <c r="B27" s="109" t="s">
        <v>697</v>
      </c>
      <c r="C27" s="109"/>
      <c r="D27" s="128"/>
      <c r="E27" s="129">
        <v>230</v>
      </c>
      <c r="F27" s="128"/>
      <c r="G27" s="130">
        <v>50.6</v>
      </c>
      <c r="H27" s="131"/>
      <c r="I27" s="130">
        <v>34.5</v>
      </c>
      <c r="J27" s="128"/>
      <c r="K27" s="130">
        <v>16.100000000000001</v>
      </c>
      <c r="L27" s="128"/>
      <c r="M27" s="129">
        <v>11500</v>
      </c>
      <c r="N27" s="123"/>
      <c r="O27" s="130">
        <v>2530</v>
      </c>
      <c r="P27" s="123"/>
      <c r="Q27" s="130" t="e">
        <v>#REF!</v>
      </c>
      <c r="R27" s="123"/>
      <c r="S27" s="130" t="e">
        <v>#REF!</v>
      </c>
      <c r="T27" s="130"/>
      <c r="U27" s="132">
        <v>2</v>
      </c>
      <c r="V27" s="334"/>
    </row>
    <row r="28" spans="1:22" ht="16">
      <c r="A28" s="122"/>
      <c r="B28" s="109" t="s">
        <v>698</v>
      </c>
      <c r="C28" s="109"/>
      <c r="D28" s="128"/>
      <c r="E28" s="129">
        <v>230</v>
      </c>
      <c r="F28" s="128"/>
      <c r="G28" s="130">
        <v>50.6</v>
      </c>
      <c r="H28" s="131"/>
      <c r="I28" s="130">
        <v>34.5</v>
      </c>
      <c r="J28" s="128"/>
      <c r="K28" s="130">
        <v>16.100000000000001</v>
      </c>
      <c r="L28" s="128"/>
      <c r="M28" s="129">
        <v>11500</v>
      </c>
      <c r="N28" s="123"/>
      <c r="O28" s="130">
        <v>2530</v>
      </c>
      <c r="P28" s="123"/>
      <c r="Q28" s="130" t="e">
        <v>#REF!</v>
      </c>
      <c r="R28" s="123"/>
      <c r="S28" s="130" t="e">
        <v>#REF!</v>
      </c>
      <c r="T28" s="130"/>
      <c r="U28" s="132">
        <v>2</v>
      </c>
      <c r="V28" s="334"/>
    </row>
    <row r="29" spans="1:22" ht="16">
      <c r="A29" s="122"/>
      <c r="B29" s="109" t="s">
        <v>699</v>
      </c>
      <c r="C29" s="109"/>
      <c r="D29" s="128"/>
      <c r="E29" s="129">
        <v>300</v>
      </c>
      <c r="F29" s="128"/>
      <c r="G29" s="130">
        <v>66</v>
      </c>
      <c r="H29" s="131"/>
      <c r="I29" s="130">
        <v>45</v>
      </c>
      <c r="J29" s="128"/>
      <c r="K29" s="130">
        <v>21</v>
      </c>
      <c r="L29" s="128"/>
      <c r="M29" s="129">
        <v>15000</v>
      </c>
      <c r="N29" s="123"/>
      <c r="O29" s="130">
        <v>3300</v>
      </c>
      <c r="P29" s="123"/>
      <c r="Q29" s="130">
        <v>1725</v>
      </c>
      <c r="R29" s="123"/>
      <c r="S29" s="130">
        <v>805</v>
      </c>
      <c r="T29" s="130"/>
      <c r="U29" s="132">
        <v>2</v>
      </c>
      <c r="V29" s="334"/>
    </row>
    <row r="30" spans="1:22" ht="16">
      <c r="A30" s="122"/>
      <c r="B30" s="109" t="s">
        <v>700</v>
      </c>
      <c r="C30" s="109"/>
      <c r="D30" s="128"/>
      <c r="E30" s="129">
        <v>230</v>
      </c>
      <c r="F30" s="128"/>
      <c r="G30" s="130">
        <v>50.6</v>
      </c>
      <c r="H30" s="131"/>
      <c r="I30" s="130">
        <v>34.5</v>
      </c>
      <c r="J30" s="128"/>
      <c r="K30" s="130">
        <v>16.100000000000001</v>
      </c>
      <c r="L30" s="128"/>
      <c r="M30" s="129">
        <v>11500</v>
      </c>
      <c r="N30" s="123"/>
      <c r="O30" s="130">
        <v>2530</v>
      </c>
      <c r="P30" s="123"/>
      <c r="Q30" s="130"/>
      <c r="R30" s="123"/>
      <c r="S30" s="130"/>
      <c r="T30" s="130"/>
      <c r="U30" s="132">
        <v>2</v>
      </c>
      <c r="V30" s="334"/>
    </row>
    <row r="31" spans="1:22" ht="16">
      <c r="A31" s="122"/>
      <c r="B31" s="109" t="s">
        <v>701</v>
      </c>
      <c r="C31" s="109"/>
      <c r="D31" s="128"/>
      <c r="E31" s="129">
        <v>230</v>
      </c>
      <c r="F31" s="128"/>
      <c r="G31" s="130">
        <v>50.6</v>
      </c>
      <c r="H31" s="131"/>
      <c r="I31" s="130">
        <v>34.5</v>
      </c>
      <c r="J31" s="128"/>
      <c r="K31" s="130">
        <v>16.100000000000001</v>
      </c>
      <c r="L31" s="128"/>
      <c r="M31" s="129">
        <v>11500</v>
      </c>
      <c r="N31" s="123"/>
      <c r="O31" s="130">
        <v>2530</v>
      </c>
      <c r="P31" s="123"/>
      <c r="Q31" s="130"/>
      <c r="R31" s="123"/>
      <c r="S31" s="130"/>
      <c r="T31" s="130"/>
      <c r="U31" s="132">
        <v>2</v>
      </c>
      <c r="V31" s="334"/>
    </row>
    <row r="32" spans="1:22" ht="16">
      <c r="A32" s="122"/>
      <c r="B32" s="109" t="s">
        <v>702</v>
      </c>
      <c r="C32" s="109"/>
      <c r="D32" s="128"/>
      <c r="E32" s="129">
        <v>460</v>
      </c>
      <c r="F32" s="128"/>
      <c r="G32" s="130">
        <v>101.2</v>
      </c>
      <c r="H32" s="131"/>
      <c r="I32" s="130">
        <v>69</v>
      </c>
      <c r="J32" s="128"/>
      <c r="K32" s="130">
        <v>32.200000000000003</v>
      </c>
      <c r="L32" s="128"/>
      <c r="M32" s="129">
        <v>23000</v>
      </c>
      <c r="N32" s="123"/>
      <c r="O32" s="130">
        <v>5060</v>
      </c>
      <c r="P32" s="123"/>
      <c r="Q32" s="130"/>
      <c r="R32" s="123"/>
      <c r="S32" s="130"/>
      <c r="T32" s="130"/>
      <c r="U32" s="132">
        <v>2</v>
      </c>
      <c r="V32" s="334"/>
    </row>
    <row r="33" spans="1:22" ht="16">
      <c r="A33" s="122"/>
      <c r="B33" s="109" t="s">
        <v>703</v>
      </c>
      <c r="C33" s="109" t="s">
        <v>566</v>
      </c>
      <c r="D33" s="128" t="s">
        <v>566</v>
      </c>
      <c r="E33" s="129">
        <v>460</v>
      </c>
      <c r="F33" s="128"/>
      <c r="G33" s="130">
        <v>101.2</v>
      </c>
      <c r="H33" s="131"/>
      <c r="I33" s="130">
        <v>69</v>
      </c>
      <c r="J33" s="128"/>
      <c r="K33" s="130">
        <v>32.200000000000003</v>
      </c>
      <c r="L33" s="128"/>
      <c r="M33" s="129">
        <v>23000</v>
      </c>
      <c r="N33" s="123"/>
      <c r="O33" s="130">
        <v>5060</v>
      </c>
      <c r="P33" s="123"/>
      <c r="Q33" s="130"/>
      <c r="R33" s="123"/>
      <c r="S33" s="130"/>
      <c r="T33" s="130"/>
      <c r="U33" s="132">
        <v>2</v>
      </c>
      <c r="V33" s="334"/>
    </row>
    <row r="34" spans="1:22" ht="15" customHeight="1">
      <c r="A34" s="122"/>
      <c r="B34" s="109" t="s">
        <v>704</v>
      </c>
      <c r="C34" s="109" t="s">
        <v>566</v>
      </c>
      <c r="D34" s="128" t="s">
        <v>566</v>
      </c>
      <c r="E34" s="129">
        <v>460</v>
      </c>
      <c r="F34" s="128"/>
      <c r="G34" s="130">
        <v>101.2</v>
      </c>
      <c r="H34" s="131"/>
      <c r="I34" s="130">
        <v>69</v>
      </c>
      <c r="J34" s="128"/>
      <c r="K34" s="130">
        <v>32.200000000000003</v>
      </c>
      <c r="L34" s="128"/>
      <c r="M34" s="129">
        <v>23000</v>
      </c>
      <c r="N34" s="123"/>
      <c r="O34" s="130">
        <v>5060</v>
      </c>
      <c r="P34" s="123"/>
      <c r="Q34" s="130"/>
      <c r="R34" s="123"/>
      <c r="S34" s="130"/>
      <c r="T34" s="130"/>
      <c r="U34" s="132">
        <v>2</v>
      </c>
      <c r="V34" s="334"/>
    </row>
    <row r="35" spans="1:22" ht="15" customHeight="1">
      <c r="A35" s="122" t="s">
        <v>566</v>
      </c>
      <c r="B35" s="109" t="s">
        <v>566</v>
      </c>
      <c r="C35" s="109"/>
      <c r="D35" s="128"/>
      <c r="E35" s="129" t="s">
        <v>566</v>
      </c>
      <c r="F35" s="128"/>
      <c r="G35" s="130"/>
      <c r="H35" s="131"/>
      <c r="I35" s="130"/>
      <c r="J35" s="128"/>
      <c r="K35" s="130"/>
      <c r="L35" s="128"/>
      <c r="M35" s="129"/>
      <c r="N35" s="123"/>
      <c r="O35" s="130"/>
      <c r="P35" s="123"/>
      <c r="Q35" s="130"/>
      <c r="R35" s="123"/>
      <c r="S35" s="130"/>
      <c r="T35" s="130"/>
      <c r="U35" s="126"/>
      <c r="V35" s="130"/>
    </row>
    <row r="36" spans="1:22" ht="16">
      <c r="A36" s="122"/>
      <c r="B36" s="127" t="s">
        <v>619</v>
      </c>
      <c r="C36" s="109"/>
      <c r="D36" s="128" t="s">
        <v>566</v>
      </c>
      <c r="E36" s="129" t="s">
        <v>566</v>
      </c>
      <c r="F36" s="128"/>
      <c r="G36" s="130"/>
      <c r="H36" s="131"/>
      <c r="I36" s="130"/>
      <c r="J36" s="128"/>
      <c r="K36" s="130"/>
      <c r="L36" s="128"/>
      <c r="M36" s="129"/>
      <c r="N36" s="123"/>
      <c r="O36" s="130"/>
      <c r="P36" s="123"/>
      <c r="Q36" s="130"/>
      <c r="R36" s="123"/>
      <c r="S36" s="130"/>
      <c r="T36" s="130"/>
      <c r="U36" s="126"/>
      <c r="V36" s="130"/>
    </row>
    <row r="37" spans="1:22" ht="16">
      <c r="A37" s="122"/>
      <c r="B37" s="109" t="s">
        <v>705</v>
      </c>
      <c r="C37" s="109"/>
      <c r="D37" s="128"/>
      <c r="E37" s="129">
        <v>150</v>
      </c>
      <c r="F37" s="128"/>
      <c r="G37" s="130">
        <v>33</v>
      </c>
      <c r="H37" s="131"/>
      <c r="I37" s="130">
        <v>0</v>
      </c>
      <c r="J37" s="128"/>
      <c r="K37" s="130">
        <v>0</v>
      </c>
      <c r="L37" s="128"/>
      <c r="M37" s="129">
        <v>7500</v>
      </c>
      <c r="N37" s="123"/>
      <c r="O37" s="130">
        <v>1650</v>
      </c>
      <c r="P37" s="123"/>
      <c r="Q37" s="130">
        <v>1125</v>
      </c>
      <c r="R37" s="123"/>
      <c r="S37" s="130">
        <v>525</v>
      </c>
      <c r="T37" s="130"/>
      <c r="U37" s="132" t="s">
        <v>618</v>
      </c>
      <c r="V37" s="334"/>
    </row>
    <row r="38" spans="1:22" ht="16">
      <c r="A38" s="122"/>
      <c r="B38" s="109" t="s">
        <v>706</v>
      </c>
      <c r="C38" s="109"/>
      <c r="D38" s="128"/>
      <c r="E38" s="129">
        <v>100</v>
      </c>
      <c r="F38" s="128"/>
      <c r="G38" s="130">
        <v>22</v>
      </c>
      <c r="H38" s="131"/>
      <c r="I38" s="130">
        <v>22.5</v>
      </c>
      <c r="J38" s="128"/>
      <c r="K38" s="130">
        <v>10.5</v>
      </c>
      <c r="L38" s="128"/>
      <c r="M38" s="129">
        <v>5000</v>
      </c>
      <c r="N38" s="123"/>
      <c r="O38" s="130">
        <v>1100</v>
      </c>
      <c r="P38" s="123"/>
      <c r="Q38" s="130">
        <v>750</v>
      </c>
      <c r="R38" s="123"/>
      <c r="S38" s="130">
        <v>350</v>
      </c>
      <c r="T38" s="130"/>
      <c r="U38" s="132" t="s">
        <v>618</v>
      </c>
      <c r="V38" s="334"/>
    </row>
    <row r="39" spans="1:22" ht="16">
      <c r="A39" s="122"/>
      <c r="B39" s="109" t="s">
        <v>707</v>
      </c>
      <c r="C39" s="109"/>
      <c r="D39" s="128"/>
      <c r="E39" s="129">
        <v>240</v>
      </c>
      <c r="F39" s="128"/>
      <c r="G39" s="130">
        <v>52.8</v>
      </c>
      <c r="H39" s="131"/>
      <c r="I39" s="130">
        <v>15</v>
      </c>
      <c r="J39" s="128"/>
      <c r="K39" s="130">
        <v>7</v>
      </c>
      <c r="L39" s="128"/>
      <c r="M39" s="129">
        <v>12000</v>
      </c>
      <c r="N39" s="123"/>
      <c r="O39" s="130">
        <v>2640</v>
      </c>
      <c r="P39" s="123"/>
      <c r="Q39" s="130">
        <v>1800</v>
      </c>
      <c r="R39" s="123"/>
      <c r="S39" s="130">
        <v>840</v>
      </c>
      <c r="T39" s="130"/>
      <c r="U39" s="132">
        <v>2</v>
      </c>
      <c r="V39" s="334"/>
    </row>
    <row r="40" spans="1:22" ht="16">
      <c r="A40" s="122" t="s">
        <v>566</v>
      </c>
      <c r="B40" s="109" t="s">
        <v>708</v>
      </c>
      <c r="C40" s="109"/>
      <c r="D40" s="128"/>
      <c r="E40" s="129">
        <v>230</v>
      </c>
      <c r="F40" s="128"/>
      <c r="G40" s="130">
        <v>50.6</v>
      </c>
      <c r="H40" s="131"/>
      <c r="I40" s="130">
        <v>36</v>
      </c>
      <c r="J40" s="128"/>
      <c r="K40" s="130">
        <v>16.8</v>
      </c>
      <c r="L40" s="128"/>
      <c r="M40" s="129">
        <v>11500</v>
      </c>
      <c r="N40" s="123"/>
      <c r="O40" s="130">
        <v>2530</v>
      </c>
      <c r="P40" s="123"/>
      <c r="Q40" s="130">
        <v>1725</v>
      </c>
      <c r="R40" s="123"/>
      <c r="S40" s="130">
        <v>805</v>
      </c>
      <c r="T40" s="130"/>
      <c r="U40" s="132">
        <v>2</v>
      </c>
      <c r="V40" s="334"/>
    </row>
    <row r="41" spans="1:22" ht="16">
      <c r="A41" s="122"/>
      <c r="B41" s="109" t="s">
        <v>709</v>
      </c>
      <c r="C41" s="109"/>
      <c r="D41" s="128"/>
      <c r="E41" s="129">
        <v>150</v>
      </c>
      <c r="F41" s="128"/>
      <c r="G41" s="130">
        <v>33</v>
      </c>
      <c r="H41" s="131"/>
      <c r="I41" s="130" t="e">
        <v>#REF!</v>
      </c>
      <c r="J41" s="128"/>
      <c r="K41" s="130" t="e">
        <v>#REF!</v>
      </c>
      <c r="L41" s="128"/>
      <c r="M41" s="129">
        <v>7500</v>
      </c>
      <c r="N41" s="123"/>
      <c r="O41" s="130">
        <v>1650</v>
      </c>
      <c r="P41" s="123"/>
      <c r="Q41" s="130">
        <v>1125</v>
      </c>
      <c r="R41" s="123"/>
      <c r="S41" s="130">
        <v>525</v>
      </c>
      <c r="T41" s="130"/>
      <c r="U41" s="132">
        <v>2</v>
      </c>
      <c r="V41" s="334"/>
    </row>
    <row r="42" spans="1:22" ht="15.75" customHeight="1">
      <c r="A42" s="122"/>
      <c r="B42" s="109"/>
      <c r="C42" s="109"/>
      <c r="D42" s="128"/>
      <c r="E42" s="129"/>
      <c r="F42" s="128"/>
      <c r="G42" s="130"/>
      <c r="H42" s="131"/>
      <c r="I42" s="130"/>
      <c r="J42" s="128"/>
      <c r="K42" s="130"/>
      <c r="L42" s="128"/>
      <c r="M42" s="129"/>
      <c r="N42" s="123"/>
      <c r="O42" s="130"/>
      <c r="P42" s="123"/>
      <c r="Q42" s="130"/>
      <c r="R42" s="123"/>
      <c r="S42" s="130"/>
      <c r="T42" s="130"/>
      <c r="U42" s="132"/>
      <c r="V42" s="334"/>
    </row>
    <row r="43" spans="1:22" ht="17" thickBot="1">
      <c r="A43" s="122"/>
      <c r="B43" s="150"/>
      <c r="C43" s="109"/>
      <c r="D43" s="128"/>
      <c r="E43" s="129"/>
      <c r="F43" s="128"/>
      <c r="G43" s="130"/>
      <c r="H43" s="131"/>
      <c r="I43" s="130"/>
      <c r="J43" s="128"/>
      <c r="K43" s="130"/>
      <c r="L43" s="128"/>
      <c r="M43" s="129"/>
      <c r="N43" s="123"/>
      <c r="O43" s="130"/>
      <c r="P43" s="123"/>
      <c r="Q43" s="130"/>
      <c r="R43" s="123"/>
      <c r="S43" s="130"/>
      <c r="T43" s="130"/>
      <c r="U43" s="132"/>
      <c r="V43" s="130"/>
    </row>
    <row r="44" spans="1:22" ht="57" thickBot="1">
      <c r="A44" s="122"/>
      <c r="B44" s="109" t="s">
        <v>566</v>
      </c>
      <c r="C44" s="109"/>
      <c r="D44" s="128"/>
      <c r="E44" s="116" t="s">
        <v>710</v>
      </c>
      <c r="F44" s="115"/>
      <c r="G44" s="117" t="s">
        <v>649</v>
      </c>
      <c r="H44" s="131"/>
      <c r="I44" s="130"/>
      <c r="J44" s="128"/>
      <c r="K44" s="130"/>
      <c r="L44" s="128"/>
      <c r="M44" s="117" t="s">
        <v>711</v>
      </c>
      <c r="N44" s="123"/>
      <c r="O44" s="117" t="s">
        <v>561</v>
      </c>
      <c r="P44" s="123"/>
      <c r="Q44" s="130"/>
      <c r="R44" s="123"/>
      <c r="S44" s="130"/>
      <c r="T44" s="130"/>
      <c r="U44" s="117" t="s">
        <v>614</v>
      </c>
      <c r="V44" s="121"/>
    </row>
    <row r="45" spans="1:22" ht="16">
      <c r="A45" s="122"/>
      <c r="B45" s="104" t="s">
        <v>712</v>
      </c>
      <c r="C45" s="109" t="s">
        <v>566</v>
      </c>
      <c r="D45" s="128"/>
      <c r="E45" s="129">
        <v>3500</v>
      </c>
      <c r="F45" s="128"/>
      <c r="G45" s="130">
        <v>770</v>
      </c>
      <c r="H45" s="131"/>
      <c r="I45" s="130"/>
      <c r="J45" s="128"/>
      <c r="K45" s="130"/>
      <c r="L45" s="128"/>
      <c r="M45" s="110" t="s">
        <v>620</v>
      </c>
      <c r="N45" s="123"/>
      <c r="O45" s="110" t="s">
        <v>713</v>
      </c>
      <c r="P45" s="123"/>
      <c r="Q45" s="130"/>
      <c r="R45" s="123"/>
      <c r="S45" s="130"/>
      <c r="T45" s="130"/>
      <c r="U45" s="132"/>
      <c r="V45" s="334"/>
    </row>
    <row r="46" spans="1:22" ht="16">
      <c r="A46" s="122"/>
      <c r="B46" s="109"/>
      <c r="C46" s="109"/>
      <c r="D46" s="128"/>
      <c r="E46" s="129"/>
      <c r="F46" s="128"/>
      <c r="G46" s="130"/>
      <c r="H46" s="131"/>
      <c r="I46" s="130"/>
      <c r="J46" s="128"/>
      <c r="K46" s="130"/>
      <c r="L46" s="128"/>
      <c r="M46" s="129"/>
      <c r="N46" s="123"/>
      <c r="O46" s="130"/>
      <c r="P46" s="123"/>
      <c r="Q46" s="130"/>
      <c r="R46" s="123"/>
      <c r="S46" s="130"/>
      <c r="T46" s="130"/>
      <c r="U46" s="130"/>
      <c r="V46" s="130"/>
    </row>
    <row r="47" spans="1:22" ht="17" thickBot="1">
      <c r="A47" s="122"/>
      <c r="B47" s="109"/>
      <c r="C47" s="109"/>
      <c r="D47" s="128"/>
      <c r="E47" s="129"/>
      <c r="F47" s="128"/>
      <c r="G47" s="130"/>
      <c r="H47" s="131"/>
      <c r="I47" s="130"/>
      <c r="J47" s="128"/>
      <c r="K47" s="130"/>
      <c r="L47" s="128"/>
      <c r="M47" s="129"/>
      <c r="N47" s="123"/>
      <c r="O47" s="130"/>
      <c r="P47" s="123"/>
      <c r="Q47" s="130"/>
      <c r="R47" s="123"/>
      <c r="S47" s="130"/>
      <c r="T47" s="130"/>
      <c r="U47" s="130"/>
      <c r="V47" s="130"/>
    </row>
    <row r="48" spans="1:22" ht="57" thickBot="1">
      <c r="A48" s="114"/>
      <c r="B48" s="114"/>
      <c r="C48" s="114"/>
      <c r="D48" s="115"/>
      <c r="E48" s="116" t="s">
        <v>648</v>
      </c>
      <c r="F48" s="115"/>
      <c r="G48" s="117" t="s">
        <v>649</v>
      </c>
      <c r="H48" s="118"/>
      <c r="I48" s="117" t="s">
        <v>650</v>
      </c>
      <c r="J48" s="115"/>
      <c r="K48" s="117" t="s">
        <v>651</v>
      </c>
      <c r="L48" s="115"/>
      <c r="M48" s="116" t="s">
        <v>613</v>
      </c>
      <c r="N48" s="119"/>
      <c r="O48" s="117" t="s">
        <v>649</v>
      </c>
      <c r="P48" s="119"/>
      <c r="Q48" s="117" t="s">
        <v>650</v>
      </c>
      <c r="R48" s="119"/>
      <c r="S48" s="117" t="s">
        <v>651</v>
      </c>
      <c r="T48" s="120"/>
      <c r="U48" s="117" t="s">
        <v>614</v>
      </c>
      <c r="V48" s="121"/>
    </row>
    <row r="49" spans="1:22" ht="16">
      <c r="A49" s="122"/>
      <c r="B49" s="127" t="s">
        <v>714</v>
      </c>
      <c r="C49" s="107"/>
      <c r="D49" s="128"/>
      <c r="E49" s="129"/>
      <c r="F49" s="128"/>
      <c r="G49" s="130"/>
      <c r="H49" s="131"/>
      <c r="I49" s="130"/>
      <c r="J49" s="128"/>
      <c r="K49" s="130"/>
      <c r="L49" s="128"/>
      <c r="M49" s="129"/>
      <c r="N49" s="123"/>
      <c r="O49" s="130"/>
      <c r="P49" s="123"/>
      <c r="Q49" s="130"/>
      <c r="R49" s="123"/>
      <c r="S49" s="130"/>
      <c r="T49" s="130"/>
      <c r="U49" s="130"/>
      <c r="V49" s="130"/>
    </row>
    <row r="50" spans="1:22" ht="16">
      <c r="A50" s="122"/>
      <c r="B50" s="109" t="s">
        <v>715</v>
      </c>
      <c r="C50" s="110" t="s">
        <v>566</v>
      </c>
      <c r="D50" s="128"/>
      <c r="E50" s="129">
        <v>950</v>
      </c>
      <c r="F50" s="128"/>
      <c r="G50" s="130">
        <v>209</v>
      </c>
      <c r="H50" s="131"/>
      <c r="I50" s="130"/>
      <c r="J50" s="128"/>
      <c r="K50" s="130"/>
      <c r="L50" s="128"/>
      <c r="M50" s="129">
        <v>47500</v>
      </c>
      <c r="N50" s="128"/>
      <c r="O50" s="130">
        <v>10450</v>
      </c>
      <c r="P50" s="123"/>
      <c r="Q50" s="130"/>
      <c r="R50" s="123"/>
      <c r="S50" s="130"/>
      <c r="T50" s="130"/>
      <c r="U50" s="132">
        <v>6</v>
      </c>
      <c r="V50" s="334"/>
    </row>
    <row r="51" spans="1:22" ht="16">
      <c r="A51" s="122"/>
      <c r="B51" s="109"/>
      <c r="C51" s="110"/>
      <c r="D51" s="128"/>
      <c r="E51" s="151"/>
      <c r="F51" s="152"/>
      <c r="G51" s="153"/>
      <c r="H51" s="131"/>
      <c r="I51" s="130"/>
      <c r="J51" s="128"/>
      <c r="K51" s="130"/>
      <c r="L51" s="128"/>
      <c r="M51" s="129"/>
      <c r="N51" s="128"/>
      <c r="O51" s="130"/>
      <c r="P51" s="123"/>
      <c r="Q51" s="130"/>
      <c r="R51" s="123"/>
      <c r="S51" s="130"/>
      <c r="T51" s="130"/>
      <c r="U51" s="130"/>
      <c r="V51" s="130"/>
    </row>
    <row r="52" spans="1:22" ht="16">
      <c r="A52" s="122"/>
      <c r="B52" s="127" t="s">
        <v>716</v>
      </c>
      <c r="C52" s="110"/>
      <c r="D52" s="128"/>
      <c r="E52" s="154"/>
      <c r="F52" s="128"/>
      <c r="G52" s="155"/>
      <c r="H52" s="131"/>
      <c r="I52" s="130"/>
      <c r="J52" s="128"/>
      <c r="K52" s="130"/>
      <c r="L52" s="128"/>
      <c r="M52" s="129"/>
      <c r="N52" s="128"/>
      <c r="O52" s="130"/>
      <c r="P52" s="123"/>
      <c r="Q52" s="130"/>
      <c r="R52" s="123"/>
      <c r="S52" s="130"/>
      <c r="T52" s="130"/>
      <c r="U52" s="130"/>
      <c r="V52" s="130"/>
    </row>
    <row r="53" spans="1:22" ht="16">
      <c r="A53" s="122"/>
      <c r="B53" s="109" t="s">
        <v>717</v>
      </c>
      <c r="C53" s="110"/>
      <c r="D53" s="128"/>
      <c r="E53" s="133" t="s">
        <v>133</v>
      </c>
      <c r="F53" s="128"/>
      <c r="G53" s="133" t="s">
        <v>133</v>
      </c>
      <c r="H53" s="131"/>
      <c r="I53" s="130"/>
      <c r="J53" s="128"/>
      <c r="K53" s="130"/>
      <c r="L53" s="128"/>
      <c r="M53" s="129">
        <v>9800</v>
      </c>
      <c r="N53" s="128"/>
      <c r="O53" s="130">
        <v>2156</v>
      </c>
      <c r="P53" s="123"/>
      <c r="Q53" s="130"/>
      <c r="R53" s="123"/>
      <c r="S53" s="130"/>
      <c r="T53" s="130"/>
      <c r="U53" s="130"/>
      <c r="V53" s="130"/>
    </row>
    <row r="54" spans="1:22" ht="17" thickBot="1">
      <c r="A54" s="122"/>
      <c r="B54" s="109"/>
      <c r="C54" s="110"/>
      <c r="D54" s="128"/>
      <c r="E54" s="151"/>
      <c r="F54" s="128"/>
      <c r="G54" s="153"/>
      <c r="H54" s="131"/>
      <c r="I54" s="130"/>
      <c r="J54" s="128"/>
      <c r="K54" s="130"/>
      <c r="L54" s="128"/>
      <c r="M54" s="129"/>
      <c r="N54" s="128"/>
      <c r="O54" s="130"/>
      <c r="P54" s="123"/>
      <c r="Q54" s="130"/>
      <c r="R54" s="123"/>
      <c r="S54" s="130"/>
      <c r="T54" s="130"/>
      <c r="U54" s="130"/>
      <c r="V54" s="130"/>
    </row>
    <row r="55" spans="1:22" ht="57" thickBot="1">
      <c r="A55" s="114"/>
      <c r="B55" s="114"/>
      <c r="C55" s="114"/>
      <c r="D55" s="115"/>
      <c r="E55" s="116" t="s">
        <v>621</v>
      </c>
      <c r="F55" s="115"/>
      <c r="G55" s="117" t="s">
        <v>649</v>
      </c>
      <c r="H55" s="118"/>
      <c r="I55" s="117" t="s">
        <v>650</v>
      </c>
      <c r="J55" s="115"/>
      <c r="K55" s="117" t="s">
        <v>651</v>
      </c>
      <c r="L55" s="115"/>
      <c r="M55" s="116" t="s">
        <v>613</v>
      </c>
      <c r="N55" s="119"/>
      <c r="O55" s="117" t="s">
        <v>649</v>
      </c>
      <c r="P55" s="119"/>
      <c r="Q55" s="117" t="s">
        <v>650</v>
      </c>
      <c r="R55" s="119"/>
      <c r="S55" s="117" t="s">
        <v>651</v>
      </c>
      <c r="T55" s="120"/>
      <c r="U55" s="117" t="s">
        <v>614</v>
      </c>
      <c r="V55" s="121"/>
    </row>
    <row r="56" spans="1:22" ht="16">
      <c r="A56" s="122"/>
      <c r="B56" s="109" t="s">
        <v>718</v>
      </c>
      <c r="C56" s="110" t="s">
        <v>566</v>
      </c>
      <c r="D56" s="128"/>
      <c r="E56" s="129">
        <v>6</v>
      </c>
      <c r="F56" s="128"/>
      <c r="G56" s="130">
        <v>1.32</v>
      </c>
      <c r="H56" s="131"/>
      <c r="I56" s="130" t="e">
        <v>#REF!</v>
      </c>
      <c r="J56" s="128"/>
      <c r="K56" s="130" t="e">
        <v>#REF!</v>
      </c>
      <c r="L56" s="128"/>
      <c r="M56" s="129">
        <v>5800</v>
      </c>
      <c r="N56" s="123"/>
      <c r="O56" s="130">
        <v>1276</v>
      </c>
      <c r="P56" s="123"/>
      <c r="Q56" s="130" t="e">
        <v>#REF!</v>
      </c>
      <c r="R56" s="123"/>
      <c r="S56" s="130" t="e">
        <v>#REF!</v>
      </c>
      <c r="T56" s="130"/>
      <c r="U56" s="132">
        <v>50</v>
      </c>
      <c r="V56" s="334"/>
    </row>
    <row r="57" spans="1:22" ht="16">
      <c r="A57" s="122"/>
      <c r="B57" s="109" t="s">
        <v>719</v>
      </c>
      <c r="C57" s="110"/>
      <c r="D57" s="128"/>
      <c r="E57" s="129">
        <v>6</v>
      </c>
      <c r="F57" s="128"/>
      <c r="G57" s="130">
        <v>1.32</v>
      </c>
      <c r="H57" s="131"/>
      <c r="I57" s="130" t="e">
        <v>#REF!</v>
      </c>
      <c r="J57" s="128"/>
      <c r="K57" s="130" t="e">
        <v>#REF!</v>
      </c>
      <c r="L57" s="128"/>
      <c r="M57" s="129">
        <v>1800</v>
      </c>
      <c r="N57" s="123"/>
      <c r="O57" s="130">
        <v>396</v>
      </c>
      <c r="P57" s="123"/>
      <c r="Q57" s="130" t="e">
        <v>#REF!</v>
      </c>
      <c r="R57" s="123"/>
      <c r="S57" s="130" t="e">
        <v>#REF!</v>
      </c>
      <c r="T57" s="130"/>
      <c r="U57" s="132">
        <v>50</v>
      </c>
      <c r="V57" s="334"/>
    </row>
    <row r="58" spans="1:22" ht="16">
      <c r="A58" s="122"/>
      <c r="B58" s="109" t="s">
        <v>720</v>
      </c>
      <c r="C58" s="110" t="s">
        <v>566</v>
      </c>
      <c r="D58" s="128"/>
      <c r="E58" s="129">
        <v>6</v>
      </c>
      <c r="F58" s="128"/>
      <c r="G58" s="130">
        <v>1.32</v>
      </c>
      <c r="H58" s="131"/>
      <c r="I58" s="130" t="e">
        <v>#REF!</v>
      </c>
      <c r="J58" s="128"/>
      <c r="K58" s="130" t="e">
        <v>#REF!</v>
      </c>
      <c r="L58" s="128"/>
      <c r="M58" s="129">
        <v>900</v>
      </c>
      <c r="N58" s="123"/>
      <c r="O58" s="130">
        <v>198</v>
      </c>
      <c r="P58" s="123"/>
      <c r="Q58" s="130" t="e">
        <v>#REF!</v>
      </c>
      <c r="R58" s="123"/>
      <c r="S58" s="130" t="e">
        <v>#REF!</v>
      </c>
      <c r="T58" s="130"/>
      <c r="U58" s="132">
        <v>50</v>
      </c>
      <c r="V58" s="334"/>
    </row>
    <row r="59" spans="1:22" ht="17" thickBot="1">
      <c r="A59" s="122"/>
      <c r="B59" s="109" t="s">
        <v>566</v>
      </c>
      <c r="C59" s="110"/>
      <c r="D59" s="128"/>
      <c r="E59" s="154"/>
      <c r="F59" s="128"/>
      <c r="G59" s="153"/>
      <c r="H59" s="131"/>
      <c r="I59" s="130"/>
      <c r="J59" s="128"/>
      <c r="K59" s="130"/>
      <c r="L59" s="128"/>
      <c r="M59" s="129"/>
      <c r="N59" s="128"/>
      <c r="O59" s="130"/>
      <c r="P59" s="123"/>
      <c r="Q59" s="130"/>
      <c r="R59" s="123"/>
      <c r="S59" s="130"/>
      <c r="T59" s="130"/>
      <c r="U59" s="130"/>
      <c r="V59" s="130"/>
    </row>
    <row r="60" spans="1:22" ht="57" thickBot="1">
      <c r="A60" s="114"/>
      <c r="B60" s="114"/>
      <c r="C60" s="114"/>
      <c r="D60" s="115"/>
      <c r="E60" s="116" t="s">
        <v>648</v>
      </c>
      <c r="F60" s="115"/>
      <c r="G60" s="117" t="s">
        <v>649</v>
      </c>
      <c r="H60" s="118"/>
      <c r="I60" s="117" t="s">
        <v>650</v>
      </c>
      <c r="J60" s="115"/>
      <c r="K60" s="117" t="s">
        <v>651</v>
      </c>
      <c r="L60" s="115"/>
      <c r="M60" s="116" t="s">
        <v>613</v>
      </c>
      <c r="N60" s="119"/>
      <c r="O60" s="117" t="s">
        <v>649</v>
      </c>
      <c r="P60" s="119"/>
      <c r="Q60" s="117" t="s">
        <v>650</v>
      </c>
      <c r="R60" s="119"/>
      <c r="S60" s="117" t="s">
        <v>651</v>
      </c>
      <c r="T60" s="120"/>
      <c r="U60" s="117" t="s">
        <v>614</v>
      </c>
      <c r="V60" s="121"/>
    </row>
    <row r="61" spans="1:22" ht="16">
      <c r="A61" s="122"/>
      <c r="B61" s="109" t="s">
        <v>721</v>
      </c>
      <c r="C61" s="110"/>
      <c r="D61" s="128"/>
      <c r="E61" s="133" t="s">
        <v>133</v>
      </c>
      <c r="F61" s="128"/>
      <c r="G61" s="133" t="s">
        <v>133</v>
      </c>
      <c r="H61" s="131"/>
      <c r="I61" s="130"/>
      <c r="J61" s="128"/>
      <c r="K61" s="130"/>
      <c r="L61" s="128"/>
      <c r="M61" s="129">
        <v>5800</v>
      </c>
      <c r="N61" s="123"/>
      <c r="O61" s="130">
        <v>1276</v>
      </c>
      <c r="P61" s="123"/>
      <c r="Q61" s="130"/>
      <c r="R61" s="123"/>
      <c r="S61" s="130"/>
      <c r="T61" s="130"/>
      <c r="U61" s="130"/>
      <c r="V61" s="130"/>
    </row>
    <row r="62" spans="1:22" ht="16">
      <c r="A62" s="122"/>
      <c r="B62" s="109" t="s">
        <v>719</v>
      </c>
      <c r="C62" s="110"/>
      <c r="D62" s="128" t="s">
        <v>566</v>
      </c>
      <c r="E62" s="133" t="s">
        <v>133</v>
      </c>
      <c r="F62" s="128"/>
      <c r="G62" s="133" t="s">
        <v>133</v>
      </c>
      <c r="H62" s="131"/>
      <c r="I62" s="130"/>
      <c r="J62" s="128"/>
      <c r="K62" s="130"/>
      <c r="L62" s="128"/>
      <c r="M62" s="129">
        <v>1800</v>
      </c>
      <c r="N62" s="123"/>
      <c r="O62" s="130">
        <v>396</v>
      </c>
      <c r="P62" s="123"/>
      <c r="Q62" s="130"/>
      <c r="R62" s="123"/>
      <c r="S62" s="130"/>
      <c r="T62" s="130"/>
      <c r="U62" s="130"/>
      <c r="V62" s="130"/>
    </row>
    <row r="63" spans="1:22" ht="16">
      <c r="A63" s="122"/>
      <c r="B63" s="109" t="s">
        <v>720</v>
      </c>
      <c r="C63" s="110"/>
      <c r="D63" s="128"/>
      <c r="E63" s="133" t="s">
        <v>133</v>
      </c>
      <c r="F63" s="128"/>
      <c r="G63" s="133" t="s">
        <v>133</v>
      </c>
      <c r="H63" s="131"/>
      <c r="I63" s="130"/>
      <c r="J63" s="128"/>
      <c r="K63" s="130"/>
      <c r="L63" s="128"/>
      <c r="M63" s="129">
        <v>900</v>
      </c>
      <c r="N63" s="123"/>
      <c r="O63" s="130">
        <v>198</v>
      </c>
      <c r="P63" s="123"/>
      <c r="Q63" s="130"/>
      <c r="R63" s="123"/>
      <c r="S63" s="130"/>
      <c r="T63" s="130"/>
      <c r="U63" s="130"/>
      <c r="V63" s="130"/>
    </row>
    <row r="64" spans="1:22" ht="16">
      <c r="A64" s="122" t="s">
        <v>566</v>
      </c>
      <c r="B64" s="109" t="s">
        <v>722</v>
      </c>
      <c r="C64" s="110"/>
      <c r="D64" s="128"/>
      <c r="E64" s="133" t="s">
        <v>133</v>
      </c>
      <c r="F64" s="128"/>
      <c r="G64" s="133" t="s">
        <v>133</v>
      </c>
      <c r="H64" s="131"/>
      <c r="I64" s="130"/>
      <c r="J64" s="128"/>
      <c r="K64" s="130"/>
      <c r="L64" s="128"/>
      <c r="M64" s="129">
        <v>9800</v>
      </c>
      <c r="N64" s="123"/>
      <c r="O64" s="130">
        <v>2156</v>
      </c>
      <c r="P64" s="123"/>
      <c r="Q64" s="130"/>
      <c r="R64" s="123"/>
      <c r="S64" s="130"/>
      <c r="T64" s="130"/>
      <c r="U64" s="130"/>
      <c r="V64" s="130"/>
    </row>
    <row r="65" spans="1:22" ht="16">
      <c r="A65" s="122"/>
      <c r="B65" s="109" t="s">
        <v>723</v>
      </c>
      <c r="C65" s="110"/>
      <c r="D65" s="128"/>
      <c r="E65" s="133" t="s">
        <v>133</v>
      </c>
      <c r="F65" s="128"/>
      <c r="G65" s="133" t="s">
        <v>133</v>
      </c>
      <c r="H65" s="131"/>
      <c r="I65" s="130"/>
      <c r="J65" s="128"/>
      <c r="K65" s="130"/>
      <c r="L65" s="128"/>
      <c r="M65" s="129">
        <v>5800</v>
      </c>
      <c r="N65" s="123"/>
      <c r="O65" s="130">
        <v>1276</v>
      </c>
      <c r="P65" s="123"/>
      <c r="Q65" s="130"/>
      <c r="R65" s="123"/>
      <c r="S65" s="130"/>
      <c r="T65" s="130"/>
      <c r="U65" s="130"/>
      <c r="V65" s="130"/>
    </row>
    <row r="66" spans="1:22" ht="16">
      <c r="A66" s="122"/>
      <c r="B66" s="109" t="s">
        <v>724</v>
      </c>
      <c r="C66" s="110"/>
      <c r="D66" s="128"/>
      <c r="E66" s="133" t="s">
        <v>133</v>
      </c>
      <c r="F66" s="128"/>
      <c r="G66" s="133" t="s">
        <v>133</v>
      </c>
      <c r="H66" s="131"/>
      <c r="I66" s="130"/>
      <c r="J66" s="128"/>
      <c r="K66" s="130"/>
      <c r="L66" s="128"/>
      <c r="M66" s="129">
        <v>1800</v>
      </c>
      <c r="N66" s="123"/>
      <c r="O66" s="130">
        <v>396</v>
      </c>
      <c r="P66" s="123"/>
      <c r="Q66" s="130"/>
      <c r="R66" s="123"/>
      <c r="S66" s="130"/>
      <c r="T66" s="130"/>
      <c r="U66" s="130"/>
      <c r="V66" s="130"/>
    </row>
    <row r="67" spans="1:22" ht="16">
      <c r="A67" s="122"/>
      <c r="B67" s="109" t="s">
        <v>725</v>
      </c>
      <c r="C67" s="110"/>
      <c r="D67" s="128"/>
      <c r="E67" s="133" t="s">
        <v>133</v>
      </c>
      <c r="F67" s="128"/>
      <c r="G67" s="133" t="s">
        <v>133</v>
      </c>
      <c r="H67" s="131"/>
      <c r="I67" s="130"/>
      <c r="J67" s="128"/>
      <c r="K67" s="130"/>
      <c r="L67" s="128"/>
      <c r="M67" s="129">
        <v>13800</v>
      </c>
      <c r="N67" s="123"/>
      <c r="O67" s="130">
        <v>3036</v>
      </c>
      <c r="P67" s="123"/>
      <c r="Q67" s="130"/>
      <c r="R67" s="123"/>
      <c r="S67" s="130"/>
      <c r="T67" s="130"/>
      <c r="U67" s="130"/>
      <c r="V67" s="130"/>
    </row>
    <row r="68" spans="1:22" ht="16">
      <c r="A68" s="122"/>
      <c r="B68" s="109" t="s">
        <v>726</v>
      </c>
      <c r="C68" s="110"/>
      <c r="D68" s="128"/>
      <c r="E68" s="133" t="s">
        <v>133</v>
      </c>
      <c r="F68" s="128"/>
      <c r="G68" s="133" t="s">
        <v>133</v>
      </c>
      <c r="H68" s="131"/>
      <c r="I68" s="130"/>
      <c r="J68" s="128"/>
      <c r="K68" s="130"/>
      <c r="L68" s="128"/>
      <c r="M68" s="129">
        <v>8100</v>
      </c>
      <c r="N68" s="123"/>
      <c r="O68" s="130">
        <v>1782</v>
      </c>
      <c r="P68" s="123"/>
      <c r="Q68" s="130"/>
      <c r="R68" s="123"/>
      <c r="S68" s="130"/>
      <c r="T68" s="130"/>
      <c r="U68" s="130"/>
      <c r="V68" s="130"/>
    </row>
    <row r="69" spans="1:22" ht="16">
      <c r="A69" s="122"/>
      <c r="B69" s="109" t="s">
        <v>727</v>
      </c>
      <c r="C69" s="110"/>
      <c r="D69" s="128"/>
      <c r="E69" s="133" t="s">
        <v>133</v>
      </c>
      <c r="F69" s="128"/>
      <c r="G69" s="133" t="s">
        <v>133</v>
      </c>
      <c r="H69" s="131"/>
      <c r="I69" s="130"/>
      <c r="J69" s="128"/>
      <c r="K69" s="130"/>
      <c r="L69" s="128"/>
      <c r="M69" s="129">
        <v>2600</v>
      </c>
      <c r="N69" s="123"/>
      <c r="O69" s="130">
        <v>572</v>
      </c>
      <c r="P69" s="123"/>
      <c r="Q69" s="130"/>
      <c r="R69" s="123"/>
      <c r="S69" s="130"/>
      <c r="T69" s="130"/>
      <c r="U69" s="130"/>
      <c r="V69" s="130"/>
    </row>
    <row r="70" spans="1:22" ht="16">
      <c r="A70" s="122"/>
      <c r="B70" s="109" t="s">
        <v>728</v>
      </c>
      <c r="C70" s="110"/>
      <c r="D70" s="128"/>
      <c r="E70" s="133" t="s">
        <v>133</v>
      </c>
      <c r="F70" s="128"/>
      <c r="G70" s="133" t="s">
        <v>133</v>
      </c>
      <c r="H70" s="131"/>
      <c r="I70" s="130"/>
      <c r="J70" s="128"/>
      <c r="K70" s="130"/>
      <c r="L70" s="128"/>
      <c r="M70" s="129">
        <v>1800</v>
      </c>
      <c r="N70" s="123"/>
      <c r="O70" s="130">
        <v>396</v>
      </c>
      <c r="P70" s="123"/>
      <c r="Q70" s="130"/>
      <c r="R70" s="123"/>
      <c r="S70" s="130"/>
      <c r="T70" s="130"/>
      <c r="U70" s="130"/>
      <c r="V70" s="130"/>
    </row>
    <row r="71" spans="1:22" ht="16">
      <c r="A71" s="122"/>
      <c r="B71" s="109"/>
      <c r="C71" s="110"/>
      <c r="D71" s="128"/>
      <c r="E71" s="129"/>
      <c r="F71" s="128"/>
      <c r="G71" s="130"/>
      <c r="H71" s="131"/>
      <c r="I71" s="130"/>
      <c r="J71" s="128"/>
      <c r="K71" s="130"/>
      <c r="L71" s="128"/>
      <c r="M71" s="129"/>
      <c r="N71" s="128"/>
      <c r="O71" s="130"/>
      <c r="P71" s="123"/>
      <c r="Q71" s="130"/>
      <c r="R71" s="123"/>
      <c r="S71" s="130"/>
      <c r="T71" s="130"/>
      <c r="U71" s="130"/>
      <c r="V71" s="130"/>
    </row>
    <row r="72" spans="1:22" ht="16">
      <c r="A72" s="122"/>
      <c r="B72" s="156" t="s">
        <v>622</v>
      </c>
      <c r="C72" s="157"/>
      <c r="D72" s="128"/>
      <c r="E72" s="129" t="s">
        <v>566</v>
      </c>
      <c r="F72" s="128"/>
      <c r="G72" s="130"/>
      <c r="H72" s="131"/>
      <c r="I72" s="130"/>
      <c r="J72" s="128"/>
      <c r="K72" s="130"/>
      <c r="L72" s="128"/>
      <c r="M72" s="129" t="s">
        <v>566</v>
      </c>
      <c r="N72" s="123"/>
      <c r="O72" s="130" t="s">
        <v>566</v>
      </c>
      <c r="P72" s="123"/>
      <c r="Q72" s="130"/>
      <c r="R72" s="123"/>
      <c r="S72" s="130"/>
      <c r="T72" s="130"/>
      <c r="U72" s="130"/>
      <c r="V72" s="130"/>
    </row>
    <row r="73" spans="1:22" ht="16">
      <c r="A73" s="122"/>
      <c r="B73" s="109" t="s">
        <v>729</v>
      </c>
      <c r="C73" s="109"/>
      <c r="D73" s="128"/>
      <c r="E73" s="129">
        <v>120</v>
      </c>
      <c r="F73" s="128"/>
      <c r="G73" s="130">
        <v>26.4</v>
      </c>
      <c r="H73" s="131"/>
      <c r="I73" s="130" t="e">
        <v>#REF!</v>
      </c>
      <c r="J73" s="128"/>
      <c r="K73" s="130" t="e">
        <v>#REF!</v>
      </c>
      <c r="L73" s="128"/>
      <c r="M73" s="129">
        <v>6000</v>
      </c>
      <c r="N73" s="123"/>
      <c r="O73" s="130">
        <v>1320</v>
      </c>
      <c r="P73" s="123"/>
      <c r="Q73" s="130"/>
      <c r="R73" s="123"/>
      <c r="S73" s="130"/>
      <c r="T73" s="130"/>
      <c r="U73" s="132">
        <v>26</v>
      </c>
      <c r="V73" s="334"/>
    </row>
    <row r="74" spans="1:22" ht="16">
      <c r="A74" s="122"/>
      <c r="B74" s="109" t="s">
        <v>730</v>
      </c>
      <c r="C74" s="109"/>
      <c r="D74" s="128" t="s">
        <v>566</v>
      </c>
      <c r="E74" s="133" t="s">
        <v>133</v>
      </c>
      <c r="F74" s="128"/>
      <c r="G74" s="134" t="s">
        <v>133</v>
      </c>
      <c r="H74" s="131"/>
      <c r="I74" s="130" t="e">
        <v>#REF!</v>
      </c>
      <c r="J74" s="128"/>
      <c r="K74" s="130" t="e">
        <v>#REF!</v>
      </c>
      <c r="L74" s="128"/>
      <c r="M74" s="129">
        <v>2000</v>
      </c>
      <c r="N74" s="123"/>
      <c r="O74" s="130">
        <v>440</v>
      </c>
      <c r="P74" s="123"/>
      <c r="Q74" s="130"/>
      <c r="R74" s="123"/>
      <c r="S74" s="130"/>
      <c r="T74" s="130"/>
      <c r="U74" s="132"/>
      <c r="V74" s="334"/>
    </row>
    <row r="75" spans="1:22" ht="16">
      <c r="A75" s="122"/>
      <c r="B75" s="109" t="s">
        <v>731</v>
      </c>
      <c r="C75" s="109"/>
      <c r="D75" s="128" t="s">
        <v>566</v>
      </c>
      <c r="E75" s="133" t="s">
        <v>133</v>
      </c>
      <c r="F75" s="128"/>
      <c r="G75" s="134" t="s">
        <v>133</v>
      </c>
      <c r="H75" s="131"/>
      <c r="I75" s="130" t="e">
        <v>#REF!</v>
      </c>
      <c r="J75" s="128"/>
      <c r="K75" s="130" t="e">
        <v>#REF!</v>
      </c>
      <c r="L75" s="128"/>
      <c r="M75" s="129">
        <v>2000</v>
      </c>
      <c r="N75" s="123"/>
      <c r="O75" s="130">
        <v>440</v>
      </c>
      <c r="P75" s="123"/>
      <c r="Q75" s="130"/>
      <c r="R75" s="123"/>
      <c r="S75" s="130"/>
      <c r="T75" s="130"/>
      <c r="U75" s="132"/>
      <c r="V75" s="334"/>
    </row>
    <row r="76" spans="1:22" ht="17" thickBot="1">
      <c r="A76" s="122"/>
      <c r="B76" s="109" t="s">
        <v>566</v>
      </c>
      <c r="C76" s="109"/>
      <c r="D76" s="128"/>
      <c r="E76" s="133"/>
      <c r="F76" s="128"/>
      <c r="G76" s="134"/>
      <c r="H76" s="131"/>
      <c r="I76" s="130"/>
      <c r="J76" s="128"/>
      <c r="K76" s="130"/>
      <c r="L76" s="128"/>
      <c r="M76" s="129"/>
      <c r="N76" s="123"/>
      <c r="O76" s="130"/>
      <c r="P76" s="123"/>
      <c r="Q76" s="130"/>
      <c r="R76" s="123"/>
      <c r="S76" s="130"/>
      <c r="T76" s="130"/>
      <c r="U76" s="130"/>
      <c r="V76" s="130"/>
    </row>
    <row r="77" spans="1:22" ht="57" thickBot="1">
      <c r="A77" s="122"/>
      <c r="B77" s="109" t="s">
        <v>566</v>
      </c>
      <c r="C77" s="109"/>
      <c r="D77" s="128"/>
      <c r="E77" s="116" t="s">
        <v>710</v>
      </c>
      <c r="F77" s="115"/>
      <c r="G77" s="117" t="s">
        <v>649</v>
      </c>
      <c r="H77" s="131"/>
      <c r="I77" s="130"/>
      <c r="J77" s="128"/>
      <c r="K77" s="130"/>
      <c r="L77" s="128"/>
      <c r="M77" s="117" t="s">
        <v>711</v>
      </c>
      <c r="N77" s="123"/>
      <c r="O77" s="117" t="s">
        <v>561</v>
      </c>
      <c r="P77" s="123"/>
      <c r="Q77" s="130"/>
      <c r="R77" s="123"/>
      <c r="S77" s="130"/>
      <c r="T77" s="130"/>
      <c r="U77" s="117" t="s">
        <v>614</v>
      </c>
      <c r="V77" s="121"/>
    </row>
    <row r="78" spans="1:22" ht="16">
      <c r="A78" s="122"/>
      <c r="B78" s="104" t="s">
        <v>732</v>
      </c>
      <c r="C78" s="109" t="s">
        <v>566</v>
      </c>
      <c r="D78" s="128"/>
      <c r="E78" s="129">
        <v>100000</v>
      </c>
      <c r="F78" s="128"/>
      <c r="G78" s="130">
        <v>22000</v>
      </c>
      <c r="H78" s="131"/>
      <c r="I78" s="130"/>
      <c r="J78" s="128"/>
      <c r="K78" s="130"/>
      <c r="L78" s="128"/>
      <c r="M78" s="110" t="s">
        <v>623</v>
      </c>
      <c r="N78" s="123"/>
      <c r="O78" s="110" t="s">
        <v>133</v>
      </c>
      <c r="P78" s="123"/>
      <c r="Q78" s="130"/>
      <c r="R78" s="123"/>
      <c r="S78" s="130"/>
      <c r="T78" s="130"/>
      <c r="U78" s="132"/>
      <c r="V78" s="334"/>
    </row>
    <row r="79" spans="1:22" ht="16">
      <c r="A79" s="122"/>
      <c r="B79" s="104" t="s">
        <v>733</v>
      </c>
      <c r="C79" s="109" t="s">
        <v>566</v>
      </c>
      <c r="D79" s="128"/>
      <c r="E79" s="129">
        <v>4000</v>
      </c>
      <c r="F79" s="128"/>
      <c r="G79" s="130">
        <v>880</v>
      </c>
      <c r="H79" s="131"/>
      <c r="I79" s="130"/>
      <c r="J79" s="128"/>
      <c r="K79" s="130"/>
      <c r="L79" s="128"/>
      <c r="M79" s="110" t="s">
        <v>624</v>
      </c>
      <c r="N79" s="123"/>
      <c r="O79" s="110" t="s">
        <v>133</v>
      </c>
      <c r="P79" s="123"/>
      <c r="Q79" s="130"/>
      <c r="R79" s="123"/>
      <c r="S79" s="130"/>
      <c r="T79" s="130"/>
      <c r="U79" s="132"/>
      <c r="V79" s="130"/>
    </row>
    <row r="80" spans="1:22" ht="16">
      <c r="A80" s="122"/>
      <c r="B80" s="109"/>
      <c r="C80" s="109"/>
      <c r="D80" s="128"/>
      <c r="E80" s="133"/>
      <c r="F80" s="128"/>
      <c r="G80" s="134"/>
      <c r="H80" s="131"/>
      <c r="I80" s="130"/>
      <c r="J80" s="128"/>
      <c r="K80" s="130"/>
      <c r="L80" s="128"/>
      <c r="M80" s="129"/>
      <c r="N80" s="123"/>
      <c r="O80" s="130"/>
      <c r="P80" s="123"/>
      <c r="Q80" s="130"/>
      <c r="R80" s="123"/>
      <c r="S80" s="130"/>
      <c r="T80" s="130"/>
      <c r="U80" s="130"/>
      <c r="V80" s="130"/>
    </row>
    <row r="81" spans="1:22" ht="16">
      <c r="A81" s="122"/>
      <c r="B81" s="109"/>
      <c r="C81" s="109"/>
      <c r="D81" s="128"/>
      <c r="E81" s="129"/>
      <c r="F81" s="128"/>
      <c r="G81" s="130"/>
      <c r="H81" s="131"/>
      <c r="I81" s="130"/>
      <c r="J81" s="128"/>
      <c r="K81" s="130"/>
      <c r="L81" s="128"/>
      <c r="M81" s="129"/>
      <c r="N81" s="123"/>
      <c r="O81" s="158"/>
      <c r="P81" s="123"/>
      <c r="Q81" s="130"/>
      <c r="R81" s="123"/>
      <c r="S81" s="130"/>
      <c r="T81" s="130"/>
      <c r="U81" s="130"/>
      <c r="V81" s="130"/>
    </row>
    <row r="82" spans="1:22" ht="16">
      <c r="A82" s="122"/>
      <c r="B82" s="109"/>
      <c r="C82" s="109"/>
      <c r="D82" s="128"/>
      <c r="E82" s="129"/>
      <c r="F82" s="128"/>
      <c r="G82" s="130"/>
      <c r="H82" s="131"/>
      <c r="I82" s="130"/>
      <c r="J82" s="128"/>
      <c r="K82" s="130"/>
      <c r="L82" s="128"/>
      <c r="M82" s="129"/>
      <c r="N82" s="123"/>
      <c r="O82" s="158"/>
      <c r="P82" s="123"/>
      <c r="Q82" s="130"/>
      <c r="R82" s="123"/>
      <c r="S82" s="130"/>
      <c r="T82" s="130"/>
      <c r="U82" s="130"/>
      <c r="V82" s="130"/>
    </row>
    <row r="83" spans="1:22" ht="16">
      <c r="A83" s="122"/>
      <c r="B83" s="109"/>
      <c r="C83" s="109"/>
      <c r="D83" s="128"/>
      <c r="E83" s="129"/>
      <c r="F83" s="128"/>
      <c r="G83" s="130"/>
      <c r="H83" s="131"/>
      <c r="I83" s="130"/>
      <c r="J83" s="128"/>
      <c r="K83" s="130"/>
      <c r="L83" s="128"/>
      <c r="M83" s="129"/>
      <c r="N83" s="123"/>
      <c r="O83" s="130"/>
      <c r="P83" s="123"/>
      <c r="Q83" s="130"/>
      <c r="R83" s="123"/>
      <c r="S83" s="130"/>
      <c r="T83" s="130"/>
      <c r="U83" s="130"/>
      <c r="V83" s="130"/>
    </row>
    <row r="84" spans="1:22" ht="16">
      <c r="A84" s="122"/>
      <c r="B84" s="109"/>
      <c r="C84" s="109"/>
      <c r="D84" s="128"/>
      <c r="E84" s="129"/>
      <c r="F84" s="128"/>
      <c r="G84" s="130"/>
      <c r="H84" s="131"/>
      <c r="I84" s="130"/>
      <c r="J84" s="128"/>
      <c r="K84" s="130"/>
      <c r="L84" s="128"/>
      <c r="M84" s="129"/>
      <c r="N84" s="123"/>
      <c r="O84" s="130"/>
      <c r="P84" s="123"/>
      <c r="Q84" s="130"/>
      <c r="R84" s="123"/>
      <c r="S84" s="130"/>
      <c r="T84" s="130"/>
      <c r="U84" s="130"/>
      <c r="V84" s="130"/>
    </row>
    <row r="85" spans="1:22" ht="16">
      <c r="A85" s="122"/>
      <c r="B85" s="109"/>
      <c r="C85" s="109"/>
      <c r="D85" s="128"/>
      <c r="E85" s="129"/>
      <c r="F85" s="128"/>
      <c r="G85" s="130"/>
      <c r="H85" s="131"/>
      <c r="I85" s="130"/>
      <c r="J85" s="128"/>
      <c r="K85" s="130"/>
      <c r="L85" s="128"/>
      <c r="M85" s="129"/>
      <c r="N85" s="123"/>
      <c r="O85" s="130"/>
      <c r="P85" s="123"/>
      <c r="Q85" s="130"/>
      <c r="R85" s="123"/>
      <c r="S85" s="130"/>
      <c r="T85" s="130"/>
      <c r="U85" s="130"/>
      <c r="V85" s="130"/>
    </row>
    <row r="86" spans="1:22" ht="16">
      <c r="A86" s="122"/>
      <c r="B86" s="109"/>
      <c r="C86" s="109"/>
      <c r="D86" s="128"/>
      <c r="E86" s="129"/>
      <c r="F86" s="128"/>
      <c r="G86" s="130"/>
      <c r="H86" s="131"/>
      <c r="I86" s="130"/>
      <c r="J86" s="128"/>
      <c r="K86" s="130"/>
      <c r="L86" s="128"/>
      <c r="M86" s="129"/>
      <c r="N86" s="123"/>
      <c r="O86" s="130"/>
      <c r="P86" s="123"/>
      <c r="Q86" s="130"/>
      <c r="R86" s="123"/>
      <c r="S86" s="130"/>
      <c r="T86" s="130"/>
      <c r="U86" s="130"/>
      <c r="V86" s="130"/>
    </row>
    <row r="87" spans="1:22" ht="16">
      <c r="A87" s="122"/>
      <c r="B87" s="112" t="s">
        <v>612</v>
      </c>
      <c r="C87" s="109"/>
      <c r="D87" s="128"/>
      <c r="E87" s="129" t="s">
        <v>566</v>
      </c>
      <c r="F87" s="128"/>
      <c r="G87" s="130"/>
      <c r="H87" s="131"/>
      <c r="I87" s="130"/>
      <c r="J87" s="128"/>
      <c r="K87" s="130"/>
      <c r="L87" s="128"/>
      <c r="M87" s="129"/>
      <c r="N87" s="123"/>
      <c r="O87" s="130"/>
      <c r="P87" s="123"/>
      <c r="Q87" s="130"/>
      <c r="R87" s="123"/>
      <c r="S87" s="130"/>
      <c r="T87" s="130"/>
      <c r="U87" s="107" t="s">
        <v>683</v>
      </c>
      <c r="V87" s="130"/>
    </row>
    <row r="88" spans="1:22" ht="15.75" customHeight="1" thickBot="1">
      <c r="A88" s="113"/>
      <c r="B88" s="854" t="s">
        <v>1293</v>
      </c>
      <c r="C88" s="854"/>
      <c r="D88" s="854"/>
      <c r="E88" s="854"/>
      <c r="F88" s="854"/>
      <c r="G88" s="854"/>
      <c r="H88" s="854"/>
      <c r="I88" s="854"/>
      <c r="J88" s="854"/>
      <c r="K88" s="854"/>
      <c r="L88" s="854"/>
      <c r="M88" s="854"/>
      <c r="N88" s="854"/>
      <c r="O88" s="854"/>
      <c r="P88" s="854"/>
      <c r="Q88" s="854"/>
      <c r="R88" s="854"/>
      <c r="S88" s="854"/>
      <c r="T88" s="854"/>
      <c r="U88" s="854"/>
      <c r="V88" s="315"/>
    </row>
    <row r="89" spans="1:22" ht="57" thickBot="1">
      <c r="A89" s="122"/>
      <c r="B89" s="109"/>
      <c r="C89" s="109"/>
      <c r="D89" s="128"/>
      <c r="E89" s="116" t="s">
        <v>648</v>
      </c>
      <c r="F89" s="115"/>
      <c r="G89" s="117" t="s">
        <v>649</v>
      </c>
      <c r="H89" s="118"/>
      <c r="I89" s="117" t="s">
        <v>650</v>
      </c>
      <c r="J89" s="115"/>
      <c r="K89" s="117" t="s">
        <v>651</v>
      </c>
      <c r="L89" s="115"/>
      <c r="M89" s="116" t="s">
        <v>625</v>
      </c>
      <c r="N89" s="119"/>
      <c r="O89" s="117" t="s">
        <v>649</v>
      </c>
      <c r="P89" s="123"/>
      <c r="Q89" s="130"/>
      <c r="R89" s="123"/>
      <c r="S89" s="130"/>
      <c r="T89" s="130"/>
      <c r="U89" s="117" t="s">
        <v>614</v>
      </c>
      <c r="V89" s="130"/>
    </row>
    <row r="90" spans="1:22" ht="16">
      <c r="A90" s="122"/>
      <c r="B90" s="156" t="s">
        <v>626</v>
      </c>
      <c r="C90" s="157"/>
      <c r="D90" s="128"/>
      <c r="E90" s="129"/>
      <c r="F90" s="128"/>
      <c r="G90" s="130"/>
      <c r="H90" s="131"/>
      <c r="I90" s="130"/>
      <c r="J90" s="128"/>
      <c r="K90" s="130"/>
      <c r="L90" s="128"/>
      <c r="M90" s="129"/>
      <c r="N90" s="123"/>
      <c r="O90" s="130"/>
      <c r="P90" s="123"/>
      <c r="Q90" s="130"/>
      <c r="R90" s="123"/>
      <c r="S90" s="130"/>
      <c r="T90" s="130"/>
      <c r="U90" s="126"/>
      <c r="V90" s="130"/>
    </row>
    <row r="91" spans="1:22" ht="16">
      <c r="A91" s="122"/>
      <c r="B91" s="109" t="s">
        <v>734</v>
      </c>
      <c r="C91" s="109"/>
      <c r="D91" s="160"/>
      <c r="E91" s="133" t="s">
        <v>133</v>
      </c>
      <c r="F91" s="161"/>
      <c r="G91" s="134" t="s">
        <v>133</v>
      </c>
      <c r="H91" s="131"/>
      <c r="I91" s="130" t="e">
        <v>#REF!</v>
      </c>
      <c r="J91" s="162"/>
      <c r="K91" s="130" t="e">
        <v>#REF!</v>
      </c>
      <c r="L91" s="160"/>
      <c r="M91" s="129">
        <v>17500</v>
      </c>
      <c r="N91" s="161"/>
      <c r="O91" s="130">
        <v>3850</v>
      </c>
      <c r="P91" s="123"/>
      <c r="Q91" s="130"/>
      <c r="R91" s="123"/>
      <c r="S91" s="130"/>
      <c r="T91" s="130"/>
      <c r="U91" s="126"/>
      <c r="V91" s="130"/>
    </row>
    <row r="92" spans="1:22" ht="16">
      <c r="A92" s="122"/>
      <c r="B92" s="109" t="s">
        <v>735</v>
      </c>
      <c r="C92" s="109"/>
      <c r="D92" s="160"/>
      <c r="E92" s="133" t="s">
        <v>133</v>
      </c>
      <c r="F92" s="161"/>
      <c r="G92" s="134" t="s">
        <v>133</v>
      </c>
      <c r="H92" s="131"/>
      <c r="I92" s="130">
        <v>0</v>
      </c>
      <c r="J92" s="162"/>
      <c r="K92" s="130">
        <v>0</v>
      </c>
      <c r="L92" s="160"/>
      <c r="M92" s="129">
        <v>17500</v>
      </c>
      <c r="N92" s="161"/>
      <c r="O92" s="130">
        <v>3850</v>
      </c>
      <c r="P92" s="123"/>
      <c r="Q92" s="130"/>
      <c r="R92" s="123"/>
      <c r="S92" s="130"/>
      <c r="T92" s="130"/>
      <c r="U92" s="126"/>
      <c r="V92" s="130"/>
    </row>
    <row r="93" spans="1:22" ht="16">
      <c r="A93" s="122"/>
      <c r="B93" s="109" t="s">
        <v>736</v>
      </c>
      <c r="C93" s="109"/>
      <c r="D93" s="160"/>
      <c r="E93" s="133" t="s">
        <v>133</v>
      </c>
      <c r="F93" s="161"/>
      <c r="G93" s="134" t="s">
        <v>133</v>
      </c>
      <c r="H93" s="131"/>
      <c r="I93" s="130" t="e">
        <v>#REF!</v>
      </c>
      <c r="J93" s="162"/>
      <c r="K93" s="130" t="e">
        <v>#REF!</v>
      </c>
      <c r="L93" s="160"/>
      <c r="M93" s="129">
        <v>17500</v>
      </c>
      <c r="N93" s="161"/>
      <c r="O93" s="130">
        <v>3850</v>
      </c>
      <c r="P93" s="123"/>
      <c r="Q93" s="130"/>
      <c r="R93" s="123"/>
      <c r="S93" s="130"/>
      <c r="T93" s="130"/>
      <c r="U93" s="126"/>
      <c r="V93" s="130"/>
    </row>
    <row r="94" spans="1:22" ht="16">
      <c r="A94" s="122"/>
      <c r="B94" s="109" t="s">
        <v>737</v>
      </c>
      <c r="C94" s="109"/>
      <c r="D94" s="160"/>
      <c r="E94" s="133" t="s">
        <v>133</v>
      </c>
      <c r="F94" s="161"/>
      <c r="G94" s="134" t="s">
        <v>133</v>
      </c>
      <c r="H94" s="131"/>
      <c r="I94" s="130">
        <v>0</v>
      </c>
      <c r="J94" s="162"/>
      <c r="K94" s="130">
        <v>0</v>
      </c>
      <c r="L94" s="160"/>
      <c r="M94" s="129">
        <v>109500</v>
      </c>
      <c r="N94" s="161"/>
      <c r="O94" s="130">
        <v>24090</v>
      </c>
      <c r="P94" s="123"/>
      <c r="Q94" s="130"/>
      <c r="R94" s="123"/>
      <c r="S94" s="130"/>
      <c r="T94" s="130"/>
      <c r="U94" s="126"/>
      <c r="V94" s="130"/>
    </row>
    <row r="95" spans="1:22" ht="16">
      <c r="A95" s="122"/>
      <c r="B95" s="109" t="s">
        <v>738</v>
      </c>
      <c r="C95" s="109"/>
      <c r="D95" s="160"/>
      <c r="E95" s="133" t="s">
        <v>133</v>
      </c>
      <c r="F95" s="161"/>
      <c r="G95" s="134" t="s">
        <v>133</v>
      </c>
      <c r="H95" s="131"/>
      <c r="I95" s="130">
        <v>0</v>
      </c>
      <c r="J95" s="162"/>
      <c r="K95" s="130" t="e">
        <v>#VALUE!</v>
      </c>
      <c r="L95" s="160"/>
      <c r="M95" s="129">
        <v>46000</v>
      </c>
      <c r="N95" s="161"/>
      <c r="O95" s="130">
        <v>10120</v>
      </c>
      <c r="P95" s="123"/>
      <c r="Q95" s="130"/>
      <c r="R95" s="123"/>
      <c r="S95" s="130"/>
      <c r="T95" s="130"/>
      <c r="U95" s="126"/>
      <c r="V95" s="130"/>
    </row>
    <row r="96" spans="1:22" ht="16">
      <c r="A96" s="122"/>
      <c r="B96" s="109" t="s">
        <v>739</v>
      </c>
      <c r="C96" s="109"/>
      <c r="D96" s="160"/>
      <c r="E96" s="133" t="s">
        <v>133</v>
      </c>
      <c r="F96" s="161"/>
      <c r="G96" s="134" t="s">
        <v>133</v>
      </c>
      <c r="H96" s="131"/>
      <c r="I96" s="130">
        <v>0</v>
      </c>
      <c r="J96" s="162"/>
      <c r="K96" s="130">
        <v>0</v>
      </c>
      <c r="L96" s="160"/>
      <c r="M96" s="129">
        <v>46000</v>
      </c>
      <c r="N96" s="161"/>
      <c r="O96" s="130">
        <v>10120</v>
      </c>
      <c r="P96" s="123"/>
      <c r="Q96" s="130"/>
      <c r="R96" s="123"/>
      <c r="S96" s="130"/>
      <c r="T96" s="130"/>
      <c r="U96" s="126"/>
      <c r="V96" s="130"/>
    </row>
    <row r="97" spans="1:22" ht="16">
      <c r="A97" s="122"/>
      <c r="B97" s="109" t="s">
        <v>740</v>
      </c>
      <c r="C97" s="109"/>
      <c r="D97" s="160"/>
      <c r="E97" s="133" t="s">
        <v>133</v>
      </c>
      <c r="F97" s="161"/>
      <c r="G97" s="134" t="s">
        <v>133</v>
      </c>
      <c r="H97" s="131"/>
      <c r="I97" s="130" t="e">
        <v>#REF!</v>
      </c>
      <c r="J97" s="162"/>
      <c r="K97" s="130" t="e">
        <v>#REF!</v>
      </c>
      <c r="L97" s="160"/>
      <c r="M97" s="129">
        <v>46000</v>
      </c>
      <c r="N97" s="161"/>
      <c r="O97" s="130">
        <v>10120</v>
      </c>
      <c r="P97" s="123"/>
      <c r="Q97" s="130"/>
      <c r="R97" s="123"/>
      <c r="S97" s="130"/>
      <c r="T97" s="130"/>
      <c r="U97" s="126"/>
      <c r="V97" s="130"/>
    </row>
    <row r="98" spans="1:22" ht="17" thickBot="1">
      <c r="A98" s="122"/>
      <c r="B98" s="109"/>
      <c r="C98" s="109"/>
      <c r="D98" s="128"/>
      <c r="E98" s="129"/>
      <c r="F98" s="128"/>
      <c r="G98" s="130"/>
      <c r="H98" s="131"/>
      <c r="I98" s="130"/>
      <c r="J98" s="128"/>
      <c r="K98" s="130"/>
      <c r="L98" s="128"/>
      <c r="M98" s="129"/>
      <c r="N98" s="123"/>
      <c r="O98" s="130"/>
      <c r="P98" s="123"/>
      <c r="Q98" s="130"/>
      <c r="R98" s="123"/>
      <c r="S98" s="130"/>
      <c r="T98" s="130"/>
      <c r="U98" s="126"/>
      <c r="V98" s="130"/>
    </row>
    <row r="99" spans="1:22" ht="57" thickBot="1">
      <c r="A99" s="122"/>
      <c r="B99" s="114"/>
      <c r="C99" s="114"/>
      <c r="D99" s="115"/>
      <c r="E99" s="116" t="s">
        <v>648</v>
      </c>
      <c r="F99" s="115"/>
      <c r="G99" s="117" t="s">
        <v>649</v>
      </c>
      <c r="H99" s="118"/>
      <c r="I99" s="117" t="s">
        <v>650</v>
      </c>
      <c r="J99" s="115"/>
      <c r="K99" s="117" t="s">
        <v>651</v>
      </c>
      <c r="L99" s="115"/>
      <c r="M99" s="116" t="s">
        <v>613</v>
      </c>
      <c r="N99" s="119"/>
      <c r="O99" s="117" t="s">
        <v>649</v>
      </c>
      <c r="P99" s="123"/>
      <c r="Q99" s="130"/>
      <c r="R99" s="123"/>
      <c r="S99" s="130"/>
      <c r="T99" s="130"/>
      <c r="U99" s="117" t="s">
        <v>614</v>
      </c>
      <c r="V99" s="130"/>
    </row>
    <row r="100" spans="1:22" ht="16">
      <c r="A100" s="122"/>
      <c r="B100" s="851" t="s">
        <v>627</v>
      </c>
      <c r="C100" s="851"/>
      <c r="D100" s="109"/>
      <c r="E100" s="163"/>
      <c r="F100" s="160"/>
      <c r="G100" s="160"/>
      <c r="H100" s="164"/>
      <c r="I100" s="163"/>
      <c r="J100" s="165"/>
      <c r="K100" s="163"/>
      <c r="L100" s="166"/>
      <c r="M100" s="165"/>
      <c r="N100" s="123"/>
      <c r="O100" s="123"/>
      <c r="P100" s="123"/>
      <c r="Q100" s="130"/>
      <c r="R100" s="123"/>
      <c r="S100" s="130"/>
      <c r="T100" s="130"/>
      <c r="U100" s="130"/>
      <c r="V100" s="130"/>
    </row>
    <row r="101" spans="1:22" ht="16">
      <c r="A101" s="122"/>
      <c r="B101" s="127"/>
      <c r="C101" s="109"/>
      <c r="D101" s="160"/>
      <c r="E101" s="110"/>
      <c r="F101" s="109"/>
      <c r="G101" s="109"/>
      <c r="H101" s="103"/>
      <c r="I101" s="110"/>
      <c r="J101" s="109"/>
      <c r="K101" s="110"/>
      <c r="L101" s="109"/>
      <c r="M101" s="110"/>
      <c r="N101" s="123"/>
      <c r="O101" s="123"/>
      <c r="P101" s="123"/>
      <c r="Q101" s="130"/>
      <c r="R101" s="123"/>
      <c r="S101" s="130"/>
      <c r="T101" s="130"/>
      <c r="U101" s="130"/>
      <c r="V101" s="130"/>
    </row>
    <row r="102" spans="1:22" ht="16">
      <c r="A102" s="122"/>
      <c r="B102" s="127" t="s">
        <v>628</v>
      </c>
      <c r="C102" s="109"/>
      <c r="D102" s="109"/>
      <c r="E102" s="102"/>
      <c r="F102" s="101"/>
      <c r="G102" s="101"/>
      <c r="H102" s="103"/>
      <c r="I102" s="102"/>
      <c r="J102" s="101"/>
      <c r="K102" s="102"/>
      <c r="L102" s="101"/>
      <c r="M102" s="102"/>
      <c r="N102" s="101"/>
      <c r="O102" s="101"/>
      <c r="P102" s="123"/>
      <c r="Q102" s="130"/>
      <c r="R102" s="123"/>
      <c r="S102" s="130"/>
      <c r="T102" s="130"/>
      <c r="U102" s="130"/>
      <c r="V102" s="130"/>
    </row>
    <row r="103" spans="1:22" ht="16">
      <c r="A103" s="122"/>
      <c r="B103" s="109" t="s">
        <v>741</v>
      </c>
      <c r="C103" s="109"/>
      <c r="D103" s="160"/>
      <c r="E103" s="129">
        <v>950</v>
      </c>
      <c r="F103" s="161"/>
      <c r="G103" s="130">
        <v>209</v>
      </c>
      <c r="H103" s="167"/>
      <c r="I103" s="130">
        <v>0</v>
      </c>
      <c r="J103" s="162"/>
      <c r="K103" s="130">
        <v>0</v>
      </c>
      <c r="L103" s="160"/>
      <c r="M103" s="129">
        <v>47500</v>
      </c>
      <c r="N103" s="161"/>
      <c r="O103" s="130">
        <v>10450</v>
      </c>
      <c r="P103" s="123"/>
      <c r="Q103" s="130"/>
      <c r="R103" s="123"/>
      <c r="S103" s="130"/>
      <c r="T103" s="130"/>
      <c r="U103" s="126">
        <v>17</v>
      </c>
      <c r="V103" s="130"/>
    </row>
    <row r="104" spans="1:22" ht="16">
      <c r="A104" s="122"/>
      <c r="B104" s="109" t="s">
        <v>742</v>
      </c>
      <c r="C104" s="109"/>
      <c r="D104" s="160"/>
      <c r="E104" s="129">
        <v>950</v>
      </c>
      <c r="F104" s="161"/>
      <c r="G104" s="130">
        <v>209</v>
      </c>
      <c r="H104" s="167"/>
      <c r="I104" s="130">
        <v>0</v>
      </c>
      <c r="J104" s="162"/>
      <c r="K104" s="130">
        <v>0</v>
      </c>
      <c r="L104" s="160"/>
      <c r="M104" s="129" t="s">
        <v>133</v>
      </c>
      <c r="N104" s="161"/>
      <c r="O104" s="130" t="s">
        <v>133</v>
      </c>
      <c r="P104" s="123"/>
      <c r="Q104" s="130"/>
      <c r="R104" s="123"/>
      <c r="S104" s="130"/>
      <c r="T104" s="130"/>
      <c r="U104" s="126">
        <v>17</v>
      </c>
      <c r="V104" s="130"/>
    </row>
    <row r="105" spans="1:22" ht="16">
      <c r="A105" s="122"/>
      <c r="B105" s="109"/>
      <c r="C105" s="109"/>
      <c r="D105" s="160"/>
      <c r="E105" s="129"/>
      <c r="F105" s="161"/>
      <c r="G105" s="130"/>
      <c r="H105" s="167"/>
      <c r="I105" s="130">
        <v>142.5</v>
      </c>
      <c r="J105" s="162"/>
      <c r="K105" s="130">
        <v>66.5</v>
      </c>
      <c r="L105" s="160"/>
      <c r="M105" s="129"/>
      <c r="N105" s="161"/>
      <c r="O105" s="130"/>
      <c r="P105" s="123"/>
      <c r="Q105" s="130"/>
      <c r="R105" s="123"/>
      <c r="S105" s="130"/>
      <c r="T105" s="130"/>
      <c r="U105" s="126"/>
      <c r="V105" s="130"/>
    </row>
    <row r="106" spans="1:22" ht="16">
      <c r="A106" s="122"/>
      <c r="B106" s="127" t="s">
        <v>743</v>
      </c>
      <c r="C106" s="109"/>
      <c r="D106" s="160"/>
      <c r="E106" s="129"/>
      <c r="F106" s="161"/>
      <c r="G106" s="130"/>
      <c r="H106" s="167"/>
      <c r="I106" s="130">
        <v>69</v>
      </c>
      <c r="J106" s="162"/>
      <c r="K106" s="130">
        <v>32.200000000000003</v>
      </c>
      <c r="L106" s="160"/>
      <c r="M106" s="129"/>
      <c r="N106" s="161"/>
      <c r="O106" s="130"/>
      <c r="P106" s="123"/>
      <c r="Q106" s="130"/>
      <c r="R106" s="123"/>
      <c r="S106" s="130"/>
      <c r="T106" s="130"/>
      <c r="U106" s="126"/>
      <c r="V106" s="130"/>
    </row>
    <row r="107" spans="1:22" ht="16">
      <c r="A107" s="122"/>
      <c r="B107" s="109" t="s">
        <v>629</v>
      </c>
      <c r="C107" s="109"/>
      <c r="D107" s="160"/>
      <c r="E107" s="129">
        <v>120</v>
      </c>
      <c r="F107" s="161"/>
      <c r="G107" s="130">
        <v>26.4</v>
      </c>
      <c r="H107" s="167"/>
      <c r="I107" s="130">
        <v>0</v>
      </c>
      <c r="J107" s="162"/>
      <c r="K107" s="130">
        <v>0</v>
      </c>
      <c r="L107" s="160"/>
      <c r="M107" s="129">
        <v>5800</v>
      </c>
      <c r="N107" s="161"/>
      <c r="O107" s="130">
        <v>1276</v>
      </c>
      <c r="P107" s="123"/>
      <c r="Q107" s="130"/>
      <c r="R107" s="123"/>
      <c r="S107" s="130"/>
      <c r="T107" s="130"/>
      <c r="U107" s="126" t="s">
        <v>630</v>
      </c>
      <c r="V107" s="130"/>
    </row>
    <row r="108" spans="1:22" ht="16">
      <c r="A108" s="122"/>
      <c r="B108" s="109"/>
      <c r="C108" s="109"/>
      <c r="D108" s="160"/>
      <c r="E108" s="129"/>
      <c r="F108" s="161"/>
      <c r="G108" s="130"/>
      <c r="H108" s="167"/>
      <c r="I108" s="130">
        <v>0</v>
      </c>
      <c r="J108" s="162"/>
      <c r="K108" s="130">
        <v>0</v>
      </c>
      <c r="L108" s="160"/>
      <c r="M108" s="129"/>
      <c r="N108" s="161"/>
      <c r="O108" s="130"/>
      <c r="P108" s="123"/>
      <c r="Q108" s="130"/>
      <c r="R108" s="123"/>
      <c r="S108" s="130"/>
      <c r="T108" s="130"/>
      <c r="U108" s="126"/>
      <c r="V108" s="130"/>
    </row>
    <row r="109" spans="1:22" ht="16">
      <c r="A109" s="122"/>
      <c r="B109" s="127" t="s">
        <v>744</v>
      </c>
      <c r="C109" s="109"/>
      <c r="D109" s="160"/>
      <c r="E109" s="129"/>
      <c r="F109" s="161"/>
      <c r="G109" s="130"/>
      <c r="H109" s="167"/>
      <c r="I109" s="130">
        <v>0</v>
      </c>
      <c r="J109" s="162"/>
      <c r="K109" s="130">
        <v>0</v>
      </c>
      <c r="L109" s="160"/>
      <c r="M109" s="129"/>
      <c r="N109" s="161"/>
      <c r="O109" s="130"/>
      <c r="P109" s="123"/>
      <c r="Q109" s="130"/>
      <c r="R109" s="123"/>
      <c r="S109" s="130"/>
      <c r="T109" s="130"/>
      <c r="U109" s="126"/>
      <c r="V109" s="130"/>
    </row>
    <row r="110" spans="1:22" ht="16">
      <c r="A110" s="122"/>
      <c r="B110" s="109" t="s">
        <v>631</v>
      </c>
      <c r="C110" s="109"/>
      <c r="D110" s="160"/>
      <c r="E110" s="129">
        <v>1200</v>
      </c>
      <c r="F110" s="161"/>
      <c r="G110" s="130">
        <v>264</v>
      </c>
      <c r="H110" s="167"/>
      <c r="I110" s="130">
        <v>69</v>
      </c>
      <c r="J110" s="162"/>
      <c r="K110" s="130">
        <v>32.200000000000003</v>
      </c>
      <c r="L110" s="160"/>
      <c r="M110" s="129" t="s">
        <v>133</v>
      </c>
      <c r="N110" s="161"/>
      <c r="O110" s="130" t="s">
        <v>133</v>
      </c>
      <c r="P110" s="123"/>
      <c r="Q110" s="130"/>
      <c r="R110" s="123"/>
      <c r="S110" s="130"/>
      <c r="T110" s="130"/>
      <c r="U110" s="126">
        <v>20</v>
      </c>
      <c r="V110" s="130"/>
    </row>
    <row r="111" spans="1:22" ht="16">
      <c r="A111" s="122"/>
      <c r="B111" s="109" t="s">
        <v>745</v>
      </c>
      <c r="C111" s="109"/>
      <c r="D111" s="160"/>
      <c r="E111" s="129">
        <v>5800</v>
      </c>
      <c r="F111" s="161"/>
      <c r="G111" s="130">
        <v>1276</v>
      </c>
      <c r="H111" s="167"/>
      <c r="I111" s="130">
        <v>34.5</v>
      </c>
      <c r="J111" s="162"/>
      <c r="K111" s="130">
        <v>16.100000000000001</v>
      </c>
      <c r="L111" s="160"/>
      <c r="M111" s="129" t="s">
        <v>133</v>
      </c>
      <c r="N111" s="161"/>
      <c r="O111" s="130" t="s">
        <v>133</v>
      </c>
      <c r="P111" s="123"/>
      <c r="Q111" s="130"/>
      <c r="R111" s="123"/>
      <c r="S111" s="130"/>
      <c r="T111" s="130"/>
      <c r="U111" s="126"/>
      <c r="V111" s="130"/>
    </row>
    <row r="112" spans="1:22" ht="16">
      <c r="A112" s="122"/>
      <c r="B112" s="109" t="s">
        <v>632</v>
      </c>
      <c r="C112" s="109"/>
      <c r="D112" s="160"/>
      <c r="E112" s="129" t="s">
        <v>133</v>
      </c>
      <c r="F112" s="161"/>
      <c r="G112" s="130" t="s">
        <v>133</v>
      </c>
      <c r="H112" s="167"/>
      <c r="I112" s="130" t="e">
        <v>#REF!</v>
      </c>
      <c r="J112" s="162"/>
      <c r="K112" s="130" t="e">
        <v>#REF!</v>
      </c>
      <c r="L112" s="160"/>
      <c r="M112" s="129">
        <v>5800</v>
      </c>
      <c r="N112" s="161"/>
      <c r="O112" s="130">
        <v>1276</v>
      </c>
      <c r="P112" s="123"/>
      <c r="Q112" s="130"/>
      <c r="R112" s="123"/>
      <c r="S112" s="130"/>
      <c r="T112" s="130"/>
      <c r="U112" s="126">
        <v>21</v>
      </c>
      <c r="V112" s="130"/>
    </row>
    <row r="113" spans="1:22" ht="16">
      <c r="A113" s="122"/>
      <c r="B113" s="109"/>
      <c r="C113" s="109"/>
      <c r="D113" s="160"/>
      <c r="E113" s="129"/>
      <c r="F113" s="161"/>
      <c r="G113" s="130"/>
      <c r="H113" s="167"/>
      <c r="I113" s="130"/>
      <c r="J113" s="162"/>
      <c r="K113" s="130"/>
      <c r="L113" s="160"/>
      <c r="M113" s="129"/>
      <c r="N113" s="161"/>
      <c r="O113" s="130"/>
      <c r="P113" s="123"/>
      <c r="Q113" s="130"/>
      <c r="R113" s="123"/>
      <c r="S113" s="130"/>
      <c r="T113" s="130"/>
      <c r="U113" s="130"/>
      <c r="V113" s="130"/>
    </row>
    <row r="114" spans="1:22" ht="16">
      <c r="A114" s="122"/>
      <c r="B114" s="109"/>
      <c r="C114" s="109"/>
      <c r="D114" s="160"/>
      <c r="E114" s="129"/>
      <c r="F114" s="161"/>
      <c r="G114" s="130"/>
      <c r="H114" s="167"/>
      <c r="I114" s="130"/>
      <c r="J114" s="162"/>
      <c r="K114" s="130"/>
      <c r="L114" s="160"/>
      <c r="M114" s="129"/>
      <c r="N114" s="161"/>
      <c r="O114" s="130"/>
      <c r="P114" s="123"/>
      <c r="Q114" s="130"/>
      <c r="R114" s="123"/>
      <c r="S114" s="130"/>
      <c r="T114" s="130"/>
      <c r="U114" s="130" t="s">
        <v>566</v>
      </c>
      <c r="V114" s="130"/>
    </row>
    <row r="115" spans="1:22" ht="16">
      <c r="A115" s="122"/>
      <c r="B115" s="109"/>
      <c r="C115" s="109"/>
      <c r="D115" s="160"/>
      <c r="E115" s="129"/>
      <c r="F115" s="161"/>
      <c r="G115" s="130"/>
      <c r="H115" s="167"/>
      <c r="I115" s="130"/>
      <c r="J115" s="162"/>
      <c r="K115" s="130"/>
      <c r="L115" s="160"/>
      <c r="M115" s="129"/>
      <c r="N115" s="161"/>
      <c r="O115" s="130"/>
      <c r="P115" s="123"/>
      <c r="Q115" s="130"/>
      <c r="R115" s="123"/>
      <c r="S115" s="130"/>
      <c r="T115" s="130"/>
      <c r="U115" s="130"/>
      <c r="V115" s="130"/>
    </row>
    <row r="116" spans="1:22" ht="16">
      <c r="A116" s="122"/>
      <c r="B116" s="109"/>
      <c r="C116" s="109"/>
      <c r="D116" s="160"/>
      <c r="E116" s="129"/>
      <c r="F116" s="161"/>
      <c r="G116" s="130"/>
      <c r="H116" s="167"/>
      <c r="I116" s="130"/>
      <c r="J116" s="162"/>
      <c r="K116" s="130"/>
      <c r="L116" s="160"/>
      <c r="M116" s="129"/>
      <c r="N116" s="161"/>
      <c r="O116" s="130"/>
      <c r="P116" s="123"/>
      <c r="Q116" s="130"/>
      <c r="R116" s="123"/>
      <c r="S116" s="130"/>
      <c r="T116" s="130"/>
      <c r="U116" s="130"/>
      <c r="V116" s="130"/>
    </row>
    <row r="117" spans="1:22" ht="16">
      <c r="A117" s="122"/>
      <c r="B117" s="109"/>
      <c r="C117" s="109"/>
      <c r="D117" s="160"/>
      <c r="E117" s="129" t="s">
        <v>566</v>
      </c>
      <c r="F117" s="161"/>
      <c r="G117" s="130"/>
      <c r="H117" s="167"/>
      <c r="I117" s="130"/>
      <c r="J117" s="162"/>
      <c r="K117" s="130"/>
      <c r="L117" s="160"/>
      <c r="M117" s="129"/>
      <c r="N117" s="161"/>
      <c r="O117" s="130"/>
      <c r="P117" s="123"/>
      <c r="Q117" s="130"/>
      <c r="R117" s="123"/>
      <c r="S117" s="130"/>
      <c r="T117" s="130"/>
      <c r="U117" s="130"/>
      <c r="V117" s="130"/>
    </row>
    <row r="118" spans="1:22" ht="16">
      <c r="A118" s="122"/>
      <c r="B118" s="109" t="s">
        <v>566</v>
      </c>
      <c r="C118" s="109"/>
      <c r="D118" s="160"/>
      <c r="E118" s="129"/>
      <c r="F118" s="161"/>
      <c r="G118" s="130"/>
      <c r="H118" s="167"/>
      <c r="I118" s="130"/>
      <c r="J118" s="162"/>
      <c r="K118" s="130"/>
      <c r="L118" s="160"/>
      <c r="M118" s="129"/>
      <c r="N118" s="161"/>
      <c r="O118" s="130"/>
      <c r="P118" s="123"/>
      <c r="Q118" s="130"/>
      <c r="R118" s="123"/>
      <c r="S118" s="130"/>
      <c r="T118" s="130"/>
      <c r="U118" s="130"/>
      <c r="V118" s="130"/>
    </row>
    <row r="119" spans="1:22" ht="16">
      <c r="A119" s="122"/>
      <c r="B119" s="109"/>
      <c r="C119" s="109"/>
      <c r="D119" s="160"/>
      <c r="E119" s="129"/>
      <c r="F119" s="161"/>
      <c r="G119" s="130"/>
      <c r="H119" s="167"/>
      <c r="I119" s="130"/>
      <c r="J119" s="162"/>
      <c r="K119" s="130"/>
      <c r="L119" s="160"/>
      <c r="M119" s="129"/>
      <c r="N119" s="161"/>
      <c r="O119" s="130"/>
      <c r="P119" s="123"/>
      <c r="Q119" s="130"/>
      <c r="R119" s="123"/>
      <c r="S119" s="130"/>
      <c r="T119" s="130"/>
      <c r="U119" s="130"/>
      <c r="V119" s="130"/>
    </row>
    <row r="120" spans="1:22" ht="16">
      <c r="A120" s="122"/>
      <c r="B120" s="168" t="s">
        <v>633</v>
      </c>
      <c r="C120" s="337"/>
      <c r="D120" s="337"/>
      <c r="E120" s="337"/>
      <c r="F120" s="337"/>
      <c r="G120" s="337"/>
      <c r="H120" s="337"/>
      <c r="I120" s="337"/>
      <c r="J120" s="337"/>
      <c r="K120" s="337"/>
      <c r="L120" s="337"/>
      <c r="M120" s="337"/>
      <c r="N120" s="337"/>
      <c r="O120" s="337"/>
      <c r="P120" s="129"/>
      <c r="Q120" s="129"/>
      <c r="R120" s="129"/>
      <c r="S120" s="129"/>
      <c r="T120" s="129"/>
      <c r="U120" s="107" t="s">
        <v>683</v>
      </c>
      <c r="V120" s="129"/>
    </row>
    <row r="121" spans="1:22" ht="15.75" customHeight="1" thickBot="1">
      <c r="A121" s="169"/>
      <c r="B121" s="854" t="s">
        <v>634</v>
      </c>
      <c r="C121" s="854"/>
      <c r="D121" s="854"/>
      <c r="E121" s="854"/>
      <c r="F121" s="854"/>
      <c r="G121" s="854"/>
      <c r="H121" s="854"/>
      <c r="I121" s="854"/>
      <c r="J121" s="854"/>
      <c r="K121" s="854"/>
      <c r="L121" s="854"/>
      <c r="M121" s="854"/>
      <c r="N121" s="854"/>
      <c r="O121" s="854"/>
      <c r="P121" s="854"/>
      <c r="Q121" s="854"/>
      <c r="R121" s="854"/>
      <c r="S121" s="854"/>
      <c r="T121" s="854"/>
      <c r="U121" s="854"/>
      <c r="V121" s="315"/>
    </row>
    <row r="122" spans="1:22" ht="57" thickBot="1">
      <c r="A122" s="122"/>
      <c r="B122" s="109"/>
      <c r="C122" s="109"/>
      <c r="D122" s="128"/>
      <c r="E122" s="116" t="s">
        <v>648</v>
      </c>
      <c r="F122" s="115"/>
      <c r="G122" s="117" t="s">
        <v>649</v>
      </c>
      <c r="H122" s="118"/>
      <c r="I122" s="117" t="s">
        <v>650</v>
      </c>
      <c r="J122" s="115"/>
      <c r="K122" s="117" t="s">
        <v>651</v>
      </c>
      <c r="L122" s="115"/>
      <c r="M122" s="116" t="s">
        <v>613</v>
      </c>
      <c r="N122" s="119"/>
      <c r="O122" s="117" t="s">
        <v>649</v>
      </c>
      <c r="P122" s="123"/>
      <c r="Q122" s="130"/>
      <c r="R122" s="123"/>
      <c r="S122" s="130"/>
      <c r="T122" s="130"/>
      <c r="U122" s="117" t="s">
        <v>614</v>
      </c>
      <c r="V122" s="130"/>
    </row>
    <row r="123" spans="1:22" ht="16">
      <c r="A123" s="122"/>
      <c r="B123" s="156" t="s">
        <v>635</v>
      </c>
      <c r="C123" s="157"/>
      <c r="D123" s="128"/>
      <c r="E123" s="129"/>
      <c r="F123" s="128"/>
      <c r="G123" s="130"/>
      <c r="H123" s="131"/>
      <c r="I123" s="130"/>
      <c r="J123" s="128"/>
      <c r="K123" s="130"/>
      <c r="L123" s="128"/>
      <c r="M123" s="129"/>
      <c r="N123" s="123"/>
      <c r="O123" s="130"/>
      <c r="P123" s="123"/>
      <c r="Q123" s="130"/>
      <c r="R123" s="123"/>
      <c r="S123" s="130"/>
      <c r="T123" s="130"/>
      <c r="U123" s="126" t="s">
        <v>566</v>
      </c>
      <c r="V123" s="130"/>
    </row>
    <row r="124" spans="1:22" ht="16">
      <c r="A124" s="122"/>
      <c r="B124" s="109" t="s">
        <v>746</v>
      </c>
      <c r="C124" s="109"/>
      <c r="D124" s="128"/>
      <c r="E124" s="129">
        <v>120</v>
      </c>
      <c r="F124" s="128"/>
      <c r="G124" s="130">
        <v>26.4</v>
      </c>
      <c r="H124" s="131"/>
      <c r="I124" s="130">
        <v>180</v>
      </c>
      <c r="J124" s="128"/>
      <c r="K124" s="130">
        <v>84</v>
      </c>
      <c r="L124" s="128"/>
      <c r="M124" s="129">
        <v>5800</v>
      </c>
      <c r="N124" s="123"/>
      <c r="O124" s="130">
        <v>1276</v>
      </c>
      <c r="P124" s="123"/>
      <c r="Q124" s="130">
        <v>870</v>
      </c>
      <c r="R124" s="123"/>
      <c r="S124" s="130">
        <v>406</v>
      </c>
      <c r="T124" s="130"/>
      <c r="U124" s="132" t="s">
        <v>636</v>
      </c>
      <c r="V124" s="130"/>
    </row>
    <row r="125" spans="1:22" ht="16">
      <c r="A125" s="122"/>
      <c r="B125" s="104" t="s">
        <v>747</v>
      </c>
      <c r="C125" s="109"/>
      <c r="D125" s="128"/>
      <c r="E125" s="129">
        <v>200</v>
      </c>
      <c r="F125" s="128"/>
      <c r="G125" s="130">
        <v>44</v>
      </c>
      <c r="H125" s="131"/>
      <c r="I125" s="130" t="e">
        <v>#REF!</v>
      </c>
      <c r="J125" s="128"/>
      <c r="K125" s="130" t="e">
        <v>#REF!</v>
      </c>
      <c r="L125" s="128"/>
      <c r="M125" s="129">
        <v>10000</v>
      </c>
      <c r="N125" s="123"/>
      <c r="O125" s="130">
        <v>2200</v>
      </c>
      <c r="P125" s="123"/>
      <c r="Q125" s="130"/>
      <c r="R125" s="123"/>
      <c r="S125" s="130"/>
      <c r="T125" s="130"/>
      <c r="U125" s="132" t="s">
        <v>637</v>
      </c>
      <c r="V125" s="130"/>
    </row>
    <row r="126" spans="1:22" ht="16">
      <c r="A126" s="122"/>
      <c r="B126" s="104" t="s">
        <v>748</v>
      </c>
      <c r="C126" s="109" t="s">
        <v>566</v>
      </c>
      <c r="D126" s="128"/>
      <c r="E126" s="129">
        <v>500</v>
      </c>
      <c r="F126" s="128"/>
      <c r="G126" s="130">
        <v>110</v>
      </c>
      <c r="H126" s="131"/>
      <c r="I126" s="130" t="e">
        <v>#REF!</v>
      </c>
      <c r="J126" s="128"/>
      <c r="K126" s="130" t="e">
        <v>#REF!</v>
      </c>
      <c r="L126" s="128"/>
      <c r="M126" s="129">
        <v>25000</v>
      </c>
      <c r="N126" s="123"/>
      <c r="O126" s="130">
        <v>5500</v>
      </c>
      <c r="P126" s="123"/>
      <c r="Q126" s="130"/>
      <c r="R126" s="123"/>
      <c r="S126" s="130"/>
      <c r="T126" s="130"/>
      <c r="U126" s="132" t="s">
        <v>638</v>
      </c>
      <c r="V126" s="130"/>
    </row>
    <row r="127" spans="1:22" ht="16">
      <c r="A127" s="122"/>
      <c r="B127" s="104" t="s">
        <v>749</v>
      </c>
      <c r="C127" s="109"/>
      <c r="D127" s="128"/>
      <c r="E127" s="129">
        <v>900</v>
      </c>
      <c r="F127" s="128"/>
      <c r="G127" s="130">
        <v>198</v>
      </c>
      <c r="H127" s="131"/>
      <c r="I127" s="130" t="e">
        <v>#REF!</v>
      </c>
      <c r="J127" s="128"/>
      <c r="K127" s="130" t="e">
        <v>#REF!</v>
      </c>
      <c r="L127" s="128"/>
      <c r="M127" s="129">
        <v>45000</v>
      </c>
      <c r="N127" s="123"/>
      <c r="O127" s="130">
        <v>9900</v>
      </c>
      <c r="P127" s="123"/>
      <c r="Q127" s="130"/>
      <c r="R127" s="123"/>
      <c r="S127" s="130"/>
      <c r="T127" s="130"/>
      <c r="U127" s="132" t="s">
        <v>638</v>
      </c>
      <c r="V127" s="130"/>
    </row>
    <row r="128" spans="1:22" ht="16">
      <c r="A128" s="122" t="s">
        <v>566</v>
      </c>
      <c r="B128" s="104" t="s">
        <v>750</v>
      </c>
      <c r="C128" s="109"/>
      <c r="D128" s="128"/>
      <c r="E128" s="129">
        <v>100</v>
      </c>
      <c r="F128" s="128"/>
      <c r="G128" s="130">
        <v>22</v>
      </c>
      <c r="H128" s="131"/>
      <c r="I128" s="130" t="e">
        <v>#REF!</v>
      </c>
      <c r="J128" s="128"/>
      <c r="K128" s="130" t="e">
        <v>#REF!</v>
      </c>
      <c r="L128" s="128"/>
      <c r="M128" s="129">
        <v>5000</v>
      </c>
      <c r="N128" s="123"/>
      <c r="O128" s="130">
        <v>1100</v>
      </c>
      <c r="P128" s="123"/>
      <c r="Q128" s="130"/>
      <c r="R128" s="123"/>
      <c r="S128" s="130"/>
      <c r="T128" s="130"/>
      <c r="U128" s="132">
        <v>1</v>
      </c>
      <c r="V128" s="130"/>
    </row>
    <row r="129" spans="1:22" ht="16">
      <c r="A129" s="122"/>
      <c r="B129" s="104" t="s">
        <v>751</v>
      </c>
      <c r="C129" s="109" t="s">
        <v>566</v>
      </c>
      <c r="D129" s="128"/>
      <c r="E129" s="129">
        <v>700</v>
      </c>
      <c r="F129" s="128"/>
      <c r="G129" s="130">
        <v>154</v>
      </c>
      <c r="H129" s="131"/>
      <c r="I129" s="130">
        <v>69</v>
      </c>
      <c r="J129" s="128"/>
      <c r="K129" s="130">
        <v>32.200000000000003</v>
      </c>
      <c r="L129" s="128"/>
      <c r="M129" s="129">
        <v>35000</v>
      </c>
      <c r="N129" s="123"/>
      <c r="O129" s="130">
        <v>7700</v>
      </c>
      <c r="P129" s="123"/>
      <c r="Q129" s="130">
        <v>5250</v>
      </c>
      <c r="R129" s="123"/>
      <c r="S129" s="130">
        <v>2450</v>
      </c>
      <c r="T129" s="130"/>
      <c r="U129" s="132" t="s">
        <v>639</v>
      </c>
      <c r="V129" s="130"/>
    </row>
    <row r="130" spans="1:22" ht="16">
      <c r="A130" s="122" t="s">
        <v>566</v>
      </c>
      <c r="B130" s="104" t="s">
        <v>752</v>
      </c>
      <c r="C130" s="109"/>
      <c r="D130" s="128"/>
      <c r="E130" s="129">
        <v>100</v>
      </c>
      <c r="F130" s="128"/>
      <c r="G130" s="130">
        <v>22</v>
      </c>
      <c r="H130" s="131"/>
      <c r="I130" s="130">
        <v>0</v>
      </c>
      <c r="J130" s="128"/>
      <c r="K130" s="130">
        <v>0</v>
      </c>
      <c r="L130" s="128"/>
      <c r="M130" s="129">
        <v>5000</v>
      </c>
      <c r="N130" s="123"/>
      <c r="O130" s="130">
        <v>1100</v>
      </c>
      <c r="P130" s="123"/>
      <c r="Q130" s="130"/>
      <c r="R130" s="123"/>
      <c r="S130" s="130"/>
      <c r="T130" s="130"/>
      <c r="U130" s="132">
        <v>1</v>
      </c>
      <c r="V130" s="130"/>
    </row>
    <row r="131" spans="1:22" ht="16">
      <c r="A131" s="122"/>
      <c r="B131" s="104" t="s">
        <v>753</v>
      </c>
      <c r="C131" s="109" t="s">
        <v>566</v>
      </c>
      <c r="D131" s="128"/>
      <c r="E131" s="129">
        <v>16</v>
      </c>
      <c r="F131" s="128"/>
      <c r="G131" s="130">
        <v>3.52</v>
      </c>
      <c r="H131" s="131"/>
      <c r="I131" s="130">
        <v>0</v>
      </c>
      <c r="J131" s="128"/>
      <c r="K131" s="130">
        <v>0</v>
      </c>
      <c r="L131" s="128"/>
      <c r="M131" s="129">
        <v>800</v>
      </c>
      <c r="N131" s="123"/>
      <c r="O131" s="130">
        <v>176</v>
      </c>
      <c r="P131" s="123"/>
      <c r="Q131" s="130"/>
      <c r="R131" s="123"/>
      <c r="S131" s="130"/>
      <c r="T131" s="130"/>
      <c r="U131" s="132">
        <v>1</v>
      </c>
      <c r="V131" s="130"/>
    </row>
    <row r="132" spans="1:22" ht="16">
      <c r="A132" s="122"/>
      <c r="B132" s="104" t="s">
        <v>754</v>
      </c>
      <c r="C132" s="109" t="s">
        <v>566</v>
      </c>
      <c r="D132" s="128"/>
      <c r="E132" s="129">
        <v>230</v>
      </c>
      <c r="F132" s="128"/>
      <c r="G132" s="130">
        <v>50.6</v>
      </c>
      <c r="H132" s="131"/>
      <c r="I132" s="130" t="e">
        <v>#REF!</v>
      </c>
      <c r="J132" s="128"/>
      <c r="K132" s="130" t="e">
        <v>#REF!</v>
      </c>
      <c r="L132" s="128"/>
      <c r="M132" s="129">
        <v>11500</v>
      </c>
      <c r="N132" s="123"/>
      <c r="O132" s="130">
        <v>2530</v>
      </c>
      <c r="P132" s="123"/>
      <c r="Q132" s="130"/>
      <c r="R132" s="123"/>
      <c r="S132" s="130"/>
      <c r="T132" s="130"/>
      <c r="U132" s="132">
        <v>1</v>
      </c>
      <c r="V132" s="130"/>
    </row>
    <row r="133" spans="1:22" ht="16">
      <c r="A133" s="122"/>
      <c r="B133" s="104" t="s">
        <v>755</v>
      </c>
      <c r="C133" s="109" t="s">
        <v>566</v>
      </c>
      <c r="D133" s="128"/>
      <c r="E133" s="129">
        <v>500</v>
      </c>
      <c r="F133" s="128"/>
      <c r="G133" s="130">
        <v>110</v>
      </c>
      <c r="H133" s="131"/>
      <c r="I133" s="130" t="e">
        <v>#REF!</v>
      </c>
      <c r="J133" s="128"/>
      <c r="K133" s="130" t="e">
        <v>#REF!</v>
      </c>
      <c r="L133" s="128"/>
      <c r="M133" s="129">
        <v>25000</v>
      </c>
      <c r="N133" s="123"/>
      <c r="O133" s="130">
        <v>5500</v>
      </c>
      <c r="P133" s="123"/>
      <c r="Q133" s="130"/>
      <c r="R133" s="123"/>
      <c r="S133" s="130"/>
      <c r="T133" s="130"/>
      <c r="U133" s="132">
        <v>1</v>
      </c>
      <c r="V133" s="130"/>
    </row>
    <row r="134" spans="1:22" ht="16">
      <c r="A134" s="122"/>
      <c r="B134" s="495" t="s">
        <v>756</v>
      </c>
      <c r="C134" s="495"/>
      <c r="D134" s="170"/>
      <c r="E134" s="129">
        <v>1200</v>
      </c>
      <c r="F134" s="170"/>
      <c r="G134" s="130">
        <v>264</v>
      </c>
      <c r="H134" s="131"/>
      <c r="I134" s="130" t="e">
        <v>#REF!</v>
      </c>
      <c r="J134" s="170"/>
      <c r="K134" s="130" t="e">
        <v>#REF!</v>
      </c>
      <c r="L134" s="170"/>
      <c r="M134" s="129">
        <v>60000</v>
      </c>
      <c r="N134" s="171"/>
      <c r="O134" s="130">
        <v>13200</v>
      </c>
      <c r="P134" s="171"/>
      <c r="Q134" s="130">
        <v>9000</v>
      </c>
      <c r="R134" s="171"/>
      <c r="S134" s="130">
        <v>4200</v>
      </c>
      <c r="T134" s="130"/>
      <c r="U134" s="132" t="s">
        <v>640</v>
      </c>
      <c r="V134" s="130"/>
    </row>
    <row r="135" spans="1:22" ht="16">
      <c r="A135" s="122"/>
      <c r="B135" s="495" t="s">
        <v>757</v>
      </c>
      <c r="C135" s="495"/>
      <c r="D135" s="170"/>
      <c r="E135" s="129">
        <v>1400</v>
      </c>
      <c r="F135" s="170"/>
      <c r="G135" s="130">
        <v>308</v>
      </c>
      <c r="H135" s="131"/>
      <c r="I135" s="130" t="e">
        <v>#REF!</v>
      </c>
      <c r="J135" s="170"/>
      <c r="K135" s="130" t="e">
        <v>#REF!</v>
      </c>
      <c r="L135" s="170"/>
      <c r="M135" s="129">
        <v>70000</v>
      </c>
      <c r="N135" s="171"/>
      <c r="O135" s="130">
        <v>15400</v>
      </c>
      <c r="P135" s="171"/>
      <c r="Q135" s="130">
        <v>10500</v>
      </c>
      <c r="R135" s="171"/>
      <c r="S135" s="130">
        <v>4900</v>
      </c>
      <c r="T135" s="130"/>
      <c r="U135" s="132" t="s">
        <v>640</v>
      </c>
      <c r="V135" s="130"/>
    </row>
    <row r="136" spans="1:22" ht="16">
      <c r="A136" s="122"/>
      <c r="B136" s="495" t="s">
        <v>758</v>
      </c>
      <c r="C136" s="495"/>
      <c r="D136" s="170"/>
      <c r="E136" s="129">
        <v>1500</v>
      </c>
      <c r="F136" s="170"/>
      <c r="G136" s="130">
        <v>330</v>
      </c>
      <c r="H136" s="131"/>
      <c r="I136" s="130">
        <v>300</v>
      </c>
      <c r="J136" s="170"/>
      <c r="K136" s="130">
        <v>140</v>
      </c>
      <c r="L136" s="170"/>
      <c r="M136" s="129">
        <v>75000</v>
      </c>
      <c r="N136" s="171"/>
      <c r="O136" s="130">
        <v>16500</v>
      </c>
      <c r="P136" s="129"/>
      <c r="Q136" s="129">
        <v>8625</v>
      </c>
      <c r="R136" s="129"/>
      <c r="S136" s="129">
        <v>4025</v>
      </c>
      <c r="T136" s="129"/>
      <c r="U136" s="132" t="s">
        <v>640</v>
      </c>
      <c r="V136" s="129"/>
    </row>
    <row r="137" spans="1:22" ht="16">
      <c r="A137" s="122"/>
      <c r="B137" s="495" t="s">
        <v>759</v>
      </c>
      <c r="C137" s="172"/>
      <c r="D137" s="170"/>
      <c r="E137" s="129">
        <v>1150</v>
      </c>
      <c r="F137" s="170"/>
      <c r="G137" s="130">
        <v>253</v>
      </c>
      <c r="H137" s="131"/>
      <c r="I137" s="130">
        <v>90</v>
      </c>
      <c r="J137" s="170"/>
      <c r="K137" s="130">
        <v>42</v>
      </c>
      <c r="L137" s="170"/>
      <c r="M137" s="129">
        <v>57500</v>
      </c>
      <c r="N137" s="171"/>
      <c r="O137" s="130">
        <v>12650</v>
      </c>
      <c r="P137" s="129"/>
      <c r="Q137" s="129"/>
      <c r="R137" s="129"/>
      <c r="S137" s="129"/>
      <c r="T137" s="129"/>
      <c r="U137" s="132">
        <v>1</v>
      </c>
      <c r="V137" s="129"/>
    </row>
    <row r="138" spans="1:22" ht="16">
      <c r="A138" s="122" t="s">
        <v>566</v>
      </c>
      <c r="B138" s="495" t="s">
        <v>760</v>
      </c>
      <c r="C138" s="172"/>
      <c r="D138" s="170"/>
      <c r="E138" s="129">
        <v>600</v>
      </c>
      <c r="F138" s="170"/>
      <c r="G138" s="130">
        <v>132</v>
      </c>
      <c r="H138" s="131"/>
      <c r="I138" s="130">
        <v>52.5</v>
      </c>
      <c r="J138" s="170"/>
      <c r="K138" s="130">
        <v>24.5</v>
      </c>
      <c r="L138" s="170"/>
      <c r="M138" s="129">
        <v>30000</v>
      </c>
      <c r="N138" s="171"/>
      <c r="O138" s="130">
        <v>6600</v>
      </c>
      <c r="P138" s="129"/>
      <c r="Q138" s="129"/>
      <c r="R138" s="129"/>
      <c r="S138" s="129"/>
      <c r="T138" s="129"/>
      <c r="U138" s="132">
        <v>1</v>
      </c>
      <c r="V138" s="129"/>
    </row>
    <row r="139" spans="1:22" ht="16">
      <c r="A139" s="122"/>
      <c r="B139" s="855" t="s">
        <v>761</v>
      </c>
      <c r="C139" s="855"/>
      <c r="D139" s="170"/>
      <c r="E139" s="129">
        <v>1200</v>
      </c>
      <c r="F139" s="170"/>
      <c r="G139" s="130">
        <v>264</v>
      </c>
      <c r="H139" s="131"/>
      <c r="I139" s="130" t="e">
        <v>#REF!</v>
      </c>
      <c r="J139" s="170"/>
      <c r="K139" s="130" t="e">
        <v>#REF!</v>
      </c>
      <c r="L139" s="170"/>
      <c r="M139" s="129">
        <v>60000</v>
      </c>
      <c r="N139" s="171"/>
      <c r="O139" s="130">
        <v>13200</v>
      </c>
      <c r="P139" s="129"/>
      <c r="Q139" s="129"/>
      <c r="R139" s="129"/>
      <c r="S139" s="129"/>
      <c r="T139" s="129"/>
      <c r="U139" s="132">
        <v>1</v>
      </c>
      <c r="V139" s="129"/>
    </row>
    <row r="140" spans="1:22" ht="16">
      <c r="A140" s="122"/>
      <c r="B140" s="495" t="s">
        <v>762</v>
      </c>
      <c r="C140" s="495"/>
      <c r="D140" s="170"/>
      <c r="E140" s="129">
        <v>460</v>
      </c>
      <c r="F140" s="170"/>
      <c r="G140" s="130">
        <v>101.2</v>
      </c>
      <c r="H140" s="131"/>
      <c r="I140" s="130" t="e">
        <v>#REF!</v>
      </c>
      <c r="J140" s="170"/>
      <c r="K140" s="130" t="e">
        <v>#REF!</v>
      </c>
      <c r="L140" s="170"/>
      <c r="M140" s="129">
        <v>23000</v>
      </c>
      <c r="N140" s="171"/>
      <c r="O140" s="130">
        <v>5060</v>
      </c>
      <c r="P140" s="129"/>
      <c r="Q140" s="129"/>
      <c r="R140" s="129"/>
      <c r="S140" s="129"/>
      <c r="T140" s="129"/>
      <c r="U140" s="132">
        <v>1</v>
      </c>
      <c r="V140" s="129"/>
    </row>
    <row r="141" spans="1:22" ht="17" thickBot="1">
      <c r="A141" s="122"/>
      <c r="B141" s="495"/>
      <c r="C141" s="495"/>
      <c r="D141" s="170"/>
      <c r="E141" s="129"/>
      <c r="F141" s="170"/>
      <c r="G141" s="130"/>
      <c r="H141" s="131"/>
      <c r="I141" s="130"/>
      <c r="J141" s="170"/>
      <c r="K141" s="130"/>
      <c r="L141" s="170"/>
      <c r="M141" s="129"/>
      <c r="N141" s="171"/>
      <c r="O141" s="130"/>
      <c r="P141" s="129"/>
      <c r="Q141" s="129"/>
      <c r="R141" s="129"/>
      <c r="S141" s="129"/>
      <c r="T141" s="129"/>
      <c r="U141" s="132"/>
      <c r="V141" s="129"/>
    </row>
    <row r="142" spans="1:22" ht="57" thickBot="1">
      <c r="A142" s="122"/>
      <c r="B142" s="109"/>
      <c r="C142" s="109"/>
      <c r="D142" s="128"/>
      <c r="E142" s="116" t="s">
        <v>648</v>
      </c>
      <c r="F142" s="115"/>
      <c r="G142" s="117" t="s">
        <v>649</v>
      </c>
      <c r="H142" s="118"/>
      <c r="I142" s="117" t="s">
        <v>650</v>
      </c>
      <c r="J142" s="115"/>
      <c r="K142" s="117" t="s">
        <v>651</v>
      </c>
      <c r="L142" s="115"/>
      <c r="M142" s="116" t="s">
        <v>613</v>
      </c>
      <c r="N142" s="119"/>
      <c r="O142" s="117" t="s">
        <v>649</v>
      </c>
      <c r="P142" s="123"/>
      <c r="Q142" s="130"/>
      <c r="R142" s="123"/>
      <c r="S142" s="130"/>
      <c r="T142" s="130"/>
      <c r="U142" s="117" t="s">
        <v>614</v>
      </c>
      <c r="V142" s="130"/>
    </row>
    <row r="143" spans="1:22" ht="16">
      <c r="A143" s="122"/>
      <c r="B143" s="856" t="s">
        <v>1630</v>
      </c>
      <c r="C143" s="856"/>
      <c r="D143" s="128"/>
      <c r="E143" s="129"/>
      <c r="F143" s="128"/>
      <c r="G143" s="130"/>
      <c r="H143" s="131"/>
      <c r="I143" s="130"/>
      <c r="J143" s="128"/>
      <c r="K143" s="130"/>
      <c r="L143" s="128"/>
      <c r="M143" s="129"/>
      <c r="N143" s="123"/>
      <c r="O143" s="130"/>
      <c r="P143" s="123"/>
      <c r="Q143" s="130"/>
      <c r="R143" s="123"/>
      <c r="S143" s="130"/>
      <c r="T143" s="130"/>
      <c r="U143" s="126" t="s">
        <v>566</v>
      </c>
      <c r="V143" s="130"/>
    </row>
    <row r="144" spans="1:22" ht="16">
      <c r="A144" s="122"/>
      <c r="B144" s="109" t="s">
        <v>1631</v>
      </c>
      <c r="C144" s="109"/>
      <c r="D144" s="128"/>
      <c r="E144" s="129" t="s">
        <v>133</v>
      </c>
      <c r="F144" s="128"/>
      <c r="G144" s="130" t="s">
        <v>133</v>
      </c>
      <c r="H144" s="131"/>
      <c r="I144" s="130">
        <v>180</v>
      </c>
      <c r="J144" s="128"/>
      <c r="K144" s="130">
        <v>84</v>
      </c>
      <c r="L144" s="128"/>
      <c r="M144" s="129">
        <v>47500</v>
      </c>
      <c r="N144" s="123"/>
      <c r="O144" s="130">
        <v>10450</v>
      </c>
      <c r="P144" s="123"/>
      <c r="Q144" s="130">
        <v>5250</v>
      </c>
      <c r="R144" s="123"/>
      <c r="S144" s="130">
        <v>2450</v>
      </c>
      <c r="T144" s="130"/>
      <c r="U144" s="132"/>
      <c r="V144" s="129"/>
    </row>
    <row r="145" spans="1:22" ht="17" thickBot="1">
      <c r="A145" s="122"/>
      <c r="B145" s="109"/>
      <c r="C145" s="109"/>
      <c r="D145" s="128"/>
      <c r="E145" s="129" t="s">
        <v>566</v>
      </c>
      <c r="F145" s="128"/>
      <c r="G145" s="130"/>
      <c r="H145" s="131"/>
      <c r="I145" s="130"/>
      <c r="J145" s="128"/>
      <c r="K145" s="130"/>
      <c r="L145" s="128"/>
      <c r="M145" s="129"/>
      <c r="N145" s="123"/>
      <c r="O145" s="130"/>
      <c r="P145" s="129"/>
      <c r="Q145" s="129"/>
      <c r="R145" s="129"/>
      <c r="S145" s="129"/>
      <c r="T145" s="129"/>
      <c r="U145" s="129"/>
      <c r="V145" s="129"/>
    </row>
    <row r="146" spans="1:22" ht="57" thickBot="1">
      <c r="A146" s="122"/>
      <c r="B146" s="109" t="s">
        <v>566</v>
      </c>
      <c r="C146" s="109"/>
      <c r="D146" s="128"/>
      <c r="E146" s="116" t="s">
        <v>710</v>
      </c>
      <c r="F146" s="115"/>
      <c r="G146" s="117" t="s">
        <v>649</v>
      </c>
      <c r="H146" s="131"/>
      <c r="I146" s="130"/>
      <c r="J146" s="128"/>
      <c r="K146" s="130"/>
      <c r="L146" s="128"/>
      <c r="M146" s="117" t="s">
        <v>711</v>
      </c>
      <c r="N146" s="123"/>
      <c r="O146" s="173"/>
      <c r="P146" s="123"/>
      <c r="Q146" s="130"/>
      <c r="R146" s="123"/>
      <c r="S146" s="130"/>
      <c r="T146" s="130"/>
      <c r="U146" s="117" t="s">
        <v>614</v>
      </c>
      <c r="V146" s="121"/>
    </row>
    <row r="147" spans="1:22" ht="16">
      <c r="A147" s="122"/>
      <c r="B147" s="174" t="s">
        <v>641</v>
      </c>
      <c r="C147" s="174"/>
      <c r="D147" s="128"/>
      <c r="E147" s="129"/>
      <c r="F147" s="128"/>
      <c r="G147" s="130"/>
      <c r="H147" s="131"/>
      <c r="I147" s="130"/>
      <c r="J147" s="128"/>
      <c r="K147" s="130"/>
      <c r="L147" s="128"/>
      <c r="M147" s="129"/>
      <c r="N147" s="123"/>
      <c r="O147" s="130"/>
      <c r="P147" s="129"/>
      <c r="Q147" s="129"/>
      <c r="R147" s="129"/>
      <c r="S147" s="129"/>
      <c r="T147" s="129"/>
      <c r="U147" s="175"/>
      <c r="V147" s="129"/>
    </row>
    <row r="148" spans="1:22" ht="16">
      <c r="A148" s="122"/>
      <c r="B148" s="109" t="s">
        <v>763</v>
      </c>
      <c r="C148" s="109"/>
      <c r="D148" s="128"/>
      <c r="E148" s="129">
        <v>45000</v>
      </c>
      <c r="F148" s="128"/>
      <c r="G148" s="130">
        <v>9900</v>
      </c>
      <c r="H148" s="131"/>
      <c r="I148" s="130" t="e">
        <v>#REF!</v>
      </c>
      <c r="J148" s="128"/>
      <c r="K148" s="130" t="e">
        <v>#REF!</v>
      </c>
      <c r="L148" s="128"/>
      <c r="M148" s="129" t="s">
        <v>241</v>
      </c>
      <c r="N148" s="123"/>
      <c r="O148" s="130"/>
      <c r="P148" s="129"/>
      <c r="Q148" s="129"/>
      <c r="R148" s="129"/>
      <c r="S148" s="129"/>
      <c r="T148" s="129"/>
      <c r="U148" s="175">
        <v>91</v>
      </c>
      <c r="V148" s="129"/>
    </row>
    <row r="149" spans="1:22" ht="16">
      <c r="A149" s="122"/>
      <c r="B149" s="109" t="s">
        <v>764</v>
      </c>
      <c r="C149" s="109"/>
      <c r="D149" s="128"/>
      <c r="E149" s="129">
        <v>100</v>
      </c>
      <c r="F149" s="128"/>
      <c r="G149" s="130">
        <v>22</v>
      </c>
      <c r="H149" s="131"/>
      <c r="I149" s="130" t="e">
        <v>#REF!</v>
      </c>
      <c r="J149" s="128"/>
      <c r="K149" s="130" t="e">
        <v>#REF!</v>
      </c>
      <c r="L149" s="128"/>
      <c r="M149" s="129" t="s">
        <v>642</v>
      </c>
      <c r="N149" s="123"/>
      <c r="O149" s="130"/>
      <c r="P149" s="129"/>
      <c r="Q149" s="129"/>
      <c r="R149" s="129"/>
      <c r="S149" s="129"/>
      <c r="T149" s="129"/>
      <c r="U149" s="175" t="s">
        <v>643</v>
      </c>
      <c r="V149" s="129"/>
    </row>
    <row r="150" spans="1:22" ht="16">
      <c r="A150" s="122"/>
      <c r="B150" s="109"/>
      <c r="C150" s="109"/>
      <c r="D150" s="128"/>
      <c r="E150" s="129">
        <v>50000</v>
      </c>
      <c r="F150" s="128"/>
      <c r="G150" s="130">
        <v>11000</v>
      </c>
      <c r="H150" s="131"/>
      <c r="I150" s="130"/>
      <c r="J150" s="128"/>
      <c r="K150" s="130"/>
      <c r="L150" s="128"/>
      <c r="M150" s="129" t="s">
        <v>644</v>
      </c>
      <c r="N150" s="123"/>
      <c r="O150" s="130"/>
      <c r="P150" s="129"/>
      <c r="Q150" s="129"/>
      <c r="R150" s="129"/>
      <c r="S150" s="129"/>
      <c r="T150" s="129"/>
      <c r="U150" s="175"/>
      <c r="V150" s="129"/>
    </row>
    <row r="151" spans="1:22" ht="17" thickBot="1">
      <c r="A151" s="122"/>
      <c r="B151" s="109"/>
      <c r="C151" s="109"/>
      <c r="D151" s="128"/>
      <c r="E151" s="129"/>
      <c r="F151" s="128"/>
      <c r="G151" s="130"/>
      <c r="H151" s="131"/>
      <c r="I151" s="130"/>
      <c r="J151" s="128"/>
      <c r="K151" s="130"/>
      <c r="L151" s="128"/>
      <c r="M151" s="129"/>
      <c r="N151" s="123"/>
      <c r="O151" s="130"/>
      <c r="P151" s="129"/>
      <c r="Q151" s="129"/>
      <c r="R151" s="129"/>
      <c r="S151" s="129"/>
      <c r="T151" s="129"/>
      <c r="U151" s="175"/>
      <c r="V151" s="129"/>
    </row>
    <row r="152" spans="1:22" ht="57" thickBot="1">
      <c r="A152" s="122"/>
      <c r="B152" s="109"/>
      <c r="C152" s="109"/>
      <c r="D152" s="128"/>
      <c r="E152" s="116" t="s">
        <v>648</v>
      </c>
      <c r="F152" s="115"/>
      <c r="G152" s="117" t="s">
        <v>649</v>
      </c>
      <c r="H152" s="118"/>
      <c r="I152" s="117" t="s">
        <v>650</v>
      </c>
      <c r="J152" s="115"/>
      <c r="K152" s="117" t="s">
        <v>651</v>
      </c>
      <c r="L152" s="115"/>
      <c r="M152" s="116" t="s">
        <v>613</v>
      </c>
      <c r="N152" s="119"/>
      <c r="O152" s="117" t="s">
        <v>649</v>
      </c>
      <c r="P152" s="123"/>
      <c r="Q152" s="130"/>
      <c r="R152" s="123"/>
      <c r="S152" s="130"/>
      <c r="T152" s="130"/>
      <c r="U152" s="117" t="s">
        <v>614</v>
      </c>
      <c r="V152" s="130"/>
    </row>
    <row r="153" spans="1:22" ht="16">
      <c r="A153" s="122" t="s">
        <v>566</v>
      </c>
      <c r="B153" s="857" t="s">
        <v>765</v>
      </c>
      <c r="C153" s="857"/>
      <c r="D153" s="128"/>
      <c r="E153" s="129"/>
      <c r="F153" s="128"/>
      <c r="G153" s="130"/>
      <c r="H153" s="131"/>
      <c r="I153" s="130"/>
      <c r="J153" s="128"/>
      <c r="K153" s="130"/>
      <c r="L153" s="128"/>
      <c r="M153" s="129"/>
      <c r="N153" s="123"/>
      <c r="O153" s="130"/>
      <c r="P153" s="129"/>
      <c r="Q153" s="129"/>
      <c r="R153" s="129"/>
      <c r="S153" s="129"/>
      <c r="T153" s="129"/>
      <c r="U153" s="129"/>
      <c r="V153" s="129"/>
    </row>
    <row r="154" spans="1:22" ht="15.75" customHeight="1">
      <c r="A154" s="122"/>
      <c r="B154" s="855" t="s">
        <v>766</v>
      </c>
      <c r="C154" s="855"/>
      <c r="D154" s="128"/>
      <c r="E154" s="129">
        <v>900</v>
      </c>
      <c r="F154" s="170"/>
      <c r="G154" s="130">
        <v>198</v>
      </c>
      <c r="H154" s="131"/>
      <c r="I154" s="130" t="e">
        <v>#REF!</v>
      </c>
      <c r="J154" s="170"/>
      <c r="K154" s="130" t="e">
        <v>#REF!</v>
      </c>
      <c r="L154" s="170"/>
      <c r="M154" s="129">
        <v>30000</v>
      </c>
      <c r="N154" s="171"/>
      <c r="O154" s="130">
        <v>6600</v>
      </c>
      <c r="P154" s="129"/>
      <c r="Q154" s="129"/>
      <c r="R154" s="129"/>
      <c r="S154" s="129"/>
      <c r="T154" s="129"/>
      <c r="U154" s="132">
        <v>6</v>
      </c>
      <c r="V154" s="129"/>
    </row>
    <row r="155" spans="1:22" ht="16">
      <c r="A155" s="122"/>
      <c r="B155" s="855" t="s">
        <v>767</v>
      </c>
      <c r="C155" s="855"/>
      <c r="D155" s="128"/>
      <c r="E155" s="129" t="s">
        <v>133</v>
      </c>
      <c r="F155" s="170"/>
      <c r="G155" s="130" t="s">
        <v>133</v>
      </c>
      <c r="H155" s="131"/>
      <c r="I155" s="130" t="e">
        <v>#REF!</v>
      </c>
      <c r="J155" s="170"/>
      <c r="K155" s="130" t="e">
        <v>#REF!</v>
      </c>
      <c r="L155" s="170"/>
      <c r="M155" s="129">
        <v>3000</v>
      </c>
      <c r="N155" s="171"/>
      <c r="O155" s="130">
        <v>660</v>
      </c>
      <c r="P155" s="129"/>
      <c r="Q155" s="129"/>
      <c r="R155" s="129"/>
      <c r="S155" s="129"/>
      <c r="T155" s="129"/>
      <c r="U155" s="132"/>
      <c r="V155" s="129"/>
    </row>
    <row r="156" spans="1:22" ht="16">
      <c r="A156" s="122"/>
      <c r="B156" s="855" t="s">
        <v>768</v>
      </c>
      <c r="C156" s="855"/>
      <c r="D156" s="128"/>
      <c r="E156" s="129" t="s">
        <v>133</v>
      </c>
      <c r="F156" s="170"/>
      <c r="G156" s="130" t="s">
        <v>133</v>
      </c>
      <c r="H156" s="131"/>
      <c r="I156" s="130" t="e">
        <v>#REF!</v>
      </c>
      <c r="J156" s="170"/>
      <c r="K156" s="130" t="e">
        <v>#REF!</v>
      </c>
      <c r="L156" s="170"/>
      <c r="M156" s="129">
        <v>150000</v>
      </c>
      <c r="N156" s="171"/>
      <c r="O156" s="130">
        <v>33000</v>
      </c>
      <c r="P156" s="129"/>
      <c r="Q156" s="129"/>
      <c r="R156" s="129"/>
      <c r="S156" s="129"/>
      <c r="T156" s="129"/>
      <c r="U156" s="132" t="s">
        <v>645</v>
      </c>
      <c r="V156" s="129"/>
    </row>
    <row r="157" spans="1:22" ht="16">
      <c r="A157" s="122"/>
      <c r="B157" s="855" t="s">
        <v>769</v>
      </c>
      <c r="C157" s="855"/>
      <c r="D157" s="128"/>
      <c r="E157" s="129" t="s">
        <v>133</v>
      </c>
      <c r="F157" s="128"/>
      <c r="G157" s="130" t="s">
        <v>133</v>
      </c>
      <c r="H157" s="131"/>
      <c r="I157" s="130">
        <v>0</v>
      </c>
      <c r="J157" s="128"/>
      <c r="K157" s="130">
        <v>0</v>
      </c>
      <c r="L157" s="128"/>
      <c r="M157" s="129">
        <v>100000</v>
      </c>
      <c r="N157" s="123"/>
      <c r="O157" s="130">
        <v>22000</v>
      </c>
      <c r="P157" s="129"/>
      <c r="Q157" s="129"/>
      <c r="R157" s="129"/>
      <c r="S157" s="129"/>
      <c r="T157" s="129"/>
      <c r="U157" s="132">
        <v>62</v>
      </c>
      <c r="V157" s="129"/>
    </row>
    <row r="158" spans="1:22" ht="16">
      <c r="A158" s="122" t="s">
        <v>566</v>
      </c>
      <c r="B158" s="855" t="s">
        <v>770</v>
      </c>
      <c r="C158" s="855"/>
      <c r="D158" s="128"/>
      <c r="E158" s="129" t="s">
        <v>133</v>
      </c>
      <c r="F158" s="128"/>
      <c r="G158" s="130" t="s">
        <v>133</v>
      </c>
      <c r="H158" s="131"/>
      <c r="I158" s="130">
        <v>0</v>
      </c>
      <c r="J158" s="128"/>
      <c r="K158" s="130">
        <v>0</v>
      </c>
      <c r="L158" s="128"/>
      <c r="M158" s="129">
        <v>50000</v>
      </c>
      <c r="N158" s="123"/>
      <c r="O158" s="130">
        <v>11000</v>
      </c>
      <c r="P158" s="129"/>
      <c r="Q158" s="129"/>
      <c r="R158" s="129"/>
      <c r="S158" s="129"/>
      <c r="T158" s="129"/>
      <c r="U158" s="132">
        <v>62</v>
      </c>
      <c r="V158" s="129"/>
    </row>
    <row r="159" spans="1:22" ht="16">
      <c r="A159" s="122"/>
      <c r="B159" s="855" t="s">
        <v>771</v>
      </c>
      <c r="C159" s="855"/>
      <c r="D159" s="128"/>
      <c r="E159" s="129" t="s">
        <v>133</v>
      </c>
      <c r="F159" s="128"/>
      <c r="G159" s="130" t="s">
        <v>133</v>
      </c>
      <c r="H159" s="131"/>
      <c r="I159" s="130">
        <v>0</v>
      </c>
      <c r="J159" s="128"/>
      <c r="K159" s="130">
        <v>0</v>
      </c>
      <c r="L159" s="128"/>
      <c r="M159" s="129">
        <v>100000</v>
      </c>
      <c r="N159" s="123"/>
      <c r="O159" s="130">
        <v>22000</v>
      </c>
      <c r="P159" s="129"/>
      <c r="Q159" s="129"/>
      <c r="R159" s="129"/>
      <c r="S159" s="129"/>
      <c r="T159" s="129"/>
      <c r="U159" s="132">
        <v>62</v>
      </c>
      <c r="V159" s="129"/>
    </row>
    <row r="160" spans="1:22" ht="16">
      <c r="A160" s="122"/>
      <c r="B160" s="855" t="s">
        <v>772</v>
      </c>
      <c r="C160" s="855"/>
      <c r="D160" s="128"/>
      <c r="E160" s="129" t="s">
        <v>133</v>
      </c>
      <c r="F160" s="128"/>
      <c r="G160" s="130" t="s">
        <v>133</v>
      </c>
      <c r="H160" s="131"/>
      <c r="I160" s="130">
        <v>0</v>
      </c>
      <c r="J160" s="128"/>
      <c r="K160" s="130">
        <v>0</v>
      </c>
      <c r="L160" s="128"/>
      <c r="M160" s="129">
        <v>100000</v>
      </c>
      <c r="N160" s="123"/>
      <c r="O160" s="130">
        <v>22000</v>
      </c>
      <c r="P160" s="129"/>
      <c r="Q160" s="129"/>
      <c r="R160" s="129"/>
      <c r="S160" s="129"/>
      <c r="T160" s="129"/>
      <c r="U160" s="132">
        <v>62</v>
      </c>
      <c r="V160" s="129"/>
    </row>
    <row r="161" spans="1:22" ht="16">
      <c r="A161" s="122"/>
      <c r="B161" s="855" t="s">
        <v>773</v>
      </c>
      <c r="C161" s="855"/>
      <c r="D161" s="128"/>
      <c r="E161" s="129" t="s">
        <v>133</v>
      </c>
      <c r="F161" s="128"/>
      <c r="G161" s="130" t="s">
        <v>133</v>
      </c>
      <c r="H161" s="131"/>
      <c r="I161" s="130">
        <v>0</v>
      </c>
      <c r="J161" s="128"/>
      <c r="K161" s="130">
        <v>0</v>
      </c>
      <c r="L161" s="128"/>
      <c r="M161" s="129">
        <v>63300</v>
      </c>
      <c r="N161" s="123"/>
      <c r="O161" s="130">
        <v>13926</v>
      </c>
      <c r="P161" s="129"/>
      <c r="Q161" s="129"/>
      <c r="R161" s="129"/>
      <c r="S161" s="129"/>
      <c r="T161" s="129"/>
      <c r="U161" s="132">
        <v>62</v>
      </c>
      <c r="V161" s="129"/>
    </row>
    <row r="162" spans="1:22" ht="16">
      <c r="A162" s="122"/>
      <c r="B162" s="855" t="s">
        <v>774</v>
      </c>
      <c r="C162" s="855"/>
      <c r="D162" s="128"/>
      <c r="E162" s="129" t="s">
        <v>133</v>
      </c>
      <c r="F162" s="128"/>
      <c r="G162" s="130" t="s">
        <v>133</v>
      </c>
      <c r="H162" s="131"/>
      <c r="I162" s="130">
        <v>0</v>
      </c>
      <c r="J162" s="128"/>
      <c r="K162" s="130">
        <v>0</v>
      </c>
      <c r="L162" s="128"/>
      <c r="M162" s="129">
        <v>70000</v>
      </c>
      <c r="N162" s="123"/>
      <c r="O162" s="130">
        <v>15400</v>
      </c>
      <c r="P162" s="129"/>
      <c r="Q162" s="129"/>
      <c r="R162" s="129"/>
      <c r="S162" s="129"/>
      <c r="T162" s="129"/>
      <c r="U162" s="129"/>
      <c r="V162" s="129"/>
    </row>
    <row r="163" spans="1:22" ht="16">
      <c r="A163" s="122"/>
      <c r="B163" s="855" t="s">
        <v>775</v>
      </c>
      <c r="C163" s="855"/>
      <c r="D163" s="128"/>
      <c r="E163" s="129">
        <v>350</v>
      </c>
      <c r="F163" s="128"/>
      <c r="G163" s="130">
        <v>77</v>
      </c>
      <c r="H163" s="131"/>
      <c r="I163" s="130">
        <v>52.5</v>
      </c>
      <c r="J163" s="128"/>
      <c r="K163" s="130">
        <v>24.5</v>
      </c>
      <c r="L163" s="128"/>
      <c r="M163" s="129">
        <v>17500</v>
      </c>
      <c r="N163" s="123"/>
      <c r="O163" s="130">
        <v>3850</v>
      </c>
      <c r="P163" s="129"/>
      <c r="Q163" s="129"/>
      <c r="R163" s="129"/>
      <c r="S163" s="129"/>
      <c r="T163" s="129"/>
      <c r="U163" s="132">
        <v>6</v>
      </c>
      <c r="V163" s="129"/>
    </row>
    <row r="164" spans="1:22" ht="16">
      <c r="A164" s="122" t="s">
        <v>566</v>
      </c>
      <c r="B164" s="855" t="s">
        <v>776</v>
      </c>
      <c r="C164" s="855"/>
      <c r="D164" s="128"/>
      <c r="E164" s="129">
        <v>350</v>
      </c>
      <c r="F164" s="128"/>
      <c r="G164" s="130">
        <v>77</v>
      </c>
      <c r="H164" s="131"/>
      <c r="I164" s="130">
        <v>52.5</v>
      </c>
      <c r="J164" s="128"/>
      <c r="K164" s="130">
        <v>24.5</v>
      </c>
      <c r="L164" s="128"/>
      <c r="M164" s="129">
        <v>17500</v>
      </c>
      <c r="N164" s="123"/>
      <c r="O164" s="130">
        <v>3850</v>
      </c>
      <c r="P164" s="129"/>
      <c r="Q164" s="129"/>
      <c r="R164" s="129"/>
      <c r="S164" s="129"/>
      <c r="T164" s="129"/>
      <c r="U164" s="132">
        <v>6</v>
      </c>
      <c r="V164" s="129"/>
    </row>
    <row r="165" spans="1:22" ht="16">
      <c r="A165" s="122"/>
      <c r="B165" s="855" t="s">
        <v>777</v>
      </c>
      <c r="C165" s="855"/>
      <c r="D165" s="128"/>
      <c r="E165" s="129">
        <v>2000</v>
      </c>
      <c r="F165" s="128"/>
      <c r="G165" s="130">
        <v>440</v>
      </c>
      <c r="H165" s="131"/>
      <c r="I165" s="130">
        <v>300</v>
      </c>
      <c r="J165" s="128"/>
      <c r="K165" s="130">
        <v>140</v>
      </c>
      <c r="L165" s="128"/>
      <c r="M165" s="129">
        <v>100000</v>
      </c>
      <c r="N165" s="123"/>
      <c r="O165" s="130">
        <v>22000</v>
      </c>
      <c r="P165" s="129"/>
      <c r="Q165" s="129"/>
      <c r="R165" s="129"/>
      <c r="S165" s="129"/>
      <c r="T165" s="129"/>
      <c r="U165" s="132">
        <v>6</v>
      </c>
      <c r="V165" s="129"/>
    </row>
    <row r="166" spans="1:22" ht="16">
      <c r="A166" s="122" t="s">
        <v>566</v>
      </c>
      <c r="B166" s="855" t="s">
        <v>778</v>
      </c>
      <c r="C166" s="855"/>
      <c r="D166" s="128" t="s">
        <v>566</v>
      </c>
      <c r="E166" s="129">
        <v>600</v>
      </c>
      <c r="F166" s="128"/>
      <c r="G166" s="130">
        <v>132</v>
      </c>
      <c r="H166" s="131"/>
      <c r="I166" s="130">
        <v>90</v>
      </c>
      <c r="J166" s="128"/>
      <c r="K166" s="130">
        <v>42</v>
      </c>
      <c r="L166" s="128"/>
      <c r="M166" s="129">
        <v>30000</v>
      </c>
      <c r="N166" s="123"/>
      <c r="O166" s="130">
        <v>6600</v>
      </c>
      <c r="P166" s="129"/>
      <c r="Q166" s="129"/>
      <c r="R166" s="129"/>
      <c r="S166" s="129"/>
      <c r="T166" s="129"/>
      <c r="U166" s="132">
        <v>6</v>
      </c>
      <c r="V166" s="129"/>
    </row>
    <row r="167" spans="1:22" ht="16">
      <c r="A167" s="122"/>
      <c r="B167" s="855" t="s">
        <v>779</v>
      </c>
      <c r="C167" s="855"/>
      <c r="D167" s="128" t="s">
        <v>566</v>
      </c>
      <c r="E167" s="129">
        <v>350</v>
      </c>
      <c r="F167" s="128"/>
      <c r="G167" s="130">
        <v>77</v>
      </c>
      <c r="H167" s="131"/>
      <c r="I167" s="130">
        <v>52.5</v>
      </c>
      <c r="J167" s="128"/>
      <c r="K167" s="130">
        <v>24.5</v>
      </c>
      <c r="L167" s="128"/>
      <c r="M167" s="129">
        <v>17500</v>
      </c>
      <c r="N167" s="123"/>
      <c r="O167" s="130">
        <v>3850</v>
      </c>
      <c r="P167" s="129"/>
      <c r="Q167" s="129"/>
      <c r="R167" s="129"/>
      <c r="S167" s="129"/>
      <c r="T167" s="129"/>
      <c r="U167" s="132" t="s">
        <v>646</v>
      </c>
      <c r="V167" s="129"/>
    </row>
    <row r="168" spans="1:22" ht="16">
      <c r="A168" s="122"/>
      <c r="B168" s="855" t="s">
        <v>780</v>
      </c>
      <c r="C168" s="855"/>
      <c r="D168" s="128" t="s">
        <v>566</v>
      </c>
      <c r="E168" s="129">
        <v>400</v>
      </c>
      <c r="F168" s="128"/>
      <c r="G168" s="130">
        <v>88</v>
      </c>
      <c r="H168" s="131"/>
      <c r="I168" s="130">
        <v>60</v>
      </c>
      <c r="J168" s="128"/>
      <c r="K168" s="130">
        <v>28</v>
      </c>
      <c r="L168" s="128"/>
      <c r="M168" s="129">
        <v>20000</v>
      </c>
      <c r="N168" s="123"/>
      <c r="O168" s="130">
        <v>4400</v>
      </c>
      <c r="P168" s="129"/>
      <c r="Q168" s="129"/>
      <c r="R168" s="129"/>
      <c r="S168" s="129"/>
      <c r="T168" s="129"/>
      <c r="U168" s="132">
        <v>6</v>
      </c>
      <c r="V168" s="129"/>
    </row>
    <row r="169" spans="1:22" ht="16">
      <c r="A169" s="122"/>
      <c r="B169" s="855" t="s">
        <v>781</v>
      </c>
      <c r="C169" s="855"/>
      <c r="D169" s="128" t="s">
        <v>566</v>
      </c>
      <c r="E169" s="129">
        <v>150</v>
      </c>
      <c r="F169" s="128"/>
      <c r="G169" s="130">
        <v>33</v>
      </c>
      <c r="H169" s="131"/>
      <c r="I169" s="130">
        <v>22.5</v>
      </c>
      <c r="J169" s="128"/>
      <c r="K169" s="130">
        <v>10.5</v>
      </c>
      <c r="L169" s="128"/>
      <c r="M169" s="129">
        <v>7500</v>
      </c>
      <c r="N169" s="123"/>
      <c r="O169" s="130">
        <v>1650</v>
      </c>
      <c r="P169" s="129"/>
      <c r="Q169" s="129"/>
      <c r="R169" s="129"/>
      <c r="S169" s="129"/>
      <c r="T169" s="129"/>
      <c r="U169" s="132" t="s">
        <v>647</v>
      </c>
      <c r="V169" s="129"/>
    </row>
    <row r="170" spans="1:22" ht="17" thickBot="1">
      <c r="A170" s="122"/>
      <c r="B170" s="495" t="s">
        <v>566</v>
      </c>
      <c r="C170" s="495"/>
      <c r="D170" s="128"/>
      <c r="E170" s="129"/>
      <c r="F170" s="128"/>
      <c r="G170" s="130"/>
      <c r="H170" s="131"/>
      <c r="I170" s="130"/>
      <c r="J170" s="128"/>
      <c r="K170" s="130"/>
      <c r="L170" s="128"/>
      <c r="M170" s="129"/>
      <c r="N170" s="123"/>
      <c r="O170" s="130"/>
      <c r="P170" s="129"/>
      <c r="Q170" s="129"/>
      <c r="R170" s="129"/>
      <c r="S170" s="129"/>
      <c r="T170" s="129"/>
      <c r="U170" s="132"/>
      <c r="V170" s="129"/>
    </row>
    <row r="171" spans="1:22" ht="57" thickBot="1">
      <c r="A171" s="122"/>
      <c r="B171" s="109" t="s">
        <v>566</v>
      </c>
      <c r="C171" s="109" t="s">
        <v>566</v>
      </c>
      <c r="D171" s="128"/>
      <c r="E171" s="116" t="s">
        <v>648</v>
      </c>
      <c r="F171" s="115"/>
      <c r="G171" s="117" t="s">
        <v>649</v>
      </c>
      <c r="H171" s="118"/>
      <c r="I171" s="117" t="s">
        <v>650</v>
      </c>
      <c r="J171" s="115"/>
      <c r="K171" s="117" t="s">
        <v>651</v>
      </c>
      <c r="L171" s="115"/>
      <c r="M171" s="116" t="s">
        <v>613</v>
      </c>
      <c r="N171" s="119"/>
      <c r="O171" s="117" t="s">
        <v>649</v>
      </c>
      <c r="P171" s="123"/>
      <c r="Q171" s="130"/>
      <c r="R171" s="123"/>
      <c r="S171" s="130"/>
      <c r="T171" s="130"/>
      <c r="U171" s="117" t="s">
        <v>614</v>
      </c>
      <c r="V171" s="130"/>
    </row>
    <row r="172" spans="1:22" ht="16">
      <c r="A172" s="176"/>
      <c r="B172" s="144" t="s">
        <v>782</v>
      </c>
      <c r="C172" s="109"/>
      <c r="D172" s="128"/>
      <c r="E172" s="129"/>
      <c r="F172" s="129"/>
      <c r="G172" s="130"/>
      <c r="H172" s="131"/>
      <c r="I172" s="130"/>
      <c r="J172" s="128"/>
      <c r="K172" s="130"/>
      <c r="L172" s="128"/>
      <c r="M172" s="129"/>
      <c r="N172" s="129"/>
      <c r="O172" s="130"/>
      <c r="P172" s="123"/>
      <c r="Q172" s="130"/>
      <c r="R172" s="123"/>
      <c r="S172" s="130"/>
      <c r="T172" s="130"/>
      <c r="U172" s="132"/>
      <c r="V172" s="130"/>
    </row>
    <row r="173" spans="1:22" ht="16">
      <c r="A173" s="176"/>
      <c r="B173" s="109" t="s">
        <v>783</v>
      </c>
      <c r="C173" s="109"/>
      <c r="D173" s="128" t="s">
        <v>566</v>
      </c>
      <c r="E173" s="129">
        <v>460</v>
      </c>
      <c r="F173" s="128"/>
      <c r="G173" s="130">
        <v>101.2</v>
      </c>
      <c r="H173" s="131"/>
      <c r="I173" s="130">
        <v>172.5</v>
      </c>
      <c r="J173" s="128"/>
      <c r="K173" s="130">
        <v>80.5</v>
      </c>
      <c r="L173" s="128"/>
      <c r="M173" s="129">
        <v>23000</v>
      </c>
      <c r="N173" s="123"/>
      <c r="O173" s="130">
        <v>5060</v>
      </c>
      <c r="P173" s="129"/>
      <c r="Q173" s="130" t="e">
        <v>#REF!</v>
      </c>
      <c r="R173" s="123"/>
      <c r="S173" s="130" t="e">
        <v>#REF!</v>
      </c>
      <c r="T173" s="130"/>
      <c r="U173" s="132">
        <v>11</v>
      </c>
      <c r="V173" s="130"/>
    </row>
    <row r="174" spans="1:22" ht="16">
      <c r="A174" s="122"/>
      <c r="B174" s="109" t="s">
        <v>784</v>
      </c>
      <c r="C174" s="109"/>
      <c r="D174" s="128"/>
      <c r="E174" s="129">
        <v>460</v>
      </c>
      <c r="F174" s="128"/>
      <c r="G174" s="130">
        <v>101.2</v>
      </c>
      <c r="H174" s="131"/>
      <c r="I174" s="130">
        <v>0</v>
      </c>
      <c r="J174" s="128"/>
      <c r="K174" s="130">
        <v>0</v>
      </c>
      <c r="L174" s="128"/>
      <c r="M174" s="129">
        <v>23000</v>
      </c>
      <c r="N174" s="123"/>
      <c r="O174" s="130">
        <v>5060</v>
      </c>
      <c r="P174" s="123"/>
      <c r="Q174" s="130"/>
      <c r="R174" s="123"/>
      <c r="S174" s="130"/>
      <c r="T174" s="130"/>
      <c r="U174" s="132">
        <v>11</v>
      </c>
      <c r="V174" s="130"/>
    </row>
    <row r="175" spans="1:22" ht="16">
      <c r="A175" s="176"/>
      <c r="B175" s="109" t="s">
        <v>785</v>
      </c>
      <c r="C175" s="109"/>
      <c r="D175" s="128"/>
      <c r="E175" s="129">
        <v>1200</v>
      </c>
      <c r="F175" s="128"/>
      <c r="G175" s="130">
        <v>264</v>
      </c>
      <c r="H175" s="131"/>
      <c r="I175" s="130">
        <v>0</v>
      </c>
      <c r="J175" s="128"/>
      <c r="K175" s="130">
        <v>0</v>
      </c>
      <c r="L175" s="128"/>
      <c r="M175" s="129">
        <v>57500</v>
      </c>
      <c r="N175" s="123"/>
      <c r="O175" s="130">
        <v>12650</v>
      </c>
      <c r="P175" s="123"/>
      <c r="Q175" s="130"/>
      <c r="R175" s="123"/>
      <c r="S175" s="130"/>
      <c r="T175" s="130"/>
      <c r="U175" s="132">
        <v>11</v>
      </c>
      <c r="V175" s="130"/>
    </row>
    <row r="176" spans="1:22" ht="16">
      <c r="A176" s="176"/>
      <c r="B176" s="109" t="s">
        <v>786</v>
      </c>
      <c r="C176" s="109"/>
      <c r="D176" s="128"/>
      <c r="E176" s="129">
        <v>1150</v>
      </c>
      <c r="F176" s="128"/>
      <c r="G176" s="130">
        <v>253</v>
      </c>
      <c r="H176" s="131"/>
      <c r="I176" s="130" t="e">
        <v>#REF!</v>
      </c>
      <c r="J176" s="128"/>
      <c r="K176" s="130" t="e">
        <v>#REF!</v>
      </c>
      <c r="L176" s="128"/>
      <c r="M176" s="129">
        <v>57500</v>
      </c>
      <c r="N176" s="123"/>
      <c r="O176" s="130">
        <v>12650</v>
      </c>
      <c r="P176" s="123"/>
      <c r="Q176" s="130"/>
      <c r="R176" s="123"/>
      <c r="S176" s="130"/>
      <c r="T176" s="130"/>
      <c r="U176" s="132">
        <v>11</v>
      </c>
      <c r="V176" s="130"/>
    </row>
    <row r="177" spans="1:22" ht="16">
      <c r="A177" s="176" t="s">
        <v>566</v>
      </c>
      <c r="B177" s="109" t="s">
        <v>787</v>
      </c>
      <c r="C177" s="109"/>
      <c r="D177" s="128"/>
      <c r="E177" s="129">
        <v>200</v>
      </c>
      <c r="F177" s="128"/>
      <c r="G177" s="130">
        <v>44</v>
      </c>
      <c r="H177" s="131"/>
      <c r="I177" s="130">
        <v>75</v>
      </c>
      <c r="J177" s="128"/>
      <c r="K177" s="130">
        <v>35</v>
      </c>
      <c r="L177" s="128"/>
      <c r="M177" s="129">
        <v>10000</v>
      </c>
      <c r="N177" s="123"/>
      <c r="O177" s="130">
        <v>2200</v>
      </c>
      <c r="P177" s="123"/>
      <c r="Q177" s="130"/>
      <c r="R177" s="123"/>
      <c r="S177" s="130"/>
      <c r="T177" s="130"/>
      <c r="U177" s="132">
        <v>11</v>
      </c>
      <c r="V177" s="130"/>
    </row>
    <row r="178" spans="1:22" ht="16">
      <c r="A178" s="176"/>
      <c r="B178" s="109"/>
      <c r="C178" s="109"/>
      <c r="D178" s="128"/>
      <c r="E178" s="129" t="s">
        <v>566</v>
      </c>
      <c r="F178" s="128"/>
      <c r="G178" s="130"/>
      <c r="H178" s="131"/>
      <c r="I178" s="130"/>
      <c r="J178" s="128"/>
      <c r="K178" s="130"/>
      <c r="L178" s="128"/>
      <c r="M178" s="129"/>
      <c r="N178" s="123"/>
      <c r="O178" s="130"/>
      <c r="P178" s="123"/>
      <c r="Q178" s="130"/>
      <c r="R178" s="123"/>
      <c r="S178" s="130"/>
      <c r="T178" s="130"/>
      <c r="U178" s="130"/>
      <c r="V178" s="130"/>
    </row>
    <row r="179" spans="1:22" ht="16">
      <c r="A179" s="176" t="s">
        <v>566</v>
      </c>
      <c r="B179" s="127" t="s">
        <v>788</v>
      </c>
      <c r="C179" s="109"/>
      <c r="D179" s="128"/>
      <c r="E179" s="129"/>
      <c r="F179" s="128"/>
      <c r="G179" s="130"/>
      <c r="H179" s="131"/>
      <c r="I179" s="130"/>
      <c r="J179" s="128"/>
      <c r="K179" s="130"/>
      <c r="L179" s="128"/>
      <c r="M179" s="129"/>
      <c r="N179" s="123"/>
      <c r="O179" s="130"/>
      <c r="P179" s="123"/>
      <c r="Q179" s="130"/>
      <c r="R179" s="123"/>
      <c r="S179" s="130"/>
      <c r="T179" s="130"/>
      <c r="U179" s="132"/>
      <c r="V179" s="130"/>
    </row>
    <row r="180" spans="1:22" ht="16">
      <c r="A180" s="176" t="s">
        <v>566</v>
      </c>
      <c r="B180" s="109" t="s">
        <v>789</v>
      </c>
      <c r="C180" s="109"/>
      <c r="D180" s="128"/>
      <c r="E180" s="129">
        <v>400</v>
      </c>
      <c r="F180" s="128"/>
      <c r="G180" s="130">
        <v>88</v>
      </c>
      <c r="H180" s="131"/>
      <c r="I180" s="130">
        <v>22.5</v>
      </c>
      <c r="J180" s="128"/>
      <c r="K180" s="130">
        <v>10.5</v>
      </c>
      <c r="L180" s="128"/>
      <c r="M180" s="129">
        <v>20000</v>
      </c>
      <c r="N180" s="123"/>
      <c r="O180" s="130">
        <v>4400</v>
      </c>
      <c r="P180" s="123"/>
      <c r="Q180" s="130"/>
      <c r="R180" s="123"/>
      <c r="S180" s="130"/>
      <c r="T180" s="130"/>
      <c r="U180" s="132" t="s">
        <v>2545</v>
      </c>
      <c r="V180" s="130"/>
    </row>
    <row r="181" spans="1:22" ht="16">
      <c r="A181" s="176" t="s">
        <v>566</v>
      </c>
      <c r="B181" s="109" t="s">
        <v>790</v>
      </c>
      <c r="C181" s="109"/>
      <c r="D181" s="128"/>
      <c r="E181" s="129">
        <v>400</v>
      </c>
      <c r="F181" s="128"/>
      <c r="G181" s="130">
        <v>88</v>
      </c>
      <c r="H181" s="131"/>
      <c r="I181" s="130">
        <v>30.75</v>
      </c>
      <c r="J181" s="128"/>
      <c r="K181" s="130">
        <v>14.35</v>
      </c>
      <c r="L181" s="128"/>
      <c r="M181" s="129">
        <v>20000</v>
      </c>
      <c r="N181" s="123"/>
      <c r="O181" s="130">
        <v>4400</v>
      </c>
      <c r="P181" s="123"/>
      <c r="Q181" s="130"/>
      <c r="R181" s="123"/>
      <c r="S181" s="130"/>
      <c r="T181" s="130"/>
      <c r="U181" s="132" t="s">
        <v>2545</v>
      </c>
      <c r="V181" s="130"/>
    </row>
    <row r="182" spans="1:22" ht="16">
      <c r="A182" s="176" t="s">
        <v>566</v>
      </c>
      <c r="B182" s="109"/>
      <c r="C182" s="109"/>
      <c r="D182" s="128"/>
      <c r="E182" s="129"/>
      <c r="F182" s="128"/>
      <c r="G182" s="130"/>
      <c r="H182" s="131"/>
      <c r="I182" s="130"/>
      <c r="J182" s="128"/>
      <c r="K182" s="130"/>
      <c r="L182" s="128"/>
      <c r="M182" s="129"/>
      <c r="N182" s="123"/>
      <c r="O182" s="130"/>
      <c r="P182" s="123"/>
      <c r="Q182" s="130"/>
      <c r="R182" s="123"/>
      <c r="S182" s="130"/>
      <c r="T182" s="130"/>
      <c r="U182" s="132"/>
      <c r="V182" s="130"/>
    </row>
    <row r="183" spans="1:22" ht="16">
      <c r="A183" s="176" t="s">
        <v>566</v>
      </c>
      <c r="B183" s="127" t="s">
        <v>791</v>
      </c>
      <c r="C183" s="109"/>
      <c r="D183" s="128"/>
      <c r="E183" s="129"/>
      <c r="F183" s="128"/>
      <c r="G183" s="130"/>
      <c r="H183" s="131"/>
      <c r="I183" s="130"/>
      <c r="J183" s="128"/>
      <c r="K183" s="130"/>
      <c r="L183" s="128"/>
      <c r="M183" s="129"/>
      <c r="N183" s="123"/>
      <c r="O183" s="130"/>
      <c r="P183" s="123"/>
      <c r="Q183" s="130"/>
      <c r="R183" s="123"/>
      <c r="S183" s="130"/>
      <c r="T183" s="130"/>
      <c r="U183" s="132"/>
      <c r="V183" s="130"/>
    </row>
    <row r="184" spans="1:22" ht="16">
      <c r="A184" s="176" t="s">
        <v>566</v>
      </c>
      <c r="B184" s="109" t="s">
        <v>792</v>
      </c>
      <c r="C184" s="109"/>
      <c r="D184" s="128"/>
      <c r="E184" s="129">
        <v>500</v>
      </c>
      <c r="F184" s="128"/>
      <c r="G184" s="130">
        <v>110</v>
      </c>
      <c r="H184" s="131"/>
      <c r="I184" s="130">
        <v>52.5</v>
      </c>
      <c r="J184" s="128"/>
      <c r="K184" s="130">
        <v>24.5</v>
      </c>
      <c r="L184" s="128"/>
      <c r="M184" s="129">
        <v>25000</v>
      </c>
      <c r="N184" s="123"/>
      <c r="O184" s="130">
        <v>5500</v>
      </c>
      <c r="P184" s="123"/>
      <c r="Q184" s="130"/>
      <c r="R184" s="123"/>
      <c r="S184" s="130"/>
      <c r="T184" s="130"/>
      <c r="U184" s="132">
        <v>97</v>
      </c>
      <c r="V184" s="130"/>
    </row>
    <row r="185" spans="1:22" ht="16">
      <c r="A185" s="176"/>
      <c r="B185" s="109" t="s">
        <v>793</v>
      </c>
      <c r="C185" s="109"/>
      <c r="D185" s="128"/>
      <c r="E185" s="129">
        <v>500</v>
      </c>
      <c r="F185" s="128"/>
      <c r="G185" s="130">
        <v>110</v>
      </c>
      <c r="H185" s="131"/>
      <c r="I185" s="130">
        <v>52.5</v>
      </c>
      <c r="J185" s="128"/>
      <c r="K185" s="130">
        <v>24.5</v>
      </c>
      <c r="L185" s="128"/>
      <c r="M185" s="129">
        <v>25000</v>
      </c>
      <c r="N185" s="123"/>
      <c r="O185" s="130">
        <v>5500</v>
      </c>
      <c r="P185" s="123"/>
      <c r="Q185" s="130"/>
      <c r="R185" s="123"/>
      <c r="S185" s="130"/>
      <c r="T185" s="130"/>
      <c r="U185" s="132">
        <v>97</v>
      </c>
      <c r="V185" s="130"/>
    </row>
    <row r="186" spans="1:22" ht="16">
      <c r="A186" s="176"/>
      <c r="B186" s="109"/>
      <c r="C186" s="109"/>
      <c r="D186" s="128"/>
      <c r="E186" s="129"/>
      <c r="F186" s="128"/>
      <c r="G186" s="130"/>
      <c r="H186" s="131"/>
      <c r="I186" s="130"/>
      <c r="J186" s="128"/>
      <c r="K186" s="130"/>
      <c r="L186" s="128"/>
      <c r="M186" s="129"/>
      <c r="N186" s="123"/>
      <c r="O186" s="130"/>
      <c r="P186" s="123"/>
      <c r="Q186" s="130"/>
      <c r="R186" s="123"/>
      <c r="S186" s="130"/>
      <c r="T186" s="130"/>
      <c r="U186" s="130"/>
      <c r="V186" s="130"/>
    </row>
    <row r="187" spans="1:22" ht="16">
      <c r="A187" s="176"/>
      <c r="B187" s="127" t="s">
        <v>794</v>
      </c>
      <c r="C187" s="148"/>
      <c r="D187" s="149"/>
      <c r="E187" s="129" t="s">
        <v>566</v>
      </c>
      <c r="F187" s="128"/>
      <c r="G187" s="130"/>
      <c r="H187" s="131"/>
      <c r="I187" s="130"/>
      <c r="J187" s="128"/>
      <c r="K187" s="130"/>
      <c r="L187" s="128"/>
      <c r="M187" s="129"/>
      <c r="N187" s="123"/>
      <c r="O187" s="130"/>
      <c r="P187" s="123"/>
      <c r="Q187" s="130"/>
      <c r="R187" s="123"/>
      <c r="S187" s="130"/>
      <c r="T187" s="130"/>
      <c r="U187" s="130"/>
      <c r="V187" s="130"/>
    </row>
    <row r="188" spans="1:22" ht="16">
      <c r="A188" s="176" t="s">
        <v>566</v>
      </c>
      <c r="B188" s="855" t="s">
        <v>795</v>
      </c>
      <c r="C188" s="855"/>
      <c r="D188" s="128"/>
      <c r="E188" s="129">
        <v>240</v>
      </c>
      <c r="F188" s="128"/>
      <c r="G188" s="130">
        <v>52.8</v>
      </c>
      <c r="H188" s="131"/>
      <c r="I188" s="130">
        <v>10.5</v>
      </c>
      <c r="J188" s="128"/>
      <c r="K188" s="130">
        <v>4.9000000000000004</v>
      </c>
      <c r="L188" s="128"/>
      <c r="M188" s="129">
        <v>12000</v>
      </c>
      <c r="N188" s="123"/>
      <c r="O188" s="130">
        <v>2640</v>
      </c>
      <c r="P188" s="123"/>
      <c r="Q188" s="130"/>
      <c r="R188" s="123"/>
      <c r="S188" s="130"/>
      <c r="T188" s="130"/>
      <c r="U188" s="132">
        <v>9</v>
      </c>
      <c r="V188" s="130"/>
    </row>
    <row r="189" spans="1:22" ht="16">
      <c r="A189" s="176"/>
      <c r="B189" s="109" t="s">
        <v>796</v>
      </c>
      <c r="C189" s="177" t="s">
        <v>566</v>
      </c>
      <c r="D189" s="128"/>
      <c r="E189" s="129">
        <v>500</v>
      </c>
      <c r="F189" s="128"/>
      <c r="G189" s="130">
        <v>110</v>
      </c>
      <c r="H189" s="131"/>
      <c r="I189" s="130">
        <v>0</v>
      </c>
      <c r="J189" s="128"/>
      <c r="K189" s="130">
        <v>0</v>
      </c>
      <c r="L189" s="128"/>
      <c r="M189" s="129">
        <v>25000</v>
      </c>
      <c r="N189" s="123"/>
      <c r="O189" s="130">
        <v>5500</v>
      </c>
      <c r="P189" s="123"/>
      <c r="Q189" s="130"/>
      <c r="R189" s="123"/>
      <c r="S189" s="130"/>
      <c r="T189" s="130"/>
      <c r="U189" s="132">
        <v>9</v>
      </c>
      <c r="V189" s="130"/>
    </row>
    <row r="190" spans="1:22" ht="16">
      <c r="A190" s="147"/>
      <c r="B190" s="855" t="s">
        <v>797</v>
      </c>
      <c r="C190" s="855"/>
      <c r="D190" s="128"/>
      <c r="E190" s="129">
        <v>70</v>
      </c>
      <c r="F190" s="128"/>
      <c r="G190" s="130">
        <v>15.4</v>
      </c>
      <c r="H190" s="131"/>
      <c r="I190" s="130">
        <v>0</v>
      </c>
      <c r="J190" s="128"/>
      <c r="K190" s="130">
        <v>0</v>
      </c>
      <c r="L190" s="128"/>
      <c r="M190" s="129">
        <v>3500</v>
      </c>
      <c r="N190" s="123"/>
      <c r="O190" s="130">
        <v>770</v>
      </c>
      <c r="P190" s="123"/>
      <c r="Q190" s="130"/>
      <c r="R190" s="123"/>
      <c r="S190" s="130"/>
      <c r="T190" s="130"/>
      <c r="U190" s="132">
        <v>9</v>
      </c>
      <c r="V190" s="130"/>
    </row>
    <row r="191" spans="1:22" ht="16">
      <c r="A191" s="147" t="s">
        <v>566</v>
      </c>
      <c r="B191" s="855" t="s">
        <v>798</v>
      </c>
      <c r="C191" s="855"/>
      <c r="D191" s="128"/>
      <c r="E191" s="129">
        <v>70</v>
      </c>
      <c r="F191" s="128"/>
      <c r="G191" s="130">
        <v>15.4</v>
      </c>
      <c r="H191" s="131"/>
      <c r="I191" s="130">
        <v>52.5</v>
      </c>
      <c r="J191" s="128"/>
      <c r="K191" s="130">
        <v>24.5</v>
      </c>
      <c r="L191" s="128"/>
      <c r="M191" s="129">
        <v>3500</v>
      </c>
      <c r="N191" s="123"/>
      <c r="O191" s="130">
        <v>770</v>
      </c>
      <c r="P191" s="123"/>
      <c r="Q191" s="130"/>
      <c r="R191" s="123"/>
      <c r="S191" s="130"/>
      <c r="T191" s="130"/>
      <c r="U191" s="132">
        <v>9</v>
      </c>
      <c r="V191" s="130"/>
    </row>
    <row r="192" spans="1:22" ht="16">
      <c r="A192" s="147"/>
      <c r="B192" s="855" t="s">
        <v>799</v>
      </c>
      <c r="C192" s="855"/>
      <c r="D192" s="128"/>
      <c r="E192" s="129">
        <v>150</v>
      </c>
      <c r="F192" s="128"/>
      <c r="G192" s="130">
        <v>33</v>
      </c>
      <c r="H192" s="131"/>
      <c r="I192" s="130">
        <v>52.5</v>
      </c>
      <c r="J192" s="128"/>
      <c r="K192" s="130">
        <v>24.5</v>
      </c>
      <c r="L192" s="128"/>
      <c r="M192" s="129">
        <v>7500</v>
      </c>
      <c r="N192" s="123"/>
      <c r="O192" s="130">
        <v>1650</v>
      </c>
      <c r="P192" s="123"/>
      <c r="Q192" s="130"/>
      <c r="R192" s="123"/>
      <c r="S192" s="130"/>
      <c r="T192" s="130"/>
      <c r="U192" s="132">
        <v>9</v>
      </c>
      <c r="V192" s="130"/>
    </row>
    <row r="193" spans="1:22" ht="16">
      <c r="A193" s="147"/>
      <c r="B193" s="855" t="s">
        <v>800</v>
      </c>
      <c r="C193" s="855"/>
      <c r="D193" s="128"/>
      <c r="E193" s="129">
        <v>205</v>
      </c>
      <c r="F193" s="128"/>
      <c r="G193" s="130">
        <v>45.1</v>
      </c>
      <c r="H193" s="131"/>
      <c r="I193" s="130">
        <v>0</v>
      </c>
      <c r="J193" s="128"/>
      <c r="K193" s="130">
        <v>0</v>
      </c>
      <c r="L193" s="128"/>
      <c r="M193" s="129">
        <v>6900</v>
      </c>
      <c r="N193" s="123"/>
      <c r="O193" s="130">
        <v>1518</v>
      </c>
      <c r="P193" s="123"/>
      <c r="Q193" s="130"/>
      <c r="R193" s="123"/>
      <c r="S193" s="130"/>
      <c r="T193" s="130"/>
      <c r="U193" s="132">
        <v>9</v>
      </c>
      <c r="V193" s="130"/>
    </row>
    <row r="194" spans="1:22" ht="16">
      <c r="A194" s="147"/>
      <c r="B194" s="148" t="s">
        <v>566</v>
      </c>
      <c r="C194" s="148"/>
      <c r="D194" s="149"/>
      <c r="E194" s="178" t="s">
        <v>566</v>
      </c>
      <c r="F194" s="149"/>
      <c r="G194" s="146"/>
      <c r="H194" s="179"/>
      <c r="I194" s="146"/>
      <c r="J194" s="149"/>
      <c r="K194" s="146"/>
      <c r="L194" s="149"/>
      <c r="M194" s="178"/>
      <c r="N194" s="145"/>
      <c r="O194" s="146"/>
      <c r="P194" s="178"/>
      <c r="Q194" s="178"/>
      <c r="R194" s="178"/>
      <c r="S194" s="178"/>
      <c r="T194" s="178"/>
      <c r="U194" s="178"/>
      <c r="V194" s="178"/>
    </row>
    <row r="195" spans="1:22" ht="16">
      <c r="A195" s="147"/>
      <c r="B195" s="148"/>
      <c r="C195" s="148"/>
      <c r="D195" s="149"/>
      <c r="E195" s="178"/>
      <c r="F195" s="149"/>
      <c r="G195" s="146"/>
      <c r="H195" s="179"/>
      <c r="I195" s="146"/>
      <c r="J195" s="149"/>
      <c r="K195" s="146"/>
      <c r="L195" s="149"/>
      <c r="M195" s="178"/>
      <c r="N195" s="145"/>
      <c r="O195" s="146"/>
      <c r="P195" s="178"/>
      <c r="Q195" s="178"/>
      <c r="R195" s="178"/>
      <c r="S195" s="178"/>
      <c r="T195" s="178"/>
      <c r="U195" s="178"/>
      <c r="V195" s="178"/>
    </row>
    <row r="196" spans="1:22" ht="16">
      <c r="A196" s="147"/>
      <c r="B196" s="148"/>
      <c r="C196" s="148"/>
      <c r="D196" s="149"/>
      <c r="E196" s="178"/>
      <c r="F196" s="149"/>
      <c r="G196" s="146"/>
      <c r="H196" s="179"/>
      <c r="I196" s="146"/>
      <c r="J196" s="149"/>
      <c r="K196" s="146"/>
      <c r="L196" s="149"/>
      <c r="M196" s="178"/>
      <c r="N196" s="145"/>
      <c r="O196" s="146"/>
      <c r="P196" s="178"/>
      <c r="Q196" s="178"/>
      <c r="R196" s="178"/>
      <c r="S196" s="178"/>
      <c r="T196" s="178"/>
      <c r="U196" s="178"/>
      <c r="V196" s="178"/>
    </row>
    <row r="197" spans="1:22" ht="16">
      <c r="A197" s="147"/>
      <c r="B197" s="148"/>
      <c r="C197" s="148"/>
      <c r="D197" s="149"/>
      <c r="E197" s="178"/>
      <c r="F197" s="149"/>
      <c r="G197" s="146"/>
      <c r="H197" s="179"/>
      <c r="I197" s="146"/>
      <c r="J197" s="149"/>
      <c r="K197" s="146"/>
      <c r="L197" s="149"/>
      <c r="M197" s="178"/>
      <c r="N197" s="145"/>
      <c r="O197" s="146"/>
      <c r="P197" s="178"/>
      <c r="Q197" s="178"/>
      <c r="R197" s="178"/>
      <c r="S197" s="178"/>
      <c r="T197" s="178"/>
      <c r="U197" s="178"/>
      <c r="V197" s="178"/>
    </row>
    <row r="198" spans="1:22" ht="16">
      <c r="A198" s="122"/>
      <c r="B198" s="109"/>
      <c r="C198" s="109"/>
      <c r="D198" s="160"/>
      <c r="E198" s="129" t="s">
        <v>566</v>
      </c>
      <c r="F198" s="161"/>
      <c r="G198" s="130"/>
      <c r="H198" s="167"/>
      <c r="I198" s="130"/>
      <c r="J198" s="162"/>
      <c r="K198" s="130"/>
      <c r="L198" s="160"/>
      <c r="M198" s="129"/>
      <c r="N198" s="161"/>
      <c r="O198" s="130"/>
      <c r="P198" s="123"/>
      <c r="Q198" s="130"/>
      <c r="R198" s="123"/>
      <c r="S198" s="130"/>
      <c r="T198" s="130"/>
      <c r="U198" s="130"/>
      <c r="V198" s="130"/>
    </row>
    <row r="199" spans="1:22" ht="16">
      <c r="A199" s="122"/>
      <c r="B199" s="109" t="s">
        <v>566</v>
      </c>
      <c r="C199" s="109"/>
      <c r="D199" s="160"/>
      <c r="E199" s="129"/>
      <c r="F199" s="161"/>
      <c r="G199" s="130"/>
      <c r="H199" s="167"/>
      <c r="I199" s="130"/>
      <c r="J199" s="162"/>
      <c r="K199" s="130"/>
      <c r="L199" s="160"/>
      <c r="M199" s="129"/>
      <c r="N199" s="161"/>
      <c r="O199" s="130"/>
      <c r="P199" s="123"/>
      <c r="Q199" s="130"/>
      <c r="R199" s="123"/>
      <c r="S199" s="130"/>
      <c r="T199" s="130"/>
      <c r="U199" s="130"/>
      <c r="V199" s="130"/>
    </row>
    <row r="200" spans="1:22" ht="16">
      <c r="A200" s="122"/>
      <c r="B200" s="109"/>
      <c r="C200" s="109"/>
      <c r="D200" s="160"/>
      <c r="E200" s="129"/>
      <c r="F200" s="161"/>
      <c r="G200" s="130"/>
      <c r="H200" s="167"/>
      <c r="I200" s="130"/>
      <c r="J200" s="162"/>
      <c r="K200" s="130"/>
      <c r="L200" s="160"/>
      <c r="M200" s="129"/>
      <c r="N200" s="161"/>
      <c r="O200" s="130"/>
      <c r="P200" s="123"/>
      <c r="Q200" s="130"/>
      <c r="R200" s="123"/>
      <c r="S200" s="130"/>
      <c r="T200" s="130"/>
      <c r="U200" s="130"/>
      <c r="V200" s="130"/>
    </row>
    <row r="201" spans="1:22" ht="16">
      <c r="A201" s="122"/>
      <c r="B201" s="168" t="s">
        <v>633</v>
      </c>
      <c r="C201" s="337"/>
      <c r="D201" s="337"/>
      <c r="E201" s="337"/>
      <c r="F201" s="337"/>
      <c r="G201" s="337"/>
      <c r="H201" s="337"/>
      <c r="I201" s="337"/>
      <c r="J201" s="337"/>
      <c r="K201" s="337"/>
      <c r="L201" s="337"/>
      <c r="M201" s="337"/>
      <c r="N201" s="337"/>
      <c r="O201" s="337"/>
      <c r="P201" s="129"/>
      <c r="Q201" s="129"/>
      <c r="R201" s="129"/>
      <c r="S201" s="129"/>
      <c r="T201" s="129"/>
      <c r="U201" s="107" t="s">
        <v>683</v>
      </c>
      <c r="V201" s="129"/>
    </row>
    <row r="202" spans="1:22" ht="17" thickBot="1">
      <c r="A202" s="169"/>
      <c r="B202" s="854"/>
      <c r="C202" s="854"/>
      <c r="D202" s="854"/>
      <c r="E202" s="854"/>
      <c r="F202" s="854"/>
      <c r="G202" s="854"/>
      <c r="H202" s="854"/>
      <c r="I202" s="854"/>
      <c r="J202" s="854"/>
      <c r="K202" s="854"/>
      <c r="L202" s="854"/>
      <c r="M202" s="854"/>
      <c r="N202" s="854"/>
      <c r="O202" s="854"/>
      <c r="P202" s="854"/>
      <c r="Q202" s="854"/>
      <c r="R202" s="854"/>
      <c r="S202" s="854"/>
      <c r="T202" s="854"/>
      <c r="U202" s="854"/>
      <c r="V202" s="315"/>
    </row>
    <row r="203" spans="1:22" ht="57" thickBot="1">
      <c r="A203" s="122"/>
      <c r="B203" s="109"/>
      <c r="C203" s="109"/>
      <c r="D203" s="128"/>
      <c r="E203" s="116" t="s">
        <v>648</v>
      </c>
      <c r="F203" s="115"/>
      <c r="G203" s="117" t="s">
        <v>649</v>
      </c>
      <c r="H203" s="118"/>
      <c r="I203" s="117" t="s">
        <v>650</v>
      </c>
      <c r="J203" s="115"/>
      <c r="K203" s="117" t="s">
        <v>651</v>
      </c>
      <c r="L203" s="115"/>
      <c r="M203" s="116" t="s">
        <v>613</v>
      </c>
      <c r="N203" s="119"/>
      <c r="O203" s="117" t="s">
        <v>649</v>
      </c>
      <c r="P203" s="123"/>
      <c r="Q203" s="130"/>
      <c r="R203" s="123"/>
      <c r="S203" s="130"/>
      <c r="T203" s="130"/>
      <c r="U203" s="117" t="s">
        <v>614</v>
      </c>
      <c r="V203" s="130"/>
    </row>
    <row r="204" spans="1:22" ht="16">
      <c r="A204" s="176"/>
      <c r="B204" s="144" t="s">
        <v>801</v>
      </c>
      <c r="C204" s="109"/>
      <c r="D204" s="128"/>
      <c r="E204" s="129"/>
      <c r="F204" s="128"/>
      <c r="G204" s="130"/>
      <c r="H204" s="131"/>
      <c r="I204" s="130"/>
      <c r="J204" s="128"/>
      <c r="K204" s="130"/>
      <c r="L204" s="128"/>
      <c r="M204" s="129"/>
      <c r="N204" s="123"/>
      <c r="O204" s="130"/>
      <c r="P204" s="123"/>
      <c r="Q204" s="130"/>
      <c r="R204" s="123"/>
      <c r="S204" s="130"/>
      <c r="T204" s="130"/>
      <c r="U204" s="130"/>
      <c r="V204" s="130"/>
    </row>
    <row r="205" spans="1:22" ht="16">
      <c r="A205" s="176"/>
      <c r="B205" s="104" t="s">
        <v>802</v>
      </c>
      <c r="C205" s="109"/>
      <c r="D205" s="128"/>
      <c r="E205" s="129">
        <v>350</v>
      </c>
      <c r="F205" s="128"/>
      <c r="G205" s="130">
        <v>77</v>
      </c>
      <c r="H205" s="131"/>
      <c r="I205" s="130" t="e">
        <v>#REF!</v>
      </c>
      <c r="J205" s="128"/>
      <c r="K205" s="130" t="e">
        <v>#REF!</v>
      </c>
      <c r="L205" s="128"/>
      <c r="M205" s="129">
        <v>17500</v>
      </c>
      <c r="N205" s="123"/>
      <c r="O205" s="130">
        <v>3850</v>
      </c>
      <c r="P205" s="123"/>
      <c r="Q205" s="130"/>
      <c r="R205" s="123"/>
      <c r="S205" s="130"/>
      <c r="T205" s="130"/>
      <c r="U205" s="132" t="s">
        <v>652</v>
      </c>
      <c r="V205" s="130"/>
    </row>
    <row r="206" spans="1:22" ht="16">
      <c r="A206" s="176"/>
      <c r="B206" s="104" t="s">
        <v>803</v>
      </c>
      <c r="C206" s="109"/>
      <c r="D206" s="128"/>
      <c r="E206" s="129">
        <v>350</v>
      </c>
      <c r="F206" s="128"/>
      <c r="G206" s="130">
        <v>77</v>
      </c>
      <c r="H206" s="131"/>
      <c r="I206" s="130" t="e">
        <v>#REF!</v>
      </c>
      <c r="J206" s="128"/>
      <c r="K206" s="130" t="e">
        <v>#REF!</v>
      </c>
      <c r="L206" s="128"/>
      <c r="M206" s="129">
        <v>17500</v>
      </c>
      <c r="N206" s="123"/>
      <c r="O206" s="130">
        <v>3850</v>
      </c>
      <c r="P206" s="123"/>
      <c r="Q206" s="130"/>
      <c r="R206" s="123"/>
      <c r="S206" s="130"/>
      <c r="T206" s="130"/>
      <c r="U206" s="132">
        <v>1</v>
      </c>
      <c r="V206" s="130"/>
    </row>
    <row r="207" spans="1:22" ht="16">
      <c r="A207" s="176"/>
      <c r="B207" s="104" t="s">
        <v>804</v>
      </c>
      <c r="C207" s="109"/>
      <c r="D207" s="128"/>
      <c r="E207" s="129">
        <v>350</v>
      </c>
      <c r="F207" s="128"/>
      <c r="G207" s="130">
        <v>77</v>
      </c>
      <c r="H207" s="131"/>
      <c r="I207" s="130" t="e">
        <v>#REF!</v>
      </c>
      <c r="J207" s="128"/>
      <c r="K207" s="130" t="e">
        <v>#REF!</v>
      </c>
      <c r="L207" s="128"/>
      <c r="M207" s="129">
        <v>17500</v>
      </c>
      <c r="N207" s="123"/>
      <c r="O207" s="130">
        <v>3850</v>
      </c>
      <c r="P207" s="123"/>
      <c r="Q207" s="130"/>
      <c r="R207" s="123"/>
      <c r="S207" s="130"/>
      <c r="T207" s="130"/>
      <c r="U207" s="132" t="s">
        <v>653</v>
      </c>
      <c r="V207" s="130"/>
    </row>
    <row r="208" spans="1:22" ht="16">
      <c r="A208" s="176"/>
      <c r="B208" s="104" t="s">
        <v>805</v>
      </c>
      <c r="C208" s="109"/>
      <c r="D208" s="128"/>
      <c r="E208" s="129">
        <v>350</v>
      </c>
      <c r="F208" s="128"/>
      <c r="G208" s="130">
        <v>77</v>
      </c>
      <c r="H208" s="131"/>
      <c r="I208" s="130" t="e">
        <v>#REF!</v>
      </c>
      <c r="J208" s="128"/>
      <c r="K208" s="130" t="e">
        <v>#REF!</v>
      </c>
      <c r="L208" s="128"/>
      <c r="M208" s="129">
        <v>17500</v>
      </c>
      <c r="N208" s="123"/>
      <c r="O208" s="130">
        <v>3850</v>
      </c>
      <c r="P208" s="123"/>
      <c r="Q208" s="130"/>
      <c r="R208" s="123"/>
      <c r="S208" s="130"/>
      <c r="T208" s="130"/>
      <c r="U208" s="132" t="s">
        <v>653</v>
      </c>
      <c r="V208" s="130"/>
    </row>
    <row r="209" spans="1:22" ht="16">
      <c r="A209" s="176"/>
      <c r="B209" s="104" t="s">
        <v>806</v>
      </c>
      <c r="C209" s="109"/>
      <c r="D209" s="128"/>
      <c r="E209" s="129">
        <v>350</v>
      </c>
      <c r="F209" s="128"/>
      <c r="G209" s="130">
        <v>77</v>
      </c>
      <c r="H209" s="131"/>
      <c r="I209" s="130" t="e">
        <v>#REF!</v>
      </c>
      <c r="J209" s="128"/>
      <c r="K209" s="130" t="e">
        <v>#REF!</v>
      </c>
      <c r="L209" s="128"/>
      <c r="M209" s="129">
        <v>17500</v>
      </c>
      <c r="N209" s="123"/>
      <c r="O209" s="130">
        <v>3850</v>
      </c>
      <c r="P209" s="123"/>
      <c r="Q209" s="130"/>
      <c r="R209" s="123"/>
      <c r="S209" s="130"/>
      <c r="T209" s="130"/>
      <c r="U209" s="132" t="s">
        <v>653</v>
      </c>
      <c r="V209" s="130"/>
    </row>
    <row r="210" spans="1:22" ht="16">
      <c r="A210" s="176"/>
      <c r="B210" s="104" t="s">
        <v>807</v>
      </c>
      <c r="C210" s="109"/>
      <c r="D210" s="128" t="s">
        <v>566</v>
      </c>
      <c r="E210" s="129">
        <v>350</v>
      </c>
      <c r="F210" s="128"/>
      <c r="G210" s="130">
        <v>77</v>
      </c>
      <c r="H210" s="131"/>
      <c r="I210" s="130" t="e">
        <v>#REF!</v>
      </c>
      <c r="J210" s="128"/>
      <c r="K210" s="130" t="e">
        <v>#REF!</v>
      </c>
      <c r="L210" s="128"/>
      <c r="M210" s="129">
        <v>17500</v>
      </c>
      <c r="N210" s="123"/>
      <c r="O210" s="130">
        <v>3850</v>
      </c>
      <c r="P210" s="123"/>
      <c r="Q210" s="130"/>
      <c r="R210" s="123"/>
      <c r="S210" s="130"/>
      <c r="T210" s="130"/>
      <c r="U210" s="132" t="s">
        <v>654</v>
      </c>
      <c r="V210" s="130"/>
    </row>
    <row r="211" spans="1:22" ht="16">
      <c r="A211" s="176"/>
      <c r="B211" s="104" t="s">
        <v>808</v>
      </c>
      <c r="C211" s="109"/>
      <c r="D211" s="128"/>
      <c r="E211" s="129" t="s">
        <v>133</v>
      </c>
      <c r="F211" s="128"/>
      <c r="G211" s="130" t="s">
        <v>133</v>
      </c>
      <c r="H211" s="131"/>
      <c r="I211" s="130" t="e">
        <v>#REF!</v>
      </c>
      <c r="J211" s="128"/>
      <c r="K211" s="130" t="e">
        <v>#REF!</v>
      </c>
      <c r="L211" s="128"/>
      <c r="M211" s="129">
        <v>34500</v>
      </c>
      <c r="N211" s="123"/>
      <c r="O211" s="130">
        <v>7590</v>
      </c>
      <c r="P211" s="123"/>
      <c r="Q211" s="130"/>
      <c r="R211" s="123"/>
      <c r="S211" s="130"/>
      <c r="T211" s="130"/>
      <c r="U211" s="132">
        <v>4</v>
      </c>
      <c r="V211" s="130"/>
    </row>
    <row r="212" spans="1:22" ht="16">
      <c r="A212" s="176"/>
      <c r="B212" s="104" t="s">
        <v>809</v>
      </c>
      <c r="C212" s="109"/>
      <c r="D212" s="128"/>
      <c r="E212" s="129" t="s">
        <v>133</v>
      </c>
      <c r="F212" s="128"/>
      <c r="G212" s="130" t="s">
        <v>133</v>
      </c>
      <c r="H212" s="131"/>
      <c r="I212" s="130" t="e">
        <v>#REF!</v>
      </c>
      <c r="J212" s="128"/>
      <c r="K212" s="130" t="e">
        <v>#REF!</v>
      </c>
      <c r="L212" s="128"/>
      <c r="M212" s="129">
        <v>60000</v>
      </c>
      <c r="N212" s="123"/>
      <c r="O212" s="130">
        <v>13200</v>
      </c>
      <c r="P212" s="123"/>
      <c r="Q212" s="130"/>
      <c r="R212" s="123"/>
      <c r="S212" s="130"/>
      <c r="T212" s="130"/>
      <c r="U212" s="132">
        <v>44</v>
      </c>
      <c r="V212" s="130"/>
    </row>
    <row r="213" spans="1:22" ht="16">
      <c r="A213" s="176"/>
      <c r="B213" s="104" t="s">
        <v>810</v>
      </c>
      <c r="C213" s="109"/>
      <c r="D213" s="128"/>
      <c r="E213" s="129">
        <v>90</v>
      </c>
      <c r="F213" s="128"/>
      <c r="G213" s="130">
        <v>19.8</v>
      </c>
      <c r="H213" s="131"/>
      <c r="I213" s="130" t="e">
        <v>#REF!</v>
      </c>
      <c r="J213" s="128"/>
      <c r="K213" s="130" t="e">
        <v>#REF!</v>
      </c>
      <c r="L213" s="128"/>
      <c r="M213" s="129">
        <v>3000</v>
      </c>
      <c r="N213" s="123"/>
      <c r="O213" s="130">
        <v>660</v>
      </c>
      <c r="P213" s="123"/>
      <c r="Q213" s="130"/>
      <c r="R213" s="123"/>
      <c r="S213" s="130"/>
      <c r="T213" s="130"/>
      <c r="U213" s="132">
        <v>45</v>
      </c>
      <c r="V213" s="130"/>
    </row>
    <row r="214" spans="1:22" ht="16">
      <c r="A214" s="176"/>
      <c r="B214" s="104" t="s">
        <v>811</v>
      </c>
      <c r="C214" s="109"/>
      <c r="D214" s="128"/>
      <c r="E214" s="129" t="s">
        <v>133</v>
      </c>
      <c r="F214" s="128"/>
      <c r="G214" s="130" t="s">
        <v>133</v>
      </c>
      <c r="H214" s="131"/>
      <c r="I214" s="130" t="e">
        <v>#REF!</v>
      </c>
      <c r="J214" s="128"/>
      <c r="K214" s="130" t="e">
        <v>#REF!</v>
      </c>
      <c r="L214" s="128"/>
      <c r="M214" s="129">
        <v>20000</v>
      </c>
      <c r="N214" s="123"/>
      <c r="O214" s="130">
        <v>4400</v>
      </c>
      <c r="P214" s="123"/>
      <c r="Q214" s="130"/>
      <c r="R214" s="123"/>
      <c r="S214" s="130"/>
      <c r="T214" s="130"/>
      <c r="U214" s="132">
        <v>49</v>
      </c>
      <c r="V214" s="130"/>
    </row>
    <row r="215" spans="1:22" ht="16">
      <c r="A215" s="181"/>
      <c r="B215" s="104" t="s">
        <v>812</v>
      </c>
      <c r="C215" s="109"/>
      <c r="D215" s="128"/>
      <c r="E215" s="129" t="s">
        <v>133</v>
      </c>
      <c r="F215" s="128"/>
      <c r="G215" s="130" t="s">
        <v>133</v>
      </c>
      <c r="H215" s="131"/>
      <c r="I215" s="130" t="e">
        <v>#REF!</v>
      </c>
      <c r="J215" s="128"/>
      <c r="K215" s="130" t="e">
        <v>#REF!</v>
      </c>
      <c r="L215" s="128"/>
      <c r="M215" s="129">
        <v>2300</v>
      </c>
      <c r="N215" s="123"/>
      <c r="O215" s="130">
        <v>506</v>
      </c>
      <c r="P215" s="123"/>
      <c r="Q215" s="130"/>
      <c r="R215" s="123"/>
      <c r="S215" s="130"/>
      <c r="T215" s="130"/>
      <c r="U215" s="132">
        <v>47</v>
      </c>
      <c r="V215" s="130"/>
    </row>
    <row r="216" spans="1:22" ht="16">
      <c r="A216" s="176"/>
      <c r="B216" s="104" t="s">
        <v>813</v>
      </c>
      <c r="C216" s="109"/>
      <c r="D216" s="128"/>
      <c r="E216" s="129">
        <v>690</v>
      </c>
      <c r="F216" s="128"/>
      <c r="G216" s="130">
        <v>151.80000000000001</v>
      </c>
      <c r="H216" s="131"/>
      <c r="I216" s="130" t="e">
        <v>#REF!</v>
      </c>
      <c r="J216" s="128"/>
      <c r="K216" s="130" t="e">
        <v>#REF!</v>
      </c>
      <c r="L216" s="128"/>
      <c r="M216" s="129">
        <v>34500</v>
      </c>
      <c r="N216" s="123"/>
      <c r="O216" s="130">
        <v>7590</v>
      </c>
      <c r="P216" s="123"/>
      <c r="Q216" s="130"/>
      <c r="R216" s="123"/>
      <c r="S216" s="130"/>
      <c r="T216" s="130"/>
      <c r="U216" s="132">
        <v>1</v>
      </c>
      <c r="V216" s="130"/>
    </row>
    <row r="217" spans="1:22" ht="16">
      <c r="A217" s="176"/>
      <c r="B217" s="104" t="s">
        <v>814</v>
      </c>
      <c r="C217" s="109"/>
      <c r="D217" s="128"/>
      <c r="E217" s="129">
        <v>690</v>
      </c>
      <c r="F217" s="128"/>
      <c r="G217" s="130">
        <v>151.80000000000001</v>
      </c>
      <c r="H217" s="131"/>
      <c r="I217" s="130" t="e">
        <v>#REF!</v>
      </c>
      <c r="J217" s="128"/>
      <c r="K217" s="130" t="e">
        <v>#REF!</v>
      </c>
      <c r="L217" s="128"/>
      <c r="M217" s="129">
        <v>34500</v>
      </c>
      <c r="N217" s="123"/>
      <c r="O217" s="130">
        <v>7590</v>
      </c>
      <c r="P217" s="123"/>
      <c r="Q217" s="130"/>
      <c r="R217" s="123"/>
      <c r="S217" s="130"/>
      <c r="T217" s="130"/>
      <c r="U217" s="132">
        <v>1</v>
      </c>
      <c r="V217" s="130"/>
    </row>
    <row r="218" spans="1:22" ht="16">
      <c r="A218" s="176"/>
      <c r="B218" s="104" t="s">
        <v>815</v>
      </c>
      <c r="C218" s="109"/>
      <c r="D218" s="128"/>
      <c r="E218" s="129">
        <v>230</v>
      </c>
      <c r="F218" s="128"/>
      <c r="G218" s="130">
        <v>50.6</v>
      </c>
      <c r="H218" s="131"/>
      <c r="I218" s="130" t="e">
        <v>#REF!</v>
      </c>
      <c r="J218" s="128"/>
      <c r="K218" s="130" t="e">
        <v>#REF!</v>
      </c>
      <c r="L218" s="128"/>
      <c r="M218" s="129">
        <v>11500</v>
      </c>
      <c r="N218" s="123"/>
      <c r="O218" s="130">
        <v>2530</v>
      </c>
      <c r="P218" s="123"/>
      <c r="Q218" s="130"/>
      <c r="R218" s="123"/>
      <c r="S218" s="130"/>
      <c r="T218" s="130"/>
      <c r="U218" s="132">
        <v>1</v>
      </c>
      <c r="V218" s="130"/>
    </row>
    <row r="219" spans="1:22" ht="16">
      <c r="A219" s="176"/>
      <c r="B219" s="104"/>
      <c r="C219" s="109"/>
      <c r="D219" s="128"/>
      <c r="E219" s="129"/>
      <c r="F219" s="128"/>
      <c r="G219" s="130"/>
      <c r="H219" s="131"/>
      <c r="I219" s="130"/>
      <c r="J219" s="128"/>
      <c r="K219" s="130"/>
      <c r="L219" s="128"/>
      <c r="M219" s="129" t="s">
        <v>566</v>
      </c>
      <c r="N219" s="123"/>
      <c r="O219" s="130"/>
      <c r="P219" s="123"/>
      <c r="Q219" s="130"/>
      <c r="R219" s="123"/>
      <c r="S219" s="130"/>
      <c r="T219" s="130"/>
      <c r="U219" s="130"/>
      <c r="V219" s="130"/>
    </row>
    <row r="220" spans="1:22" ht="16">
      <c r="A220" s="182"/>
      <c r="B220" s="156" t="s">
        <v>816</v>
      </c>
      <c r="C220" s="156"/>
      <c r="D220" s="128"/>
      <c r="E220" s="129"/>
      <c r="F220" s="128"/>
      <c r="G220" s="130"/>
      <c r="H220" s="131"/>
      <c r="I220" s="130"/>
      <c r="J220" s="128"/>
      <c r="K220" s="130"/>
      <c r="L220" s="128"/>
      <c r="M220" s="129"/>
      <c r="N220" s="123"/>
      <c r="O220" s="130" t="s">
        <v>566</v>
      </c>
      <c r="P220" s="123"/>
      <c r="Q220" s="130"/>
      <c r="R220" s="123"/>
      <c r="S220" s="130"/>
      <c r="T220" s="130"/>
      <c r="U220" s="130"/>
      <c r="V220" s="130"/>
    </row>
    <row r="221" spans="1:22" ht="16">
      <c r="A221" s="182"/>
      <c r="B221" s="104" t="s">
        <v>817</v>
      </c>
      <c r="C221" s="104"/>
      <c r="D221" s="128"/>
      <c r="E221" s="129">
        <v>1800</v>
      </c>
      <c r="F221" s="128"/>
      <c r="G221" s="130">
        <v>396</v>
      </c>
      <c r="H221" s="131"/>
      <c r="I221" s="130" t="e">
        <v>#REF!</v>
      </c>
      <c r="J221" s="128"/>
      <c r="K221" s="130" t="e">
        <v>#REF!</v>
      </c>
      <c r="L221" s="128"/>
      <c r="M221" s="129">
        <v>60000</v>
      </c>
      <c r="N221" s="123"/>
      <c r="O221" s="130">
        <v>13200</v>
      </c>
      <c r="P221" s="123"/>
      <c r="Q221" s="130"/>
      <c r="R221" s="123"/>
      <c r="S221" s="130"/>
      <c r="T221" s="130"/>
      <c r="U221" s="183">
        <v>1</v>
      </c>
      <c r="V221" s="130"/>
    </row>
    <row r="222" spans="1:22" ht="16">
      <c r="A222" s="182"/>
      <c r="B222" s="104" t="s">
        <v>818</v>
      </c>
      <c r="C222" s="104"/>
      <c r="D222" s="128"/>
      <c r="E222" s="129">
        <v>200</v>
      </c>
      <c r="F222" s="128"/>
      <c r="G222" s="130">
        <v>44</v>
      </c>
      <c r="H222" s="131"/>
      <c r="I222" s="130" t="e">
        <v>#REF!</v>
      </c>
      <c r="J222" s="128"/>
      <c r="K222" s="130" t="e">
        <v>#REF!</v>
      </c>
      <c r="L222" s="128"/>
      <c r="M222" s="129">
        <v>10000</v>
      </c>
      <c r="N222" s="123"/>
      <c r="O222" s="130">
        <v>2200</v>
      </c>
      <c r="P222" s="123"/>
      <c r="Q222" s="130"/>
      <c r="R222" s="123"/>
      <c r="S222" s="130"/>
      <c r="T222" s="130"/>
      <c r="U222" s="183">
        <v>98</v>
      </c>
      <c r="V222" s="130"/>
    </row>
    <row r="223" spans="1:22" ht="16">
      <c r="A223" s="182"/>
      <c r="B223" s="104" t="s">
        <v>819</v>
      </c>
      <c r="C223" s="109"/>
      <c r="D223" s="128"/>
      <c r="E223" s="129" t="s">
        <v>133</v>
      </c>
      <c r="F223" s="128"/>
      <c r="G223" s="130" t="s">
        <v>133</v>
      </c>
      <c r="H223" s="131"/>
      <c r="I223" s="130" t="e">
        <v>#REF!</v>
      </c>
      <c r="J223" s="128"/>
      <c r="K223" s="130" t="e">
        <v>#REF!</v>
      </c>
      <c r="L223" s="128"/>
      <c r="M223" s="129">
        <v>9000</v>
      </c>
      <c r="N223" s="123"/>
      <c r="O223" s="130">
        <v>1980</v>
      </c>
      <c r="P223" s="123"/>
      <c r="Q223" s="130"/>
      <c r="R223" s="123"/>
      <c r="S223" s="130"/>
      <c r="T223" s="130"/>
      <c r="U223" s="119"/>
      <c r="V223" s="130"/>
    </row>
    <row r="224" spans="1:22" ht="16">
      <c r="A224" s="182"/>
      <c r="B224" s="104" t="s">
        <v>820</v>
      </c>
      <c r="C224" s="109"/>
      <c r="D224" s="128"/>
      <c r="E224" s="129" t="s">
        <v>133</v>
      </c>
      <c r="F224" s="128"/>
      <c r="G224" s="130" t="s">
        <v>133</v>
      </c>
      <c r="H224" s="131"/>
      <c r="I224" s="130" t="e">
        <v>#REF!</v>
      </c>
      <c r="J224" s="128"/>
      <c r="K224" s="130" t="e">
        <v>#REF!</v>
      </c>
      <c r="L224" s="128"/>
      <c r="M224" s="129">
        <v>12000</v>
      </c>
      <c r="N224" s="123"/>
      <c r="O224" s="130">
        <v>2640</v>
      </c>
      <c r="P224" s="123"/>
      <c r="Q224" s="130"/>
      <c r="R224" s="123"/>
      <c r="S224" s="130"/>
      <c r="T224" s="130"/>
      <c r="U224" s="119"/>
      <c r="V224" s="130"/>
    </row>
    <row r="225" spans="1:22" ht="16">
      <c r="A225" s="182"/>
      <c r="B225" s="104" t="s">
        <v>821</v>
      </c>
      <c r="C225" s="109"/>
      <c r="D225" s="128"/>
      <c r="E225" s="129" t="s">
        <v>133</v>
      </c>
      <c r="F225" s="128"/>
      <c r="G225" s="130" t="s">
        <v>133</v>
      </c>
      <c r="H225" s="131"/>
      <c r="I225" s="130" t="e">
        <v>#REF!</v>
      </c>
      <c r="J225" s="128"/>
      <c r="K225" s="130" t="e">
        <v>#REF!</v>
      </c>
      <c r="L225" s="128"/>
      <c r="M225" s="129">
        <v>14000</v>
      </c>
      <c r="N225" s="123"/>
      <c r="O225" s="130">
        <v>3080</v>
      </c>
      <c r="P225" s="123"/>
      <c r="Q225" s="130"/>
      <c r="R225" s="123"/>
      <c r="S225" s="130"/>
      <c r="T225" s="130"/>
      <c r="U225" s="119"/>
      <c r="V225" s="130"/>
    </row>
    <row r="226" spans="1:22" ht="16">
      <c r="A226" s="182"/>
      <c r="B226" s="104" t="s">
        <v>822</v>
      </c>
      <c r="C226" s="109"/>
      <c r="D226" s="128"/>
      <c r="E226" s="129" t="s">
        <v>133</v>
      </c>
      <c r="F226" s="128"/>
      <c r="G226" s="130" t="s">
        <v>133</v>
      </c>
      <c r="H226" s="131"/>
      <c r="I226" s="130" t="e">
        <v>#REF!</v>
      </c>
      <c r="J226" s="128"/>
      <c r="K226" s="130" t="e">
        <v>#REF!</v>
      </c>
      <c r="L226" s="128"/>
      <c r="M226" s="129">
        <v>22000</v>
      </c>
      <c r="N226" s="123"/>
      <c r="O226" s="130">
        <v>4840</v>
      </c>
      <c r="P226" s="123"/>
      <c r="Q226" s="130"/>
      <c r="R226" s="123"/>
      <c r="S226" s="130"/>
      <c r="T226" s="130"/>
      <c r="U226" s="119"/>
      <c r="V226" s="130"/>
    </row>
    <row r="227" spans="1:22" ht="16">
      <c r="A227" s="182"/>
      <c r="B227" s="104" t="s">
        <v>823</v>
      </c>
      <c r="C227" s="109"/>
      <c r="D227" s="128"/>
      <c r="E227" s="129" t="s">
        <v>133</v>
      </c>
      <c r="F227" s="128"/>
      <c r="G227" s="130" t="s">
        <v>133</v>
      </c>
      <c r="H227" s="131"/>
      <c r="I227" s="130" t="e">
        <v>#REF!</v>
      </c>
      <c r="J227" s="128"/>
      <c r="K227" s="130" t="e">
        <v>#REF!</v>
      </c>
      <c r="L227" s="128"/>
      <c r="M227" s="129">
        <v>22000</v>
      </c>
      <c r="N227" s="123"/>
      <c r="O227" s="130">
        <v>4840</v>
      </c>
      <c r="P227" s="123"/>
      <c r="Q227" s="130"/>
      <c r="R227" s="123"/>
      <c r="S227" s="130"/>
      <c r="T227" s="130"/>
      <c r="U227" s="119"/>
      <c r="V227" s="130"/>
    </row>
    <row r="228" spans="1:22" ht="16">
      <c r="A228" s="182"/>
      <c r="B228" s="104" t="s">
        <v>824</v>
      </c>
      <c r="C228" s="109"/>
      <c r="D228" s="128" t="s">
        <v>566</v>
      </c>
      <c r="E228" s="129" t="s">
        <v>133</v>
      </c>
      <c r="F228" s="128"/>
      <c r="G228" s="129" t="s">
        <v>133</v>
      </c>
      <c r="H228" s="131"/>
      <c r="I228" s="130" t="e">
        <v>#REF!</v>
      </c>
      <c r="J228" s="128"/>
      <c r="K228" s="130" t="e">
        <v>#REF!</v>
      </c>
      <c r="L228" s="128"/>
      <c r="M228" s="129">
        <v>22000</v>
      </c>
      <c r="N228" s="123"/>
      <c r="O228" s="130">
        <v>4840</v>
      </c>
      <c r="P228" s="123"/>
      <c r="Q228" s="130"/>
      <c r="R228" s="123"/>
      <c r="S228" s="130"/>
      <c r="T228" s="130"/>
      <c r="U228" s="119"/>
      <c r="V228" s="130"/>
    </row>
    <row r="229" spans="1:22" ht="16">
      <c r="A229" s="182"/>
      <c r="B229" s="104" t="s">
        <v>825</v>
      </c>
      <c r="C229" s="109"/>
      <c r="D229" s="128"/>
      <c r="E229" s="129" t="s">
        <v>133</v>
      </c>
      <c r="F229" s="128"/>
      <c r="G229" s="129" t="s">
        <v>133</v>
      </c>
      <c r="H229" s="131"/>
      <c r="I229" s="130" t="e">
        <v>#REF!</v>
      </c>
      <c r="J229" s="128"/>
      <c r="K229" s="130" t="e">
        <v>#REF!</v>
      </c>
      <c r="L229" s="128"/>
      <c r="M229" s="129">
        <v>22000</v>
      </c>
      <c r="N229" s="123"/>
      <c r="O229" s="130">
        <v>4840</v>
      </c>
      <c r="P229" s="123"/>
      <c r="Q229" s="130"/>
      <c r="R229" s="123"/>
      <c r="S229" s="130"/>
      <c r="T229" s="130"/>
      <c r="U229" s="119"/>
      <c r="V229" s="130"/>
    </row>
    <row r="230" spans="1:22" ht="16">
      <c r="A230" s="182"/>
      <c r="B230" s="104" t="s">
        <v>826</v>
      </c>
      <c r="C230" s="109"/>
      <c r="D230" s="128"/>
      <c r="E230" s="129" t="s">
        <v>133</v>
      </c>
      <c r="F230" s="128"/>
      <c r="G230" s="129" t="s">
        <v>133</v>
      </c>
      <c r="H230" s="131"/>
      <c r="I230" s="130" t="e">
        <v>#REF!</v>
      </c>
      <c r="J230" s="128"/>
      <c r="K230" s="130" t="e">
        <v>#REF!</v>
      </c>
      <c r="L230" s="128"/>
      <c r="M230" s="129">
        <v>9000</v>
      </c>
      <c r="N230" s="123"/>
      <c r="O230" s="130">
        <v>1980</v>
      </c>
      <c r="P230" s="123"/>
      <c r="Q230" s="130"/>
      <c r="R230" s="123"/>
      <c r="S230" s="130"/>
      <c r="T230" s="130"/>
      <c r="U230" s="119"/>
      <c r="V230" s="130"/>
    </row>
    <row r="231" spans="1:22" ht="16">
      <c r="A231" s="182"/>
      <c r="B231" s="104" t="s">
        <v>827</v>
      </c>
      <c r="C231" s="109"/>
      <c r="D231" s="128"/>
      <c r="E231" s="129" t="s">
        <v>133</v>
      </c>
      <c r="F231" s="128"/>
      <c r="G231" s="129" t="s">
        <v>133</v>
      </c>
      <c r="H231" s="131"/>
      <c r="I231" s="130" t="e">
        <v>#REF!</v>
      </c>
      <c r="J231" s="128"/>
      <c r="K231" s="130" t="e">
        <v>#REF!</v>
      </c>
      <c r="L231" s="128"/>
      <c r="M231" s="129">
        <v>19500</v>
      </c>
      <c r="N231" s="123"/>
      <c r="O231" s="130">
        <v>4290</v>
      </c>
      <c r="P231" s="123"/>
      <c r="Q231" s="130"/>
      <c r="R231" s="123"/>
      <c r="S231" s="130"/>
      <c r="T231" s="130"/>
      <c r="U231" s="119"/>
      <c r="V231" s="130"/>
    </row>
    <row r="232" spans="1:22" ht="16">
      <c r="A232" s="182"/>
      <c r="B232" s="104" t="s">
        <v>828</v>
      </c>
      <c r="C232" s="109"/>
      <c r="D232" s="128"/>
      <c r="E232" s="129">
        <v>42500</v>
      </c>
      <c r="F232" s="128"/>
      <c r="G232" s="130">
        <v>9350</v>
      </c>
      <c r="H232" s="131"/>
      <c r="I232" s="130" t="e">
        <v>#REF!</v>
      </c>
      <c r="J232" s="128"/>
      <c r="K232" s="130" t="e">
        <v>#REF!</v>
      </c>
      <c r="L232" s="128"/>
      <c r="M232" s="129" t="s">
        <v>133</v>
      </c>
      <c r="N232" s="123"/>
      <c r="O232" s="129" t="s">
        <v>133</v>
      </c>
      <c r="P232" s="123"/>
      <c r="Q232" s="130"/>
      <c r="R232" s="123"/>
      <c r="S232" s="130"/>
      <c r="T232" s="130"/>
      <c r="U232" s="183">
        <v>51</v>
      </c>
      <c r="V232" s="130"/>
    </row>
    <row r="233" spans="1:22" ht="16">
      <c r="A233" s="182"/>
      <c r="B233" s="104" t="s">
        <v>829</v>
      </c>
      <c r="C233" s="109"/>
      <c r="D233" s="128"/>
      <c r="E233" s="129" t="s">
        <v>133</v>
      </c>
      <c r="F233" s="128"/>
      <c r="G233" s="130" t="s">
        <v>133</v>
      </c>
      <c r="H233" s="131"/>
      <c r="I233" s="130" t="e">
        <v>#REF!</v>
      </c>
      <c r="J233" s="128"/>
      <c r="K233" s="130" t="e">
        <v>#REF!</v>
      </c>
      <c r="L233" s="128"/>
      <c r="M233" s="129">
        <v>14000</v>
      </c>
      <c r="N233" s="123"/>
      <c r="O233" s="130">
        <v>3080</v>
      </c>
      <c r="P233" s="123"/>
      <c r="Q233" s="130"/>
      <c r="R233" s="123"/>
      <c r="S233" s="130"/>
      <c r="T233" s="130"/>
      <c r="U233" s="183">
        <v>101</v>
      </c>
      <c r="V233" s="130"/>
    </row>
    <row r="234" spans="1:22" ht="16">
      <c r="A234" s="182"/>
      <c r="B234" s="104" t="s">
        <v>830</v>
      </c>
      <c r="C234" s="109"/>
      <c r="D234" s="128"/>
      <c r="E234" s="129" t="s">
        <v>133</v>
      </c>
      <c r="F234" s="128"/>
      <c r="G234" s="129" t="s">
        <v>133</v>
      </c>
      <c r="H234" s="131"/>
      <c r="I234" s="130" t="e">
        <v>#REF!</v>
      </c>
      <c r="J234" s="128"/>
      <c r="K234" s="130" t="e">
        <v>#REF!</v>
      </c>
      <c r="L234" s="128"/>
      <c r="M234" s="129">
        <v>18000</v>
      </c>
      <c r="N234" s="123"/>
      <c r="O234" s="130">
        <v>3960</v>
      </c>
      <c r="P234" s="123"/>
      <c r="Q234" s="130"/>
      <c r="R234" s="123"/>
      <c r="S234" s="130"/>
      <c r="T234" s="130"/>
      <c r="U234" s="119"/>
      <c r="V234" s="130"/>
    </row>
    <row r="235" spans="1:22" ht="16">
      <c r="A235" s="182"/>
      <c r="B235" s="104" t="s">
        <v>831</v>
      </c>
      <c r="C235" s="109"/>
      <c r="D235" s="128"/>
      <c r="E235" s="129" t="s">
        <v>133</v>
      </c>
      <c r="F235" s="128"/>
      <c r="G235" s="130" t="s">
        <v>133</v>
      </c>
      <c r="H235" s="131"/>
      <c r="I235" s="130" t="e">
        <v>#REF!</v>
      </c>
      <c r="J235" s="128"/>
      <c r="K235" s="130" t="e">
        <v>#REF!</v>
      </c>
      <c r="L235" s="128"/>
      <c r="M235" s="129">
        <v>6000</v>
      </c>
      <c r="N235" s="123"/>
      <c r="O235" s="130">
        <v>1320</v>
      </c>
      <c r="P235" s="123"/>
      <c r="Q235" s="130"/>
      <c r="R235" s="123"/>
      <c r="S235" s="130"/>
      <c r="T235" s="130"/>
      <c r="U235" s="130"/>
      <c r="V235" s="130"/>
    </row>
    <row r="236" spans="1:22" ht="16">
      <c r="A236" s="182"/>
      <c r="B236" s="104"/>
      <c r="C236" s="109"/>
      <c r="D236" s="128"/>
      <c r="E236" s="129"/>
      <c r="F236" s="128"/>
      <c r="G236" s="130"/>
      <c r="H236" s="131"/>
      <c r="I236" s="130"/>
      <c r="J236" s="128"/>
      <c r="K236" s="130"/>
      <c r="L236" s="128"/>
      <c r="M236" s="129"/>
      <c r="N236" s="123"/>
      <c r="O236" s="130"/>
      <c r="P236" s="123"/>
      <c r="Q236" s="130"/>
      <c r="R236" s="123"/>
      <c r="S236" s="130"/>
      <c r="T236" s="130"/>
      <c r="U236" s="130"/>
      <c r="V236" s="130"/>
    </row>
    <row r="237" spans="1:22" ht="16">
      <c r="A237" s="176"/>
      <c r="B237" s="156" t="s">
        <v>832</v>
      </c>
      <c r="C237" s="156"/>
      <c r="D237" s="128"/>
      <c r="E237" s="129"/>
      <c r="F237" s="128"/>
      <c r="G237" s="130"/>
      <c r="H237" s="131"/>
      <c r="I237" s="130"/>
      <c r="J237" s="128"/>
      <c r="K237" s="130"/>
      <c r="L237" s="128"/>
      <c r="M237" s="129"/>
      <c r="N237" s="123"/>
      <c r="O237" s="130"/>
      <c r="P237" s="123"/>
      <c r="Q237" s="130"/>
      <c r="R237" s="123"/>
      <c r="S237" s="130"/>
      <c r="T237" s="130"/>
      <c r="U237" s="130"/>
      <c r="V237" s="130"/>
    </row>
    <row r="238" spans="1:22" ht="16">
      <c r="A238" s="176"/>
      <c r="B238" s="104" t="s">
        <v>833</v>
      </c>
      <c r="C238" s="104"/>
      <c r="D238" s="128"/>
      <c r="E238" s="129">
        <v>920</v>
      </c>
      <c r="F238" s="128"/>
      <c r="G238" s="130">
        <v>202.4</v>
      </c>
      <c r="H238" s="131"/>
      <c r="I238" s="130">
        <v>0</v>
      </c>
      <c r="J238" s="128"/>
      <c r="K238" s="130">
        <v>0</v>
      </c>
      <c r="L238" s="128"/>
      <c r="M238" s="129">
        <v>46000</v>
      </c>
      <c r="N238" s="123"/>
      <c r="O238" s="130">
        <v>10120</v>
      </c>
      <c r="P238" s="123"/>
      <c r="Q238" s="130"/>
      <c r="R238" s="123"/>
      <c r="S238" s="130"/>
      <c r="T238" s="130"/>
      <c r="U238" s="183">
        <v>10</v>
      </c>
      <c r="V238" s="130"/>
    </row>
    <row r="239" spans="1:22" ht="16">
      <c r="A239" s="176"/>
      <c r="B239" s="109"/>
      <c r="C239" s="109"/>
      <c r="D239" s="128"/>
      <c r="E239" s="184" t="s">
        <v>566</v>
      </c>
      <c r="F239" s="185"/>
      <c r="G239" s="173"/>
      <c r="H239" s="173"/>
      <c r="I239" s="173"/>
      <c r="J239" s="185"/>
      <c r="K239" s="173"/>
      <c r="L239" s="185"/>
      <c r="M239" s="184"/>
      <c r="N239" s="173"/>
      <c r="O239" s="173"/>
      <c r="P239" s="103"/>
      <c r="Q239" s="186"/>
      <c r="R239" s="103"/>
      <c r="S239" s="186"/>
      <c r="T239" s="186"/>
      <c r="U239" s="186"/>
      <c r="V239" s="186"/>
    </row>
    <row r="240" spans="1:22" ht="16">
      <c r="A240" s="176"/>
      <c r="B240" s="156" t="s">
        <v>2546</v>
      </c>
      <c r="C240" s="157"/>
      <c r="D240" s="128"/>
      <c r="E240" s="129"/>
      <c r="F240" s="128"/>
      <c r="G240" s="130"/>
      <c r="H240" s="131"/>
      <c r="I240" s="130"/>
      <c r="J240" s="128"/>
      <c r="K240" s="130"/>
      <c r="L240" s="128"/>
      <c r="M240" s="129" t="s">
        <v>566</v>
      </c>
      <c r="N240" s="123"/>
      <c r="O240" s="130"/>
      <c r="P240" s="123"/>
      <c r="Q240" s="130"/>
      <c r="R240" s="123"/>
      <c r="S240" s="130"/>
      <c r="T240" s="130"/>
      <c r="U240" s="130"/>
      <c r="V240" s="130"/>
    </row>
    <row r="241" spans="1:22" ht="16">
      <c r="A241" s="176"/>
      <c r="B241" s="104" t="s">
        <v>2547</v>
      </c>
      <c r="C241" s="109"/>
      <c r="D241" s="128"/>
      <c r="E241" s="129">
        <v>1200</v>
      </c>
      <c r="F241" s="128"/>
      <c r="G241" s="130">
        <v>264</v>
      </c>
      <c r="H241" s="131"/>
      <c r="I241" s="130" t="e">
        <v>#REF!</v>
      </c>
      <c r="J241" s="128"/>
      <c r="K241" s="130" t="e">
        <v>#REF!</v>
      </c>
      <c r="L241" s="128"/>
      <c r="M241" s="129" t="s">
        <v>133</v>
      </c>
      <c r="N241" s="123"/>
      <c r="O241" s="130" t="s">
        <v>133</v>
      </c>
      <c r="P241" s="123"/>
      <c r="Q241" s="130"/>
      <c r="R241" s="123"/>
      <c r="S241" s="130"/>
      <c r="T241" s="130"/>
      <c r="U241" s="132" t="s">
        <v>655</v>
      </c>
      <c r="V241" s="130"/>
    </row>
    <row r="242" spans="1:22" ht="16">
      <c r="A242" s="176"/>
      <c r="B242" s="104" t="s">
        <v>2548</v>
      </c>
      <c r="C242" s="109"/>
      <c r="D242" s="128"/>
      <c r="E242" s="129">
        <v>2000</v>
      </c>
      <c r="F242" s="128"/>
      <c r="G242" s="130">
        <v>440</v>
      </c>
      <c r="H242" s="131"/>
      <c r="I242" s="130" t="e">
        <v>#REF!</v>
      </c>
      <c r="J242" s="128"/>
      <c r="K242" s="130" t="e">
        <v>#REF!</v>
      </c>
      <c r="L242" s="128"/>
      <c r="M242" s="129">
        <v>221250</v>
      </c>
      <c r="N242" s="123"/>
      <c r="O242" s="130">
        <v>48675</v>
      </c>
      <c r="P242" s="123"/>
      <c r="Q242" s="130"/>
      <c r="R242" s="123"/>
      <c r="S242" s="130"/>
      <c r="T242" s="130"/>
      <c r="U242" s="132">
        <v>81</v>
      </c>
      <c r="V242" s="130"/>
    </row>
    <row r="243" spans="1:22" ht="16">
      <c r="A243" s="176" t="s">
        <v>566</v>
      </c>
      <c r="B243" s="104" t="s">
        <v>2549</v>
      </c>
      <c r="C243" s="109"/>
      <c r="D243" s="128" t="s">
        <v>566</v>
      </c>
      <c r="E243" s="129">
        <v>3675</v>
      </c>
      <c r="F243" s="128"/>
      <c r="G243" s="130">
        <v>808.5</v>
      </c>
      <c r="H243" s="131"/>
      <c r="I243" s="130" t="e">
        <v>#REF!</v>
      </c>
      <c r="J243" s="128"/>
      <c r="K243" s="130" t="e">
        <v>#REF!</v>
      </c>
      <c r="L243" s="128"/>
      <c r="M243" s="129">
        <v>300000</v>
      </c>
      <c r="N243" s="123"/>
      <c r="O243" s="130">
        <v>66000</v>
      </c>
      <c r="P243" s="123"/>
      <c r="Q243" s="130"/>
      <c r="R243" s="123"/>
      <c r="S243" s="130"/>
      <c r="T243" s="130"/>
      <c r="U243" s="132" t="s">
        <v>2550</v>
      </c>
      <c r="V243" s="130"/>
    </row>
    <row r="244" spans="1:22" ht="16">
      <c r="A244" s="176"/>
      <c r="B244" s="104" t="s">
        <v>2551</v>
      </c>
      <c r="C244" s="109"/>
      <c r="D244" s="128" t="s">
        <v>566</v>
      </c>
      <c r="E244" s="129">
        <v>5800</v>
      </c>
      <c r="F244" s="128"/>
      <c r="G244" s="130">
        <v>1276</v>
      </c>
      <c r="H244" s="131"/>
      <c r="I244" s="130" t="e">
        <v>#REF!</v>
      </c>
      <c r="J244" s="128"/>
      <c r="K244" s="130" t="e">
        <v>#REF!</v>
      </c>
      <c r="L244" s="128"/>
      <c r="M244" s="129" t="s">
        <v>133</v>
      </c>
      <c r="N244" s="123"/>
      <c r="O244" s="130" t="s">
        <v>133</v>
      </c>
      <c r="P244" s="123"/>
      <c r="Q244" s="130"/>
      <c r="R244" s="123"/>
      <c r="S244" s="130"/>
      <c r="T244" s="130"/>
      <c r="U244" s="132"/>
      <c r="V244" s="130"/>
    </row>
    <row r="245" spans="1:22" ht="16">
      <c r="A245" s="176"/>
      <c r="B245" s="104" t="s">
        <v>2552</v>
      </c>
      <c r="C245" s="109"/>
      <c r="D245" s="128" t="s">
        <v>566</v>
      </c>
      <c r="E245" s="129">
        <v>460</v>
      </c>
      <c r="F245" s="128"/>
      <c r="G245" s="130">
        <v>101.2</v>
      </c>
      <c r="H245" s="131"/>
      <c r="I245" s="130" t="e">
        <v>#REF!</v>
      </c>
      <c r="J245" s="128"/>
      <c r="K245" s="130" t="e">
        <v>#REF!</v>
      </c>
      <c r="L245" s="128"/>
      <c r="M245" s="129">
        <v>46000</v>
      </c>
      <c r="N245" s="123"/>
      <c r="O245" s="130">
        <v>10120</v>
      </c>
      <c r="P245" s="123"/>
      <c r="Q245" s="130"/>
      <c r="R245" s="123"/>
      <c r="S245" s="130"/>
      <c r="T245" s="130"/>
      <c r="U245" s="132">
        <v>14</v>
      </c>
      <c r="V245" s="130"/>
    </row>
    <row r="246" spans="1:22">
      <c r="A246" s="101"/>
      <c r="B246" s="101"/>
      <c r="C246" s="101"/>
      <c r="D246" s="101"/>
      <c r="E246" s="102"/>
      <c r="F246" s="101"/>
      <c r="G246" s="101"/>
      <c r="H246" s="103"/>
      <c r="I246" s="102"/>
      <c r="J246" s="101"/>
      <c r="K246" s="102"/>
      <c r="L246" s="101"/>
      <c r="M246" s="102"/>
      <c r="N246" s="101"/>
      <c r="O246" s="101"/>
      <c r="P246" s="101"/>
      <c r="Q246" s="102"/>
      <c r="R246" s="104"/>
      <c r="S246" s="105"/>
      <c r="T246" s="105"/>
      <c r="U246" s="105"/>
      <c r="V246" s="105"/>
    </row>
    <row r="247" spans="1:22" ht="16">
      <c r="A247" s="122"/>
      <c r="B247" s="104"/>
      <c r="C247" s="109"/>
      <c r="D247" s="128"/>
      <c r="E247" s="129"/>
      <c r="F247" s="128"/>
      <c r="G247" s="130"/>
      <c r="H247" s="131"/>
      <c r="I247" s="130"/>
      <c r="J247" s="128"/>
      <c r="K247" s="130"/>
      <c r="L247" s="128"/>
      <c r="M247" s="129"/>
      <c r="N247" s="123"/>
      <c r="O247" s="130"/>
      <c r="P247" s="145"/>
      <c r="Q247" s="146"/>
      <c r="R247" s="145"/>
      <c r="S247" s="146"/>
      <c r="T247" s="146"/>
      <c r="U247" s="187"/>
      <c r="V247" s="146"/>
    </row>
    <row r="248" spans="1:22" ht="16">
      <c r="A248" s="122"/>
      <c r="B248" s="174" t="s">
        <v>2553</v>
      </c>
      <c r="C248" s="109"/>
      <c r="D248" s="128"/>
      <c r="E248" s="129" t="s">
        <v>566</v>
      </c>
      <c r="F248" s="128"/>
      <c r="G248" s="130"/>
      <c r="H248" s="131"/>
      <c r="I248" s="130"/>
      <c r="J248" s="128"/>
      <c r="K248" s="130"/>
      <c r="L248" s="128"/>
      <c r="M248" s="129" t="s">
        <v>566</v>
      </c>
      <c r="N248" s="123"/>
      <c r="O248" s="130"/>
      <c r="P248" s="145"/>
      <c r="Q248" s="146"/>
      <c r="R248" s="145"/>
      <c r="S248" s="146"/>
      <c r="T248" s="146"/>
      <c r="U248" s="187"/>
      <c r="V248" s="146"/>
    </row>
    <row r="249" spans="1:22" ht="16">
      <c r="A249" s="122"/>
      <c r="B249" s="104" t="s">
        <v>834</v>
      </c>
      <c r="C249" s="109"/>
      <c r="D249" s="128"/>
      <c r="E249" s="129">
        <v>230</v>
      </c>
      <c r="F249" s="128"/>
      <c r="G249" s="130">
        <v>50.6</v>
      </c>
      <c r="H249" s="131"/>
      <c r="I249" s="130"/>
      <c r="J249" s="128"/>
      <c r="K249" s="130"/>
      <c r="L249" s="128"/>
      <c r="M249" s="129">
        <v>11500</v>
      </c>
      <c r="N249" s="123"/>
      <c r="O249" s="130">
        <v>2530</v>
      </c>
      <c r="P249" s="145"/>
      <c r="Q249" s="146"/>
      <c r="R249" s="145"/>
      <c r="S249" s="146"/>
      <c r="T249" s="146"/>
      <c r="U249" s="132">
        <v>27</v>
      </c>
      <c r="V249" s="146"/>
    </row>
    <row r="250" spans="1:22" ht="16">
      <c r="A250" s="122"/>
      <c r="B250" s="104"/>
      <c r="C250" s="109"/>
      <c r="D250" s="128"/>
      <c r="E250" s="129"/>
      <c r="F250" s="128"/>
      <c r="G250" s="130"/>
      <c r="H250" s="131"/>
      <c r="I250" s="130"/>
      <c r="J250" s="128"/>
      <c r="K250" s="130"/>
      <c r="L250" s="128"/>
      <c r="M250" s="129"/>
      <c r="N250" s="123"/>
      <c r="O250" s="130"/>
      <c r="P250" s="145"/>
      <c r="Q250" s="146"/>
      <c r="R250" s="145"/>
      <c r="S250" s="146"/>
      <c r="T250" s="146"/>
      <c r="U250" s="187"/>
      <c r="V250" s="146"/>
    </row>
    <row r="251" spans="1:22" ht="16">
      <c r="A251" s="122"/>
      <c r="B251" s="174" t="s">
        <v>835</v>
      </c>
      <c r="C251" s="109"/>
      <c r="D251" s="128"/>
      <c r="E251" s="129" t="s">
        <v>566</v>
      </c>
      <c r="F251" s="128"/>
      <c r="G251" s="130"/>
      <c r="H251" s="131"/>
      <c r="I251" s="130"/>
      <c r="J251" s="128"/>
      <c r="K251" s="130"/>
      <c r="L251" s="128"/>
      <c r="M251" s="129" t="s">
        <v>566</v>
      </c>
      <c r="N251" s="123"/>
      <c r="O251" s="130"/>
      <c r="P251" s="145"/>
      <c r="Q251" s="146"/>
      <c r="R251" s="145"/>
      <c r="S251" s="146"/>
      <c r="T251" s="146"/>
      <c r="U251" s="187"/>
      <c r="V251" s="146"/>
    </row>
    <row r="252" spans="1:22" ht="16">
      <c r="A252" s="122"/>
      <c r="B252" s="104" t="s">
        <v>836</v>
      </c>
      <c r="C252" s="109"/>
      <c r="D252" s="128"/>
      <c r="E252" s="129">
        <v>690</v>
      </c>
      <c r="F252" s="128"/>
      <c r="G252" s="130">
        <v>151.80000000000001</v>
      </c>
      <c r="H252" s="131"/>
      <c r="I252" s="130"/>
      <c r="J252" s="128"/>
      <c r="K252" s="130"/>
      <c r="L252" s="128"/>
      <c r="M252" s="129">
        <v>23000</v>
      </c>
      <c r="N252" s="123"/>
      <c r="O252" s="130">
        <v>5060</v>
      </c>
      <c r="P252" s="145"/>
      <c r="Q252" s="146"/>
      <c r="R252" s="145"/>
      <c r="S252" s="146"/>
      <c r="T252" s="146"/>
      <c r="U252" s="187">
        <v>89</v>
      </c>
      <c r="V252" s="146"/>
    </row>
    <row r="253" spans="1:22" ht="16">
      <c r="A253" s="122"/>
      <c r="B253" s="104" t="s">
        <v>837</v>
      </c>
      <c r="C253" s="109"/>
      <c r="D253" s="128" t="s">
        <v>566</v>
      </c>
      <c r="E253" s="129">
        <v>690</v>
      </c>
      <c r="F253" s="128"/>
      <c r="G253" s="130">
        <v>151.80000000000001</v>
      </c>
      <c r="H253" s="131"/>
      <c r="I253" s="130"/>
      <c r="J253" s="128"/>
      <c r="K253" s="130"/>
      <c r="L253" s="128"/>
      <c r="M253" s="129">
        <v>25300</v>
      </c>
      <c r="N253" s="123"/>
      <c r="O253" s="130">
        <v>5566</v>
      </c>
      <c r="P253" s="145"/>
      <c r="Q253" s="146"/>
      <c r="R253" s="145"/>
      <c r="S253" s="146"/>
      <c r="T253" s="146"/>
      <c r="U253" s="132" t="s">
        <v>1632</v>
      </c>
      <c r="V253" s="146"/>
    </row>
    <row r="254" spans="1:22" ht="16">
      <c r="A254" s="122" t="s">
        <v>566</v>
      </c>
      <c r="B254" s="104" t="s">
        <v>838</v>
      </c>
      <c r="C254" s="109"/>
      <c r="D254" s="128" t="s">
        <v>566</v>
      </c>
      <c r="E254" s="129">
        <v>2400</v>
      </c>
      <c r="F254" s="128"/>
      <c r="G254" s="130">
        <v>528</v>
      </c>
      <c r="H254" s="131"/>
      <c r="I254" s="130"/>
      <c r="J254" s="128"/>
      <c r="K254" s="130"/>
      <c r="L254" s="128"/>
      <c r="M254" s="129">
        <v>80000</v>
      </c>
      <c r="N254" s="123"/>
      <c r="O254" s="130">
        <v>17600</v>
      </c>
      <c r="P254" s="145"/>
      <c r="Q254" s="146"/>
      <c r="R254" s="145"/>
      <c r="S254" s="146"/>
      <c r="T254" s="146"/>
      <c r="U254" s="132" t="s">
        <v>656</v>
      </c>
      <c r="V254" s="146"/>
    </row>
    <row r="255" spans="1:22" ht="17" thickBot="1">
      <c r="A255" s="122"/>
      <c r="B255" s="104"/>
      <c r="C255" s="109"/>
      <c r="D255" s="128"/>
      <c r="E255" s="129"/>
      <c r="F255" s="128"/>
      <c r="G255" s="130"/>
      <c r="H255" s="131"/>
      <c r="I255" s="130"/>
      <c r="J255" s="128"/>
      <c r="K255" s="130"/>
      <c r="L255" s="128"/>
      <c r="M255" s="129"/>
      <c r="N255" s="123"/>
      <c r="O255" s="130" t="s">
        <v>566</v>
      </c>
      <c r="P255" s="145"/>
      <c r="Q255" s="146"/>
      <c r="R255" s="145"/>
      <c r="S255" s="146"/>
      <c r="T255" s="146"/>
      <c r="U255" s="146"/>
      <c r="V255" s="146"/>
    </row>
    <row r="256" spans="1:22" ht="57" thickBot="1">
      <c r="A256" s="122"/>
      <c r="B256" s="188"/>
      <c r="C256" s="109"/>
      <c r="D256" s="128"/>
      <c r="E256" s="116" t="s">
        <v>710</v>
      </c>
      <c r="F256" s="115"/>
      <c r="G256" s="117" t="s">
        <v>649</v>
      </c>
      <c r="H256" s="118"/>
      <c r="I256" s="117" t="e">
        <v>#REF!</v>
      </c>
      <c r="J256" s="119"/>
      <c r="K256" s="117" t="e">
        <v>#REF!</v>
      </c>
      <c r="L256" s="119"/>
      <c r="M256" s="117" t="s">
        <v>711</v>
      </c>
      <c r="N256" s="123"/>
      <c r="O256" s="130"/>
      <c r="P256" s="123"/>
      <c r="Q256" s="130"/>
      <c r="R256" s="123"/>
      <c r="S256" s="130"/>
      <c r="T256" s="130"/>
      <c r="U256" s="117" t="s">
        <v>614</v>
      </c>
      <c r="V256" s="130"/>
    </row>
    <row r="257" spans="1:22" ht="16">
      <c r="A257" s="122"/>
      <c r="B257" s="189" t="s">
        <v>839</v>
      </c>
      <c r="C257" s="109"/>
      <c r="D257" s="128"/>
      <c r="E257" s="129"/>
      <c r="F257" s="128"/>
      <c r="G257" s="130"/>
      <c r="H257" s="131"/>
      <c r="I257" s="130"/>
      <c r="J257" s="128"/>
      <c r="K257" s="130"/>
      <c r="L257" s="128"/>
      <c r="M257" s="129"/>
      <c r="N257" s="123"/>
      <c r="O257" s="130"/>
      <c r="P257" s="123"/>
      <c r="Q257" s="130"/>
      <c r="R257" s="123"/>
      <c r="S257" s="130"/>
      <c r="T257" s="130"/>
      <c r="U257" s="130"/>
      <c r="V257" s="130"/>
    </row>
    <row r="258" spans="1:22" ht="16">
      <c r="A258" s="122"/>
      <c r="B258" s="188" t="s">
        <v>840</v>
      </c>
      <c r="C258" s="109" t="s">
        <v>566</v>
      </c>
      <c r="D258" s="128"/>
      <c r="E258" s="129">
        <v>92000</v>
      </c>
      <c r="F258" s="128"/>
      <c r="G258" s="130">
        <v>20240</v>
      </c>
      <c r="H258" s="131"/>
      <c r="I258" s="130"/>
      <c r="J258" s="128"/>
      <c r="K258" s="130"/>
      <c r="L258" s="128"/>
      <c r="M258" s="129" t="s">
        <v>241</v>
      </c>
      <c r="N258" s="123"/>
      <c r="O258" s="130"/>
      <c r="P258" s="123"/>
      <c r="Q258" s="130"/>
      <c r="R258" s="123"/>
      <c r="S258" s="130"/>
      <c r="T258" s="130"/>
      <c r="U258" s="341">
        <v>10</v>
      </c>
      <c r="V258" s="130"/>
    </row>
    <row r="259" spans="1:22" ht="17" thickBot="1">
      <c r="A259" s="122"/>
      <c r="B259" s="190"/>
      <c r="C259" s="148"/>
      <c r="D259" s="149"/>
      <c r="E259" s="178"/>
      <c r="F259" s="149"/>
      <c r="G259" s="146"/>
      <c r="H259" s="179"/>
      <c r="I259" s="146"/>
      <c r="J259" s="149"/>
      <c r="K259" s="146"/>
      <c r="L259" s="149"/>
      <c r="M259" s="178"/>
      <c r="N259" s="145"/>
      <c r="O259" s="146"/>
      <c r="P259" s="145"/>
      <c r="Q259" s="146"/>
      <c r="R259" s="145"/>
      <c r="S259" s="146"/>
      <c r="T259" s="146"/>
      <c r="U259" s="146"/>
      <c r="V259" s="146"/>
    </row>
    <row r="260" spans="1:22" ht="57" thickBot="1">
      <c r="A260" s="122"/>
      <c r="B260" s="188"/>
      <c r="C260" s="109"/>
      <c r="D260" s="128"/>
      <c r="E260" s="116" t="s">
        <v>648</v>
      </c>
      <c r="F260" s="115"/>
      <c r="G260" s="117" t="s">
        <v>649</v>
      </c>
      <c r="H260" s="118"/>
      <c r="I260" s="117" t="s">
        <v>650</v>
      </c>
      <c r="J260" s="115"/>
      <c r="K260" s="117" t="s">
        <v>651</v>
      </c>
      <c r="L260" s="115"/>
      <c r="M260" s="116" t="s">
        <v>613</v>
      </c>
      <c r="N260" s="119"/>
      <c r="O260" s="117" t="s">
        <v>649</v>
      </c>
      <c r="P260" s="123"/>
      <c r="Q260" s="130"/>
      <c r="R260" s="123"/>
      <c r="S260" s="130"/>
      <c r="T260" s="130"/>
      <c r="U260" s="117" t="s">
        <v>614</v>
      </c>
      <c r="V260" s="130"/>
    </row>
    <row r="261" spans="1:22" ht="16">
      <c r="A261" s="122"/>
      <c r="B261" s="189" t="s">
        <v>841</v>
      </c>
      <c r="C261" s="109"/>
      <c r="D261" s="128"/>
      <c r="E261" s="129"/>
      <c r="F261" s="128"/>
      <c r="G261" s="130"/>
      <c r="H261" s="131"/>
      <c r="I261" s="130"/>
      <c r="J261" s="128"/>
      <c r="K261" s="130"/>
      <c r="L261" s="128"/>
      <c r="M261" s="129"/>
      <c r="N261" s="123"/>
      <c r="O261" s="130"/>
      <c r="P261" s="123"/>
      <c r="Q261" s="130"/>
      <c r="R261" s="123"/>
      <c r="S261" s="130"/>
      <c r="T261" s="130"/>
      <c r="U261" s="132"/>
      <c r="V261" s="130"/>
    </row>
    <row r="262" spans="1:22" ht="16">
      <c r="A262" s="122"/>
      <c r="B262" s="188" t="s">
        <v>842</v>
      </c>
      <c r="C262" s="109" t="s">
        <v>566</v>
      </c>
      <c r="D262" s="128"/>
      <c r="E262" s="129">
        <v>2900</v>
      </c>
      <c r="F262" s="128"/>
      <c r="G262" s="130">
        <v>638</v>
      </c>
      <c r="H262" s="131"/>
      <c r="I262" s="130" t="e">
        <v>#REF!</v>
      </c>
      <c r="J262" s="128"/>
      <c r="K262" s="130" t="e">
        <v>#REF!</v>
      </c>
      <c r="L262" s="128"/>
      <c r="M262" s="129">
        <v>138000</v>
      </c>
      <c r="N262" s="123"/>
      <c r="O262" s="130">
        <v>30360</v>
      </c>
      <c r="P262" s="123"/>
      <c r="Q262" s="130"/>
      <c r="R262" s="123"/>
      <c r="S262" s="130"/>
      <c r="T262" s="130"/>
      <c r="U262" s="132" t="s">
        <v>657</v>
      </c>
      <c r="V262" s="130"/>
    </row>
    <row r="263" spans="1:22" ht="16">
      <c r="A263" s="122"/>
      <c r="B263" s="188"/>
      <c r="C263" s="109"/>
      <c r="D263" s="128"/>
      <c r="E263" s="129"/>
      <c r="F263" s="128"/>
      <c r="G263" s="130"/>
      <c r="H263" s="131"/>
      <c r="I263" s="130"/>
      <c r="J263" s="128"/>
      <c r="K263" s="130"/>
      <c r="L263" s="128"/>
      <c r="M263" s="129"/>
      <c r="N263" s="123"/>
      <c r="O263" s="130"/>
      <c r="P263" s="123"/>
      <c r="Q263" s="130"/>
      <c r="R263" s="123"/>
      <c r="S263" s="130"/>
      <c r="T263" s="130"/>
      <c r="U263" s="132"/>
      <c r="V263" s="130"/>
    </row>
    <row r="264" spans="1:22" ht="16">
      <c r="A264" s="122"/>
      <c r="B264" s="188" t="s">
        <v>843</v>
      </c>
      <c r="C264" s="109"/>
      <c r="D264" s="128"/>
      <c r="E264" s="129">
        <v>520</v>
      </c>
      <c r="F264" s="128"/>
      <c r="G264" s="130">
        <v>114.4</v>
      </c>
      <c r="H264" s="131"/>
      <c r="I264" s="130" t="e">
        <v>#REF!</v>
      </c>
      <c r="J264" s="128"/>
      <c r="K264" s="130" t="e">
        <v>#REF!</v>
      </c>
      <c r="L264" s="128"/>
      <c r="M264" s="129">
        <v>40500</v>
      </c>
      <c r="N264" s="123"/>
      <c r="O264" s="130">
        <v>8910</v>
      </c>
      <c r="P264" s="123"/>
      <c r="Q264" s="130"/>
      <c r="R264" s="123"/>
      <c r="S264" s="130"/>
      <c r="T264" s="130"/>
      <c r="U264" s="132" t="s">
        <v>657</v>
      </c>
      <c r="V264" s="130"/>
    </row>
    <row r="265" spans="1:22" ht="16">
      <c r="A265" s="122"/>
      <c r="B265" s="188"/>
      <c r="C265" s="109"/>
      <c r="D265" s="128"/>
      <c r="E265" s="129"/>
      <c r="F265" s="128"/>
      <c r="G265" s="130"/>
      <c r="H265" s="131"/>
      <c r="I265" s="130"/>
      <c r="J265" s="128"/>
      <c r="K265" s="130"/>
      <c r="L265" s="128"/>
      <c r="M265" s="129"/>
      <c r="N265" s="123"/>
      <c r="O265" s="130"/>
      <c r="P265" s="123"/>
      <c r="Q265" s="130"/>
      <c r="R265" s="123"/>
      <c r="S265" s="130"/>
      <c r="T265" s="130"/>
      <c r="U265" s="132"/>
      <c r="V265" s="130"/>
    </row>
    <row r="266" spans="1:22" ht="16">
      <c r="A266" s="122"/>
      <c r="B266" s="174"/>
      <c r="C266" s="109"/>
      <c r="D266" s="128"/>
      <c r="E266" s="129"/>
      <c r="F266" s="128"/>
      <c r="G266" s="130"/>
      <c r="H266" s="131"/>
      <c r="I266" s="130"/>
      <c r="J266" s="128"/>
      <c r="K266" s="130"/>
      <c r="L266" s="128"/>
      <c r="M266" s="129"/>
      <c r="N266" s="123"/>
      <c r="O266" s="130"/>
      <c r="P266" s="123"/>
      <c r="Q266" s="130"/>
      <c r="R266" s="123"/>
      <c r="S266" s="130"/>
      <c r="T266" s="130"/>
      <c r="U266" s="132"/>
      <c r="V266" s="130"/>
    </row>
    <row r="267" spans="1:22" ht="16">
      <c r="A267" s="122"/>
      <c r="B267" s="109"/>
      <c r="C267" s="109"/>
      <c r="D267" s="128"/>
      <c r="E267" s="129"/>
      <c r="F267" s="128"/>
      <c r="G267" s="130"/>
      <c r="H267" s="131"/>
      <c r="I267" s="130"/>
      <c r="J267" s="128"/>
      <c r="K267" s="130"/>
      <c r="L267" s="128"/>
      <c r="M267" s="129"/>
      <c r="N267" s="123"/>
      <c r="O267" s="130"/>
      <c r="P267" s="123"/>
      <c r="Q267" s="130"/>
      <c r="R267" s="123"/>
      <c r="S267" s="130"/>
      <c r="T267" s="130"/>
      <c r="U267" s="130"/>
      <c r="V267" s="130"/>
    </row>
    <row r="268" spans="1:22" ht="16">
      <c r="A268" s="122"/>
      <c r="B268" s="109"/>
      <c r="C268" s="109"/>
      <c r="D268" s="128"/>
      <c r="E268" s="129"/>
      <c r="F268" s="128"/>
      <c r="G268" s="130"/>
      <c r="H268" s="131"/>
      <c r="I268" s="130"/>
      <c r="J268" s="128"/>
      <c r="K268" s="130"/>
      <c r="L268" s="128"/>
      <c r="M268" s="129"/>
      <c r="N268" s="123"/>
      <c r="O268" s="130"/>
      <c r="P268" s="123"/>
      <c r="Q268" s="130"/>
      <c r="R268" s="123"/>
      <c r="S268" s="130"/>
      <c r="T268" s="130"/>
      <c r="U268" s="130"/>
      <c r="V268" s="130"/>
    </row>
    <row r="269" spans="1:22" ht="16">
      <c r="A269" s="176"/>
      <c r="B269" s="109" t="s">
        <v>566</v>
      </c>
      <c r="C269" s="109"/>
      <c r="D269" s="128"/>
      <c r="E269" s="129"/>
      <c r="F269" s="128"/>
      <c r="G269" s="130"/>
      <c r="H269" s="131"/>
      <c r="I269" s="130"/>
      <c r="J269" s="128"/>
      <c r="K269" s="130"/>
      <c r="L269" s="128"/>
      <c r="M269" s="129"/>
      <c r="N269" s="123"/>
      <c r="O269" s="130"/>
      <c r="P269" s="123"/>
      <c r="Q269" s="130"/>
      <c r="R269" s="123"/>
      <c r="S269" s="130"/>
      <c r="T269" s="130"/>
      <c r="U269" s="130"/>
      <c r="V269" s="130"/>
    </row>
    <row r="270" spans="1:22" ht="16">
      <c r="A270" s="176"/>
      <c r="B270" s="109"/>
      <c r="C270" s="109"/>
      <c r="D270" s="128"/>
      <c r="E270" s="129"/>
      <c r="F270" s="128"/>
      <c r="G270" s="130"/>
      <c r="H270" s="131"/>
      <c r="I270" s="130"/>
      <c r="J270" s="128"/>
      <c r="K270" s="130"/>
      <c r="L270" s="128"/>
      <c r="M270" s="129"/>
      <c r="N270" s="123"/>
      <c r="O270" s="130"/>
      <c r="P270" s="123"/>
      <c r="Q270" s="130"/>
      <c r="R270" s="123"/>
      <c r="S270" s="130"/>
      <c r="T270" s="130"/>
      <c r="U270" s="130"/>
      <c r="V270" s="130"/>
    </row>
    <row r="271" spans="1:22" ht="16">
      <c r="A271" s="176"/>
      <c r="B271" s="109"/>
      <c r="C271" s="109"/>
      <c r="D271" s="128"/>
      <c r="E271" s="129"/>
      <c r="F271" s="128"/>
      <c r="G271" s="130"/>
      <c r="H271" s="131"/>
      <c r="I271" s="130"/>
      <c r="J271" s="128"/>
      <c r="K271" s="130"/>
      <c r="L271" s="128"/>
      <c r="M271" s="129"/>
      <c r="N271" s="123"/>
      <c r="O271" s="130"/>
      <c r="P271" s="123"/>
      <c r="Q271" s="130"/>
      <c r="R271" s="123"/>
      <c r="S271" s="130"/>
      <c r="T271" s="130"/>
      <c r="U271" s="130"/>
      <c r="V271" s="130"/>
    </row>
    <row r="272" spans="1:22" ht="16">
      <c r="A272" s="122"/>
      <c r="B272" s="168" t="s">
        <v>633</v>
      </c>
      <c r="C272" s="337"/>
      <c r="D272" s="337"/>
      <c r="E272" s="337"/>
      <c r="F272" s="337"/>
      <c r="G272" s="337"/>
      <c r="H272" s="337"/>
      <c r="I272" s="337"/>
      <c r="J272" s="337"/>
      <c r="K272" s="337"/>
      <c r="L272" s="337"/>
      <c r="M272" s="337"/>
      <c r="N272" s="337"/>
      <c r="O272" s="337"/>
      <c r="P272" s="129"/>
      <c r="Q272" s="129"/>
      <c r="R272" s="129"/>
      <c r="S272" s="129"/>
      <c r="T272" s="129"/>
      <c r="U272" s="107" t="s">
        <v>683</v>
      </c>
      <c r="V272" s="129"/>
    </row>
    <row r="273" spans="1:22" ht="17" thickBot="1">
      <c r="A273" s="176"/>
      <c r="B273" s="109" t="s">
        <v>566</v>
      </c>
      <c r="C273" s="109"/>
      <c r="D273" s="128"/>
      <c r="E273" s="129"/>
      <c r="F273" s="128"/>
      <c r="G273" s="130"/>
      <c r="H273" s="131"/>
      <c r="I273" s="130"/>
      <c r="J273" s="128"/>
      <c r="K273" s="130"/>
      <c r="L273" s="128"/>
      <c r="M273" s="129"/>
      <c r="N273" s="123"/>
      <c r="O273" s="130"/>
      <c r="P273" s="123"/>
      <c r="Q273" s="130"/>
      <c r="R273" s="123"/>
      <c r="S273" s="130"/>
      <c r="T273" s="130"/>
      <c r="U273" s="130"/>
      <c r="V273" s="130"/>
    </row>
    <row r="274" spans="1:22" ht="57" thickBot="1">
      <c r="A274" s="122"/>
      <c r="B274" s="188"/>
      <c r="C274" s="109"/>
      <c r="D274" s="128"/>
      <c r="E274" s="116" t="s">
        <v>648</v>
      </c>
      <c r="F274" s="115"/>
      <c r="G274" s="117" t="s">
        <v>649</v>
      </c>
      <c r="H274" s="118"/>
      <c r="I274" s="117" t="s">
        <v>650</v>
      </c>
      <c r="J274" s="115"/>
      <c r="K274" s="117" t="s">
        <v>651</v>
      </c>
      <c r="L274" s="115"/>
      <c r="M274" s="116" t="s">
        <v>613</v>
      </c>
      <c r="N274" s="119"/>
      <c r="O274" s="117" t="s">
        <v>649</v>
      </c>
      <c r="P274" s="123"/>
      <c r="Q274" s="130"/>
      <c r="R274" s="123"/>
      <c r="S274" s="130"/>
      <c r="T274" s="130"/>
      <c r="U274" s="117" t="s">
        <v>614</v>
      </c>
      <c r="V274" s="130"/>
    </row>
    <row r="275" spans="1:22">
      <c r="A275" s="191"/>
      <c r="B275" s="156" t="s">
        <v>844</v>
      </c>
      <c r="C275" s="157"/>
      <c r="D275" s="128"/>
      <c r="E275" s="129"/>
      <c r="F275" s="128"/>
      <c r="G275" s="130"/>
      <c r="H275" s="131"/>
      <c r="I275" s="130"/>
      <c r="J275" s="128"/>
      <c r="K275" s="130"/>
      <c r="L275" s="128"/>
      <c r="M275" s="129"/>
      <c r="N275" s="123"/>
      <c r="O275" s="130"/>
      <c r="P275" s="123"/>
      <c r="Q275" s="130"/>
      <c r="R275" s="123"/>
      <c r="S275" s="130"/>
      <c r="T275" s="130"/>
      <c r="U275" s="132"/>
      <c r="V275" s="192"/>
    </row>
    <row r="276" spans="1:22">
      <c r="A276" s="191"/>
      <c r="B276" s="109" t="s">
        <v>845</v>
      </c>
      <c r="C276" s="109"/>
      <c r="D276" s="128"/>
      <c r="E276" s="129">
        <v>4000</v>
      </c>
      <c r="F276" s="128"/>
      <c r="G276" s="130">
        <v>880</v>
      </c>
      <c r="H276" s="131"/>
      <c r="I276" s="130" t="e">
        <v>#REF!</v>
      </c>
      <c r="J276" s="128"/>
      <c r="K276" s="130" t="e">
        <v>#REF!</v>
      </c>
      <c r="L276" s="128"/>
      <c r="M276" s="129">
        <v>200000</v>
      </c>
      <c r="N276" s="123"/>
      <c r="O276" s="130">
        <v>44000</v>
      </c>
      <c r="P276" s="123"/>
      <c r="Q276" s="130"/>
      <c r="R276" s="123"/>
      <c r="S276" s="130"/>
      <c r="T276" s="130"/>
      <c r="U276" s="132" t="s">
        <v>640</v>
      </c>
      <c r="V276" s="192"/>
    </row>
    <row r="277" spans="1:22">
      <c r="A277" s="191"/>
      <c r="B277" s="109" t="s">
        <v>846</v>
      </c>
      <c r="C277" s="109"/>
      <c r="D277" s="128"/>
      <c r="E277" s="129">
        <v>2500</v>
      </c>
      <c r="F277" s="128"/>
      <c r="G277" s="130">
        <v>550</v>
      </c>
      <c r="H277" s="131"/>
      <c r="I277" s="130"/>
      <c r="J277" s="128"/>
      <c r="K277" s="130"/>
      <c r="L277" s="128"/>
      <c r="M277" s="129">
        <v>125000</v>
      </c>
      <c r="N277" s="123"/>
      <c r="O277" s="130">
        <v>27500</v>
      </c>
      <c r="P277" s="123"/>
      <c r="Q277" s="130"/>
      <c r="R277" s="123"/>
      <c r="S277" s="130"/>
      <c r="T277" s="130"/>
      <c r="U277" s="132">
        <v>1</v>
      </c>
      <c r="V277" s="192"/>
    </row>
    <row r="278" spans="1:22">
      <c r="A278" s="191"/>
      <c r="B278" s="109" t="s">
        <v>847</v>
      </c>
      <c r="C278" s="109"/>
      <c r="D278" s="128"/>
      <c r="E278" s="129">
        <v>3450</v>
      </c>
      <c r="F278" s="128"/>
      <c r="G278" s="130">
        <v>759</v>
      </c>
      <c r="H278" s="131"/>
      <c r="I278" s="130"/>
      <c r="J278" s="128"/>
      <c r="K278" s="130"/>
      <c r="L278" s="128"/>
      <c r="M278" s="129">
        <v>172500</v>
      </c>
      <c r="N278" s="123"/>
      <c r="O278" s="130">
        <v>37950</v>
      </c>
      <c r="P278" s="123"/>
      <c r="Q278" s="130"/>
      <c r="R278" s="123"/>
      <c r="S278" s="130"/>
      <c r="T278" s="130"/>
      <c r="U278" s="132">
        <v>1</v>
      </c>
      <c r="V278" s="192"/>
    </row>
    <row r="279" spans="1:22">
      <c r="A279" s="191"/>
      <c r="B279" s="109" t="s">
        <v>848</v>
      </c>
      <c r="C279" s="109"/>
      <c r="D279" s="128"/>
      <c r="E279" s="129">
        <v>2000</v>
      </c>
      <c r="F279" s="128"/>
      <c r="G279" s="130">
        <v>440</v>
      </c>
      <c r="H279" s="131"/>
      <c r="I279" s="130"/>
      <c r="J279" s="128"/>
      <c r="K279" s="130"/>
      <c r="L279" s="128"/>
      <c r="M279" s="129">
        <v>100000</v>
      </c>
      <c r="N279" s="123"/>
      <c r="O279" s="130">
        <v>22000</v>
      </c>
      <c r="P279" s="123"/>
      <c r="Q279" s="130"/>
      <c r="R279" s="123"/>
      <c r="S279" s="130"/>
      <c r="T279" s="130"/>
      <c r="U279" s="132">
        <v>1</v>
      </c>
      <c r="V279" s="192"/>
    </row>
    <row r="280" spans="1:22">
      <c r="A280" s="191"/>
      <c r="B280" s="109" t="s">
        <v>849</v>
      </c>
      <c r="C280" s="109"/>
      <c r="D280" s="128"/>
      <c r="E280" s="129">
        <v>500</v>
      </c>
      <c r="F280" s="128"/>
      <c r="G280" s="130">
        <v>110</v>
      </c>
      <c r="H280" s="131"/>
      <c r="I280" s="130"/>
      <c r="J280" s="128"/>
      <c r="K280" s="130"/>
      <c r="L280" s="128"/>
      <c r="M280" s="129">
        <v>25000</v>
      </c>
      <c r="N280" s="123"/>
      <c r="O280" s="130">
        <v>5500</v>
      </c>
      <c r="P280" s="123"/>
      <c r="Q280" s="130"/>
      <c r="R280" s="123"/>
      <c r="S280" s="130"/>
      <c r="T280" s="130"/>
      <c r="U280" s="132">
        <v>1</v>
      </c>
      <c r="V280" s="192"/>
    </row>
    <row r="281" spans="1:22">
      <c r="A281" s="191"/>
      <c r="B281" s="109" t="s">
        <v>850</v>
      </c>
      <c r="C281" s="109"/>
      <c r="D281" s="128"/>
      <c r="E281" s="129">
        <v>2300</v>
      </c>
      <c r="F281" s="128"/>
      <c r="G281" s="130">
        <v>506</v>
      </c>
      <c r="H281" s="131"/>
      <c r="I281" s="130"/>
      <c r="J281" s="128"/>
      <c r="K281" s="130"/>
      <c r="L281" s="128"/>
      <c r="M281" s="129">
        <v>115000</v>
      </c>
      <c r="N281" s="123"/>
      <c r="O281" s="130">
        <v>25300</v>
      </c>
      <c r="P281" s="123"/>
      <c r="Q281" s="130"/>
      <c r="R281" s="123"/>
      <c r="S281" s="130"/>
      <c r="T281" s="130"/>
      <c r="U281" s="132">
        <v>1</v>
      </c>
      <c r="V281" s="192"/>
    </row>
    <row r="282" spans="1:22">
      <c r="A282" s="191"/>
      <c r="B282" s="109" t="s">
        <v>851</v>
      </c>
      <c r="C282" s="109"/>
      <c r="D282" s="128"/>
      <c r="E282" s="129">
        <v>1840</v>
      </c>
      <c r="F282" s="128"/>
      <c r="G282" s="130">
        <v>404.8</v>
      </c>
      <c r="H282" s="131"/>
      <c r="I282" s="130"/>
      <c r="J282" s="128"/>
      <c r="K282" s="130"/>
      <c r="L282" s="128"/>
      <c r="M282" s="129">
        <v>92000</v>
      </c>
      <c r="N282" s="123"/>
      <c r="O282" s="130">
        <v>20240</v>
      </c>
      <c r="P282" s="123"/>
      <c r="Q282" s="130"/>
      <c r="R282" s="123"/>
      <c r="S282" s="130"/>
      <c r="T282" s="130"/>
      <c r="U282" s="132">
        <v>1</v>
      </c>
      <c r="V282" s="192"/>
    </row>
    <row r="283" spans="1:22">
      <c r="A283" s="191"/>
      <c r="B283" s="109" t="s">
        <v>852</v>
      </c>
      <c r="C283" s="109"/>
      <c r="D283" s="128"/>
      <c r="E283" s="129">
        <v>2000</v>
      </c>
      <c r="F283" s="128"/>
      <c r="G283" s="130">
        <v>440</v>
      </c>
      <c r="H283" s="131"/>
      <c r="I283" s="130"/>
      <c r="J283" s="128"/>
      <c r="K283" s="130"/>
      <c r="L283" s="128"/>
      <c r="M283" s="129">
        <v>100000</v>
      </c>
      <c r="N283" s="123"/>
      <c r="O283" s="130">
        <v>22000</v>
      </c>
      <c r="P283" s="123"/>
      <c r="Q283" s="130"/>
      <c r="R283" s="123"/>
      <c r="S283" s="130"/>
      <c r="T283" s="130"/>
      <c r="U283" s="132">
        <v>1</v>
      </c>
      <c r="V283" s="192"/>
    </row>
    <row r="284" spans="1:22">
      <c r="A284" s="191" t="s">
        <v>566</v>
      </c>
      <c r="B284" s="109" t="s">
        <v>853</v>
      </c>
      <c r="C284" s="109"/>
      <c r="D284" s="128"/>
      <c r="E284" s="129">
        <v>1200</v>
      </c>
      <c r="F284" s="128"/>
      <c r="G284" s="130">
        <v>264</v>
      </c>
      <c r="H284" s="131"/>
      <c r="I284" s="130"/>
      <c r="J284" s="128"/>
      <c r="K284" s="130"/>
      <c r="L284" s="128"/>
      <c r="M284" s="129">
        <v>60000</v>
      </c>
      <c r="N284" s="123"/>
      <c r="O284" s="130">
        <v>13200</v>
      </c>
      <c r="P284" s="123"/>
      <c r="Q284" s="130"/>
      <c r="R284" s="123"/>
      <c r="S284" s="130"/>
      <c r="T284" s="130"/>
      <c r="U284" s="132">
        <v>1</v>
      </c>
      <c r="V284" s="192"/>
    </row>
    <row r="285" spans="1:22">
      <c r="A285" s="191"/>
      <c r="B285" s="109" t="s">
        <v>854</v>
      </c>
      <c r="C285" s="109"/>
      <c r="D285" s="128"/>
      <c r="E285" s="129">
        <v>600</v>
      </c>
      <c r="F285" s="128"/>
      <c r="G285" s="130">
        <v>132</v>
      </c>
      <c r="H285" s="131"/>
      <c r="I285" s="130"/>
      <c r="J285" s="128"/>
      <c r="K285" s="130"/>
      <c r="L285" s="128"/>
      <c r="M285" s="129">
        <v>30000</v>
      </c>
      <c r="N285" s="123"/>
      <c r="O285" s="130">
        <v>6600</v>
      </c>
      <c r="P285" s="123"/>
      <c r="Q285" s="130"/>
      <c r="R285" s="123"/>
      <c r="S285" s="130"/>
      <c r="T285" s="130"/>
      <c r="U285" s="132">
        <v>1</v>
      </c>
      <c r="V285" s="192"/>
    </row>
    <row r="286" spans="1:22">
      <c r="A286" s="191"/>
      <c r="B286" s="109" t="s">
        <v>855</v>
      </c>
      <c r="C286" s="109"/>
      <c r="D286" s="128"/>
      <c r="E286" s="129">
        <v>100</v>
      </c>
      <c r="F286" s="128"/>
      <c r="G286" s="130">
        <v>22</v>
      </c>
      <c r="H286" s="131"/>
      <c r="I286" s="130"/>
      <c r="J286" s="128"/>
      <c r="K286" s="130"/>
      <c r="L286" s="128"/>
      <c r="M286" s="129">
        <v>20000</v>
      </c>
      <c r="N286" s="123"/>
      <c r="O286" s="130">
        <v>4400</v>
      </c>
      <c r="P286" s="123"/>
      <c r="Q286" s="130"/>
      <c r="R286" s="123"/>
      <c r="S286" s="130"/>
      <c r="T286" s="130"/>
      <c r="U286" s="132" t="s">
        <v>640</v>
      </c>
      <c r="V286" s="192"/>
    </row>
    <row r="287" spans="1:22">
      <c r="A287" s="191"/>
      <c r="B287" s="109"/>
      <c r="C287" s="109"/>
      <c r="D287" s="128"/>
      <c r="E287" s="129"/>
      <c r="F287" s="128"/>
      <c r="G287" s="130"/>
      <c r="H287" s="131"/>
      <c r="I287" s="130"/>
      <c r="J287" s="128"/>
      <c r="K287" s="130"/>
      <c r="L287" s="128"/>
      <c r="M287" s="129"/>
      <c r="N287" s="123"/>
      <c r="O287" s="130"/>
      <c r="P287" s="123"/>
      <c r="Q287" s="130"/>
      <c r="R287" s="123"/>
      <c r="S287" s="130"/>
      <c r="T287" s="130"/>
      <c r="U287" s="132"/>
      <c r="V287" s="192"/>
    </row>
    <row r="288" spans="1:22">
      <c r="A288" s="191"/>
      <c r="B288" s="144" t="s">
        <v>658</v>
      </c>
      <c r="C288" s="109"/>
      <c r="D288" s="128"/>
      <c r="E288" s="129"/>
      <c r="F288" s="128"/>
      <c r="G288" s="130"/>
      <c r="H288" s="131"/>
      <c r="I288" s="130"/>
      <c r="J288" s="128"/>
      <c r="K288" s="130"/>
      <c r="L288" s="128"/>
      <c r="M288" s="129"/>
      <c r="N288" s="123"/>
      <c r="O288" s="130"/>
      <c r="P288" s="123"/>
      <c r="Q288" s="130"/>
      <c r="R288" s="123"/>
      <c r="S288" s="130"/>
      <c r="T288" s="130"/>
      <c r="U288" s="132"/>
      <c r="V288" s="192"/>
    </row>
    <row r="289" spans="1:22">
      <c r="A289" s="191"/>
      <c r="B289" s="109" t="s">
        <v>856</v>
      </c>
      <c r="C289" s="109" t="s">
        <v>566</v>
      </c>
      <c r="D289" s="128"/>
      <c r="E289" s="129">
        <v>400</v>
      </c>
      <c r="F289" s="128"/>
      <c r="G289" s="130">
        <v>88</v>
      </c>
      <c r="H289" s="131"/>
      <c r="I289" s="130"/>
      <c r="J289" s="128"/>
      <c r="K289" s="130"/>
      <c r="L289" s="128"/>
      <c r="M289" s="129">
        <v>20000</v>
      </c>
      <c r="N289" s="123"/>
      <c r="O289" s="130">
        <v>4400</v>
      </c>
      <c r="P289" s="123"/>
      <c r="Q289" s="130"/>
      <c r="R289" s="123"/>
      <c r="S289" s="130"/>
      <c r="T289" s="130"/>
      <c r="U289" s="132" t="s">
        <v>659</v>
      </c>
      <c r="V289" s="192"/>
    </row>
    <row r="290" spans="1:22" ht="16" thickBot="1">
      <c r="A290" s="191"/>
      <c r="B290" s="109"/>
      <c r="C290" s="109"/>
      <c r="D290" s="128"/>
      <c r="E290" s="129"/>
      <c r="F290" s="128"/>
      <c r="G290" s="130"/>
      <c r="H290" s="131"/>
      <c r="I290" s="130"/>
      <c r="J290" s="128"/>
      <c r="K290" s="130"/>
      <c r="L290" s="128"/>
      <c r="M290" s="129"/>
      <c r="N290" s="123"/>
      <c r="O290" s="130"/>
      <c r="P290" s="123"/>
      <c r="Q290" s="130"/>
      <c r="R290" s="123"/>
      <c r="S290" s="130"/>
      <c r="T290" s="130"/>
      <c r="U290" s="132"/>
      <c r="V290" s="192"/>
    </row>
    <row r="291" spans="1:22" ht="57" thickBot="1">
      <c r="A291" s="191"/>
      <c r="B291" s="188"/>
      <c r="C291" s="109"/>
      <c r="D291" s="128"/>
      <c r="E291" s="116" t="s">
        <v>710</v>
      </c>
      <c r="F291" s="115"/>
      <c r="G291" s="117" t="s">
        <v>649</v>
      </c>
      <c r="H291" s="118"/>
      <c r="I291" s="117" t="e">
        <v>#REF!</v>
      </c>
      <c r="J291" s="119"/>
      <c r="K291" s="117" t="e">
        <v>#REF!</v>
      </c>
      <c r="L291" s="119"/>
      <c r="M291" s="117" t="s">
        <v>711</v>
      </c>
      <c r="N291" s="123"/>
      <c r="O291" s="130"/>
      <c r="P291" s="123"/>
      <c r="Q291" s="130"/>
      <c r="R291" s="123"/>
      <c r="S291" s="130"/>
      <c r="T291" s="130"/>
      <c r="U291" s="117" t="s">
        <v>614</v>
      </c>
      <c r="V291" s="192"/>
    </row>
    <row r="292" spans="1:22">
      <c r="A292" s="191"/>
      <c r="B292" s="109" t="s">
        <v>857</v>
      </c>
      <c r="C292" s="109"/>
      <c r="D292" s="128"/>
      <c r="E292" s="129">
        <v>30000</v>
      </c>
      <c r="F292" s="128"/>
      <c r="G292" s="130">
        <v>6600</v>
      </c>
      <c r="H292" s="131"/>
      <c r="I292" s="130"/>
      <c r="J292" s="128"/>
      <c r="K292" s="130"/>
      <c r="L292" s="128"/>
      <c r="M292" s="129" t="s">
        <v>858</v>
      </c>
      <c r="N292" s="123"/>
      <c r="O292" s="130"/>
      <c r="P292" s="123"/>
      <c r="Q292" s="130"/>
      <c r="R292" s="123"/>
      <c r="S292" s="130"/>
      <c r="T292" s="130"/>
      <c r="U292" s="132" t="s">
        <v>660</v>
      </c>
      <c r="V292" s="192"/>
    </row>
    <row r="293" spans="1:22" ht="16" thickBot="1">
      <c r="A293" s="191"/>
      <c r="B293" s="109"/>
      <c r="C293" s="109"/>
      <c r="D293" s="128"/>
      <c r="E293" s="129"/>
      <c r="F293" s="128"/>
      <c r="G293" s="130"/>
      <c r="H293" s="131"/>
      <c r="I293" s="130"/>
      <c r="J293" s="128"/>
      <c r="K293" s="130"/>
      <c r="L293" s="128"/>
      <c r="M293" s="129"/>
      <c r="N293" s="123"/>
      <c r="O293" s="130"/>
      <c r="P293" s="123"/>
      <c r="Q293" s="130"/>
      <c r="R293" s="123"/>
      <c r="S293" s="130"/>
      <c r="T293" s="130"/>
      <c r="U293" s="132"/>
      <c r="V293" s="192"/>
    </row>
    <row r="294" spans="1:22" ht="57" thickBot="1">
      <c r="A294" s="191"/>
      <c r="B294" s="188"/>
      <c r="C294" s="109"/>
      <c r="D294" s="128"/>
      <c r="E294" s="116" t="s">
        <v>648</v>
      </c>
      <c r="F294" s="115"/>
      <c r="G294" s="117" t="s">
        <v>649</v>
      </c>
      <c r="H294" s="118"/>
      <c r="I294" s="117" t="s">
        <v>650</v>
      </c>
      <c r="J294" s="115"/>
      <c r="K294" s="117" t="s">
        <v>651</v>
      </c>
      <c r="L294" s="115"/>
      <c r="M294" s="116" t="s">
        <v>613</v>
      </c>
      <c r="N294" s="119"/>
      <c r="O294" s="117" t="s">
        <v>649</v>
      </c>
      <c r="P294" s="123"/>
      <c r="Q294" s="130"/>
      <c r="R294" s="123"/>
      <c r="S294" s="130"/>
      <c r="T294" s="130"/>
      <c r="U294" s="117" t="s">
        <v>614</v>
      </c>
      <c r="V294" s="192"/>
    </row>
    <row r="295" spans="1:22">
      <c r="A295" s="191"/>
      <c r="B295" s="144" t="s">
        <v>859</v>
      </c>
      <c r="C295" s="109"/>
      <c r="D295" s="128"/>
      <c r="E295" s="129"/>
      <c r="F295" s="128"/>
      <c r="G295" s="130"/>
      <c r="H295" s="131"/>
      <c r="I295" s="130"/>
      <c r="J295" s="128"/>
      <c r="K295" s="130"/>
      <c r="L295" s="128"/>
      <c r="M295" s="129"/>
      <c r="N295" s="123"/>
      <c r="O295" s="130"/>
      <c r="P295" s="123"/>
      <c r="Q295" s="130"/>
      <c r="R295" s="123"/>
      <c r="S295" s="130"/>
      <c r="T295" s="130"/>
      <c r="U295" s="130"/>
      <c r="V295" s="192"/>
    </row>
    <row r="296" spans="1:22">
      <c r="A296" s="191"/>
      <c r="B296" s="109" t="s">
        <v>860</v>
      </c>
      <c r="C296" s="148"/>
      <c r="D296" s="149" t="s">
        <v>566</v>
      </c>
      <c r="E296" s="129" t="s">
        <v>133</v>
      </c>
      <c r="F296" s="128"/>
      <c r="G296" s="130" t="s">
        <v>133</v>
      </c>
      <c r="H296" s="179"/>
      <c r="I296" s="146"/>
      <c r="J296" s="149"/>
      <c r="K296" s="146"/>
      <c r="L296" s="149"/>
      <c r="M296" s="129">
        <v>20000</v>
      </c>
      <c r="N296" s="123"/>
      <c r="O296" s="130">
        <v>4400</v>
      </c>
      <c r="P296" s="145"/>
      <c r="Q296" s="146"/>
      <c r="R296" s="145"/>
      <c r="S296" s="146"/>
      <c r="T296" s="146"/>
      <c r="U296" s="132">
        <v>30</v>
      </c>
      <c r="V296" s="192"/>
    </row>
    <row r="297" spans="1:22">
      <c r="A297" s="191"/>
      <c r="B297" s="109" t="s">
        <v>861</v>
      </c>
      <c r="C297" s="148"/>
      <c r="D297" s="149"/>
      <c r="E297" s="129" t="s">
        <v>133</v>
      </c>
      <c r="F297" s="128"/>
      <c r="G297" s="130" t="s">
        <v>133</v>
      </c>
      <c r="H297" s="179"/>
      <c r="I297" s="146"/>
      <c r="J297" s="149"/>
      <c r="K297" s="146"/>
      <c r="L297" s="149"/>
      <c r="M297" s="129">
        <v>11500</v>
      </c>
      <c r="N297" s="123"/>
      <c r="O297" s="130">
        <v>2530</v>
      </c>
      <c r="P297" s="145"/>
      <c r="Q297" s="146"/>
      <c r="R297" s="145"/>
      <c r="S297" s="146"/>
      <c r="T297" s="146"/>
      <c r="U297" s="132" t="s">
        <v>661</v>
      </c>
      <c r="V297" s="192"/>
    </row>
    <row r="298" spans="1:22">
      <c r="A298" s="191"/>
      <c r="B298" s="109"/>
      <c r="C298" s="148"/>
      <c r="D298" s="149"/>
      <c r="E298" s="129"/>
      <c r="F298" s="128"/>
      <c r="G298" s="130"/>
      <c r="H298" s="179"/>
      <c r="I298" s="146"/>
      <c r="J298" s="149"/>
      <c r="K298" s="146"/>
      <c r="L298" s="149"/>
      <c r="M298" s="129"/>
      <c r="N298" s="123"/>
      <c r="O298" s="130"/>
      <c r="P298" s="145"/>
      <c r="Q298" s="146"/>
      <c r="R298" s="145"/>
      <c r="S298" s="146"/>
      <c r="T298" s="146"/>
      <c r="U298" s="146"/>
      <c r="V298" s="192"/>
    </row>
    <row r="299" spans="1:22">
      <c r="A299" s="191"/>
      <c r="B299" s="127" t="s">
        <v>862</v>
      </c>
      <c r="C299" s="109"/>
      <c r="D299" s="128"/>
      <c r="E299" s="129"/>
      <c r="F299" s="128"/>
      <c r="G299" s="130"/>
      <c r="H299" s="131"/>
      <c r="I299" s="130"/>
      <c r="J299" s="128"/>
      <c r="K299" s="130"/>
      <c r="L299" s="128"/>
      <c r="M299" s="129"/>
      <c r="N299" s="123"/>
      <c r="O299" s="130"/>
      <c r="P299" s="123"/>
      <c r="Q299" s="130"/>
      <c r="R299" s="123"/>
      <c r="S299" s="130"/>
      <c r="T299" s="130"/>
      <c r="U299" s="130"/>
      <c r="V299" s="192"/>
    </row>
    <row r="300" spans="1:22">
      <c r="A300" s="191"/>
      <c r="B300" s="109" t="s">
        <v>863</v>
      </c>
      <c r="C300" s="109" t="s">
        <v>566</v>
      </c>
      <c r="D300" s="128"/>
      <c r="E300" s="129">
        <v>240</v>
      </c>
      <c r="F300" s="128"/>
      <c r="G300" s="130">
        <v>52.8</v>
      </c>
      <c r="H300" s="131"/>
      <c r="I300" s="130"/>
      <c r="J300" s="128"/>
      <c r="K300" s="130"/>
      <c r="L300" s="128"/>
      <c r="M300" s="129">
        <v>12000</v>
      </c>
      <c r="N300" s="123"/>
      <c r="O300" s="130">
        <v>2640</v>
      </c>
      <c r="P300" s="123"/>
      <c r="Q300" s="130"/>
      <c r="R300" s="123"/>
      <c r="S300" s="130"/>
      <c r="T300" s="130"/>
      <c r="U300" s="132">
        <v>79</v>
      </c>
      <c r="V300" s="192"/>
    </row>
    <row r="301" spans="1:22" ht="16" thickBot="1">
      <c r="A301" s="191"/>
      <c r="B301" s="195"/>
      <c r="C301" s="194"/>
      <c r="D301" s="196"/>
      <c r="E301" s="120"/>
      <c r="F301" s="196"/>
      <c r="G301" s="120"/>
      <c r="H301" s="120"/>
      <c r="I301" s="120"/>
      <c r="J301" s="120"/>
      <c r="K301" s="120"/>
      <c r="L301" s="120"/>
      <c r="M301" s="120"/>
      <c r="N301" s="196"/>
      <c r="O301" s="120"/>
      <c r="P301" s="196"/>
      <c r="Q301" s="194"/>
      <c r="R301" s="193"/>
      <c r="S301" s="193"/>
      <c r="T301" s="193"/>
      <c r="U301" s="120"/>
      <c r="V301" s="192"/>
    </row>
    <row r="302" spans="1:22" ht="57" thickBot="1">
      <c r="A302" s="197"/>
      <c r="B302" s="198"/>
      <c r="C302" s="197" t="s">
        <v>566</v>
      </c>
      <c r="D302" s="115"/>
      <c r="E302" s="116" t="s">
        <v>710</v>
      </c>
      <c r="F302" s="115"/>
      <c r="G302" s="117" t="s">
        <v>649</v>
      </c>
      <c r="H302" s="118"/>
      <c r="I302" s="117" t="e">
        <v>#REF!</v>
      </c>
      <c r="J302" s="119"/>
      <c r="K302" s="117" t="e">
        <v>#REF!</v>
      </c>
      <c r="L302" s="119"/>
      <c r="M302" s="117" t="s">
        <v>711</v>
      </c>
      <c r="N302" s="115"/>
      <c r="O302" s="117" t="s">
        <v>561</v>
      </c>
      <c r="P302" s="115"/>
      <c r="Q302" s="169"/>
      <c r="R302" s="199"/>
      <c r="S302" s="199"/>
      <c r="T302" s="199"/>
      <c r="U302" s="117" t="s">
        <v>614</v>
      </c>
      <c r="V302" s="199"/>
    </row>
    <row r="303" spans="1:22">
      <c r="A303" s="197"/>
      <c r="B303" s="200" t="s">
        <v>662</v>
      </c>
      <c r="C303" s="201"/>
      <c r="D303" s="115"/>
      <c r="E303" s="184"/>
      <c r="F303" s="185"/>
      <c r="G303" s="173"/>
      <c r="H303" s="173"/>
      <c r="I303" s="173"/>
      <c r="J303" s="173"/>
      <c r="K303" s="173"/>
      <c r="L303" s="173"/>
      <c r="M303" s="173"/>
      <c r="N303" s="185"/>
      <c r="O303" s="173"/>
      <c r="P303" s="115"/>
      <c r="Q303" s="169"/>
      <c r="R303" s="199"/>
      <c r="S303" s="199"/>
      <c r="T303" s="199"/>
      <c r="U303" s="199"/>
      <c r="V303" s="199"/>
    </row>
    <row r="304" spans="1:22" ht="45">
      <c r="A304" s="197"/>
      <c r="B304" s="497" t="s">
        <v>864</v>
      </c>
      <c r="C304" s="497"/>
      <c r="D304" s="202" t="s">
        <v>566</v>
      </c>
      <c r="E304" s="129">
        <v>4400</v>
      </c>
      <c r="F304" s="203"/>
      <c r="G304" s="130">
        <v>968</v>
      </c>
      <c r="H304" s="204"/>
      <c r="I304" s="204"/>
      <c r="J304" s="204"/>
      <c r="K304" s="204"/>
      <c r="L304" s="204"/>
      <c r="M304" s="496" t="s">
        <v>642</v>
      </c>
      <c r="N304" s="205"/>
      <c r="O304" s="206" t="s">
        <v>133</v>
      </c>
      <c r="P304" s="207"/>
      <c r="Q304" s="316"/>
      <c r="R304" s="208"/>
      <c r="S304" s="208"/>
      <c r="T304" s="208"/>
      <c r="U304" s="209">
        <v>1</v>
      </c>
      <c r="V304" s="199"/>
    </row>
    <row r="305" spans="1:22" ht="30">
      <c r="A305" s="197"/>
      <c r="B305" s="497"/>
      <c r="C305" s="497"/>
      <c r="D305" s="202"/>
      <c r="E305" s="129">
        <v>220000</v>
      </c>
      <c r="F305" s="203"/>
      <c r="G305" s="130">
        <v>48400</v>
      </c>
      <c r="H305" s="204"/>
      <c r="I305" s="204"/>
      <c r="J305" s="204"/>
      <c r="K305" s="204"/>
      <c r="L305" s="204"/>
      <c r="M305" s="496" t="s">
        <v>241</v>
      </c>
      <c r="N305" s="205"/>
      <c r="O305" s="210">
        <v>1</v>
      </c>
      <c r="P305" s="207"/>
      <c r="Q305" s="316"/>
      <c r="R305" s="208"/>
      <c r="S305" s="208"/>
      <c r="T305" s="208"/>
      <c r="U305" s="209"/>
      <c r="V305" s="199"/>
    </row>
    <row r="306" spans="1:22">
      <c r="A306" s="197"/>
      <c r="B306" s="211"/>
      <c r="C306" s="212"/>
      <c r="D306" s="115"/>
      <c r="E306" s="184"/>
      <c r="F306" s="185"/>
      <c r="G306" s="173"/>
      <c r="H306" s="173"/>
      <c r="I306" s="173"/>
      <c r="J306" s="173"/>
      <c r="K306" s="173"/>
      <c r="L306" s="173"/>
      <c r="M306" s="173"/>
      <c r="N306" s="185"/>
      <c r="O306" s="173"/>
      <c r="P306" s="115"/>
      <c r="Q306" s="169"/>
      <c r="R306" s="199"/>
      <c r="S306" s="199"/>
      <c r="T306" s="199"/>
      <c r="U306" s="199"/>
      <c r="V306" s="199"/>
    </row>
    <row r="307" spans="1:22" ht="45">
      <c r="A307" s="197"/>
      <c r="B307" s="497" t="s">
        <v>865</v>
      </c>
      <c r="C307" s="497"/>
      <c r="D307" s="202" t="s">
        <v>566</v>
      </c>
      <c r="E307" s="129">
        <v>3600</v>
      </c>
      <c r="F307" s="203"/>
      <c r="G307" s="130">
        <v>792</v>
      </c>
      <c r="H307" s="204"/>
      <c r="I307" s="204"/>
      <c r="J307" s="204"/>
      <c r="K307" s="204"/>
      <c r="L307" s="204"/>
      <c r="M307" s="496" t="s">
        <v>642</v>
      </c>
      <c r="N307" s="205"/>
      <c r="O307" s="206" t="s">
        <v>133</v>
      </c>
      <c r="P307" s="207"/>
      <c r="Q307" s="316"/>
      <c r="R307" s="208"/>
      <c r="S307" s="208"/>
      <c r="T307" s="208"/>
      <c r="U307" s="209">
        <v>1</v>
      </c>
      <c r="V307" s="199"/>
    </row>
    <row r="308" spans="1:22" ht="30">
      <c r="A308" s="197"/>
      <c r="B308" s="497"/>
      <c r="C308" s="497"/>
      <c r="D308" s="202"/>
      <c r="E308" s="129">
        <v>180000</v>
      </c>
      <c r="F308" s="203"/>
      <c r="G308" s="130">
        <v>39600</v>
      </c>
      <c r="H308" s="204"/>
      <c r="I308" s="204"/>
      <c r="J308" s="204"/>
      <c r="K308" s="204"/>
      <c r="L308" s="204"/>
      <c r="M308" s="496" t="s">
        <v>241</v>
      </c>
      <c r="N308" s="205"/>
      <c r="O308" s="210">
        <v>1</v>
      </c>
      <c r="P308" s="207"/>
      <c r="Q308" s="316"/>
      <c r="R308" s="208"/>
      <c r="S308" s="208"/>
      <c r="T308" s="208"/>
      <c r="U308" s="209"/>
      <c r="V308" s="199"/>
    </row>
    <row r="309" spans="1:22">
      <c r="A309" s="197"/>
      <c r="B309" s="211"/>
      <c r="C309" s="212"/>
      <c r="D309" s="115"/>
      <c r="E309" s="184"/>
      <c r="F309" s="185"/>
      <c r="G309" s="173"/>
      <c r="H309" s="173"/>
      <c r="I309" s="173"/>
      <c r="J309" s="173"/>
      <c r="K309" s="173"/>
      <c r="L309" s="173"/>
      <c r="M309" s="173"/>
      <c r="N309" s="185"/>
      <c r="O309" s="173"/>
      <c r="P309" s="115"/>
      <c r="Q309" s="169"/>
      <c r="R309" s="199"/>
      <c r="S309" s="199"/>
      <c r="T309" s="199"/>
      <c r="U309" s="209"/>
      <c r="V309" s="199"/>
    </row>
    <row r="310" spans="1:22" ht="30">
      <c r="A310" s="213"/>
      <c r="B310" s="497" t="s">
        <v>866</v>
      </c>
      <c r="C310" s="497"/>
      <c r="D310" s="202" t="s">
        <v>566</v>
      </c>
      <c r="E310" s="129">
        <v>12</v>
      </c>
      <c r="F310" s="203"/>
      <c r="G310" s="130">
        <v>2.64</v>
      </c>
      <c r="H310" s="204"/>
      <c r="I310" s="204"/>
      <c r="J310" s="204"/>
      <c r="K310" s="204"/>
      <c r="L310" s="204"/>
      <c r="M310" s="496" t="s">
        <v>867</v>
      </c>
      <c r="N310" s="205"/>
      <c r="O310" s="210">
        <v>2000</v>
      </c>
      <c r="P310" s="207"/>
      <c r="Q310" s="316"/>
      <c r="R310" s="208"/>
      <c r="S310" s="208"/>
      <c r="T310" s="208"/>
      <c r="U310" s="209"/>
      <c r="V310" s="208"/>
    </row>
    <row r="311" spans="1:22" ht="15" customHeight="1">
      <c r="A311" s="213"/>
      <c r="B311" s="497"/>
      <c r="C311" s="497"/>
      <c r="D311" s="202"/>
      <c r="E311" s="129">
        <v>4</v>
      </c>
      <c r="F311" s="203"/>
      <c r="G311" s="130">
        <v>0.88</v>
      </c>
      <c r="H311" s="204"/>
      <c r="I311" s="204"/>
      <c r="J311" s="204"/>
      <c r="K311" s="204"/>
      <c r="L311" s="204"/>
      <c r="M311" s="858" t="s">
        <v>868</v>
      </c>
      <c r="N311" s="205"/>
      <c r="O311" s="210">
        <v>5000</v>
      </c>
      <c r="P311" s="207"/>
      <c r="Q311" s="316"/>
      <c r="R311" s="208"/>
      <c r="S311" s="208"/>
      <c r="T311" s="208"/>
      <c r="U311" s="209"/>
      <c r="V311" s="208"/>
    </row>
    <row r="312" spans="1:22">
      <c r="A312" s="213"/>
      <c r="B312" s="497"/>
      <c r="C312" s="497"/>
      <c r="D312" s="202"/>
      <c r="E312" s="214"/>
      <c r="F312" s="203"/>
      <c r="G312" s="215" t="s">
        <v>566</v>
      </c>
      <c r="H312" s="204"/>
      <c r="I312" s="204"/>
      <c r="J312" s="204"/>
      <c r="K312" s="204"/>
      <c r="L312" s="204"/>
      <c r="M312" s="858"/>
      <c r="N312" s="205"/>
      <c r="O312" s="210"/>
      <c r="P312" s="207"/>
      <c r="Q312" s="316"/>
      <c r="R312" s="208"/>
      <c r="S312" s="208"/>
      <c r="T312" s="208"/>
      <c r="U312" s="209"/>
      <c r="V312" s="208"/>
    </row>
    <row r="313" spans="1:22" ht="30">
      <c r="A313" s="213"/>
      <c r="B313" s="497"/>
      <c r="C313" s="497"/>
      <c r="D313" s="202" t="s">
        <v>566</v>
      </c>
      <c r="E313" s="129">
        <v>50000</v>
      </c>
      <c r="F313" s="203"/>
      <c r="G313" s="130">
        <v>11000</v>
      </c>
      <c r="H313" s="204"/>
      <c r="I313" s="204"/>
      <c r="J313" s="204"/>
      <c r="K313" s="204"/>
      <c r="L313" s="204"/>
      <c r="M313" s="496" t="s">
        <v>241</v>
      </c>
      <c r="N313" s="205"/>
      <c r="O313" s="206" t="s">
        <v>133</v>
      </c>
      <c r="P313" s="207"/>
      <c r="Q313" s="316"/>
      <c r="R313" s="208"/>
      <c r="S313" s="208"/>
      <c r="T313" s="208"/>
      <c r="U313" s="209"/>
      <c r="V313" s="208"/>
    </row>
    <row r="314" spans="1:22">
      <c r="A314" s="213"/>
      <c r="B314" s="497"/>
      <c r="C314" s="497"/>
      <c r="D314" s="202"/>
      <c r="E314" s="214"/>
      <c r="F314" s="203"/>
      <c r="G314" s="215"/>
      <c r="H314" s="204"/>
      <c r="I314" s="204"/>
      <c r="J314" s="204"/>
      <c r="K314" s="204"/>
      <c r="L314" s="204"/>
      <c r="M314" s="496"/>
      <c r="N314" s="205"/>
      <c r="O314" s="210"/>
      <c r="P314" s="207"/>
      <c r="Q314" s="316"/>
      <c r="R314" s="208"/>
      <c r="S314" s="208"/>
      <c r="T314" s="208"/>
      <c r="U314" s="209"/>
      <c r="V314" s="208"/>
    </row>
    <row r="315" spans="1:22" ht="45">
      <c r="A315" s="213"/>
      <c r="B315" s="497" t="s">
        <v>869</v>
      </c>
      <c r="C315" s="497"/>
      <c r="D315" s="202"/>
      <c r="E315" s="129">
        <v>3600</v>
      </c>
      <c r="F315" s="203"/>
      <c r="G315" s="130">
        <v>792</v>
      </c>
      <c r="H315" s="204"/>
      <c r="I315" s="204"/>
      <c r="J315" s="204"/>
      <c r="K315" s="204"/>
      <c r="L315" s="204"/>
      <c r="M315" s="496" t="s">
        <v>642</v>
      </c>
      <c r="N315" s="316"/>
      <c r="O315" s="206" t="s">
        <v>133</v>
      </c>
      <c r="P315" s="316"/>
      <c r="Q315" s="316"/>
      <c r="R315" s="316"/>
      <c r="S315" s="316"/>
      <c r="T315" s="316"/>
      <c r="U315" s="209">
        <v>1</v>
      </c>
      <c r="V315" s="208"/>
    </row>
    <row r="316" spans="1:22" ht="30">
      <c r="A316" s="213"/>
      <c r="B316" s="497"/>
      <c r="C316" s="497"/>
      <c r="D316" s="202"/>
      <c r="E316" s="129">
        <v>180000</v>
      </c>
      <c r="F316" s="203"/>
      <c r="G316" s="130">
        <v>39600</v>
      </c>
      <c r="H316" s="204"/>
      <c r="I316" s="204"/>
      <c r="J316" s="204"/>
      <c r="K316" s="204"/>
      <c r="L316" s="204"/>
      <c r="M316" s="496" t="s">
        <v>241</v>
      </c>
      <c r="N316" s="205"/>
      <c r="O316" s="210">
        <v>1</v>
      </c>
      <c r="P316" s="207"/>
      <c r="Q316" s="316"/>
      <c r="R316" s="208"/>
      <c r="S316" s="208"/>
      <c r="T316" s="208"/>
      <c r="U316" s="209"/>
      <c r="V316" s="208"/>
    </row>
    <row r="317" spans="1:22">
      <c r="A317" s="213"/>
      <c r="B317" s="497"/>
      <c r="C317" s="497"/>
      <c r="D317" s="202"/>
      <c r="E317" s="214"/>
      <c r="F317" s="203"/>
      <c r="G317" s="215"/>
      <c r="H317" s="204"/>
      <c r="I317" s="204"/>
      <c r="J317" s="204"/>
      <c r="K317" s="204"/>
      <c r="L317" s="204"/>
      <c r="M317" s="496"/>
      <c r="N317" s="205"/>
      <c r="O317" s="210"/>
      <c r="P317" s="207"/>
      <c r="Q317" s="316"/>
      <c r="R317" s="208"/>
      <c r="S317" s="208"/>
      <c r="T317" s="208"/>
      <c r="U317" s="209"/>
      <c r="V317" s="208"/>
    </row>
    <row r="318" spans="1:22" ht="45">
      <c r="A318" s="213"/>
      <c r="B318" s="497" t="s">
        <v>870</v>
      </c>
      <c r="C318" s="497" t="s">
        <v>566</v>
      </c>
      <c r="D318" s="202"/>
      <c r="E318" s="214">
        <v>85</v>
      </c>
      <c r="F318" s="203"/>
      <c r="G318" s="215">
        <v>18.7</v>
      </c>
      <c r="H318" s="204"/>
      <c r="I318" s="204"/>
      <c r="J318" s="204"/>
      <c r="K318" s="204"/>
      <c r="L318" s="204"/>
      <c r="M318" s="496" t="s">
        <v>642</v>
      </c>
      <c r="N318" s="205"/>
      <c r="O318" s="206" t="s">
        <v>133</v>
      </c>
      <c r="P318" s="207"/>
      <c r="Q318" s="316"/>
      <c r="R318" s="208"/>
      <c r="S318" s="208"/>
      <c r="T318" s="208"/>
      <c r="U318" s="209"/>
      <c r="V318" s="208"/>
    </row>
    <row r="319" spans="1:22">
      <c r="A319" s="213"/>
      <c r="B319" s="497"/>
      <c r="C319" s="497"/>
      <c r="D319" s="202"/>
      <c r="E319" s="214"/>
      <c r="F319" s="203"/>
      <c r="G319" s="216"/>
      <c r="H319" s="204"/>
      <c r="I319" s="204"/>
      <c r="J319" s="204"/>
      <c r="K319" s="204"/>
      <c r="L319" s="204"/>
      <c r="M319" s="496"/>
      <c r="N319" s="205"/>
      <c r="O319" s="210"/>
      <c r="P319" s="207"/>
      <c r="Q319" s="316"/>
      <c r="R319" s="208"/>
      <c r="S319" s="208"/>
      <c r="T319" s="208"/>
      <c r="U319" s="209"/>
      <c r="V319" s="208"/>
    </row>
    <row r="320" spans="1:22" ht="30">
      <c r="A320" s="213"/>
      <c r="B320" s="497" t="s">
        <v>871</v>
      </c>
      <c r="C320" s="497" t="s">
        <v>566</v>
      </c>
      <c r="D320" s="202"/>
      <c r="E320" s="214">
        <v>110</v>
      </c>
      <c r="F320" s="203"/>
      <c r="G320" s="215">
        <v>24.2</v>
      </c>
      <c r="H320" s="204"/>
      <c r="I320" s="204"/>
      <c r="J320" s="204"/>
      <c r="K320" s="204"/>
      <c r="L320" s="204"/>
      <c r="M320" s="496" t="s">
        <v>867</v>
      </c>
      <c r="N320" s="205"/>
      <c r="O320" s="206" t="s">
        <v>133</v>
      </c>
      <c r="P320" s="207"/>
      <c r="Q320" s="316"/>
      <c r="R320" s="208"/>
      <c r="S320" s="208"/>
      <c r="T320" s="208"/>
      <c r="U320" s="209"/>
      <c r="V320" s="208"/>
    </row>
    <row r="321" spans="1:22" ht="15" customHeight="1">
      <c r="A321" s="213"/>
      <c r="B321" s="497"/>
      <c r="C321" s="497" t="s">
        <v>566</v>
      </c>
      <c r="D321" s="202" t="s">
        <v>566</v>
      </c>
      <c r="E321" s="214">
        <v>15</v>
      </c>
      <c r="F321" s="203"/>
      <c r="G321" s="215">
        <v>3.3</v>
      </c>
      <c r="H321" s="204"/>
      <c r="I321" s="204"/>
      <c r="J321" s="204"/>
      <c r="K321" s="204"/>
      <c r="L321" s="204"/>
      <c r="M321" s="858" t="s">
        <v>868</v>
      </c>
      <c r="N321" s="205"/>
      <c r="O321" s="206" t="s">
        <v>133</v>
      </c>
      <c r="P321" s="207"/>
      <c r="Q321" s="316"/>
      <c r="R321" s="208"/>
      <c r="S321" s="208"/>
      <c r="T321" s="208"/>
      <c r="U321" s="209"/>
      <c r="V321" s="208"/>
    </row>
    <row r="322" spans="1:22">
      <c r="A322" s="213"/>
      <c r="B322" s="497"/>
      <c r="C322" s="497"/>
      <c r="D322" s="202"/>
      <c r="E322" s="214"/>
      <c r="F322" s="203"/>
      <c r="G322" s="215"/>
      <c r="H322" s="204"/>
      <c r="I322" s="204"/>
      <c r="J322" s="204"/>
      <c r="K322" s="204"/>
      <c r="L322" s="204"/>
      <c r="M322" s="858"/>
      <c r="N322" s="205"/>
      <c r="O322" s="210"/>
      <c r="P322" s="207"/>
      <c r="Q322" s="316"/>
      <c r="R322" s="208"/>
      <c r="S322" s="208"/>
      <c r="T322" s="208"/>
      <c r="U322" s="209"/>
      <c r="V322" s="208"/>
    </row>
    <row r="323" spans="1:22">
      <c r="A323" s="213"/>
      <c r="B323" s="497"/>
      <c r="C323" s="497"/>
      <c r="D323" s="202"/>
      <c r="E323" s="214"/>
      <c r="F323" s="203"/>
      <c r="G323" s="215"/>
      <c r="H323" s="204"/>
      <c r="I323" s="204"/>
      <c r="J323" s="204"/>
      <c r="K323" s="204"/>
      <c r="L323" s="204"/>
      <c r="M323" s="217"/>
      <c r="N323" s="205"/>
      <c r="O323" s="210"/>
      <c r="P323" s="207"/>
      <c r="Q323" s="316"/>
      <c r="R323" s="208"/>
      <c r="S323" s="208"/>
      <c r="T323" s="208"/>
      <c r="U323" s="209"/>
      <c r="V323" s="208"/>
    </row>
    <row r="324" spans="1:22" ht="30">
      <c r="A324" s="213"/>
      <c r="B324" s="497" t="s">
        <v>872</v>
      </c>
      <c r="C324" s="497" t="s">
        <v>566</v>
      </c>
      <c r="D324" s="202"/>
      <c r="E324" s="214">
        <v>25</v>
      </c>
      <c r="F324" s="203"/>
      <c r="G324" s="215">
        <v>5.5</v>
      </c>
      <c r="H324" s="204"/>
      <c r="I324" s="204"/>
      <c r="J324" s="204"/>
      <c r="K324" s="204"/>
      <c r="L324" s="204"/>
      <c r="M324" s="496" t="s">
        <v>867</v>
      </c>
      <c r="N324" s="205"/>
      <c r="O324" s="210">
        <v>2000</v>
      </c>
      <c r="P324" s="207"/>
      <c r="Q324" s="316"/>
      <c r="R324" s="208"/>
      <c r="S324" s="208"/>
      <c r="T324" s="208"/>
      <c r="U324" s="209"/>
      <c r="V324" s="208"/>
    </row>
    <row r="325" spans="1:22" ht="15" customHeight="1">
      <c r="A325" s="213"/>
      <c r="B325" s="497"/>
      <c r="C325" s="497"/>
      <c r="D325" s="202"/>
      <c r="E325" s="214">
        <v>6</v>
      </c>
      <c r="F325" s="203"/>
      <c r="G325" s="215">
        <v>1.32</v>
      </c>
      <c r="H325" s="204"/>
      <c r="I325" s="204"/>
      <c r="J325" s="204"/>
      <c r="K325" s="204"/>
      <c r="L325" s="204"/>
      <c r="M325" s="858" t="s">
        <v>868</v>
      </c>
      <c r="N325" s="205"/>
      <c r="O325" s="210">
        <v>5000</v>
      </c>
      <c r="P325" s="207"/>
      <c r="Q325" s="316"/>
      <c r="R325" s="208"/>
      <c r="S325" s="208"/>
      <c r="T325" s="208"/>
      <c r="U325" s="209"/>
      <c r="V325" s="208"/>
    </row>
    <row r="326" spans="1:22">
      <c r="A326" s="213"/>
      <c r="B326" s="497"/>
      <c r="C326" s="497"/>
      <c r="D326" s="202"/>
      <c r="E326" s="214"/>
      <c r="F326" s="203"/>
      <c r="G326" s="215"/>
      <c r="H326" s="204"/>
      <c r="I326" s="204"/>
      <c r="J326" s="204"/>
      <c r="K326" s="204"/>
      <c r="L326" s="204"/>
      <c r="M326" s="858"/>
      <c r="N326" s="205"/>
      <c r="O326" s="210"/>
      <c r="P326" s="207"/>
      <c r="Q326" s="316"/>
      <c r="R326" s="208"/>
      <c r="S326" s="208"/>
      <c r="T326" s="208"/>
      <c r="U326" s="209"/>
      <c r="V326" s="208"/>
    </row>
    <row r="327" spans="1:22">
      <c r="A327" s="213"/>
      <c r="B327" s="497"/>
      <c r="C327" s="497"/>
      <c r="D327" s="202"/>
      <c r="E327" s="214"/>
      <c r="F327" s="203"/>
      <c r="G327" s="215"/>
      <c r="H327" s="204"/>
      <c r="I327" s="204"/>
      <c r="J327" s="204"/>
      <c r="K327" s="204"/>
      <c r="L327" s="204"/>
      <c r="M327" s="496"/>
      <c r="N327" s="205"/>
      <c r="O327" s="210"/>
      <c r="P327" s="207"/>
      <c r="Q327" s="316"/>
      <c r="R327" s="208"/>
      <c r="S327" s="208"/>
      <c r="T327" s="208"/>
      <c r="U327" s="209"/>
      <c r="V327" s="208"/>
    </row>
    <row r="328" spans="1:22" ht="30">
      <c r="A328" s="213"/>
      <c r="B328" s="497" t="s">
        <v>873</v>
      </c>
      <c r="C328" s="497" t="s">
        <v>566</v>
      </c>
      <c r="D328" s="202"/>
      <c r="E328" s="214">
        <v>35000</v>
      </c>
      <c r="F328" s="203"/>
      <c r="G328" s="215">
        <v>7700</v>
      </c>
      <c r="H328" s="204"/>
      <c r="I328" s="204"/>
      <c r="J328" s="204"/>
      <c r="K328" s="204"/>
      <c r="L328" s="204"/>
      <c r="M328" s="496" t="s">
        <v>241</v>
      </c>
      <c r="N328" s="205"/>
      <c r="O328" s="210">
        <v>1</v>
      </c>
      <c r="P328" s="207"/>
      <c r="Q328" s="316"/>
      <c r="R328" s="208"/>
      <c r="S328" s="208"/>
      <c r="T328" s="208"/>
      <c r="U328" s="209"/>
      <c r="V328" s="208"/>
    </row>
    <row r="329" spans="1:22">
      <c r="A329" s="213"/>
      <c r="B329" s="497"/>
      <c r="C329" s="497"/>
      <c r="D329" s="202"/>
      <c r="E329" s="214"/>
      <c r="F329" s="203"/>
      <c r="G329" s="215"/>
      <c r="H329" s="204"/>
      <c r="I329" s="204"/>
      <c r="J329" s="204"/>
      <c r="K329" s="204"/>
      <c r="L329" s="204"/>
      <c r="M329" s="217"/>
      <c r="N329" s="205"/>
      <c r="O329" s="210"/>
      <c r="P329" s="207"/>
      <c r="Q329" s="316"/>
      <c r="R329" s="208"/>
      <c r="S329" s="208"/>
      <c r="T329" s="208"/>
      <c r="U329" s="209"/>
      <c r="V329" s="208"/>
    </row>
    <row r="330" spans="1:22" ht="45">
      <c r="A330" s="213"/>
      <c r="B330" s="497" t="s">
        <v>874</v>
      </c>
      <c r="C330" s="497"/>
      <c r="D330" s="202" t="s">
        <v>566</v>
      </c>
      <c r="E330" s="214">
        <v>700</v>
      </c>
      <c r="F330" s="203"/>
      <c r="G330" s="215">
        <v>154</v>
      </c>
      <c r="H330" s="204"/>
      <c r="I330" s="204"/>
      <c r="J330" s="204"/>
      <c r="K330" s="204"/>
      <c r="L330" s="204"/>
      <c r="M330" s="496" t="s">
        <v>642</v>
      </c>
      <c r="N330" s="205"/>
      <c r="O330" s="206" t="s">
        <v>133</v>
      </c>
      <c r="P330" s="207"/>
      <c r="Q330" s="316"/>
      <c r="R330" s="208"/>
      <c r="S330" s="208"/>
      <c r="T330" s="208"/>
      <c r="U330" s="209">
        <v>1</v>
      </c>
      <c r="V330" s="208"/>
    </row>
    <row r="331" spans="1:22" ht="30">
      <c r="A331" s="213"/>
      <c r="B331" s="497"/>
      <c r="C331" s="497"/>
      <c r="D331" s="202"/>
      <c r="E331" s="214">
        <v>35000</v>
      </c>
      <c r="F331" s="203"/>
      <c r="G331" s="215">
        <v>7700</v>
      </c>
      <c r="H331" s="204"/>
      <c r="I331" s="204"/>
      <c r="J331" s="204"/>
      <c r="K331" s="204"/>
      <c r="L331" s="204"/>
      <c r="M331" s="496" t="s">
        <v>241</v>
      </c>
      <c r="N331" s="205"/>
      <c r="O331" s="210">
        <v>1</v>
      </c>
      <c r="P331" s="207"/>
      <c r="Q331" s="316"/>
      <c r="R331" s="208"/>
      <c r="S331" s="208"/>
      <c r="T331" s="208"/>
      <c r="U331" s="209"/>
      <c r="V331" s="208"/>
    </row>
    <row r="332" spans="1:22">
      <c r="A332" s="213"/>
      <c r="B332" s="497"/>
      <c r="C332" s="497"/>
      <c r="D332" s="202"/>
      <c r="E332" s="214"/>
      <c r="F332" s="203"/>
      <c r="G332" s="215"/>
      <c r="H332" s="204"/>
      <c r="I332" s="204"/>
      <c r="J332" s="204"/>
      <c r="K332" s="204"/>
      <c r="L332" s="204"/>
      <c r="M332" s="496"/>
      <c r="N332" s="205"/>
      <c r="O332" s="210"/>
      <c r="P332" s="207"/>
      <c r="Q332" s="316"/>
      <c r="R332" s="208"/>
      <c r="S332" s="208"/>
      <c r="T332" s="208"/>
      <c r="U332" s="209"/>
      <c r="V332" s="208"/>
    </row>
    <row r="333" spans="1:22" ht="45">
      <c r="A333" s="213"/>
      <c r="B333" s="497" t="s">
        <v>875</v>
      </c>
      <c r="C333" s="497"/>
      <c r="D333" s="202"/>
      <c r="E333" s="214">
        <v>700</v>
      </c>
      <c r="F333" s="203"/>
      <c r="G333" s="215">
        <v>154</v>
      </c>
      <c r="H333" s="204"/>
      <c r="I333" s="204"/>
      <c r="J333" s="204"/>
      <c r="K333" s="204"/>
      <c r="L333" s="204"/>
      <c r="M333" s="496" t="s">
        <v>642</v>
      </c>
      <c r="N333" s="205"/>
      <c r="O333" s="206" t="s">
        <v>133</v>
      </c>
      <c r="P333" s="207"/>
      <c r="Q333" s="316"/>
      <c r="R333" s="208"/>
      <c r="S333" s="208"/>
      <c r="T333" s="208"/>
      <c r="U333" s="209">
        <v>1</v>
      </c>
      <c r="V333" s="208"/>
    </row>
    <row r="334" spans="1:22" ht="30">
      <c r="A334" s="213"/>
      <c r="B334" s="497"/>
      <c r="C334" s="497"/>
      <c r="D334" s="202"/>
      <c r="E334" s="214">
        <v>35000</v>
      </c>
      <c r="F334" s="203"/>
      <c r="G334" s="215">
        <v>7700</v>
      </c>
      <c r="H334" s="204"/>
      <c r="I334" s="204"/>
      <c r="J334" s="204"/>
      <c r="K334" s="204"/>
      <c r="L334" s="204"/>
      <c r="M334" s="496" t="s">
        <v>241</v>
      </c>
      <c r="N334" s="205"/>
      <c r="O334" s="210">
        <v>1</v>
      </c>
      <c r="P334" s="207"/>
      <c r="Q334" s="316"/>
      <c r="R334" s="208"/>
      <c r="S334" s="208"/>
      <c r="T334" s="208"/>
      <c r="U334" s="209"/>
      <c r="V334" s="208"/>
    </row>
    <row r="335" spans="1:22">
      <c r="A335" s="213"/>
      <c r="B335" s="497"/>
      <c r="C335" s="497"/>
      <c r="D335" s="202"/>
      <c r="E335" s="214"/>
      <c r="F335" s="203"/>
      <c r="G335" s="215"/>
      <c r="H335" s="204"/>
      <c r="I335" s="204"/>
      <c r="J335" s="204"/>
      <c r="K335" s="204"/>
      <c r="L335" s="204"/>
      <c r="M335" s="496"/>
      <c r="N335" s="205"/>
      <c r="O335" s="210"/>
      <c r="P335" s="207"/>
      <c r="Q335" s="316"/>
      <c r="R335" s="208"/>
      <c r="S335" s="208"/>
      <c r="T335" s="208"/>
      <c r="U335" s="209"/>
      <c r="V335" s="208"/>
    </row>
    <row r="336" spans="1:22">
      <c r="A336" s="213"/>
      <c r="B336" s="859" t="s">
        <v>876</v>
      </c>
      <c r="C336" s="859"/>
      <c r="D336" s="202"/>
      <c r="E336" s="214">
        <v>70</v>
      </c>
      <c r="F336" s="203"/>
      <c r="G336" s="215">
        <v>15.4</v>
      </c>
      <c r="H336" s="131"/>
      <c r="I336" s="130"/>
      <c r="J336" s="128"/>
      <c r="K336" s="130"/>
      <c r="L336" s="128"/>
      <c r="M336" s="129" t="s">
        <v>867</v>
      </c>
      <c r="N336" s="123"/>
      <c r="O336" s="210">
        <v>2000</v>
      </c>
      <c r="P336" s="123"/>
      <c r="Q336" s="130"/>
      <c r="R336" s="123"/>
      <c r="S336" s="130"/>
      <c r="T336" s="130"/>
      <c r="U336" s="209"/>
      <c r="V336" s="130"/>
    </row>
    <row r="337" spans="1:22" ht="15" customHeight="1">
      <c r="A337" s="213"/>
      <c r="B337" s="497"/>
      <c r="C337" s="497"/>
      <c r="D337" s="202"/>
      <c r="E337" s="214">
        <v>6</v>
      </c>
      <c r="F337" s="128"/>
      <c r="G337" s="130">
        <v>1.32</v>
      </c>
      <c r="H337" s="131"/>
      <c r="I337" s="130"/>
      <c r="J337" s="128"/>
      <c r="K337" s="130"/>
      <c r="L337" s="128"/>
      <c r="M337" s="858" t="s">
        <v>868</v>
      </c>
      <c r="N337" s="123"/>
      <c r="O337" s="210">
        <v>5000</v>
      </c>
      <c r="P337" s="207"/>
      <c r="Q337" s="316"/>
      <c r="R337" s="208"/>
      <c r="S337" s="208"/>
      <c r="T337" s="208"/>
      <c r="U337" s="209"/>
      <c r="V337" s="208"/>
    </row>
    <row r="338" spans="1:22">
      <c r="A338" s="213"/>
      <c r="B338" s="497"/>
      <c r="C338" s="497"/>
      <c r="D338" s="202"/>
      <c r="E338" s="214"/>
      <c r="F338" s="128"/>
      <c r="G338" s="130"/>
      <c r="H338" s="131"/>
      <c r="I338" s="130"/>
      <c r="J338" s="128"/>
      <c r="K338" s="130"/>
      <c r="L338" s="128"/>
      <c r="M338" s="858"/>
      <c r="N338" s="123"/>
      <c r="O338" s="206"/>
      <c r="P338" s="207"/>
      <c r="Q338" s="316"/>
      <c r="R338" s="208"/>
      <c r="S338" s="208"/>
      <c r="T338" s="208"/>
      <c r="U338" s="209"/>
      <c r="V338" s="208"/>
    </row>
    <row r="339" spans="1:22">
      <c r="A339" s="213"/>
      <c r="B339" s="497"/>
      <c r="C339" s="497"/>
      <c r="D339" s="202"/>
      <c r="E339" s="214"/>
      <c r="F339" s="128"/>
      <c r="G339" s="130"/>
      <c r="H339" s="131"/>
      <c r="I339" s="130"/>
      <c r="J339" s="128"/>
      <c r="K339" s="130"/>
      <c r="L339" s="128"/>
      <c r="M339" s="496"/>
      <c r="N339" s="123"/>
      <c r="O339" s="206"/>
      <c r="P339" s="207"/>
      <c r="Q339" s="316"/>
      <c r="R339" s="208"/>
      <c r="S339" s="208"/>
      <c r="T339" s="208"/>
      <c r="U339" s="209"/>
      <c r="V339" s="208"/>
    </row>
    <row r="340" spans="1:22" ht="30">
      <c r="A340" s="213"/>
      <c r="B340" s="497" t="s">
        <v>877</v>
      </c>
      <c r="C340" s="497"/>
      <c r="D340" s="202"/>
      <c r="E340" s="214">
        <v>100000</v>
      </c>
      <c r="F340" s="203"/>
      <c r="G340" s="215">
        <v>22000</v>
      </c>
      <c r="H340" s="204"/>
      <c r="I340" s="204"/>
      <c r="J340" s="204"/>
      <c r="K340" s="204"/>
      <c r="L340" s="204"/>
      <c r="M340" s="496" t="s">
        <v>663</v>
      </c>
      <c r="N340" s="205"/>
      <c r="O340" s="206">
        <v>1</v>
      </c>
      <c r="P340" s="207"/>
      <c r="Q340" s="316"/>
      <c r="R340" s="208"/>
      <c r="S340" s="208"/>
      <c r="T340" s="208"/>
      <c r="U340" s="209"/>
      <c r="V340" s="208"/>
    </row>
    <row r="341" spans="1:22">
      <c r="A341" s="213"/>
      <c r="B341" s="497"/>
      <c r="C341" s="497"/>
      <c r="D341" s="202"/>
      <c r="E341" s="214"/>
      <c r="F341" s="203"/>
      <c r="G341" s="215"/>
      <c r="H341" s="204"/>
      <c r="I341" s="204"/>
      <c r="J341" s="204"/>
      <c r="K341" s="204"/>
      <c r="L341" s="204"/>
      <c r="M341" s="496"/>
      <c r="N341" s="205"/>
      <c r="O341" s="210"/>
      <c r="P341" s="207"/>
      <c r="Q341" s="316"/>
      <c r="R341" s="208"/>
      <c r="S341" s="208"/>
      <c r="T341" s="208"/>
      <c r="U341" s="209"/>
      <c r="V341" s="208"/>
    </row>
    <row r="342" spans="1:22">
      <c r="A342" s="213"/>
      <c r="B342" s="859" t="s">
        <v>878</v>
      </c>
      <c r="C342" s="859"/>
      <c r="D342" s="202"/>
      <c r="E342" s="214">
        <v>46000</v>
      </c>
      <c r="F342" s="203"/>
      <c r="G342" s="215">
        <v>10120</v>
      </c>
      <c r="H342" s="131"/>
      <c r="I342" s="130"/>
      <c r="J342" s="128"/>
      <c r="K342" s="130"/>
      <c r="L342" s="128"/>
      <c r="M342" s="129" t="s">
        <v>879</v>
      </c>
      <c r="N342" s="123"/>
      <c r="O342" s="206">
        <v>1</v>
      </c>
      <c r="P342" s="123"/>
      <c r="Q342" s="130"/>
      <c r="R342" s="123"/>
      <c r="S342" s="130"/>
      <c r="T342" s="130"/>
      <c r="U342" s="218">
        <v>22</v>
      </c>
      <c r="V342" s="208"/>
    </row>
    <row r="343" spans="1:22">
      <c r="A343" s="213"/>
      <c r="B343" s="497"/>
      <c r="C343" s="497"/>
      <c r="D343" s="202"/>
      <c r="E343" s="214"/>
      <c r="F343" s="203"/>
      <c r="G343" s="215"/>
      <c r="H343" s="131"/>
      <c r="I343" s="130"/>
      <c r="J343" s="128"/>
      <c r="K343" s="130"/>
      <c r="L343" s="128"/>
      <c r="M343" s="129"/>
      <c r="N343" s="123"/>
      <c r="O343" s="206"/>
      <c r="P343" s="123"/>
      <c r="Q343" s="130"/>
      <c r="R343" s="123"/>
      <c r="S343" s="130"/>
      <c r="T343" s="130"/>
      <c r="U343" s="218"/>
      <c r="V343" s="208"/>
    </row>
    <row r="344" spans="1:22">
      <c r="A344" s="213"/>
      <c r="B344" s="860" t="s">
        <v>880</v>
      </c>
      <c r="C344" s="860"/>
      <c r="D344" s="202"/>
      <c r="E344" s="214" t="s">
        <v>566</v>
      </c>
      <c r="F344" s="203" t="s">
        <v>566</v>
      </c>
      <c r="G344" s="215"/>
      <c r="H344" s="204"/>
      <c r="I344" s="204"/>
      <c r="J344" s="204"/>
      <c r="K344" s="204"/>
      <c r="L344" s="204"/>
      <c r="M344" s="496"/>
      <c r="N344" s="205"/>
      <c r="O344" s="210"/>
      <c r="P344" s="207"/>
      <c r="Q344" s="316"/>
      <c r="R344" s="208"/>
      <c r="S344" s="208"/>
      <c r="T344" s="208"/>
      <c r="U344" s="209"/>
      <c r="V344" s="208"/>
    </row>
    <row r="345" spans="1:22" ht="30">
      <c r="A345" s="213"/>
      <c r="B345" s="219" t="s">
        <v>881</v>
      </c>
      <c r="C345" s="497"/>
      <c r="D345" s="202"/>
      <c r="E345" s="129">
        <v>8</v>
      </c>
      <c r="F345" s="128"/>
      <c r="G345" s="130">
        <v>1.76</v>
      </c>
      <c r="H345" s="204"/>
      <c r="I345" s="204"/>
      <c r="J345" s="204"/>
      <c r="K345" s="204"/>
      <c r="L345" s="204"/>
      <c r="M345" s="496" t="s">
        <v>867</v>
      </c>
      <c r="N345" s="220"/>
      <c r="O345" s="206" t="s">
        <v>133</v>
      </c>
      <c r="P345" s="207"/>
      <c r="Q345" s="316"/>
      <c r="R345" s="208"/>
      <c r="S345" s="208"/>
      <c r="T345" s="208"/>
      <c r="U345" s="209">
        <v>82</v>
      </c>
      <c r="V345" s="208"/>
    </row>
    <row r="346" spans="1:22" ht="60">
      <c r="A346" s="213"/>
      <c r="B346" s="219"/>
      <c r="C346" s="497"/>
      <c r="D346" s="202"/>
      <c r="E346" s="214">
        <v>2</v>
      </c>
      <c r="F346" s="221"/>
      <c r="G346" s="216">
        <v>0.44</v>
      </c>
      <c r="H346" s="204"/>
      <c r="I346" s="204"/>
      <c r="J346" s="204"/>
      <c r="K346" s="204"/>
      <c r="L346" s="204"/>
      <c r="M346" s="496" t="s">
        <v>868</v>
      </c>
      <c r="N346" s="220"/>
      <c r="O346" s="222" t="s">
        <v>133</v>
      </c>
      <c r="P346" s="207"/>
      <c r="Q346" s="316"/>
      <c r="R346" s="208"/>
      <c r="S346" s="208"/>
      <c r="T346" s="208"/>
      <c r="U346" s="209">
        <v>82</v>
      </c>
      <c r="V346" s="208"/>
    </row>
    <row r="347" spans="1:22" ht="30">
      <c r="A347" s="213"/>
      <c r="B347" s="219"/>
      <c r="C347" s="497"/>
      <c r="D347" s="202"/>
      <c r="E347" s="129">
        <v>25000</v>
      </c>
      <c r="F347" s="221"/>
      <c r="G347" s="130">
        <v>5500</v>
      </c>
      <c r="H347" s="204"/>
      <c r="I347" s="204"/>
      <c r="J347" s="204"/>
      <c r="K347" s="204"/>
      <c r="L347" s="204"/>
      <c r="M347" s="496" t="s">
        <v>241</v>
      </c>
      <c r="N347" s="220"/>
      <c r="O347" s="206" t="s">
        <v>133</v>
      </c>
      <c r="P347" s="207"/>
      <c r="Q347" s="316"/>
      <c r="R347" s="208"/>
      <c r="S347" s="208"/>
      <c r="T347" s="208"/>
      <c r="U347" s="209">
        <v>82</v>
      </c>
      <c r="V347" s="208"/>
    </row>
    <row r="348" spans="1:22">
      <c r="A348" s="213"/>
      <c r="B348" s="219"/>
      <c r="C348" s="497"/>
      <c r="D348" s="202"/>
      <c r="E348" s="129"/>
      <c r="F348" s="221"/>
      <c r="G348" s="130"/>
      <c r="H348" s="204"/>
      <c r="I348" s="204"/>
      <c r="J348" s="204"/>
      <c r="K348" s="204"/>
      <c r="L348" s="204"/>
      <c r="M348" s="496"/>
      <c r="N348" s="220"/>
      <c r="O348" s="206"/>
      <c r="P348" s="207"/>
      <c r="Q348" s="316"/>
      <c r="R348" s="208"/>
      <c r="S348" s="208"/>
      <c r="T348" s="208"/>
      <c r="U348" s="209"/>
      <c r="V348" s="208"/>
    </row>
    <row r="349" spans="1:22">
      <c r="A349" s="213"/>
      <c r="B349" s="219"/>
      <c r="C349" s="497"/>
      <c r="D349" s="202"/>
      <c r="E349" s="129"/>
      <c r="F349" s="221"/>
      <c r="G349" s="130"/>
      <c r="H349" s="204"/>
      <c r="I349" s="204"/>
      <c r="J349" s="204"/>
      <c r="K349" s="204"/>
      <c r="L349" s="204"/>
      <c r="M349" s="496"/>
      <c r="N349" s="220"/>
      <c r="O349" s="206"/>
      <c r="P349" s="207"/>
      <c r="Q349" s="316"/>
      <c r="R349" s="208"/>
      <c r="S349" s="208"/>
      <c r="T349" s="208"/>
      <c r="U349" s="209"/>
      <c r="V349" s="208"/>
    </row>
    <row r="350" spans="1:22">
      <c r="A350" s="213"/>
      <c r="B350" s="219"/>
      <c r="C350" s="497"/>
      <c r="D350" s="202"/>
      <c r="E350" s="129"/>
      <c r="F350" s="221"/>
      <c r="G350" s="130"/>
      <c r="H350" s="204"/>
      <c r="I350" s="204"/>
      <c r="J350" s="204"/>
      <c r="K350" s="204"/>
      <c r="L350" s="204"/>
      <c r="M350" s="496"/>
      <c r="N350" s="220"/>
      <c r="O350" s="206"/>
      <c r="P350" s="207"/>
      <c r="Q350" s="316"/>
      <c r="R350" s="208"/>
      <c r="S350" s="208"/>
      <c r="T350" s="208"/>
      <c r="U350" s="209"/>
      <c r="V350" s="208"/>
    </row>
    <row r="351" spans="1:22">
      <c r="A351" s="213"/>
      <c r="B351" s="219"/>
      <c r="C351" s="497"/>
      <c r="D351" s="202"/>
      <c r="E351" s="129"/>
      <c r="F351" s="221"/>
      <c r="G351" s="130"/>
      <c r="H351" s="204"/>
      <c r="I351" s="204"/>
      <c r="J351" s="204"/>
      <c r="K351" s="204"/>
      <c r="L351" s="204"/>
      <c r="M351" s="496"/>
      <c r="N351" s="220"/>
      <c r="O351" s="206"/>
      <c r="P351" s="207"/>
      <c r="Q351" s="316"/>
      <c r="R351" s="208"/>
      <c r="S351" s="208"/>
      <c r="T351" s="208"/>
      <c r="U351" s="209"/>
      <c r="V351" s="208"/>
    </row>
    <row r="352" spans="1:22" ht="16">
      <c r="A352" s="176"/>
      <c r="B352" s="109" t="s">
        <v>566</v>
      </c>
      <c r="C352" s="109"/>
      <c r="D352" s="128"/>
      <c r="E352" s="129"/>
      <c r="F352" s="128"/>
      <c r="G352" s="130"/>
      <c r="H352" s="131"/>
      <c r="I352" s="130"/>
      <c r="J352" s="128"/>
      <c r="K352" s="130"/>
      <c r="L352" s="128"/>
      <c r="M352" s="129"/>
      <c r="N352" s="123"/>
      <c r="O352" s="130"/>
      <c r="P352" s="123"/>
      <c r="Q352" s="130"/>
      <c r="R352" s="123"/>
      <c r="S352" s="130"/>
      <c r="T352" s="130"/>
      <c r="U352" s="130"/>
      <c r="V352" s="130"/>
    </row>
    <row r="353" spans="1:22" ht="16">
      <c r="A353" s="176"/>
      <c r="B353" s="109"/>
      <c r="C353" s="109"/>
      <c r="D353" s="128"/>
      <c r="E353" s="129"/>
      <c r="F353" s="128"/>
      <c r="G353" s="130"/>
      <c r="H353" s="131"/>
      <c r="I353" s="130"/>
      <c r="J353" s="128"/>
      <c r="K353" s="130"/>
      <c r="L353" s="128"/>
      <c r="M353" s="129"/>
      <c r="N353" s="123"/>
      <c r="O353" s="130"/>
      <c r="P353" s="123"/>
      <c r="Q353" s="130"/>
      <c r="R353" s="123"/>
      <c r="S353" s="130"/>
      <c r="T353" s="130"/>
      <c r="U353" s="130"/>
      <c r="V353" s="130"/>
    </row>
    <row r="354" spans="1:22" ht="15" customHeight="1">
      <c r="A354" s="176"/>
      <c r="B354" s="109"/>
      <c r="C354" s="109"/>
      <c r="D354" s="128"/>
      <c r="E354" s="129"/>
      <c r="F354" s="128"/>
      <c r="G354" s="130"/>
      <c r="H354" s="131"/>
      <c r="I354" s="130"/>
      <c r="J354" s="128"/>
      <c r="K354" s="130"/>
      <c r="L354" s="128"/>
      <c r="M354" s="129"/>
      <c r="N354" s="123"/>
      <c r="O354" s="130"/>
      <c r="P354" s="123"/>
      <c r="Q354" s="130"/>
      <c r="R354" s="123"/>
      <c r="S354" s="130"/>
      <c r="T354" s="130"/>
      <c r="U354" s="130"/>
      <c r="V354" s="130"/>
    </row>
    <row r="355" spans="1:22" ht="16">
      <c r="A355" s="122"/>
      <c r="B355" s="168" t="s">
        <v>633</v>
      </c>
      <c r="C355" s="337"/>
      <c r="D355" s="337"/>
      <c r="E355" s="337"/>
      <c r="F355" s="337"/>
      <c r="G355" s="337"/>
      <c r="H355" s="337"/>
      <c r="I355" s="337"/>
      <c r="J355" s="337"/>
      <c r="K355" s="337"/>
      <c r="L355" s="337"/>
      <c r="M355" s="337"/>
      <c r="N355" s="337"/>
      <c r="O355" s="337"/>
      <c r="P355" s="129"/>
      <c r="Q355" s="129"/>
      <c r="R355" s="129"/>
      <c r="S355" s="129"/>
      <c r="T355" s="129"/>
      <c r="U355" s="107" t="s">
        <v>683</v>
      </c>
      <c r="V355" s="129"/>
    </row>
    <row r="356" spans="1:22" ht="17" thickBot="1">
      <c r="A356" s="176"/>
      <c r="B356" s="109" t="s">
        <v>566</v>
      </c>
      <c r="C356" s="109"/>
      <c r="D356" s="128"/>
      <c r="E356" s="129"/>
      <c r="F356" s="128"/>
      <c r="G356" s="130"/>
      <c r="H356" s="131"/>
      <c r="I356" s="130"/>
      <c r="J356" s="128"/>
      <c r="K356" s="130"/>
      <c r="L356" s="128"/>
      <c r="M356" s="129"/>
      <c r="N356" s="123"/>
      <c r="O356" s="130"/>
      <c r="P356" s="123"/>
      <c r="Q356" s="130"/>
      <c r="R356" s="123"/>
      <c r="S356" s="130"/>
      <c r="T356" s="130"/>
      <c r="U356" s="130"/>
      <c r="V356" s="130"/>
    </row>
    <row r="357" spans="1:22" ht="57" thickBot="1">
      <c r="A357" s="122"/>
      <c r="B357" s="188"/>
      <c r="C357" s="109"/>
      <c r="D357" s="128"/>
      <c r="E357" s="116" t="s">
        <v>648</v>
      </c>
      <c r="F357" s="115"/>
      <c r="G357" s="117" t="s">
        <v>649</v>
      </c>
      <c r="H357" s="118"/>
      <c r="I357" s="117" t="s">
        <v>650</v>
      </c>
      <c r="J357" s="115"/>
      <c r="K357" s="117" t="s">
        <v>651</v>
      </c>
      <c r="L357" s="115"/>
      <c r="M357" s="116" t="s">
        <v>613</v>
      </c>
      <c r="N357" s="119"/>
      <c r="O357" s="117" t="s">
        <v>649</v>
      </c>
      <c r="P357" s="123"/>
      <c r="Q357" s="130"/>
      <c r="R357" s="123"/>
      <c r="S357" s="130"/>
      <c r="T357" s="130"/>
      <c r="U357" s="117" t="s">
        <v>614</v>
      </c>
      <c r="V357" s="130"/>
    </row>
    <row r="358" spans="1:22">
      <c r="A358" s="213"/>
      <c r="B358" s="200" t="s">
        <v>882</v>
      </c>
      <c r="C358" s="201"/>
      <c r="D358" s="202"/>
      <c r="E358" s="129"/>
      <c r="F358" s="221"/>
      <c r="G358" s="130"/>
      <c r="H358" s="204"/>
      <c r="I358" s="204"/>
      <c r="J358" s="204"/>
      <c r="K358" s="204"/>
      <c r="L358" s="204"/>
      <c r="M358" s="496"/>
      <c r="N358" s="220"/>
      <c r="O358" s="206"/>
      <c r="P358" s="207"/>
      <c r="Q358" s="316"/>
      <c r="R358" s="208"/>
      <c r="S358" s="208"/>
      <c r="T358" s="208"/>
      <c r="U358" s="209"/>
      <c r="V358" s="208"/>
    </row>
    <row r="359" spans="1:22" ht="45">
      <c r="A359" s="213"/>
      <c r="B359" s="861" t="s">
        <v>883</v>
      </c>
      <c r="C359" s="861"/>
      <c r="D359" s="202"/>
      <c r="E359" s="214">
        <v>250</v>
      </c>
      <c r="F359" s="203"/>
      <c r="G359" s="215">
        <v>55</v>
      </c>
      <c r="H359" s="204"/>
      <c r="I359" s="204"/>
      <c r="J359" s="204"/>
      <c r="K359" s="204"/>
      <c r="L359" s="204"/>
      <c r="M359" s="496" t="s">
        <v>642</v>
      </c>
      <c r="N359" s="220"/>
      <c r="O359" s="206" t="s">
        <v>133</v>
      </c>
      <c r="P359" s="207"/>
      <c r="Q359" s="316"/>
      <c r="R359" s="208"/>
      <c r="S359" s="208"/>
      <c r="T359" s="208"/>
      <c r="U359" s="209"/>
      <c r="V359" s="208"/>
    </row>
    <row r="360" spans="1:22">
      <c r="A360" s="213"/>
      <c r="B360" s="861"/>
      <c r="C360" s="861"/>
      <c r="D360" s="202"/>
      <c r="E360" s="129"/>
      <c r="F360" s="221"/>
      <c r="G360" s="130"/>
      <c r="H360" s="204"/>
      <c r="I360" s="204"/>
      <c r="J360" s="204"/>
      <c r="K360" s="204"/>
      <c r="L360" s="204"/>
      <c r="M360" s="496"/>
      <c r="N360" s="220"/>
      <c r="O360" s="206"/>
      <c r="P360" s="207"/>
      <c r="Q360" s="316"/>
      <c r="R360" s="208"/>
      <c r="S360" s="208"/>
      <c r="T360" s="208"/>
      <c r="U360" s="209"/>
      <c r="V360" s="208"/>
    </row>
    <row r="361" spans="1:22" ht="45">
      <c r="A361" s="213"/>
      <c r="B361" s="219" t="s">
        <v>884</v>
      </c>
      <c r="C361" s="497"/>
      <c r="D361" s="202"/>
      <c r="E361" s="214">
        <v>150</v>
      </c>
      <c r="F361" s="221"/>
      <c r="G361" s="215">
        <v>33</v>
      </c>
      <c r="H361" s="204"/>
      <c r="I361" s="204"/>
      <c r="J361" s="204"/>
      <c r="K361" s="204"/>
      <c r="L361" s="204"/>
      <c r="M361" s="496" t="s">
        <v>642</v>
      </c>
      <c r="N361" s="220"/>
      <c r="O361" s="206" t="s">
        <v>133</v>
      </c>
      <c r="P361" s="207"/>
      <c r="Q361" s="316"/>
      <c r="R361" s="208"/>
      <c r="S361" s="208"/>
      <c r="T361" s="208"/>
      <c r="U361" s="209"/>
      <c r="V361" s="208"/>
    </row>
    <row r="362" spans="1:22">
      <c r="A362" s="213"/>
      <c r="B362" s="219"/>
      <c r="C362" s="497"/>
      <c r="D362" s="202"/>
      <c r="E362" s="129"/>
      <c r="F362" s="221"/>
      <c r="G362" s="130"/>
      <c r="H362" s="204"/>
      <c r="I362" s="204"/>
      <c r="J362" s="204"/>
      <c r="K362" s="204"/>
      <c r="L362" s="204"/>
      <c r="M362" s="496"/>
      <c r="N362" s="220"/>
      <c r="O362" s="206"/>
      <c r="P362" s="207"/>
      <c r="Q362" s="316"/>
      <c r="R362" s="208"/>
      <c r="S362" s="208"/>
      <c r="T362" s="208"/>
      <c r="U362" s="209"/>
      <c r="V362" s="208"/>
    </row>
    <row r="363" spans="1:22">
      <c r="A363" s="213"/>
      <c r="B363" s="156" t="s">
        <v>885</v>
      </c>
      <c r="C363" s="223"/>
      <c r="D363" s="202"/>
      <c r="E363" s="214"/>
      <c r="F363" s="203"/>
      <c r="G363" s="215"/>
      <c r="H363" s="204"/>
      <c r="I363" s="204"/>
      <c r="J363" s="204"/>
      <c r="K363" s="204"/>
      <c r="L363" s="204"/>
      <c r="M363" s="217"/>
      <c r="N363" s="205"/>
      <c r="O363" s="210"/>
      <c r="P363" s="207"/>
      <c r="Q363" s="316"/>
      <c r="R363" s="208"/>
      <c r="S363" s="208"/>
      <c r="T363" s="208"/>
      <c r="U363" s="208"/>
      <c r="V363" s="208"/>
    </row>
    <row r="364" spans="1:22" ht="15" customHeight="1">
      <c r="A364" s="213"/>
      <c r="B364" s="109" t="s">
        <v>834</v>
      </c>
      <c r="C364" s="497"/>
      <c r="D364" s="202"/>
      <c r="E364" s="129">
        <v>230</v>
      </c>
      <c r="F364" s="128"/>
      <c r="G364" s="130">
        <v>50.6</v>
      </c>
      <c r="H364" s="131"/>
      <c r="I364" s="130" t="e">
        <v>#REF!</v>
      </c>
      <c r="J364" s="128"/>
      <c r="K364" s="130" t="e">
        <v>#REF!</v>
      </c>
      <c r="L364" s="128"/>
      <c r="M364" s="129">
        <v>11500</v>
      </c>
      <c r="N364" s="123"/>
      <c r="O364" s="130">
        <v>2530</v>
      </c>
      <c r="P364" s="207"/>
      <c r="Q364" s="316"/>
      <c r="R364" s="208"/>
      <c r="S364" s="208"/>
      <c r="T364" s="208"/>
      <c r="U364" s="209">
        <v>26</v>
      </c>
      <c r="V364" s="208"/>
    </row>
    <row r="365" spans="1:22">
      <c r="A365" s="213"/>
      <c r="B365" s="219"/>
      <c r="C365" s="497"/>
      <c r="D365" s="202"/>
      <c r="E365" s="214"/>
      <c r="F365" s="203"/>
      <c r="G365" s="215"/>
      <c r="H365" s="204"/>
      <c r="I365" s="204"/>
      <c r="J365" s="204"/>
      <c r="K365" s="204"/>
      <c r="L365" s="204"/>
      <c r="M365" s="496"/>
      <c r="N365" s="220"/>
      <c r="O365" s="222"/>
      <c r="P365" s="207"/>
      <c r="Q365" s="316"/>
      <c r="R365" s="208"/>
      <c r="S365" s="208"/>
      <c r="T365" s="208"/>
      <c r="U365" s="208"/>
      <c r="V365" s="208"/>
    </row>
    <row r="366" spans="1:22">
      <c r="A366" s="213"/>
      <c r="B366" s="156" t="s">
        <v>886</v>
      </c>
      <c r="C366" s="223"/>
      <c r="D366" s="202"/>
      <c r="E366" s="214"/>
      <c r="F366" s="203"/>
      <c r="G366" s="215"/>
      <c r="H366" s="204"/>
      <c r="I366" s="204"/>
      <c r="J366" s="204"/>
      <c r="K366" s="204"/>
      <c r="L366" s="204"/>
      <c r="M366" s="217"/>
      <c r="N366" s="205"/>
      <c r="O366" s="210"/>
      <c r="P366" s="207"/>
      <c r="Q366" s="316"/>
      <c r="R366" s="208"/>
      <c r="S366" s="208"/>
      <c r="T366" s="208"/>
      <c r="U366" s="208"/>
      <c r="V366" s="208"/>
    </row>
    <row r="367" spans="1:22">
      <c r="A367" s="213"/>
      <c r="B367" s="109" t="s">
        <v>887</v>
      </c>
      <c r="C367" s="497"/>
      <c r="D367" s="202"/>
      <c r="E367" s="129">
        <v>1200</v>
      </c>
      <c r="F367" s="128"/>
      <c r="G367" s="130">
        <v>264</v>
      </c>
      <c r="H367" s="131"/>
      <c r="I367" s="130" t="e">
        <v>#REF!</v>
      </c>
      <c r="J367" s="128"/>
      <c r="K367" s="130" t="e">
        <v>#REF!</v>
      </c>
      <c r="L367" s="128"/>
      <c r="M367" s="129" t="s">
        <v>642</v>
      </c>
      <c r="N367" s="123"/>
      <c r="O367" s="130" t="s">
        <v>133</v>
      </c>
      <c r="P367" s="207"/>
      <c r="Q367" s="316"/>
      <c r="R367" s="208"/>
      <c r="S367" s="208"/>
      <c r="T367" s="208"/>
      <c r="U367" s="208"/>
      <c r="V367" s="208"/>
    </row>
    <row r="368" spans="1:22" ht="15" customHeight="1">
      <c r="A368" s="213"/>
      <c r="B368" s="109" t="s">
        <v>888</v>
      </c>
      <c r="C368" s="497"/>
      <c r="D368" s="202"/>
      <c r="E368" s="129">
        <v>5800</v>
      </c>
      <c r="F368" s="128"/>
      <c r="G368" s="130">
        <v>1276</v>
      </c>
      <c r="H368" s="131"/>
      <c r="I368" s="130" t="e">
        <v>#REF!</v>
      </c>
      <c r="J368" s="128"/>
      <c r="K368" s="130" t="e">
        <v>#REF!</v>
      </c>
      <c r="L368" s="128"/>
      <c r="M368" s="129" t="s">
        <v>642</v>
      </c>
      <c r="N368" s="123"/>
      <c r="O368" s="130" t="s">
        <v>133</v>
      </c>
      <c r="P368" s="207"/>
      <c r="Q368" s="316"/>
      <c r="R368" s="208"/>
      <c r="S368" s="208"/>
      <c r="T368" s="208"/>
      <c r="U368" s="204">
        <v>32</v>
      </c>
      <c r="V368" s="208"/>
    </row>
    <row r="369" spans="1:22">
      <c r="A369" s="213"/>
      <c r="B369" s="109"/>
      <c r="C369" s="497"/>
      <c r="D369" s="202"/>
      <c r="E369" s="129"/>
      <c r="F369" s="128"/>
      <c r="G369" s="130"/>
      <c r="H369" s="131"/>
      <c r="I369" s="130"/>
      <c r="J369" s="128"/>
      <c r="K369" s="130"/>
      <c r="L369" s="128"/>
      <c r="M369" s="129"/>
      <c r="N369" s="123"/>
      <c r="O369" s="158"/>
      <c r="P369" s="207"/>
      <c r="Q369" s="316"/>
      <c r="R369" s="208"/>
      <c r="S369" s="208"/>
      <c r="T369" s="208"/>
      <c r="U369" s="208"/>
      <c r="V369" s="208"/>
    </row>
    <row r="370" spans="1:22">
      <c r="A370" s="213"/>
      <c r="B370" s="109"/>
      <c r="C370" s="497"/>
      <c r="D370" s="202"/>
      <c r="E370" s="129"/>
      <c r="F370" s="128"/>
      <c r="G370" s="130"/>
      <c r="H370" s="131"/>
      <c r="I370" s="130"/>
      <c r="J370" s="128"/>
      <c r="K370" s="130"/>
      <c r="L370" s="128"/>
      <c r="M370" s="129"/>
      <c r="N370" s="123"/>
      <c r="O370" s="158"/>
      <c r="P370" s="207"/>
      <c r="Q370" s="316"/>
      <c r="R370" s="208"/>
      <c r="S370" s="208"/>
      <c r="T370" s="208"/>
      <c r="U370" s="208"/>
      <c r="V370" s="208"/>
    </row>
    <row r="371" spans="1:22">
      <c r="A371" s="213"/>
      <c r="B371" s="109"/>
      <c r="C371" s="497"/>
      <c r="D371" s="202"/>
      <c r="E371" s="129"/>
      <c r="F371" s="128"/>
      <c r="G371" s="130"/>
      <c r="H371" s="131"/>
      <c r="I371" s="130"/>
      <c r="J371" s="128"/>
      <c r="K371" s="130"/>
      <c r="L371" s="128"/>
      <c r="M371" s="129"/>
      <c r="N371" s="123"/>
      <c r="O371" s="158"/>
      <c r="P371" s="207"/>
      <c r="Q371" s="316"/>
      <c r="R371" s="208"/>
      <c r="S371" s="208"/>
      <c r="T371" s="208"/>
      <c r="U371" s="208"/>
      <c r="V371" s="208"/>
    </row>
    <row r="372" spans="1:22">
      <c r="A372" s="213"/>
      <c r="B372" s="109"/>
      <c r="C372" s="497"/>
      <c r="D372" s="202"/>
      <c r="E372" s="129"/>
      <c r="F372" s="128" t="s">
        <v>566</v>
      </c>
      <c r="G372" s="130"/>
      <c r="H372" s="131"/>
      <c r="I372" s="130"/>
      <c r="J372" s="128"/>
      <c r="K372" s="130"/>
      <c r="L372" s="128"/>
      <c r="M372" s="129"/>
      <c r="N372" s="123"/>
      <c r="O372" s="158" t="s">
        <v>566</v>
      </c>
      <c r="P372" s="207"/>
      <c r="Q372" s="316"/>
      <c r="R372" s="208"/>
      <c r="S372" s="208"/>
      <c r="T372" s="208"/>
      <c r="U372" s="208"/>
      <c r="V372" s="208"/>
    </row>
    <row r="373" spans="1:22">
      <c r="A373" s="213"/>
      <c r="B373" s="109"/>
      <c r="C373" s="497"/>
      <c r="D373" s="202"/>
      <c r="E373" s="129"/>
      <c r="F373" s="128"/>
      <c r="G373" s="130"/>
      <c r="H373" s="131"/>
      <c r="I373" s="130"/>
      <c r="J373" s="128"/>
      <c r="K373" s="130"/>
      <c r="L373" s="128"/>
      <c r="M373" s="129"/>
      <c r="N373" s="224"/>
      <c r="O373" s="158"/>
      <c r="P373" s="207"/>
      <c r="Q373" s="316"/>
      <c r="R373" s="208"/>
      <c r="S373" s="208"/>
      <c r="T373" s="208"/>
      <c r="U373" s="208"/>
      <c r="V373" s="208"/>
    </row>
    <row r="374" spans="1:22">
      <c r="A374" s="213"/>
      <c r="B374" s="109"/>
      <c r="C374" s="497"/>
      <c r="D374" s="202"/>
      <c r="E374" s="129" t="s">
        <v>566</v>
      </c>
      <c r="F374" s="128"/>
      <c r="G374" s="130"/>
      <c r="H374" s="131"/>
      <c r="I374" s="130"/>
      <c r="J374" s="128"/>
      <c r="K374" s="130"/>
      <c r="L374" s="128"/>
      <c r="M374" s="129"/>
      <c r="N374" s="224"/>
      <c r="O374" s="158"/>
      <c r="P374" s="207"/>
      <c r="Q374" s="316"/>
      <c r="R374" s="208"/>
      <c r="S374" s="208"/>
      <c r="T374" s="208"/>
      <c r="U374" s="208"/>
      <c r="V374" s="208"/>
    </row>
    <row r="375" spans="1:22">
      <c r="A375" s="213"/>
      <c r="B375" s="109"/>
      <c r="C375" s="497"/>
      <c r="D375" s="202"/>
      <c r="E375" s="129"/>
      <c r="F375" s="128"/>
      <c r="G375" s="130"/>
      <c r="H375" s="131"/>
      <c r="I375" s="130"/>
      <c r="J375" s="128"/>
      <c r="K375" s="130"/>
      <c r="L375" s="128"/>
      <c r="M375" s="129"/>
      <c r="N375" s="224"/>
      <c r="O375" s="158"/>
      <c r="P375" s="207"/>
      <c r="Q375" s="316"/>
      <c r="R375" s="208"/>
      <c r="S375" s="208"/>
      <c r="T375" s="208"/>
      <c r="U375" s="208"/>
      <c r="V375" s="208"/>
    </row>
    <row r="376" spans="1:22" ht="16">
      <c r="A376" s="147"/>
      <c r="B376" s="168" t="s">
        <v>664</v>
      </c>
      <c r="C376" s="336"/>
      <c r="D376" s="336"/>
      <c r="E376" s="336"/>
      <c r="F376" s="336"/>
      <c r="G376" s="336"/>
      <c r="H376" s="336"/>
      <c r="I376" s="336"/>
      <c r="J376" s="336"/>
      <c r="K376" s="336"/>
      <c r="L376" s="336"/>
      <c r="M376" s="336"/>
      <c r="N376" s="336"/>
      <c r="O376" s="336"/>
      <c r="P376" s="178"/>
      <c r="Q376" s="178"/>
      <c r="R376" s="178"/>
      <c r="S376" s="178"/>
      <c r="T376" s="178"/>
      <c r="U376" s="107" t="s">
        <v>683</v>
      </c>
      <c r="V376" s="178"/>
    </row>
    <row r="377" spans="1:22" ht="17" thickBot="1">
      <c r="A377" s="147"/>
      <c r="B377" s="862" t="s">
        <v>665</v>
      </c>
      <c r="C377" s="862"/>
      <c r="D377" s="862"/>
      <c r="E377" s="862"/>
      <c r="F377" s="862"/>
      <c r="G377" s="862"/>
      <c r="H377" s="862"/>
      <c r="I377" s="862"/>
      <c r="J377" s="862"/>
      <c r="K377" s="862"/>
      <c r="L377" s="862"/>
      <c r="M377" s="862"/>
      <c r="N377" s="862"/>
      <c r="O377" s="862"/>
      <c r="P377" s="862"/>
      <c r="Q377" s="862"/>
      <c r="R377" s="862"/>
      <c r="S377" s="862"/>
      <c r="T377" s="862"/>
      <c r="U377" s="862"/>
      <c r="V377" s="315"/>
    </row>
    <row r="378" spans="1:22" ht="57" thickBot="1">
      <c r="A378" s="147"/>
      <c r="B378" s="334"/>
      <c r="C378" s="334"/>
      <c r="D378" s="334"/>
      <c r="E378" s="116" t="s">
        <v>648</v>
      </c>
      <c r="F378" s="115"/>
      <c r="G378" s="117" t="s">
        <v>649</v>
      </c>
      <c r="H378" s="118"/>
      <c r="I378" s="117" t="s">
        <v>650</v>
      </c>
      <c r="J378" s="115"/>
      <c r="K378" s="117" t="s">
        <v>651</v>
      </c>
      <c r="L378" s="115"/>
      <c r="M378" s="116" t="s">
        <v>613</v>
      </c>
      <c r="N378" s="119"/>
      <c r="O378" s="117" t="s">
        <v>649</v>
      </c>
      <c r="P378" s="178"/>
      <c r="Q378" s="178"/>
      <c r="R378" s="178"/>
      <c r="S378" s="178"/>
      <c r="T378" s="178"/>
      <c r="U378" s="117" t="s">
        <v>614</v>
      </c>
      <c r="V378" s="178"/>
    </row>
    <row r="379" spans="1:22" ht="16">
      <c r="A379" s="147"/>
      <c r="B379" s="127" t="s">
        <v>666</v>
      </c>
      <c r="C379" s="109"/>
      <c r="D379" s="128"/>
      <c r="E379" s="129"/>
      <c r="F379" s="128"/>
      <c r="G379" s="130"/>
      <c r="H379" s="131"/>
      <c r="I379" s="130"/>
      <c r="J379" s="128"/>
      <c r="K379" s="130"/>
      <c r="L379" s="128"/>
      <c r="M379" s="129"/>
      <c r="N379" s="123"/>
      <c r="O379" s="130"/>
      <c r="P379" s="178"/>
      <c r="Q379" s="178"/>
      <c r="R379" s="178"/>
      <c r="S379" s="178"/>
      <c r="T379" s="178"/>
      <c r="U379" s="173"/>
      <c r="V379" s="178"/>
    </row>
    <row r="380" spans="1:22" ht="15" customHeight="1">
      <c r="A380" s="147"/>
      <c r="B380" s="109" t="s">
        <v>705</v>
      </c>
      <c r="C380" s="109"/>
      <c r="D380" s="128" t="s">
        <v>566</v>
      </c>
      <c r="E380" s="129">
        <v>150</v>
      </c>
      <c r="F380" s="128"/>
      <c r="G380" s="130">
        <v>33</v>
      </c>
      <c r="H380" s="131"/>
      <c r="I380" s="130" t="e">
        <v>#REF!</v>
      </c>
      <c r="J380" s="128"/>
      <c r="K380" s="130" t="e">
        <v>#REF!</v>
      </c>
      <c r="L380" s="128"/>
      <c r="M380" s="129">
        <v>7500</v>
      </c>
      <c r="N380" s="123"/>
      <c r="O380" s="130">
        <v>1650</v>
      </c>
      <c r="P380" s="178"/>
      <c r="Q380" s="178"/>
      <c r="R380" s="178"/>
      <c r="S380" s="178"/>
      <c r="T380" s="178"/>
      <c r="U380" s="180">
        <v>2</v>
      </c>
      <c r="V380" s="178"/>
    </row>
    <row r="381" spans="1:22" ht="16">
      <c r="A381" s="147"/>
      <c r="B381" s="109" t="s">
        <v>706</v>
      </c>
      <c r="C381" s="109"/>
      <c r="D381" s="128"/>
      <c r="E381" s="129">
        <v>100</v>
      </c>
      <c r="F381" s="128"/>
      <c r="G381" s="130">
        <v>22</v>
      </c>
      <c r="H381" s="131"/>
      <c r="I381" s="130" t="e">
        <v>#REF!</v>
      </c>
      <c r="J381" s="128"/>
      <c r="K381" s="130" t="e">
        <v>#REF!</v>
      </c>
      <c r="L381" s="128"/>
      <c r="M381" s="129">
        <v>5000</v>
      </c>
      <c r="N381" s="123"/>
      <c r="O381" s="130">
        <v>1100</v>
      </c>
      <c r="P381" s="178"/>
      <c r="Q381" s="178"/>
      <c r="R381" s="178"/>
      <c r="S381" s="178"/>
      <c r="T381" s="178"/>
      <c r="U381" s="180">
        <v>2</v>
      </c>
      <c r="V381" s="178"/>
    </row>
    <row r="382" spans="1:22" ht="16">
      <c r="A382" s="147"/>
      <c r="B382" s="109" t="s">
        <v>707</v>
      </c>
      <c r="C382" s="109"/>
      <c r="D382" s="128"/>
      <c r="E382" s="129">
        <v>240</v>
      </c>
      <c r="F382" s="128"/>
      <c r="G382" s="130">
        <v>52.8</v>
      </c>
      <c r="H382" s="131"/>
      <c r="I382" s="130" t="e">
        <v>#REF!</v>
      </c>
      <c r="J382" s="128"/>
      <c r="K382" s="130" t="e">
        <v>#REF!</v>
      </c>
      <c r="L382" s="128"/>
      <c r="M382" s="129">
        <v>12000</v>
      </c>
      <c r="N382" s="123"/>
      <c r="O382" s="130">
        <v>2640</v>
      </c>
      <c r="P382" s="178"/>
      <c r="Q382" s="178"/>
      <c r="R382" s="178"/>
      <c r="S382" s="178"/>
      <c r="T382" s="178"/>
      <c r="U382" s="180">
        <v>2</v>
      </c>
      <c r="V382" s="178"/>
    </row>
    <row r="383" spans="1:22" ht="16">
      <c r="A383" s="147" t="s">
        <v>566</v>
      </c>
      <c r="B383" s="109" t="s">
        <v>708</v>
      </c>
      <c r="C383" s="109"/>
      <c r="D383" s="128"/>
      <c r="E383" s="129">
        <v>230</v>
      </c>
      <c r="F383" s="128"/>
      <c r="G383" s="130">
        <v>50.6</v>
      </c>
      <c r="H383" s="131"/>
      <c r="I383" s="130" t="e">
        <v>#REF!</v>
      </c>
      <c r="J383" s="128"/>
      <c r="K383" s="130" t="e">
        <v>#REF!</v>
      </c>
      <c r="L383" s="128"/>
      <c r="M383" s="129">
        <v>11500</v>
      </c>
      <c r="N383" s="123"/>
      <c r="O383" s="130">
        <v>2530</v>
      </c>
      <c r="P383" s="178"/>
      <c r="Q383" s="178"/>
      <c r="R383" s="178"/>
      <c r="S383" s="178"/>
      <c r="T383" s="178"/>
      <c r="U383" s="180">
        <v>2</v>
      </c>
      <c r="V383" s="178"/>
    </row>
    <row r="384" spans="1:22" ht="16">
      <c r="A384" s="147"/>
      <c r="B384" s="109" t="s">
        <v>709</v>
      </c>
      <c r="C384" s="109"/>
      <c r="D384" s="128"/>
      <c r="E384" s="129">
        <v>150</v>
      </c>
      <c r="F384" s="128"/>
      <c r="G384" s="130">
        <v>33</v>
      </c>
      <c r="H384" s="131"/>
      <c r="I384" s="130" t="e">
        <v>#REF!</v>
      </c>
      <c r="J384" s="128"/>
      <c r="K384" s="130" t="e">
        <v>#REF!</v>
      </c>
      <c r="L384" s="128"/>
      <c r="M384" s="129">
        <v>7500</v>
      </c>
      <c r="N384" s="123"/>
      <c r="O384" s="130">
        <v>1650</v>
      </c>
      <c r="P384" s="178"/>
      <c r="Q384" s="178"/>
      <c r="R384" s="178"/>
      <c r="S384" s="178"/>
      <c r="T384" s="178"/>
      <c r="U384" s="180">
        <v>2</v>
      </c>
      <c r="V384" s="129"/>
    </row>
    <row r="385" spans="1:22" ht="16">
      <c r="A385" s="147"/>
      <c r="B385" s="109"/>
      <c r="C385" s="109"/>
      <c r="D385" s="128"/>
      <c r="E385" s="129"/>
      <c r="F385" s="128"/>
      <c r="G385" s="130"/>
      <c r="H385" s="131"/>
      <c r="I385" s="130"/>
      <c r="J385" s="128"/>
      <c r="K385" s="130"/>
      <c r="L385" s="128"/>
      <c r="M385" s="129"/>
      <c r="N385" s="123"/>
      <c r="O385" s="130"/>
      <c r="P385" s="178"/>
      <c r="Q385" s="178"/>
      <c r="R385" s="178"/>
      <c r="S385" s="178"/>
      <c r="T385" s="178"/>
      <c r="U385" s="180"/>
      <c r="V385" s="129"/>
    </row>
    <row r="386" spans="1:22" ht="16">
      <c r="A386" s="147"/>
      <c r="B386" s="127" t="s">
        <v>794</v>
      </c>
      <c r="C386" s="109"/>
      <c r="D386" s="128"/>
      <c r="E386" s="129" t="s">
        <v>566</v>
      </c>
      <c r="F386" s="128"/>
      <c r="G386" s="130"/>
      <c r="H386" s="131"/>
      <c r="I386" s="130"/>
      <c r="J386" s="128"/>
      <c r="K386" s="130"/>
      <c r="L386" s="128"/>
      <c r="M386" s="129"/>
      <c r="N386" s="123"/>
      <c r="O386" s="130"/>
      <c r="P386" s="129"/>
      <c r="Q386" s="129"/>
      <c r="R386" s="129"/>
      <c r="S386" s="129"/>
      <c r="T386" s="129"/>
      <c r="U386" s="180"/>
      <c r="V386" s="129"/>
    </row>
    <row r="387" spans="1:22" ht="16">
      <c r="A387" s="147" t="s">
        <v>566</v>
      </c>
      <c r="B387" s="109" t="s">
        <v>795</v>
      </c>
      <c r="C387" s="109"/>
      <c r="D387" s="128"/>
      <c r="E387" s="129">
        <v>240</v>
      </c>
      <c r="F387" s="128"/>
      <c r="G387" s="130">
        <v>52.8</v>
      </c>
      <c r="H387" s="131"/>
      <c r="I387" s="130" t="e">
        <v>#REF!</v>
      </c>
      <c r="J387" s="128"/>
      <c r="K387" s="130" t="e">
        <v>#REF!</v>
      </c>
      <c r="L387" s="128"/>
      <c r="M387" s="129">
        <v>12000</v>
      </c>
      <c r="N387" s="123"/>
      <c r="O387" s="130">
        <v>2640</v>
      </c>
      <c r="P387" s="129"/>
      <c r="Q387" s="129"/>
      <c r="R387" s="129"/>
      <c r="S387" s="129"/>
      <c r="T387" s="129"/>
      <c r="U387" s="180">
        <v>9</v>
      </c>
      <c r="V387" s="129"/>
    </row>
    <row r="388" spans="1:22" ht="16">
      <c r="A388" s="147"/>
      <c r="B388" s="109" t="s">
        <v>796</v>
      </c>
      <c r="C388" s="109"/>
      <c r="D388" s="128" t="s">
        <v>566</v>
      </c>
      <c r="E388" s="129">
        <v>500</v>
      </c>
      <c r="F388" s="128"/>
      <c r="G388" s="130">
        <v>110</v>
      </c>
      <c r="H388" s="131"/>
      <c r="I388" s="130" t="e">
        <v>#VALUE!</v>
      </c>
      <c r="J388" s="128"/>
      <c r="K388" s="130" t="e">
        <v>#VALUE!</v>
      </c>
      <c r="L388" s="128"/>
      <c r="M388" s="129">
        <v>25000</v>
      </c>
      <c r="N388" s="123"/>
      <c r="O388" s="130">
        <v>5500</v>
      </c>
      <c r="P388" s="129"/>
      <c r="Q388" s="129"/>
      <c r="R388" s="129"/>
      <c r="S388" s="129"/>
      <c r="T388" s="129"/>
      <c r="U388" s="180">
        <v>9</v>
      </c>
      <c r="V388" s="129"/>
    </row>
    <row r="389" spans="1:22" ht="16">
      <c r="A389" s="147"/>
      <c r="B389" s="109" t="s">
        <v>797</v>
      </c>
      <c r="C389" s="148"/>
      <c r="D389" s="149"/>
      <c r="E389" s="129">
        <v>70</v>
      </c>
      <c r="F389" s="128"/>
      <c r="G389" s="130">
        <v>15.4</v>
      </c>
      <c r="H389" s="131"/>
      <c r="I389" s="130">
        <v>0</v>
      </c>
      <c r="J389" s="128"/>
      <c r="K389" s="130">
        <v>0</v>
      </c>
      <c r="L389" s="128"/>
      <c r="M389" s="129">
        <v>3500</v>
      </c>
      <c r="N389" s="123"/>
      <c r="O389" s="130">
        <v>770</v>
      </c>
      <c r="P389" s="129"/>
      <c r="Q389" s="129"/>
      <c r="R389" s="129"/>
      <c r="S389" s="129"/>
      <c r="T389" s="129"/>
      <c r="U389" s="180">
        <v>9</v>
      </c>
      <c r="V389" s="129"/>
    </row>
    <row r="390" spans="1:22" ht="16">
      <c r="A390" s="147" t="s">
        <v>566</v>
      </c>
      <c r="B390" s="109" t="s">
        <v>798</v>
      </c>
      <c r="C390" s="148"/>
      <c r="D390" s="149"/>
      <c r="E390" s="129">
        <v>70</v>
      </c>
      <c r="F390" s="128"/>
      <c r="G390" s="130">
        <v>15.4</v>
      </c>
      <c r="H390" s="131"/>
      <c r="I390" s="130" t="s">
        <v>133</v>
      </c>
      <c r="J390" s="128"/>
      <c r="K390" s="130" t="s">
        <v>133</v>
      </c>
      <c r="L390" s="128"/>
      <c r="M390" s="129">
        <v>3500</v>
      </c>
      <c r="N390" s="123"/>
      <c r="O390" s="130">
        <v>770</v>
      </c>
      <c r="P390" s="129"/>
      <c r="Q390" s="129"/>
      <c r="R390" s="129"/>
      <c r="S390" s="129"/>
      <c r="T390" s="129"/>
      <c r="U390" s="180">
        <v>9</v>
      </c>
      <c r="V390" s="129"/>
    </row>
    <row r="391" spans="1:22" ht="16">
      <c r="A391" s="147"/>
      <c r="B391" s="109" t="s">
        <v>799</v>
      </c>
      <c r="C391" s="148"/>
      <c r="D391" s="149"/>
      <c r="E391" s="129">
        <v>150</v>
      </c>
      <c r="F391" s="128"/>
      <c r="G391" s="130">
        <v>33</v>
      </c>
      <c r="H391" s="131"/>
      <c r="I391" s="130" t="e">
        <v>#REF!</v>
      </c>
      <c r="J391" s="128"/>
      <c r="K391" s="130" t="e">
        <v>#REF!</v>
      </c>
      <c r="L391" s="128"/>
      <c r="M391" s="129">
        <v>7500</v>
      </c>
      <c r="N391" s="123"/>
      <c r="O391" s="130">
        <v>1650</v>
      </c>
      <c r="P391" s="129"/>
      <c r="Q391" s="129"/>
      <c r="R391" s="129"/>
      <c r="S391" s="129"/>
      <c r="T391" s="129"/>
      <c r="U391" s="180">
        <v>9</v>
      </c>
      <c r="V391" s="129"/>
    </row>
    <row r="392" spans="1:22" ht="16">
      <c r="A392" s="147"/>
      <c r="B392" s="109" t="s">
        <v>800</v>
      </c>
      <c r="C392" s="148"/>
      <c r="D392" s="149"/>
      <c r="E392" s="129">
        <v>205</v>
      </c>
      <c r="F392" s="128"/>
      <c r="G392" s="130">
        <v>45.1</v>
      </c>
      <c r="H392" s="131"/>
      <c r="I392" s="130" t="e">
        <v>#REF!</v>
      </c>
      <c r="J392" s="128"/>
      <c r="K392" s="130" t="e">
        <v>#REF!</v>
      </c>
      <c r="L392" s="128"/>
      <c r="M392" s="129">
        <v>6900</v>
      </c>
      <c r="N392" s="123"/>
      <c r="O392" s="130">
        <v>1518</v>
      </c>
      <c r="P392" s="129"/>
      <c r="Q392" s="129"/>
      <c r="R392" s="129"/>
      <c r="S392" s="129"/>
      <c r="T392" s="129"/>
      <c r="U392" s="180">
        <v>9</v>
      </c>
      <c r="V392" s="129"/>
    </row>
    <row r="393" spans="1:22" ht="16">
      <c r="A393" s="147"/>
      <c r="B393" s="109"/>
      <c r="C393" s="148"/>
      <c r="D393" s="149"/>
      <c r="E393" s="129"/>
      <c r="F393" s="128"/>
      <c r="G393" s="130"/>
      <c r="H393" s="131"/>
      <c r="I393" s="130"/>
      <c r="J393" s="128"/>
      <c r="K393" s="130"/>
      <c r="L393" s="128"/>
      <c r="M393" s="129"/>
      <c r="N393" s="123"/>
      <c r="O393" s="130"/>
      <c r="P393" s="129"/>
      <c r="Q393" s="129"/>
      <c r="R393" s="129"/>
      <c r="S393" s="129"/>
      <c r="T393" s="129"/>
      <c r="U393" s="180"/>
      <c r="V393" s="129"/>
    </row>
    <row r="394" spans="1:22" ht="16">
      <c r="A394" s="147"/>
      <c r="B394" s="127" t="s">
        <v>862</v>
      </c>
      <c r="C394" s="337"/>
      <c r="D394" s="337"/>
      <c r="E394" s="129"/>
      <c r="F394" s="128"/>
      <c r="G394" s="130"/>
      <c r="H394" s="131"/>
      <c r="I394" s="130"/>
      <c r="J394" s="128"/>
      <c r="K394" s="130"/>
      <c r="L394" s="128"/>
      <c r="M394" s="129"/>
      <c r="N394" s="123"/>
      <c r="O394" s="130"/>
      <c r="P394" s="178"/>
      <c r="Q394" s="178"/>
      <c r="R394" s="178"/>
      <c r="S394" s="178"/>
      <c r="T394" s="178"/>
      <c r="U394" s="180"/>
      <c r="V394" s="178"/>
    </row>
    <row r="395" spans="1:22" ht="16">
      <c r="A395" s="147"/>
      <c r="B395" s="109" t="s">
        <v>863</v>
      </c>
      <c r="C395" s="337" t="s">
        <v>566</v>
      </c>
      <c r="D395" s="337"/>
      <c r="E395" s="129">
        <v>240</v>
      </c>
      <c r="F395" s="128"/>
      <c r="G395" s="130">
        <v>52.8</v>
      </c>
      <c r="H395" s="131"/>
      <c r="I395" s="130" t="s">
        <v>133</v>
      </c>
      <c r="J395" s="128"/>
      <c r="K395" s="130" t="s">
        <v>133</v>
      </c>
      <c r="L395" s="128"/>
      <c r="M395" s="129">
        <v>12000</v>
      </c>
      <c r="N395" s="123"/>
      <c r="O395" s="130">
        <v>2640</v>
      </c>
      <c r="P395" s="178"/>
      <c r="Q395" s="178"/>
      <c r="R395" s="178"/>
      <c r="S395" s="178"/>
      <c r="T395" s="178"/>
      <c r="U395" s="180">
        <v>79</v>
      </c>
      <c r="V395" s="178"/>
    </row>
    <row r="396" spans="1:22" ht="17" thickBot="1">
      <c r="A396" s="122"/>
      <c r="B396" s="337"/>
      <c r="C396" s="109"/>
      <c r="D396" s="128"/>
      <c r="E396" s="129"/>
      <c r="F396" s="128"/>
      <c r="G396" s="130"/>
      <c r="H396" s="131"/>
      <c r="I396" s="130"/>
      <c r="J396" s="128"/>
      <c r="K396" s="130"/>
      <c r="L396" s="128"/>
      <c r="M396" s="129"/>
      <c r="N396" s="123"/>
      <c r="O396" s="130"/>
      <c r="P396" s="123"/>
      <c r="Q396" s="130"/>
      <c r="R396" s="123"/>
      <c r="S396" s="130"/>
      <c r="T396" s="130"/>
      <c r="U396" s="132"/>
      <c r="V396" s="130"/>
    </row>
    <row r="397" spans="1:22" ht="57" thickBot="1">
      <c r="A397" s="197"/>
      <c r="B397" s="198"/>
      <c r="C397" s="197" t="s">
        <v>566</v>
      </c>
      <c r="D397" s="115"/>
      <c r="E397" s="116" t="s">
        <v>710</v>
      </c>
      <c r="F397" s="115"/>
      <c r="G397" s="117" t="s">
        <v>649</v>
      </c>
      <c r="H397" s="118"/>
      <c r="I397" s="117" t="e">
        <v>#REF!</v>
      </c>
      <c r="J397" s="119"/>
      <c r="K397" s="117" t="e">
        <v>#REF!</v>
      </c>
      <c r="L397" s="119"/>
      <c r="M397" s="117" t="s">
        <v>711</v>
      </c>
      <c r="N397" s="115"/>
      <c r="O397" s="117" t="s">
        <v>561</v>
      </c>
      <c r="P397" s="115"/>
      <c r="Q397" s="169"/>
      <c r="R397" s="199"/>
      <c r="S397" s="199"/>
      <c r="T397" s="199"/>
      <c r="U397" s="117" t="s">
        <v>614</v>
      </c>
      <c r="V397" s="199"/>
    </row>
    <row r="398" spans="1:22" ht="16">
      <c r="A398" s="147"/>
      <c r="B398" s="168" t="s">
        <v>880</v>
      </c>
      <c r="C398" s="337"/>
      <c r="D398" s="337"/>
      <c r="E398" s="337"/>
      <c r="F398" s="337"/>
      <c r="G398" s="337"/>
      <c r="H398" s="337"/>
      <c r="I398" s="337"/>
      <c r="J398" s="337"/>
      <c r="K398" s="337"/>
      <c r="L398" s="337"/>
      <c r="M398" s="337"/>
      <c r="N398" s="337"/>
      <c r="O398" s="337"/>
      <c r="P398" s="178"/>
      <c r="Q398" s="178"/>
      <c r="R398" s="178"/>
      <c r="S398" s="178"/>
      <c r="T398" s="178"/>
      <c r="U398" s="180"/>
      <c r="V398" s="178"/>
    </row>
    <row r="399" spans="1:22" ht="30">
      <c r="A399" s="147"/>
      <c r="B399" s="336" t="s">
        <v>881</v>
      </c>
      <c r="C399" s="336"/>
      <c r="D399" s="336"/>
      <c r="E399" s="225">
        <v>8</v>
      </c>
      <c r="F399" s="128"/>
      <c r="G399" s="130">
        <v>1.76</v>
      </c>
      <c r="H399" s="336"/>
      <c r="I399" s="336"/>
      <c r="J399" s="336"/>
      <c r="K399" s="336"/>
      <c r="L399" s="336"/>
      <c r="M399" s="496" t="s">
        <v>867</v>
      </c>
      <c r="N399" s="336"/>
      <c r="O399" s="206" t="s">
        <v>133</v>
      </c>
      <c r="P399" s="178"/>
      <c r="Q399" s="178"/>
      <c r="R399" s="178"/>
      <c r="S399" s="178"/>
      <c r="T399" s="178"/>
      <c r="U399" s="180">
        <v>82</v>
      </c>
      <c r="V399" s="178"/>
    </row>
    <row r="400" spans="1:22" ht="60">
      <c r="A400" s="147"/>
      <c r="B400" s="336"/>
      <c r="C400" s="336" t="s">
        <v>566</v>
      </c>
      <c r="D400" s="336"/>
      <c r="E400" s="129">
        <v>2</v>
      </c>
      <c r="F400" s="128"/>
      <c r="G400" s="158">
        <v>0.44</v>
      </c>
      <c r="H400" s="336"/>
      <c r="I400" s="336"/>
      <c r="J400" s="336"/>
      <c r="K400" s="336"/>
      <c r="L400" s="336"/>
      <c r="M400" s="496" t="s">
        <v>868</v>
      </c>
      <c r="N400" s="336"/>
      <c r="O400" s="206" t="s">
        <v>133</v>
      </c>
      <c r="P400" s="178"/>
      <c r="Q400" s="178"/>
      <c r="R400" s="178"/>
      <c r="S400" s="178"/>
      <c r="T400" s="178"/>
      <c r="U400" s="180">
        <v>82</v>
      </c>
      <c r="V400" s="178"/>
    </row>
    <row r="401" spans="1:22" ht="16">
      <c r="A401" s="147"/>
      <c r="B401" s="336" t="s">
        <v>566</v>
      </c>
      <c r="C401" s="336" t="s">
        <v>566</v>
      </c>
      <c r="D401" s="336"/>
      <c r="E401" s="129">
        <v>25000</v>
      </c>
      <c r="F401" s="128"/>
      <c r="G401" s="130">
        <v>5500</v>
      </c>
      <c r="H401" s="336"/>
      <c r="I401" s="336"/>
      <c r="J401" s="336"/>
      <c r="K401" s="336"/>
      <c r="L401" s="336"/>
      <c r="M401" s="102" t="s">
        <v>241</v>
      </c>
      <c r="N401" s="336"/>
      <c r="O401" s="206" t="s">
        <v>133</v>
      </c>
      <c r="P401" s="178"/>
      <c r="Q401" s="178"/>
      <c r="R401" s="178"/>
      <c r="S401" s="178"/>
      <c r="T401" s="178"/>
      <c r="U401" s="180">
        <v>82</v>
      </c>
      <c r="V401" s="178"/>
    </row>
    <row r="402" spans="1:22" ht="17" thickBot="1">
      <c r="A402" s="147"/>
      <c r="B402" s="336"/>
      <c r="C402" s="336"/>
      <c r="D402" s="336"/>
      <c r="E402" s="336"/>
      <c r="F402" s="336"/>
      <c r="G402" s="336"/>
      <c r="H402" s="336"/>
      <c r="I402" s="336"/>
      <c r="J402" s="336"/>
      <c r="K402" s="336"/>
      <c r="L402" s="336"/>
      <c r="M402" s="336"/>
      <c r="N402" s="336"/>
      <c r="O402" s="336"/>
      <c r="P402" s="178"/>
      <c r="Q402" s="178"/>
      <c r="R402" s="178"/>
      <c r="S402" s="178"/>
      <c r="T402" s="178"/>
      <c r="U402" s="180"/>
      <c r="V402" s="178"/>
    </row>
    <row r="403" spans="1:22" ht="57" thickBot="1">
      <c r="A403" s="197"/>
      <c r="B403" s="198"/>
      <c r="C403" s="197" t="s">
        <v>566</v>
      </c>
      <c r="D403" s="115"/>
      <c r="E403" s="116" t="s">
        <v>710</v>
      </c>
      <c r="F403" s="115"/>
      <c r="G403" s="117" t="s">
        <v>649</v>
      </c>
      <c r="H403" s="118"/>
      <c r="I403" s="117" t="e">
        <v>#REF!</v>
      </c>
      <c r="J403" s="119"/>
      <c r="K403" s="117" t="e">
        <v>#REF!</v>
      </c>
      <c r="L403" s="119"/>
      <c r="M403" s="117" t="s">
        <v>711</v>
      </c>
      <c r="N403" s="115"/>
      <c r="O403" s="117" t="s">
        <v>561</v>
      </c>
      <c r="P403" s="115"/>
      <c r="Q403" s="169"/>
      <c r="R403" s="199"/>
      <c r="S403" s="199"/>
      <c r="T403" s="199"/>
      <c r="U403" s="117" t="s">
        <v>614</v>
      </c>
      <c r="V403" s="199"/>
    </row>
    <row r="404" spans="1:22" ht="16">
      <c r="A404" s="122"/>
      <c r="B404" s="127" t="s">
        <v>667</v>
      </c>
      <c r="C404" s="109"/>
      <c r="D404" s="128"/>
      <c r="E404" s="129"/>
      <c r="F404" s="128"/>
      <c r="G404" s="130"/>
      <c r="H404" s="131"/>
      <c r="I404" s="130"/>
      <c r="J404" s="128"/>
      <c r="K404" s="130"/>
      <c r="L404" s="128"/>
      <c r="M404" s="129"/>
      <c r="N404" s="123"/>
      <c r="O404" s="130"/>
      <c r="P404" s="129"/>
      <c r="Q404" s="129"/>
      <c r="R404" s="129"/>
      <c r="S404" s="129"/>
      <c r="T404" s="129"/>
      <c r="U404" s="180"/>
      <c r="V404" s="129"/>
    </row>
    <row r="405" spans="1:22" ht="16">
      <c r="A405" s="147" t="s">
        <v>566</v>
      </c>
      <c r="B405" s="109" t="s">
        <v>889</v>
      </c>
      <c r="C405" s="109"/>
      <c r="D405" s="128" t="s">
        <v>566</v>
      </c>
      <c r="E405" s="129">
        <v>5000</v>
      </c>
      <c r="F405" s="129"/>
      <c r="G405" s="130">
        <v>1100</v>
      </c>
      <c r="H405" s="129"/>
      <c r="I405" s="129" t="e">
        <v>#REF!</v>
      </c>
      <c r="J405" s="129" t="e">
        <v>#REF!</v>
      </c>
      <c r="K405" s="129" t="e">
        <v>#REF!</v>
      </c>
      <c r="L405" s="129" t="e">
        <v>#REF!</v>
      </c>
      <c r="M405" s="129" t="s">
        <v>890</v>
      </c>
      <c r="N405" s="129"/>
      <c r="O405" s="129" t="s">
        <v>713</v>
      </c>
      <c r="P405" s="178"/>
      <c r="Q405" s="178"/>
      <c r="R405" s="178"/>
      <c r="S405" s="178"/>
      <c r="T405" s="178"/>
      <c r="U405" s="180"/>
      <c r="V405" s="178"/>
    </row>
    <row r="406" spans="1:22" ht="16">
      <c r="A406" s="147"/>
      <c r="B406" s="109"/>
      <c r="C406" s="109" t="s">
        <v>566</v>
      </c>
      <c r="D406" s="128"/>
      <c r="E406" s="129">
        <v>100</v>
      </c>
      <c r="F406" s="129"/>
      <c r="G406" s="130">
        <v>22</v>
      </c>
      <c r="H406" s="129"/>
      <c r="I406" s="129">
        <v>7700</v>
      </c>
      <c r="J406" s="129">
        <v>5250</v>
      </c>
      <c r="K406" s="129">
        <v>0</v>
      </c>
      <c r="L406" s="129">
        <v>2450</v>
      </c>
      <c r="M406" s="129" t="s">
        <v>891</v>
      </c>
      <c r="N406" s="129"/>
      <c r="O406" s="129" t="s">
        <v>713</v>
      </c>
      <c r="P406" s="178"/>
      <c r="Q406" s="178"/>
      <c r="R406" s="178"/>
      <c r="S406" s="178"/>
      <c r="T406" s="178"/>
      <c r="U406" s="180"/>
      <c r="V406" s="178"/>
    </row>
    <row r="407" spans="1:22" ht="16">
      <c r="A407" s="147"/>
      <c r="B407" s="104" t="s">
        <v>892</v>
      </c>
      <c r="C407" s="109"/>
      <c r="D407" s="128"/>
      <c r="E407" s="129">
        <v>1800</v>
      </c>
      <c r="F407" s="129"/>
      <c r="G407" s="130">
        <v>396</v>
      </c>
      <c r="H407" s="129"/>
      <c r="I407" s="129" t="e">
        <v>#REF!</v>
      </c>
      <c r="J407" s="129" t="e">
        <v>#REF!</v>
      </c>
      <c r="K407" s="129" t="e">
        <v>#REF!</v>
      </c>
      <c r="L407" s="129" t="e">
        <v>#REF!</v>
      </c>
      <c r="M407" s="129" t="s">
        <v>890</v>
      </c>
      <c r="N407" s="129"/>
      <c r="O407" s="129" t="s">
        <v>713</v>
      </c>
      <c r="P407" s="178"/>
      <c r="Q407" s="178"/>
      <c r="R407" s="178"/>
      <c r="S407" s="178"/>
      <c r="T407" s="178"/>
      <c r="U407" s="180">
        <v>23</v>
      </c>
      <c r="V407" s="178"/>
    </row>
    <row r="408" spans="1:22" ht="16">
      <c r="A408" s="147"/>
      <c r="B408" s="104"/>
      <c r="C408" s="109"/>
      <c r="D408" s="128"/>
      <c r="E408" s="129">
        <v>35</v>
      </c>
      <c r="F408" s="129"/>
      <c r="G408" s="130">
        <v>7.7</v>
      </c>
      <c r="H408" s="129"/>
      <c r="I408" s="129">
        <v>12650</v>
      </c>
      <c r="J408" s="129">
        <v>8625</v>
      </c>
      <c r="K408" s="129">
        <v>0</v>
      </c>
      <c r="L408" s="129">
        <v>4025</v>
      </c>
      <c r="M408" s="129" t="s">
        <v>891</v>
      </c>
      <c r="N408" s="129"/>
      <c r="O408" s="129" t="s">
        <v>713</v>
      </c>
      <c r="P408" s="178"/>
      <c r="Q408" s="178"/>
      <c r="R408" s="178"/>
      <c r="S408" s="178"/>
      <c r="T408" s="178"/>
      <c r="U408" s="180">
        <v>23</v>
      </c>
      <c r="V408" s="178"/>
    </row>
    <row r="409" spans="1:22" ht="16">
      <c r="A409" s="147"/>
      <c r="B409" s="104" t="s">
        <v>893</v>
      </c>
      <c r="C409" s="109"/>
      <c r="D409" s="128"/>
      <c r="E409" s="129">
        <v>1800</v>
      </c>
      <c r="F409" s="129"/>
      <c r="G409" s="130">
        <v>396</v>
      </c>
      <c r="H409" s="129"/>
      <c r="I409" s="129">
        <v>13200</v>
      </c>
      <c r="J409" s="129">
        <v>9000</v>
      </c>
      <c r="K409" s="129">
        <v>0</v>
      </c>
      <c r="L409" s="129">
        <v>4200</v>
      </c>
      <c r="M409" s="129" t="s">
        <v>890</v>
      </c>
      <c r="N409" s="129"/>
      <c r="O409" s="129" t="s">
        <v>713</v>
      </c>
      <c r="P409" s="178"/>
      <c r="Q409" s="178"/>
      <c r="R409" s="178"/>
      <c r="S409" s="178"/>
      <c r="T409" s="178"/>
      <c r="U409" s="180">
        <v>16</v>
      </c>
      <c r="V409" s="178"/>
    </row>
    <row r="410" spans="1:22" ht="16">
      <c r="A410" s="147"/>
      <c r="B410" s="104"/>
      <c r="C410" s="109"/>
      <c r="D410" s="128"/>
      <c r="E410" s="129">
        <v>35</v>
      </c>
      <c r="F410" s="129"/>
      <c r="G410" s="130">
        <v>7.7</v>
      </c>
      <c r="H410" s="129"/>
      <c r="I410" s="129">
        <v>5060</v>
      </c>
      <c r="J410" s="129">
        <v>3450</v>
      </c>
      <c r="K410" s="129">
        <v>0</v>
      </c>
      <c r="L410" s="129">
        <v>1610</v>
      </c>
      <c r="M410" s="129" t="s">
        <v>891</v>
      </c>
      <c r="N410" s="129"/>
      <c r="O410" s="129" t="s">
        <v>713</v>
      </c>
      <c r="P410" s="178"/>
      <c r="Q410" s="178"/>
      <c r="R410" s="178"/>
      <c r="S410" s="178"/>
      <c r="T410" s="178"/>
      <c r="U410" s="180">
        <v>16</v>
      </c>
      <c r="V410" s="178"/>
    </row>
    <row r="411" spans="1:22" ht="16">
      <c r="A411" s="147"/>
      <c r="B411" s="104" t="s">
        <v>894</v>
      </c>
      <c r="C411" s="109"/>
      <c r="D411" s="128"/>
      <c r="E411" s="129">
        <v>9500</v>
      </c>
      <c r="F411" s="129"/>
      <c r="G411" s="130">
        <v>2090</v>
      </c>
      <c r="H411" s="129"/>
      <c r="I411" s="129">
        <v>15400</v>
      </c>
      <c r="J411" s="129">
        <v>10500</v>
      </c>
      <c r="K411" s="129">
        <v>0</v>
      </c>
      <c r="L411" s="129">
        <v>4900</v>
      </c>
      <c r="M411" s="129" t="s">
        <v>890</v>
      </c>
      <c r="N411" s="129"/>
      <c r="O411" s="129" t="s">
        <v>713</v>
      </c>
      <c r="P411" s="129"/>
      <c r="Q411" s="129"/>
      <c r="R411" s="129"/>
      <c r="S411" s="129"/>
      <c r="T411" s="129"/>
      <c r="U411" s="180"/>
      <c r="V411" s="129"/>
    </row>
    <row r="412" spans="1:22" ht="16">
      <c r="A412" s="147"/>
      <c r="B412" s="337"/>
      <c r="C412" s="109"/>
      <c r="D412" s="128"/>
      <c r="E412" s="129">
        <v>190</v>
      </c>
      <c r="F412" s="129"/>
      <c r="G412" s="130">
        <v>41.8</v>
      </c>
      <c r="H412" s="129"/>
      <c r="I412" s="129" t="e">
        <v>#REF!</v>
      </c>
      <c r="J412" s="129" t="e">
        <v>#REF!</v>
      </c>
      <c r="K412" s="129" t="e">
        <v>#REF!</v>
      </c>
      <c r="L412" s="129" t="e">
        <v>#REF!</v>
      </c>
      <c r="M412" s="129" t="s">
        <v>891</v>
      </c>
      <c r="N412" s="129"/>
      <c r="O412" s="133" t="s">
        <v>133</v>
      </c>
      <c r="P412" s="129"/>
      <c r="Q412" s="129"/>
      <c r="R412" s="129"/>
      <c r="S412" s="129"/>
      <c r="T412" s="129"/>
      <c r="U412" s="180"/>
      <c r="V412" s="129"/>
    </row>
    <row r="413" spans="1:22" ht="16">
      <c r="A413" s="147"/>
      <c r="B413" s="104"/>
      <c r="C413" s="148"/>
      <c r="D413" s="149"/>
      <c r="E413" s="129"/>
      <c r="F413" s="129"/>
      <c r="G413" s="130"/>
      <c r="H413" s="129"/>
      <c r="I413" s="129"/>
      <c r="J413" s="129"/>
      <c r="K413" s="129"/>
      <c r="L413" s="129"/>
      <c r="M413" s="129"/>
      <c r="N413" s="129"/>
      <c r="O413" s="133"/>
      <c r="P413" s="129"/>
      <c r="Q413" s="129"/>
      <c r="R413" s="129"/>
      <c r="S413" s="129"/>
      <c r="T413" s="129"/>
      <c r="U413" s="226"/>
      <c r="V413" s="129"/>
    </row>
    <row r="414" spans="1:22" ht="16">
      <c r="A414" s="147"/>
      <c r="B414" s="174" t="s">
        <v>895</v>
      </c>
      <c r="C414" s="109"/>
      <c r="D414" s="128"/>
      <c r="E414" s="129"/>
      <c r="F414" s="129"/>
      <c r="G414" s="130"/>
      <c r="H414" s="129"/>
      <c r="I414" s="129"/>
      <c r="J414" s="129"/>
      <c r="K414" s="129"/>
      <c r="L414" s="129"/>
      <c r="M414" s="129"/>
      <c r="N414" s="129"/>
      <c r="O414" s="129"/>
      <c r="P414" s="178"/>
      <c r="Q414" s="178"/>
      <c r="R414" s="178"/>
      <c r="S414" s="178"/>
      <c r="T414" s="178"/>
      <c r="U414" s="180"/>
      <c r="V414" s="178"/>
    </row>
    <row r="415" spans="1:22" ht="16">
      <c r="A415" s="147"/>
      <c r="B415" s="104" t="s">
        <v>896</v>
      </c>
      <c r="C415" s="109"/>
      <c r="D415" s="128"/>
      <c r="E415" s="129">
        <v>8000</v>
      </c>
      <c r="F415" s="129"/>
      <c r="G415" s="130">
        <v>1760</v>
      </c>
      <c r="H415" s="129"/>
      <c r="I415" s="129">
        <v>12650</v>
      </c>
      <c r="J415" s="129">
        <v>8625</v>
      </c>
      <c r="K415" s="129">
        <v>0</v>
      </c>
      <c r="L415" s="129">
        <v>4025</v>
      </c>
      <c r="M415" s="129" t="s">
        <v>890</v>
      </c>
      <c r="N415" s="129"/>
      <c r="O415" s="133">
        <v>10</v>
      </c>
      <c r="P415" s="129"/>
      <c r="Q415" s="129"/>
      <c r="R415" s="129"/>
      <c r="S415" s="129"/>
      <c r="T415" s="129"/>
      <c r="U415" s="226"/>
      <c r="V415" s="178"/>
    </row>
    <row r="416" spans="1:22" ht="16">
      <c r="A416" s="147"/>
      <c r="B416" s="104"/>
      <c r="C416" s="109"/>
      <c r="D416" s="128"/>
      <c r="E416" s="129">
        <v>160</v>
      </c>
      <c r="F416" s="129"/>
      <c r="G416" s="130">
        <v>35.200000000000003</v>
      </c>
      <c r="H416" s="129"/>
      <c r="I416" s="129">
        <v>12650</v>
      </c>
      <c r="J416" s="129">
        <v>8625</v>
      </c>
      <c r="K416" s="129">
        <v>0</v>
      </c>
      <c r="L416" s="129">
        <v>4025</v>
      </c>
      <c r="M416" s="129" t="s">
        <v>891</v>
      </c>
      <c r="N416" s="129"/>
      <c r="O416" s="133">
        <v>500</v>
      </c>
      <c r="P416" s="129"/>
      <c r="Q416" s="129"/>
      <c r="R416" s="129"/>
      <c r="S416" s="129"/>
      <c r="T416" s="129"/>
      <c r="U416" s="226"/>
      <c r="V416" s="178"/>
    </row>
    <row r="417" spans="1:22" ht="17" thickBot="1">
      <c r="A417" s="147"/>
      <c r="B417" s="104" t="s">
        <v>566</v>
      </c>
      <c r="C417" s="109"/>
      <c r="D417" s="128"/>
      <c r="E417" s="129" t="s">
        <v>566</v>
      </c>
      <c r="F417" s="129"/>
      <c r="G417" s="130"/>
      <c r="H417" s="129"/>
      <c r="I417" s="129"/>
      <c r="J417" s="129"/>
      <c r="K417" s="129"/>
      <c r="L417" s="129"/>
      <c r="M417" s="129"/>
      <c r="N417" s="129"/>
      <c r="O417" s="158"/>
      <c r="P417" s="178"/>
      <c r="Q417" s="178"/>
      <c r="R417" s="178"/>
      <c r="S417" s="178"/>
      <c r="T417" s="178"/>
      <c r="U417" s="180"/>
      <c r="V417" s="178"/>
    </row>
    <row r="418" spans="1:22" ht="57" thickBot="1">
      <c r="A418" s="147"/>
      <c r="B418" s="227"/>
      <c r="C418" s="337" t="s">
        <v>566</v>
      </c>
      <c r="D418" s="337"/>
      <c r="E418" s="116" t="s">
        <v>648</v>
      </c>
      <c r="F418" s="115"/>
      <c r="G418" s="117" t="s">
        <v>649</v>
      </c>
      <c r="H418" s="118"/>
      <c r="I418" s="117" t="s">
        <v>650</v>
      </c>
      <c r="J418" s="115"/>
      <c r="K418" s="117" t="s">
        <v>651</v>
      </c>
      <c r="L418" s="115"/>
      <c r="M418" s="116" t="s">
        <v>613</v>
      </c>
      <c r="N418" s="119"/>
      <c r="O418" s="117" t="s">
        <v>649</v>
      </c>
      <c r="P418" s="178"/>
      <c r="Q418" s="178"/>
      <c r="R418" s="178"/>
      <c r="S418" s="178"/>
      <c r="T418" s="178"/>
      <c r="U418" s="117" t="s">
        <v>614</v>
      </c>
      <c r="V418" s="178"/>
    </row>
    <row r="419" spans="1:22" ht="16">
      <c r="A419" s="147"/>
      <c r="B419" s="168" t="s">
        <v>897</v>
      </c>
      <c r="C419" s="337"/>
      <c r="D419" s="337"/>
      <c r="E419" s="129"/>
      <c r="F419" s="129"/>
      <c r="G419" s="130"/>
      <c r="H419" s="129"/>
      <c r="I419" s="129"/>
      <c r="J419" s="129"/>
      <c r="K419" s="129"/>
      <c r="L419" s="129"/>
      <c r="M419" s="129"/>
      <c r="N419" s="129"/>
      <c r="O419" s="130"/>
      <c r="P419" s="178"/>
      <c r="Q419" s="178"/>
      <c r="R419" s="178"/>
      <c r="S419" s="178"/>
      <c r="T419" s="178"/>
      <c r="U419" s="180"/>
      <c r="V419" s="178"/>
    </row>
    <row r="420" spans="1:22" ht="16">
      <c r="A420" s="147"/>
      <c r="B420" s="336" t="s">
        <v>898</v>
      </c>
      <c r="C420" s="337"/>
      <c r="D420" s="337"/>
      <c r="E420" s="129">
        <v>8000</v>
      </c>
      <c r="F420" s="128"/>
      <c r="G420" s="130">
        <v>1760</v>
      </c>
      <c r="H420" s="131"/>
      <c r="I420" s="130"/>
      <c r="J420" s="128"/>
      <c r="K420" s="130"/>
      <c r="L420" s="128"/>
      <c r="M420" s="129" t="s">
        <v>133</v>
      </c>
      <c r="N420" s="123"/>
      <c r="O420" s="134" t="s">
        <v>133</v>
      </c>
      <c r="P420" s="178"/>
      <c r="Q420" s="178"/>
      <c r="R420" s="178"/>
      <c r="S420" s="178"/>
      <c r="T420" s="178"/>
      <c r="U420" s="180" t="s">
        <v>1294</v>
      </c>
      <c r="V420" s="178"/>
    </row>
    <row r="421" spans="1:22" ht="16">
      <c r="A421" s="147"/>
      <c r="B421" s="336" t="s">
        <v>899</v>
      </c>
      <c r="C421" s="337" t="s">
        <v>566</v>
      </c>
      <c r="D421" s="337"/>
      <c r="E421" s="129" t="s">
        <v>133</v>
      </c>
      <c r="F421" s="128"/>
      <c r="G421" s="130" t="s">
        <v>133</v>
      </c>
      <c r="H421" s="131"/>
      <c r="I421" s="130"/>
      <c r="J421" s="128"/>
      <c r="K421" s="130"/>
      <c r="L421" s="128"/>
      <c r="M421" s="129">
        <v>7000</v>
      </c>
      <c r="N421" s="123"/>
      <c r="O421" s="130">
        <v>1540</v>
      </c>
      <c r="P421" s="178"/>
      <c r="Q421" s="178"/>
      <c r="R421" s="178"/>
      <c r="S421" s="178"/>
      <c r="T421" s="178"/>
      <c r="U421" s="180">
        <v>10</v>
      </c>
      <c r="V421" s="178"/>
    </row>
    <row r="422" spans="1:22" ht="16">
      <c r="A422" s="147"/>
      <c r="B422" s="336"/>
      <c r="C422" s="337"/>
      <c r="D422" s="337"/>
      <c r="E422" s="129"/>
      <c r="F422" s="128"/>
      <c r="G422" s="130"/>
      <c r="H422" s="131"/>
      <c r="I422" s="130"/>
      <c r="J422" s="128"/>
      <c r="K422" s="130"/>
      <c r="L422" s="128"/>
      <c r="M422" s="129"/>
      <c r="N422" s="123"/>
      <c r="O422" s="130"/>
      <c r="P422" s="178"/>
      <c r="Q422" s="178"/>
      <c r="R422" s="178"/>
      <c r="S422" s="178"/>
      <c r="T422" s="178"/>
      <c r="U422" s="180"/>
      <c r="V422" s="178"/>
    </row>
    <row r="423" spans="1:22" ht="16">
      <c r="A423" s="147"/>
      <c r="B423" s="336" t="s">
        <v>900</v>
      </c>
      <c r="C423" s="337"/>
      <c r="D423" s="337" t="s">
        <v>566</v>
      </c>
      <c r="E423" s="129">
        <v>100</v>
      </c>
      <c r="F423" s="128"/>
      <c r="G423" s="130">
        <v>22</v>
      </c>
      <c r="H423" s="131"/>
      <c r="I423" s="130"/>
      <c r="J423" s="128"/>
      <c r="K423" s="130"/>
      <c r="L423" s="128"/>
      <c r="M423" s="129" t="s">
        <v>133</v>
      </c>
      <c r="N423" s="123"/>
      <c r="O423" s="130" t="s">
        <v>133</v>
      </c>
      <c r="P423" s="178"/>
      <c r="Q423" s="178"/>
      <c r="R423" s="178"/>
      <c r="S423" s="178"/>
      <c r="T423" s="178"/>
      <c r="U423" s="180" t="s">
        <v>1295</v>
      </c>
      <c r="V423" s="178"/>
    </row>
    <row r="424" spans="1:22" ht="30">
      <c r="A424" s="147"/>
      <c r="B424" s="336" t="s">
        <v>901</v>
      </c>
      <c r="C424" s="337"/>
      <c r="D424" s="337"/>
      <c r="E424" s="129">
        <v>25</v>
      </c>
      <c r="F424" s="128"/>
      <c r="G424" s="130">
        <v>5.5</v>
      </c>
      <c r="H424" s="131"/>
      <c r="I424" s="130"/>
      <c r="J424" s="128"/>
      <c r="K424" s="130"/>
      <c r="L424" s="128"/>
      <c r="M424" s="129" t="s">
        <v>133</v>
      </c>
      <c r="N424" s="123"/>
      <c r="O424" s="130" t="s">
        <v>133</v>
      </c>
      <c r="P424" s="178"/>
      <c r="Q424" s="178"/>
      <c r="R424" s="178"/>
      <c r="S424" s="178"/>
      <c r="T424" s="178"/>
      <c r="U424" s="180" t="s">
        <v>1296</v>
      </c>
      <c r="V424" s="178"/>
    </row>
    <row r="425" spans="1:22" ht="16">
      <c r="A425" s="147" t="s">
        <v>566</v>
      </c>
      <c r="B425" s="336" t="s">
        <v>902</v>
      </c>
      <c r="C425" s="337"/>
      <c r="D425" s="337"/>
      <c r="E425" s="129">
        <v>100</v>
      </c>
      <c r="F425" s="128"/>
      <c r="G425" s="130">
        <v>22</v>
      </c>
      <c r="H425" s="131"/>
      <c r="I425" s="130"/>
      <c r="J425" s="128"/>
      <c r="K425" s="130"/>
      <c r="L425" s="128"/>
      <c r="M425" s="129">
        <v>5000</v>
      </c>
      <c r="N425" s="123"/>
      <c r="O425" s="130">
        <v>1100</v>
      </c>
      <c r="P425" s="178"/>
      <c r="Q425" s="178"/>
      <c r="R425" s="178"/>
      <c r="S425" s="178"/>
      <c r="T425" s="178"/>
      <c r="U425" s="180"/>
      <c r="V425" s="178"/>
    </row>
    <row r="426" spans="1:22" ht="16">
      <c r="A426" s="147" t="s">
        <v>566</v>
      </c>
      <c r="B426" s="336" t="s">
        <v>903</v>
      </c>
      <c r="C426" s="337"/>
      <c r="D426" s="337"/>
      <c r="E426" s="129">
        <v>25</v>
      </c>
      <c r="F426" s="128"/>
      <c r="G426" s="130">
        <v>5.5</v>
      </c>
      <c r="H426" s="131"/>
      <c r="I426" s="130"/>
      <c r="J426" s="128"/>
      <c r="K426" s="130"/>
      <c r="L426" s="128"/>
      <c r="M426" s="129" t="s">
        <v>133</v>
      </c>
      <c r="N426" s="123"/>
      <c r="O426" s="130" t="s">
        <v>133</v>
      </c>
      <c r="P426" s="178"/>
      <c r="Q426" s="178"/>
      <c r="R426" s="178"/>
      <c r="S426" s="178"/>
      <c r="T426" s="178"/>
      <c r="U426" s="180" t="s">
        <v>1297</v>
      </c>
      <c r="V426" s="178"/>
    </row>
    <row r="427" spans="1:22" ht="16">
      <c r="A427" s="147"/>
      <c r="B427" s="336"/>
      <c r="C427" s="337"/>
      <c r="D427" s="337"/>
      <c r="E427" s="129"/>
      <c r="F427" s="128"/>
      <c r="G427" s="130"/>
      <c r="H427" s="131"/>
      <c r="I427" s="130"/>
      <c r="J427" s="128"/>
      <c r="K427" s="130"/>
      <c r="L427" s="128"/>
      <c r="M427" s="129"/>
      <c r="N427" s="123"/>
      <c r="O427" s="130"/>
      <c r="P427" s="178"/>
      <c r="Q427" s="178"/>
      <c r="R427" s="178"/>
      <c r="S427" s="178"/>
      <c r="T427" s="178"/>
      <c r="U427" s="318"/>
      <c r="V427" s="178"/>
    </row>
    <row r="428" spans="1:22" ht="16">
      <c r="A428" s="147"/>
      <c r="B428" s="336" t="s">
        <v>904</v>
      </c>
      <c r="C428" s="337"/>
      <c r="D428" s="337" t="s">
        <v>566</v>
      </c>
      <c r="E428" s="129">
        <v>8000</v>
      </c>
      <c r="F428" s="128"/>
      <c r="G428" s="130">
        <v>1760</v>
      </c>
      <c r="H428" s="131"/>
      <c r="I428" s="130"/>
      <c r="J428" s="128"/>
      <c r="K428" s="130"/>
      <c r="L428" s="128"/>
      <c r="M428" s="129" t="s">
        <v>133</v>
      </c>
      <c r="N428" s="123"/>
      <c r="O428" s="130" t="s">
        <v>133</v>
      </c>
      <c r="P428" s="178"/>
      <c r="Q428" s="178"/>
      <c r="R428" s="178"/>
      <c r="S428" s="178"/>
      <c r="T428" s="178"/>
      <c r="U428" s="180">
        <v>10</v>
      </c>
      <c r="V428" s="178"/>
    </row>
    <row r="429" spans="1:22" ht="16">
      <c r="A429" s="147"/>
      <c r="B429" s="336" t="s">
        <v>905</v>
      </c>
      <c r="C429" s="337"/>
      <c r="D429" s="337"/>
      <c r="E429" s="129">
        <v>2000</v>
      </c>
      <c r="F429" s="128"/>
      <c r="G429" s="130">
        <v>440</v>
      </c>
      <c r="H429" s="131"/>
      <c r="I429" s="130"/>
      <c r="J429" s="128"/>
      <c r="K429" s="130"/>
      <c r="L429" s="128"/>
      <c r="M429" s="129" t="s">
        <v>133</v>
      </c>
      <c r="N429" s="123"/>
      <c r="O429" s="130" t="s">
        <v>133</v>
      </c>
      <c r="P429" s="178"/>
      <c r="Q429" s="178"/>
      <c r="R429" s="178"/>
      <c r="S429" s="178"/>
      <c r="T429" s="178"/>
      <c r="U429" s="180">
        <v>10</v>
      </c>
      <c r="V429" s="178"/>
    </row>
    <row r="430" spans="1:22" ht="16">
      <c r="A430" s="147"/>
      <c r="B430" s="336"/>
      <c r="C430" s="337"/>
      <c r="D430" s="337"/>
      <c r="E430" s="129"/>
      <c r="F430" s="129"/>
      <c r="G430" s="130"/>
      <c r="H430" s="129"/>
      <c r="I430" s="129"/>
      <c r="J430" s="129"/>
      <c r="K430" s="129"/>
      <c r="L430" s="129"/>
      <c r="M430" s="129"/>
      <c r="N430" s="129"/>
      <c r="O430" s="130"/>
      <c r="P430" s="178"/>
      <c r="Q430" s="178"/>
      <c r="R430" s="178"/>
      <c r="S430" s="178"/>
      <c r="T430" s="178"/>
      <c r="U430" s="180"/>
      <c r="V430" s="178"/>
    </row>
    <row r="431" spans="1:22" ht="16">
      <c r="A431" s="147"/>
      <c r="B431" s="336" t="s">
        <v>906</v>
      </c>
      <c r="C431" s="337"/>
      <c r="D431" s="337"/>
      <c r="E431" s="129">
        <v>2000</v>
      </c>
      <c r="F431" s="128"/>
      <c r="G431" s="130">
        <v>440</v>
      </c>
      <c r="H431" s="131"/>
      <c r="I431" s="130"/>
      <c r="J431" s="128"/>
      <c r="K431" s="130"/>
      <c r="L431" s="128"/>
      <c r="M431" s="129" t="s">
        <v>133</v>
      </c>
      <c r="N431" s="123"/>
      <c r="O431" s="130" t="s">
        <v>133</v>
      </c>
      <c r="P431" s="178"/>
      <c r="Q431" s="178"/>
      <c r="R431" s="178"/>
      <c r="S431" s="178"/>
      <c r="T431" s="178"/>
      <c r="U431" s="180">
        <v>10</v>
      </c>
      <c r="V431" s="178"/>
    </row>
    <row r="432" spans="1:22" ht="16">
      <c r="A432" s="147"/>
      <c r="B432" s="228" t="s">
        <v>907</v>
      </c>
      <c r="C432" s="337"/>
      <c r="D432" s="337" t="s">
        <v>566</v>
      </c>
      <c r="E432" s="129">
        <v>100</v>
      </c>
      <c r="F432" s="128"/>
      <c r="G432" s="130">
        <v>22</v>
      </c>
      <c r="H432" s="131"/>
      <c r="I432" s="130" t="e">
        <v>#REF!</v>
      </c>
      <c r="J432" s="128"/>
      <c r="K432" s="130" t="e">
        <v>#REF!</v>
      </c>
      <c r="L432" s="128"/>
      <c r="M432" s="129">
        <v>5000</v>
      </c>
      <c r="N432" s="123"/>
      <c r="O432" s="130">
        <v>1100</v>
      </c>
      <c r="P432" s="178"/>
      <c r="Q432" s="178"/>
      <c r="R432" s="178"/>
      <c r="S432" s="178"/>
      <c r="T432" s="178"/>
      <c r="U432" s="180">
        <v>10</v>
      </c>
      <c r="V432" s="178"/>
    </row>
    <row r="433" spans="1:22" ht="16">
      <c r="A433" s="147"/>
      <c r="B433" s="336"/>
      <c r="C433" s="337"/>
      <c r="D433" s="337"/>
      <c r="E433" s="129"/>
      <c r="F433" s="128"/>
      <c r="G433" s="130"/>
      <c r="H433" s="131"/>
      <c r="I433" s="130"/>
      <c r="J433" s="128"/>
      <c r="K433" s="130"/>
      <c r="L433" s="128"/>
      <c r="M433" s="129"/>
      <c r="N433" s="123"/>
      <c r="O433" s="130"/>
      <c r="P433" s="178"/>
      <c r="Q433" s="178"/>
      <c r="R433" s="178"/>
      <c r="S433" s="178"/>
      <c r="T433" s="178"/>
      <c r="U433" s="178"/>
      <c r="V433" s="178"/>
    </row>
    <row r="434" spans="1:22" ht="16">
      <c r="A434" s="147"/>
      <c r="B434" s="336" t="s">
        <v>566</v>
      </c>
      <c r="C434" s="337"/>
      <c r="D434" s="337"/>
      <c r="E434" s="129"/>
      <c r="F434" s="128"/>
      <c r="G434" s="130"/>
      <c r="H434" s="131"/>
      <c r="I434" s="130"/>
      <c r="J434" s="128"/>
      <c r="K434" s="130"/>
      <c r="L434" s="128"/>
      <c r="M434" s="129"/>
      <c r="N434" s="123"/>
      <c r="O434" s="130"/>
      <c r="P434" s="178"/>
      <c r="Q434" s="178"/>
      <c r="R434" s="178"/>
      <c r="S434" s="178"/>
      <c r="T434" s="178"/>
      <c r="U434" s="178"/>
      <c r="V434" s="178"/>
    </row>
    <row r="435" spans="1:22" ht="16">
      <c r="A435" s="147"/>
      <c r="B435" s="336"/>
      <c r="C435" s="337"/>
      <c r="D435" s="337"/>
      <c r="E435" s="129" t="s">
        <v>566</v>
      </c>
      <c r="F435" s="129"/>
      <c r="G435" s="130"/>
      <c r="H435" s="129"/>
      <c r="I435" s="129"/>
      <c r="J435" s="129"/>
      <c r="K435" s="129"/>
      <c r="L435" s="129"/>
      <c r="M435" s="129"/>
      <c r="N435" s="129"/>
      <c r="O435" s="130"/>
      <c r="P435" s="178"/>
      <c r="Q435" s="178"/>
      <c r="R435" s="178"/>
      <c r="S435" s="178"/>
      <c r="T435" s="178"/>
      <c r="U435" s="178"/>
      <c r="V435" s="178"/>
    </row>
    <row r="436" spans="1:22" ht="16">
      <c r="A436" s="147"/>
      <c r="B436" s="336"/>
      <c r="C436" s="337"/>
      <c r="D436" s="337"/>
      <c r="E436" s="129"/>
      <c r="F436" s="129"/>
      <c r="G436" s="130"/>
      <c r="H436" s="129"/>
      <c r="I436" s="129"/>
      <c r="J436" s="129"/>
      <c r="K436" s="129"/>
      <c r="L436" s="129"/>
      <c r="M436" s="129"/>
      <c r="N436" s="129"/>
      <c r="O436" s="130"/>
      <c r="P436" s="178"/>
      <c r="Q436" s="178"/>
      <c r="R436" s="178"/>
      <c r="S436" s="178"/>
      <c r="T436" s="178"/>
      <c r="U436" s="178"/>
      <c r="V436" s="178"/>
    </row>
    <row r="437" spans="1:22">
      <c r="A437" s="109"/>
      <c r="B437" s="335"/>
      <c r="C437" s="335"/>
      <c r="D437" s="335"/>
      <c r="E437" s="335"/>
      <c r="F437" s="335"/>
      <c r="G437" s="335"/>
      <c r="H437" s="335"/>
      <c r="I437" s="335"/>
      <c r="J437" s="335"/>
      <c r="K437" s="335"/>
      <c r="L437" s="335"/>
      <c r="M437" s="335"/>
      <c r="N437" s="335"/>
      <c r="O437" s="335"/>
      <c r="P437" s="123"/>
      <c r="Q437" s="102"/>
      <c r="R437" s="123"/>
      <c r="S437" s="125"/>
      <c r="T437" s="125"/>
      <c r="U437" s="125"/>
      <c r="V437" s="125"/>
    </row>
    <row r="438" spans="1:22">
      <c r="A438" s="109"/>
      <c r="B438" s="335"/>
      <c r="C438" s="335"/>
      <c r="D438" s="335"/>
      <c r="E438" s="335"/>
      <c r="F438" s="335"/>
      <c r="G438" s="335"/>
      <c r="H438" s="335"/>
      <c r="I438" s="335"/>
      <c r="J438" s="335"/>
      <c r="K438" s="335"/>
      <c r="L438" s="335"/>
      <c r="M438" s="335"/>
      <c r="N438" s="335"/>
      <c r="O438" s="335"/>
      <c r="P438" s="123"/>
      <c r="Q438" s="102"/>
      <c r="R438" s="123"/>
      <c r="S438" s="125"/>
      <c r="T438" s="125"/>
      <c r="U438" s="125"/>
      <c r="V438" s="125"/>
    </row>
    <row r="439" spans="1:22">
      <c r="A439" s="109"/>
      <c r="B439" s="335"/>
      <c r="C439" s="335"/>
      <c r="D439" s="335"/>
      <c r="E439" s="335"/>
      <c r="F439" s="335"/>
      <c r="G439" s="335"/>
      <c r="H439" s="335"/>
      <c r="I439" s="335"/>
      <c r="J439" s="335"/>
      <c r="K439" s="335"/>
      <c r="L439" s="335"/>
      <c r="M439" s="335"/>
      <c r="N439" s="335"/>
      <c r="O439" s="335"/>
      <c r="P439" s="123"/>
      <c r="Q439" s="102"/>
      <c r="R439" s="123"/>
      <c r="S439" s="125"/>
      <c r="T439" s="125"/>
      <c r="U439" s="125"/>
      <c r="V439" s="125"/>
    </row>
    <row r="440" spans="1:22">
      <c r="A440" s="107"/>
      <c r="B440" s="112" t="s">
        <v>668</v>
      </c>
      <c r="C440" s="107"/>
      <c r="D440" s="107"/>
      <c r="E440" s="107" t="s">
        <v>566</v>
      </c>
      <c r="F440" s="107"/>
      <c r="G440" s="107"/>
      <c r="H440" s="108"/>
      <c r="I440" s="107"/>
      <c r="J440" s="107"/>
      <c r="K440" s="107"/>
      <c r="L440" s="107"/>
      <c r="M440" s="107"/>
      <c r="N440" s="107"/>
      <c r="O440" s="107"/>
      <c r="P440" s="107"/>
      <c r="Q440" s="107"/>
      <c r="R440" s="107"/>
      <c r="S440" s="107"/>
      <c r="T440" s="107"/>
      <c r="U440" s="107" t="s">
        <v>683</v>
      </c>
      <c r="V440" s="107"/>
    </row>
    <row r="441" spans="1:22" ht="15.75" customHeight="1" thickBot="1">
      <c r="A441" s="113"/>
      <c r="B441" s="854" t="s">
        <v>669</v>
      </c>
      <c r="C441" s="854"/>
      <c r="D441" s="854"/>
      <c r="E441" s="854"/>
      <c r="F441" s="854"/>
      <c r="G441" s="854"/>
      <c r="H441" s="854"/>
      <c r="I441" s="854"/>
      <c r="J441" s="854"/>
      <c r="K441" s="854"/>
      <c r="L441" s="854"/>
      <c r="M441" s="854"/>
      <c r="N441" s="854"/>
      <c r="O441" s="854"/>
      <c r="P441" s="854"/>
      <c r="Q441" s="854"/>
      <c r="R441" s="854"/>
      <c r="S441" s="854"/>
      <c r="T441" s="854"/>
      <c r="U441" s="854"/>
      <c r="V441" s="315"/>
    </row>
    <row r="442" spans="1:22" ht="57" thickBot="1">
      <c r="A442" s="114"/>
      <c r="B442" s="114"/>
      <c r="C442" s="114"/>
      <c r="D442" s="115"/>
      <c r="E442" s="116" t="s">
        <v>648</v>
      </c>
      <c r="F442" s="115"/>
      <c r="G442" s="117" t="s">
        <v>649</v>
      </c>
      <c r="H442" s="118"/>
      <c r="I442" s="117" t="s">
        <v>650</v>
      </c>
      <c r="J442" s="115"/>
      <c r="K442" s="117" t="s">
        <v>651</v>
      </c>
      <c r="L442" s="115"/>
      <c r="M442" s="116" t="s">
        <v>613</v>
      </c>
      <c r="N442" s="119"/>
      <c r="O442" s="117" t="s">
        <v>649</v>
      </c>
      <c r="P442" s="119"/>
      <c r="Q442" s="117" t="s">
        <v>650</v>
      </c>
      <c r="R442" s="119"/>
      <c r="S442" s="117" t="s">
        <v>651</v>
      </c>
      <c r="T442" s="120"/>
      <c r="U442" s="117" t="s">
        <v>614</v>
      </c>
      <c r="V442" s="173"/>
    </row>
    <row r="443" spans="1:22">
      <c r="A443" s="109"/>
      <c r="B443" s="864" t="s">
        <v>635</v>
      </c>
      <c r="C443" s="864"/>
      <c r="D443" s="499"/>
      <c r="E443" s="499"/>
      <c r="F443" s="499"/>
      <c r="G443" s="499"/>
      <c r="H443" s="499"/>
      <c r="I443" s="499"/>
      <c r="J443" s="499"/>
      <c r="K443" s="499"/>
      <c r="L443" s="499"/>
      <c r="M443" s="499"/>
      <c r="N443" s="499"/>
      <c r="O443" s="499"/>
      <c r="P443" s="123"/>
      <c r="Q443" s="102"/>
      <c r="R443" s="123"/>
      <c r="S443" s="125"/>
      <c r="T443" s="125"/>
      <c r="U443" s="132"/>
      <c r="V443" s="319"/>
    </row>
    <row r="444" spans="1:22">
      <c r="A444" s="109"/>
      <c r="B444" s="863" t="s">
        <v>909</v>
      </c>
      <c r="C444" s="863"/>
      <c r="D444" s="499"/>
      <c r="E444" s="129">
        <v>180</v>
      </c>
      <c r="F444" s="128"/>
      <c r="G444" s="130">
        <v>39.6</v>
      </c>
      <c r="H444" s="131"/>
      <c r="I444" s="130" t="e">
        <v>#REF!</v>
      </c>
      <c r="J444" s="128"/>
      <c r="K444" s="130" t="e">
        <v>#REF!</v>
      </c>
      <c r="L444" s="128"/>
      <c r="M444" s="129">
        <v>18000</v>
      </c>
      <c r="N444" s="123"/>
      <c r="O444" s="130">
        <v>3960</v>
      </c>
      <c r="P444" s="178"/>
      <c r="Q444" s="178"/>
      <c r="R444" s="178"/>
      <c r="S444" s="178"/>
      <c r="T444" s="178"/>
      <c r="U444" s="132" t="s">
        <v>670</v>
      </c>
      <c r="V444" s="103"/>
    </row>
    <row r="445" spans="1:22">
      <c r="A445" s="109"/>
      <c r="B445" s="863" t="s">
        <v>910</v>
      </c>
      <c r="C445" s="863"/>
      <c r="D445" s="499"/>
      <c r="E445" s="129">
        <v>46</v>
      </c>
      <c r="F445" s="128"/>
      <c r="G445" s="130">
        <v>10.119999999999999</v>
      </c>
      <c r="H445" s="131"/>
      <c r="I445" s="130" t="e">
        <v>#REF!</v>
      </c>
      <c r="J445" s="128"/>
      <c r="K445" s="130" t="e">
        <v>#REF!</v>
      </c>
      <c r="L445" s="128"/>
      <c r="M445" s="129">
        <v>4600</v>
      </c>
      <c r="N445" s="123"/>
      <c r="O445" s="130">
        <v>1012</v>
      </c>
      <c r="P445" s="178"/>
      <c r="Q445" s="178"/>
      <c r="R445" s="178"/>
      <c r="S445" s="178"/>
      <c r="T445" s="178"/>
      <c r="U445" s="132" t="s">
        <v>671</v>
      </c>
      <c r="V445" s="103"/>
    </row>
    <row r="446" spans="1:22">
      <c r="A446" s="109"/>
      <c r="B446" s="865" t="s">
        <v>911</v>
      </c>
      <c r="C446" s="865"/>
      <c r="D446" s="499"/>
      <c r="E446" s="499"/>
      <c r="F446" s="499"/>
      <c r="G446" s="499"/>
      <c r="H446" s="499"/>
      <c r="I446" s="499"/>
      <c r="J446" s="499"/>
      <c r="K446" s="499"/>
      <c r="L446" s="499"/>
      <c r="M446" s="499"/>
      <c r="N446" s="499"/>
      <c r="O446" s="499"/>
      <c r="P446" s="123"/>
      <c r="Q446" s="102"/>
      <c r="R446" s="123"/>
      <c r="S446" s="125"/>
      <c r="T446" s="125"/>
      <c r="U446" s="132"/>
      <c r="V446" s="319"/>
    </row>
    <row r="447" spans="1:22">
      <c r="A447" s="109"/>
      <c r="B447" s="863" t="s">
        <v>912</v>
      </c>
      <c r="C447" s="863"/>
      <c r="D447" s="499"/>
      <c r="E447" s="129">
        <v>92</v>
      </c>
      <c r="F447" s="128"/>
      <c r="G447" s="130">
        <v>20.239999999999998</v>
      </c>
      <c r="H447" s="131"/>
      <c r="I447" s="130" t="e">
        <v>#REF!</v>
      </c>
      <c r="J447" s="128"/>
      <c r="K447" s="130" t="e">
        <v>#REF!</v>
      </c>
      <c r="L447" s="128"/>
      <c r="M447" s="129">
        <v>9200</v>
      </c>
      <c r="N447" s="123"/>
      <c r="O447" s="130">
        <v>2024</v>
      </c>
      <c r="P447" s="123"/>
      <c r="Q447" s="102"/>
      <c r="R447" s="123"/>
      <c r="S447" s="125"/>
      <c r="T447" s="125"/>
      <c r="U447" s="132" t="s">
        <v>672</v>
      </c>
      <c r="V447" s="103"/>
    </row>
    <row r="448" spans="1:22">
      <c r="A448" s="109"/>
      <c r="B448" s="863" t="s">
        <v>913</v>
      </c>
      <c r="C448" s="863"/>
      <c r="D448" s="499"/>
      <c r="E448" s="129">
        <v>240</v>
      </c>
      <c r="F448" s="128"/>
      <c r="G448" s="130">
        <v>52.8</v>
      </c>
      <c r="H448" s="131"/>
      <c r="I448" s="130" t="e">
        <v>#REF!</v>
      </c>
      <c r="J448" s="128"/>
      <c r="K448" s="130" t="e">
        <v>#REF!</v>
      </c>
      <c r="L448" s="128"/>
      <c r="M448" s="129">
        <v>23000</v>
      </c>
      <c r="N448" s="123"/>
      <c r="O448" s="130">
        <v>5060</v>
      </c>
      <c r="P448" s="123"/>
      <c r="Q448" s="102"/>
      <c r="R448" s="123"/>
      <c r="S448" s="125"/>
      <c r="T448" s="125"/>
      <c r="U448" s="132" t="s">
        <v>673</v>
      </c>
      <c r="V448" s="103"/>
    </row>
    <row r="449" spans="1:22">
      <c r="A449" s="109"/>
      <c r="B449" s="866" t="s">
        <v>914</v>
      </c>
      <c r="C449" s="866"/>
      <c r="D449" s="499"/>
      <c r="E449" s="129">
        <v>230</v>
      </c>
      <c r="F449" s="128"/>
      <c r="G449" s="130">
        <v>50.6</v>
      </c>
      <c r="H449" s="131"/>
      <c r="I449" s="130" t="e">
        <v>#REF!</v>
      </c>
      <c r="J449" s="128"/>
      <c r="K449" s="130" t="e">
        <v>#REF!</v>
      </c>
      <c r="L449" s="128"/>
      <c r="M449" s="129">
        <v>23000</v>
      </c>
      <c r="N449" s="123"/>
      <c r="O449" s="130">
        <v>5060</v>
      </c>
      <c r="P449" s="123"/>
      <c r="Q449" s="102"/>
      <c r="R449" s="123"/>
      <c r="S449" s="125"/>
      <c r="T449" s="125"/>
      <c r="U449" s="132" t="s">
        <v>674</v>
      </c>
      <c r="V449" s="103"/>
    </row>
    <row r="450" spans="1:22">
      <c r="A450" s="109"/>
      <c r="B450" s="866"/>
      <c r="C450" s="866"/>
      <c r="D450" s="499"/>
      <c r="E450" s="129"/>
      <c r="F450" s="128"/>
      <c r="G450" s="130"/>
      <c r="H450" s="131"/>
      <c r="I450" s="130"/>
      <c r="J450" s="128"/>
      <c r="K450" s="130"/>
      <c r="L450" s="128"/>
      <c r="M450" s="129"/>
      <c r="N450" s="123"/>
      <c r="O450" s="130"/>
      <c r="P450" s="123"/>
      <c r="Q450" s="102"/>
      <c r="R450" s="123"/>
      <c r="S450" s="125"/>
      <c r="T450" s="125"/>
      <c r="U450" s="132"/>
      <c r="V450" s="103"/>
    </row>
    <row r="451" spans="1:22">
      <c r="A451" s="109"/>
      <c r="B451" s="864" t="s">
        <v>915</v>
      </c>
      <c r="C451" s="864"/>
      <c r="D451" s="499"/>
      <c r="E451" s="499" t="s">
        <v>566</v>
      </c>
      <c r="F451" s="499"/>
      <c r="G451" s="499"/>
      <c r="H451" s="499"/>
      <c r="I451" s="499"/>
      <c r="J451" s="499"/>
      <c r="K451" s="499"/>
      <c r="L451" s="499"/>
      <c r="M451" s="499"/>
      <c r="N451" s="499"/>
      <c r="O451" s="499"/>
      <c r="P451" s="123"/>
      <c r="Q451" s="102"/>
      <c r="R451" s="123"/>
      <c r="S451" s="125"/>
      <c r="T451" s="125"/>
      <c r="U451" s="132"/>
      <c r="V451" s="319"/>
    </row>
    <row r="452" spans="1:22">
      <c r="A452" s="109"/>
      <c r="B452" s="863" t="s">
        <v>916</v>
      </c>
      <c r="C452" s="863"/>
      <c r="D452" s="499"/>
      <c r="E452" s="129">
        <v>50</v>
      </c>
      <c r="F452" s="128"/>
      <c r="G452" s="130">
        <v>11</v>
      </c>
      <c r="H452" s="131"/>
      <c r="I452" s="130" t="e">
        <v>#REF!</v>
      </c>
      <c r="J452" s="128"/>
      <c r="K452" s="130" t="e">
        <v>#REF!</v>
      </c>
      <c r="L452" s="128"/>
      <c r="M452" s="129">
        <v>5000</v>
      </c>
      <c r="N452" s="123"/>
      <c r="O452" s="130">
        <v>1100</v>
      </c>
      <c r="P452" s="123"/>
      <c r="Q452" s="102"/>
      <c r="R452" s="123"/>
      <c r="S452" s="125"/>
      <c r="T452" s="125"/>
      <c r="U452" s="132" t="s">
        <v>675</v>
      </c>
      <c r="V452" s="103"/>
    </row>
    <row r="453" spans="1:22">
      <c r="A453" s="109"/>
      <c r="B453" s="498"/>
      <c r="C453" s="498"/>
      <c r="D453" s="499"/>
      <c r="E453" s="499"/>
      <c r="F453" s="499"/>
      <c r="G453" s="499"/>
      <c r="H453" s="499"/>
      <c r="I453" s="499"/>
      <c r="J453" s="499"/>
      <c r="K453" s="499"/>
      <c r="L453" s="499"/>
      <c r="M453" s="499"/>
      <c r="N453" s="499"/>
      <c r="O453" s="499"/>
      <c r="P453" s="123"/>
      <c r="Q453" s="102"/>
      <c r="R453" s="123"/>
      <c r="S453" s="125"/>
      <c r="T453" s="125"/>
      <c r="U453" s="132"/>
      <c r="V453" s="319"/>
    </row>
    <row r="454" spans="1:22">
      <c r="A454" s="109"/>
      <c r="B454" s="864" t="s">
        <v>844</v>
      </c>
      <c r="C454" s="864"/>
      <c r="D454" s="499"/>
      <c r="E454" s="499"/>
      <c r="F454" s="499"/>
      <c r="G454" s="499"/>
      <c r="H454" s="499"/>
      <c r="I454" s="499"/>
      <c r="J454" s="499"/>
      <c r="K454" s="499"/>
      <c r="L454" s="499"/>
      <c r="M454" s="499"/>
      <c r="N454" s="499"/>
      <c r="O454" s="499"/>
      <c r="P454" s="123"/>
      <c r="Q454" s="102"/>
      <c r="R454" s="123"/>
      <c r="S454" s="125"/>
      <c r="T454" s="125"/>
      <c r="U454" s="132" t="s">
        <v>566</v>
      </c>
      <c r="V454" s="319"/>
    </row>
    <row r="455" spans="1:22">
      <c r="A455" s="109"/>
      <c r="B455" s="863" t="s">
        <v>917</v>
      </c>
      <c r="C455" s="863"/>
      <c r="D455" s="499"/>
      <c r="E455" s="129">
        <v>350</v>
      </c>
      <c r="F455" s="128"/>
      <c r="G455" s="130">
        <v>77</v>
      </c>
      <c r="H455" s="131"/>
      <c r="I455" s="130" t="e">
        <v>#REF!</v>
      </c>
      <c r="J455" s="128"/>
      <c r="K455" s="130" t="e">
        <v>#REF!</v>
      </c>
      <c r="L455" s="128"/>
      <c r="M455" s="129">
        <v>50000</v>
      </c>
      <c r="N455" s="123"/>
      <c r="O455" s="130">
        <v>11000</v>
      </c>
      <c r="P455" s="123"/>
      <c r="Q455" s="102"/>
      <c r="R455" s="123"/>
      <c r="S455" s="125"/>
      <c r="T455" s="125"/>
      <c r="U455" s="132" t="s">
        <v>676</v>
      </c>
      <c r="V455" s="103"/>
    </row>
    <row r="456" spans="1:22">
      <c r="A456" s="109"/>
      <c r="B456" s="863" t="s">
        <v>918</v>
      </c>
      <c r="C456" s="863"/>
      <c r="D456" s="499"/>
      <c r="E456" s="129">
        <v>368</v>
      </c>
      <c r="F456" s="128"/>
      <c r="G456" s="130">
        <v>80.959999999999994</v>
      </c>
      <c r="H456" s="131"/>
      <c r="I456" s="130" t="e">
        <v>#REF!</v>
      </c>
      <c r="J456" s="128"/>
      <c r="K456" s="130" t="e">
        <v>#REF!</v>
      </c>
      <c r="L456" s="128"/>
      <c r="M456" s="129">
        <v>36800</v>
      </c>
      <c r="N456" s="123"/>
      <c r="O456" s="130">
        <v>8096</v>
      </c>
      <c r="P456" s="123"/>
      <c r="Q456" s="102"/>
      <c r="R456" s="123"/>
      <c r="S456" s="125"/>
      <c r="T456" s="125"/>
      <c r="U456" s="132" t="s">
        <v>677</v>
      </c>
      <c r="V456" s="103"/>
    </row>
    <row r="457" spans="1:22">
      <c r="A457" s="109"/>
      <c r="B457" s="498"/>
      <c r="C457" s="498"/>
      <c r="D457" s="499"/>
      <c r="E457" s="499" t="s">
        <v>566</v>
      </c>
      <c r="F457" s="499"/>
      <c r="G457" s="499"/>
      <c r="H457" s="499"/>
      <c r="I457" s="499"/>
      <c r="J457" s="499"/>
      <c r="K457" s="499"/>
      <c r="L457" s="499"/>
      <c r="M457" s="499"/>
      <c r="N457" s="499"/>
      <c r="O457" s="499"/>
      <c r="P457" s="123"/>
      <c r="Q457" s="102"/>
      <c r="R457" s="123"/>
      <c r="S457" s="125"/>
      <c r="T457" s="125"/>
      <c r="U457" s="132"/>
      <c r="V457" s="319"/>
    </row>
    <row r="458" spans="1:22">
      <c r="A458" s="109"/>
      <c r="B458" s="864" t="s">
        <v>919</v>
      </c>
      <c r="C458" s="864"/>
      <c r="D458" s="499"/>
      <c r="E458" s="499"/>
      <c r="F458" s="499"/>
      <c r="G458" s="499"/>
      <c r="H458" s="499"/>
      <c r="I458" s="499"/>
      <c r="J458" s="499"/>
      <c r="K458" s="499"/>
      <c r="L458" s="499"/>
      <c r="M458" s="499"/>
      <c r="N458" s="499"/>
      <c r="O458" s="499"/>
      <c r="P458" s="123"/>
      <c r="Q458" s="102"/>
      <c r="R458" s="123"/>
      <c r="S458" s="125"/>
      <c r="T458" s="125"/>
      <c r="U458" s="132"/>
      <c r="V458" s="319"/>
    </row>
    <row r="459" spans="1:22">
      <c r="A459" s="109"/>
      <c r="B459" s="863" t="s">
        <v>920</v>
      </c>
      <c r="C459" s="863"/>
      <c r="D459" s="499"/>
      <c r="E459" s="129">
        <v>9</v>
      </c>
      <c r="F459" s="128"/>
      <c r="G459" s="130">
        <v>1.98</v>
      </c>
      <c r="H459" s="131"/>
      <c r="I459" s="130" t="e">
        <v>#REF!</v>
      </c>
      <c r="J459" s="128"/>
      <c r="K459" s="130" t="e">
        <v>#REF!</v>
      </c>
      <c r="L459" s="128"/>
      <c r="M459" s="129">
        <v>80000</v>
      </c>
      <c r="N459" s="123"/>
      <c r="O459" s="130">
        <v>17600</v>
      </c>
      <c r="P459" s="123"/>
      <c r="Q459" s="102"/>
      <c r="R459" s="123"/>
      <c r="S459" s="125"/>
      <c r="T459" s="125"/>
      <c r="U459" s="132" t="s">
        <v>678</v>
      </c>
      <c r="V459" s="103"/>
    </row>
    <row r="460" spans="1:22">
      <c r="A460" s="109"/>
      <c r="B460" s="498"/>
      <c r="C460" s="498"/>
      <c r="D460" s="499"/>
      <c r="E460" s="499"/>
      <c r="F460" s="499"/>
      <c r="G460" s="499"/>
      <c r="H460" s="499"/>
      <c r="I460" s="499"/>
      <c r="J460" s="499"/>
      <c r="K460" s="499"/>
      <c r="L460" s="499"/>
      <c r="M460" s="499"/>
      <c r="N460" s="499"/>
      <c r="O460" s="499"/>
      <c r="P460" s="123"/>
      <c r="Q460" s="102"/>
      <c r="R460" s="123"/>
      <c r="S460" s="125"/>
      <c r="T460" s="125"/>
      <c r="U460" s="132"/>
      <c r="V460" s="319"/>
    </row>
    <row r="461" spans="1:22">
      <c r="A461" s="109"/>
      <c r="B461" s="864" t="s">
        <v>2546</v>
      </c>
      <c r="C461" s="864"/>
      <c r="D461" s="499"/>
      <c r="E461" s="499"/>
      <c r="F461" s="499"/>
      <c r="G461" s="499"/>
      <c r="H461" s="499"/>
      <c r="I461" s="499"/>
      <c r="J461" s="499"/>
      <c r="K461" s="499"/>
      <c r="L461" s="499"/>
      <c r="M461" s="499"/>
      <c r="N461" s="499"/>
      <c r="O461" s="499"/>
      <c r="P461" s="123"/>
      <c r="Q461" s="102"/>
      <c r="R461" s="123"/>
      <c r="S461" s="125"/>
      <c r="T461" s="125"/>
      <c r="U461" s="132"/>
      <c r="V461" s="319"/>
    </row>
    <row r="462" spans="1:22">
      <c r="A462" s="109"/>
      <c r="B462" s="863" t="s">
        <v>2554</v>
      </c>
      <c r="C462" s="863"/>
      <c r="D462" s="499"/>
      <c r="E462" s="129">
        <v>60</v>
      </c>
      <c r="F462" s="128"/>
      <c r="G462" s="130">
        <v>13.2</v>
      </c>
      <c r="H462" s="131"/>
      <c r="I462" s="130" t="e">
        <v>#REF!</v>
      </c>
      <c r="J462" s="128"/>
      <c r="K462" s="130" t="e">
        <v>#REF!</v>
      </c>
      <c r="L462" s="128"/>
      <c r="M462" s="129">
        <v>18400</v>
      </c>
      <c r="N462" s="123"/>
      <c r="O462" s="130">
        <v>4048</v>
      </c>
      <c r="P462" s="123"/>
      <c r="Q462" s="102"/>
      <c r="R462" s="123"/>
      <c r="S462" s="125"/>
      <c r="T462" s="125"/>
      <c r="U462" s="132" t="s">
        <v>679</v>
      </c>
      <c r="V462" s="103"/>
    </row>
    <row r="463" spans="1:22">
      <c r="A463" s="109"/>
      <c r="B463" s="863" t="s">
        <v>921</v>
      </c>
      <c r="C463" s="863"/>
      <c r="D463" s="499"/>
      <c r="E463" s="129">
        <v>500</v>
      </c>
      <c r="F463" s="128"/>
      <c r="G463" s="130">
        <v>110</v>
      </c>
      <c r="H463" s="131"/>
      <c r="I463" s="130" t="e">
        <v>#REF!</v>
      </c>
      <c r="J463" s="128"/>
      <c r="K463" s="130" t="e">
        <v>#REF!</v>
      </c>
      <c r="L463" s="128"/>
      <c r="M463" s="129">
        <v>180000</v>
      </c>
      <c r="N463" s="123"/>
      <c r="O463" s="130">
        <v>39600</v>
      </c>
      <c r="P463" s="123"/>
      <c r="Q463" s="102"/>
      <c r="R463" s="123"/>
      <c r="S463" s="125"/>
      <c r="T463" s="125"/>
      <c r="U463" s="132" t="s">
        <v>2555</v>
      </c>
      <c r="V463" s="103"/>
    </row>
    <row r="464" spans="1:22">
      <c r="A464" s="109"/>
      <c r="B464" s="867" t="s">
        <v>2556</v>
      </c>
      <c r="C464" s="867"/>
      <c r="D464" s="499"/>
      <c r="E464" s="129">
        <v>267</v>
      </c>
      <c r="F464" s="128"/>
      <c r="G464" s="130">
        <v>58.74</v>
      </c>
      <c r="H464" s="131"/>
      <c r="I464" s="130" t="e">
        <v>#REF!</v>
      </c>
      <c r="J464" s="128"/>
      <c r="K464" s="130" t="e">
        <v>#REF!</v>
      </c>
      <c r="L464" s="128"/>
      <c r="M464" s="129">
        <v>85000</v>
      </c>
      <c r="N464" s="123"/>
      <c r="O464" s="130">
        <v>18700</v>
      </c>
      <c r="P464" s="123"/>
      <c r="Q464" s="102"/>
      <c r="R464" s="123"/>
      <c r="S464" s="125"/>
      <c r="T464" s="125"/>
      <c r="U464" s="132" t="s">
        <v>680</v>
      </c>
      <c r="V464" s="103"/>
    </row>
    <row r="465" spans="1:22">
      <c r="A465" s="109"/>
      <c r="B465" s="867"/>
      <c r="C465" s="867"/>
      <c r="D465" s="499"/>
      <c r="E465" s="129"/>
      <c r="F465" s="128"/>
      <c r="G465" s="130"/>
      <c r="H465" s="131"/>
      <c r="I465" s="130"/>
      <c r="J465" s="128"/>
      <c r="K465" s="130"/>
      <c r="L465" s="128"/>
      <c r="M465" s="129"/>
      <c r="N465" s="123"/>
      <c r="O465" s="130"/>
      <c r="P465" s="123"/>
      <c r="Q465" s="102"/>
      <c r="R465" s="123"/>
      <c r="S465" s="125"/>
      <c r="T465" s="125"/>
      <c r="U465" s="132"/>
      <c r="V465" s="103"/>
    </row>
    <row r="466" spans="1:22">
      <c r="A466" s="109" t="s">
        <v>566</v>
      </c>
      <c r="B466" s="864" t="s">
        <v>922</v>
      </c>
      <c r="C466" s="864"/>
      <c r="D466" s="499"/>
      <c r="E466" s="129"/>
      <c r="F466" s="128"/>
      <c r="G466" s="130"/>
      <c r="H466" s="131"/>
      <c r="I466" s="130"/>
      <c r="J466" s="128"/>
      <c r="K466" s="130"/>
      <c r="L466" s="128"/>
      <c r="M466" s="129"/>
      <c r="N466" s="123"/>
      <c r="O466" s="130"/>
      <c r="P466" s="123"/>
      <c r="Q466" s="102"/>
      <c r="R466" s="123"/>
      <c r="S466" s="125"/>
      <c r="T466" s="125"/>
      <c r="U466" s="132"/>
      <c r="V466" s="103"/>
    </row>
    <row r="467" spans="1:22">
      <c r="A467" s="109"/>
      <c r="B467" s="863" t="s">
        <v>923</v>
      </c>
      <c r="C467" s="863"/>
      <c r="D467" s="499"/>
      <c r="E467" s="129">
        <v>180</v>
      </c>
      <c r="F467" s="128"/>
      <c r="G467" s="130">
        <v>39.6</v>
      </c>
      <c r="H467" s="131"/>
      <c r="I467" s="130" t="e">
        <v>#REF!</v>
      </c>
      <c r="J467" s="128"/>
      <c r="K467" s="130" t="e">
        <v>#REF!</v>
      </c>
      <c r="L467" s="128"/>
      <c r="M467" s="129">
        <v>12000</v>
      </c>
      <c r="N467" s="123"/>
      <c r="O467" s="130">
        <v>2640</v>
      </c>
      <c r="P467" s="123"/>
      <c r="Q467" s="102"/>
      <c r="R467" s="123"/>
      <c r="S467" s="125"/>
      <c r="T467" s="125"/>
      <c r="U467" s="132" t="s">
        <v>681</v>
      </c>
      <c r="V467" s="103"/>
    </row>
    <row r="468" spans="1:22">
      <c r="A468" s="109"/>
      <c r="B468" s="863" t="s">
        <v>924</v>
      </c>
      <c r="C468" s="863"/>
      <c r="D468" s="499"/>
      <c r="E468" s="129">
        <v>140</v>
      </c>
      <c r="F468" s="128"/>
      <c r="G468" s="130">
        <v>30.8</v>
      </c>
      <c r="H468" s="131"/>
      <c r="I468" s="130" t="e">
        <v>#REF!</v>
      </c>
      <c r="J468" s="128"/>
      <c r="K468" s="130" t="e">
        <v>#REF!</v>
      </c>
      <c r="L468" s="128"/>
      <c r="M468" s="129">
        <v>7000</v>
      </c>
      <c r="N468" s="123"/>
      <c r="O468" s="130">
        <v>1540</v>
      </c>
      <c r="P468" s="123"/>
      <c r="Q468" s="102"/>
      <c r="R468" s="123"/>
      <c r="S468" s="125"/>
      <c r="T468" s="125"/>
      <c r="U468" s="132" t="s">
        <v>682</v>
      </c>
      <c r="V468" s="103"/>
    </row>
    <row r="469" spans="1:22">
      <c r="A469" s="109"/>
      <c r="B469" s="498"/>
      <c r="C469" s="498"/>
      <c r="D469" s="499"/>
      <c r="E469" s="129"/>
      <c r="F469" s="128"/>
      <c r="G469" s="130"/>
      <c r="H469" s="131"/>
      <c r="I469" s="130"/>
      <c r="J469" s="128"/>
      <c r="K469" s="130"/>
      <c r="L469" s="128"/>
      <c r="M469" s="129"/>
      <c r="N469" s="123"/>
      <c r="O469" s="130"/>
      <c r="P469" s="123"/>
      <c r="Q469" s="102"/>
      <c r="R469" s="123"/>
      <c r="S469" s="125"/>
      <c r="T469" s="125"/>
      <c r="U469" s="132"/>
      <c r="V469" s="103"/>
    </row>
    <row r="470" spans="1:22">
      <c r="A470" s="109"/>
      <c r="B470" s="864" t="s">
        <v>716</v>
      </c>
      <c r="C470" s="864"/>
      <c r="D470" s="335"/>
      <c r="E470" s="335"/>
      <c r="F470" s="335"/>
      <c r="G470" s="335"/>
      <c r="H470" s="335"/>
      <c r="I470" s="335"/>
      <c r="J470" s="335"/>
      <c r="K470" s="335"/>
      <c r="L470" s="335"/>
      <c r="M470" s="335"/>
      <c r="N470" s="335"/>
      <c r="O470" s="335"/>
      <c r="P470" s="123"/>
      <c r="Q470" s="102"/>
      <c r="R470" s="123"/>
      <c r="S470" s="125"/>
      <c r="T470" s="125"/>
      <c r="U470" s="132"/>
      <c r="V470" s="319"/>
    </row>
    <row r="471" spans="1:22">
      <c r="A471" s="109"/>
      <c r="B471" s="863" t="s">
        <v>925</v>
      </c>
      <c r="C471" s="863"/>
      <c r="D471" s="335"/>
      <c r="E471" s="229" t="s">
        <v>133</v>
      </c>
      <c r="F471" s="229"/>
      <c r="G471" s="229" t="s">
        <v>133</v>
      </c>
      <c r="H471" s="335"/>
      <c r="I471" s="335"/>
      <c r="J471" s="335"/>
      <c r="K471" s="335"/>
      <c r="L471" s="335"/>
      <c r="M471" s="129">
        <v>3920</v>
      </c>
      <c r="N471" s="123"/>
      <c r="O471" s="130">
        <v>862.4</v>
      </c>
      <c r="P471" s="123"/>
      <c r="Q471" s="102"/>
      <c r="R471" s="123"/>
      <c r="S471" s="125"/>
      <c r="T471" s="125"/>
      <c r="U471" s="132" t="s">
        <v>679</v>
      </c>
      <c r="V471" s="320"/>
    </row>
    <row r="472" spans="1:22">
      <c r="A472" s="109"/>
      <c r="B472" s="863" t="s">
        <v>926</v>
      </c>
      <c r="C472" s="863"/>
      <c r="D472" s="335"/>
      <c r="E472" s="229" t="s">
        <v>133</v>
      </c>
      <c r="F472" s="229"/>
      <c r="G472" s="229" t="s">
        <v>133</v>
      </c>
      <c r="H472" s="335"/>
      <c r="I472" s="335"/>
      <c r="J472" s="335"/>
      <c r="K472" s="335"/>
      <c r="L472" s="335"/>
      <c r="M472" s="129">
        <v>2320</v>
      </c>
      <c r="N472" s="123"/>
      <c r="O472" s="130">
        <v>510.4</v>
      </c>
      <c r="P472" s="123"/>
      <c r="Q472" s="102"/>
      <c r="R472" s="123"/>
      <c r="S472" s="125"/>
      <c r="T472" s="125"/>
      <c r="U472" s="132" t="s">
        <v>679</v>
      </c>
      <c r="V472" s="320"/>
    </row>
    <row r="473" spans="1:22">
      <c r="A473" s="109"/>
      <c r="B473" s="863" t="s">
        <v>927</v>
      </c>
      <c r="C473" s="863"/>
      <c r="D473" s="335"/>
      <c r="E473" s="229" t="s">
        <v>133</v>
      </c>
      <c r="F473" s="229"/>
      <c r="G473" s="229" t="s">
        <v>133</v>
      </c>
      <c r="H473" s="335"/>
      <c r="I473" s="335"/>
      <c r="J473" s="335"/>
      <c r="K473" s="335"/>
      <c r="L473" s="335"/>
      <c r="M473" s="129">
        <v>3920</v>
      </c>
      <c r="N473" s="123"/>
      <c r="O473" s="130">
        <v>862.4</v>
      </c>
      <c r="P473" s="123"/>
      <c r="Q473" s="102"/>
      <c r="R473" s="123"/>
      <c r="S473" s="125"/>
      <c r="T473" s="125"/>
      <c r="U473" s="132" t="s">
        <v>679</v>
      </c>
      <c r="V473" s="320"/>
    </row>
    <row r="474" spans="1:22" ht="15" customHeight="1">
      <c r="A474" s="109"/>
      <c r="B474" s="867" t="s">
        <v>928</v>
      </c>
      <c r="C474" s="867"/>
      <c r="D474" s="335"/>
      <c r="E474" s="229" t="s">
        <v>133</v>
      </c>
      <c r="F474" s="229"/>
      <c r="G474" s="229" t="s">
        <v>133</v>
      </c>
      <c r="H474" s="335"/>
      <c r="I474" s="335"/>
      <c r="J474" s="335"/>
      <c r="K474" s="335"/>
      <c r="L474" s="335"/>
      <c r="M474" s="129">
        <v>2320</v>
      </c>
      <c r="N474" s="123"/>
      <c r="O474" s="130">
        <v>510.4</v>
      </c>
      <c r="P474" s="123"/>
      <c r="Q474" s="102"/>
      <c r="R474" s="123"/>
      <c r="S474" s="125"/>
      <c r="T474" s="125"/>
      <c r="U474" s="132" t="s">
        <v>679</v>
      </c>
      <c r="V474" s="320"/>
    </row>
    <row r="475" spans="1:22">
      <c r="A475" s="109"/>
      <c r="B475" s="867"/>
      <c r="C475" s="867"/>
      <c r="D475" s="335"/>
      <c r="E475" s="335"/>
      <c r="F475" s="335"/>
      <c r="G475" s="335"/>
      <c r="H475" s="335"/>
      <c r="I475" s="335"/>
      <c r="J475" s="335"/>
      <c r="K475" s="335"/>
      <c r="L475" s="335"/>
      <c r="M475" s="335"/>
      <c r="N475" s="335"/>
      <c r="O475" s="335"/>
      <c r="P475" s="123"/>
      <c r="Q475" s="102"/>
      <c r="R475" s="123"/>
      <c r="S475" s="125"/>
      <c r="T475" s="125"/>
      <c r="U475" s="125"/>
      <c r="V475" s="125"/>
    </row>
    <row r="476" spans="1:22" ht="16" thickBot="1">
      <c r="A476" s="109"/>
      <c r="B476" s="499"/>
      <c r="C476" s="335"/>
      <c r="D476" s="335"/>
      <c r="E476" s="335"/>
      <c r="F476" s="335"/>
      <c r="G476" s="335"/>
      <c r="H476" s="335"/>
      <c r="I476" s="335"/>
      <c r="J476" s="335"/>
      <c r="K476" s="335"/>
      <c r="L476" s="335"/>
      <c r="M476" s="335"/>
      <c r="N476" s="335"/>
      <c r="O476" s="335"/>
      <c r="P476" s="123"/>
      <c r="Q476" s="102"/>
      <c r="R476" s="123"/>
      <c r="S476" s="125"/>
      <c r="T476" s="125"/>
      <c r="U476" s="125"/>
      <c r="V476" s="125"/>
    </row>
    <row r="477" spans="1:22" ht="57" thickBot="1">
      <c r="A477" s="114"/>
      <c r="B477" s="114"/>
      <c r="C477" s="114"/>
      <c r="D477" s="115"/>
      <c r="E477" s="116" t="s">
        <v>908</v>
      </c>
      <c r="F477" s="115"/>
      <c r="G477" s="117" t="s">
        <v>649</v>
      </c>
      <c r="H477" s="173"/>
      <c r="I477" s="321" t="s">
        <v>650</v>
      </c>
      <c r="J477" s="119"/>
      <c r="K477" s="321" t="s">
        <v>651</v>
      </c>
      <c r="L477" s="119"/>
      <c r="M477" s="117" t="s">
        <v>614</v>
      </c>
      <c r="N477" s="173"/>
      <c r="O477" s="173"/>
      <c r="P477" s="173"/>
      <c r="Q477" s="173"/>
      <c r="R477" s="173"/>
      <c r="S477" s="173"/>
      <c r="T477" s="173"/>
      <c r="U477" s="184"/>
      <c r="V477" s="173"/>
    </row>
    <row r="478" spans="1:22">
      <c r="A478" s="109"/>
      <c r="B478" s="864" t="s">
        <v>635</v>
      </c>
      <c r="C478" s="864"/>
      <c r="D478" s="499"/>
      <c r="E478" s="499"/>
      <c r="F478" s="499"/>
      <c r="G478" s="499"/>
      <c r="H478" s="499"/>
      <c r="I478" s="499"/>
      <c r="J478" s="499"/>
      <c r="K478" s="499"/>
      <c r="L478" s="499"/>
      <c r="M478" s="132"/>
      <c r="N478" s="494"/>
      <c r="O478" s="494"/>
      <c r="P478" s="103"/>
      <c r="Q478" s="159"/>
      <c r="R478" s="103"/>
      <c r="S478" s="319"/>
      <c r="T478" s="319"/>
      <c r="U478" s="319"/>
      <c r="V478" s="319"/>
    </row>
    <row r="479" spans="1:22">
      <c r="A479" s="109"/>
      <c r="B479" s="863" t="s">
        <v>909</v>
      </c>
      <c r="C479" s="863"/>
      <c r="D479" s="499"/>
      <c r="E479" s="129">
        <v>54</v>
      </c>
      <c r="F479" s="128"/>
      <c r="G479" s="130">
        <v>11.88</v>
      </c>
      <c r="H479" s="131"/>
      <c r="I479" s="130" t="e">
        <v>#REF!</v>
      </c>
      <c r="J479" s="128"/>
      <c r="K479" s="130" t="e">
        <v>#REF!</v>
      </c>
      <c r="L479" s="128"/>
      <c r="M479" s="132" t="s">
        <v>670</v>
      </c>
      <c r="N479" s="103"/>
      <c r="O479" s="131"/>
      <c r="P479" s="322"/>
      <c r="Q479" s="322"/>
      <c r="R479" s="322"/>
      <c r="S479" s="322"/>
      <c r="T479" s="322"/>
      <c r="U479" s="167"/>
      <c r="V479" s="103"/>
    </row>
    <row r="480" spans="1:22">
      <c r="A480" s="109"/>
      <c r="B480" s="863" t="s">
        <v>910</v>
      </c>
      <c r="C480" s="863"/>
      <c r="D480" s="499"/>
      <c r="E480" s="129">
        <v>14</v>
      </c>
      <c r="F480" s="128"/>
      <c r="G480" s="130">
        <v>3.08</v>
      </c>
      <c r="H480" s="131"/>
      <c r="I480" s="130" t="e">
        <v>#REF!</v>
      </c>
      <c r="J480" s="128"/>
      <c r="K480" s="130" t="e">
        <v>#REF!</v>
      </c>
      <c r="L480" s="128"/>
      <c r="M480" s="132" t="s">
        <v>671</v>
      </c>
      <c r="N480" s="103"/>
      <c r="O480" s="131"/>
      <c r="P480" s="322"/>
      <c r="Q480" s="322"/>
      <c r="R480" s="322"/>
      <c r="S480" s="322"/>
      <c r="T480" s="322"/>
      <c r="U480" s="167"/>
      <c r="V480" s="103"/>
    </row>
    <row r="481" spans="1:22">
      <c r="A481" s="109"/>
      <c r="B481" s="865" t="s">
        <v>911</v>
      </c>
      <c r="C481" s="865"/>
      <c r="D481" s="499"/>
      <c r="E481" s="499"/>
      <c r="F481" s="499"/>
      <c r="G481" s="499"/>
      <c r="H481" s="499"/>
      <c r="I481" s="499"/>
      <c r="J481" s="499"/>
      <c r="K481" s="499"/>
      <c r="L481" s="499"/>
      <c r="M481" s="132"/>
      <c r="N481" s="494"/>
      <c r="O481" s="494"/>
      <c r="P481" s="103"/>
      <c r="Q481" s="159"/>
      <c r="R481" s="103"/>
      <c r="S481" s="319"/>
      <c r="T481" s="319"/>
      <c r="U481" s="319"/>
      <c r="V481" s="319"/>
    </row>
    <row r="482" spans="1:22">
      <c r="A482" s="109"/>
      <c r="B482" s="863" t="s">
        <v>912</v>
      </c>
      <c r="C482" s="863"/>
      <c r="D482" s="499"/>
      <c r="E482" s="129">
        <v>27</v>
      </c>
      <c r="F482" s="128"/>
      <c r="G482" s="130">
        <v>5.94</v>
      </c>
      <c r="H482" s="131"/>
      <c r="I482" s="130" t="e">
        <v>#REF!</v>
      </c>
      <c r="J482" s="128"/>
      <c r="K482" s="130" t="e">
        <v>#REF!</v>
      </c>
      <c r="L482" s="128"/>
      <c r="M482" s="132" t="s">
        <v>672</v>
      </c>
      <c r="N482" s="103"/>
      <c r="O482" s="131"/>
      <c r="P482" s="103"/>
      <c r="Q482" s="159"/>
      <c r="R482" s="103"/>
      <c r="S482" s="319"/>
      <c r="T482" s="319"/>
      <c r="U482" s="167"/>
      <c r="V482" s="103"/>
    </row>
    <row r="483" spans="1:22">
      <c r="A483" s="109"/>
      <c r="B483" s="863" t="s">
        <v>913</v>
      </c>
      <c r="C483" s="863"/>
      <c r="D483" s="499"/>
      <c r="E483" s="129">
        <v>72</v>
      </c>
      <c r="F483" s="128"/>
      <c r="G483" s="130">
        <v>15.84</v>
      </c>
      <c r="H483" s="131"/>
      <c r="I483" s="130" t="e">
        <v>#REF!</v>
      </c>
      <c r="J483" s="128"/>
      <c r="K483" s="130" t="e">
        <v>#REF!</v>
      </c>
      <c r="L483" s="128"/>
      <c r="M483" s="132" t="s">
        <v>673</v>
      </c>
      <c r="N483" s="103"/>
      <c r="O483" s="131"/>
      <c r="P483" s="103"/>
      <c r="Q483" s="159"/>
      <c r="R483" s="103"/>
      <c r="S483" s="319"/>
      <c r="T483" s="319"/>
      <c r="U483" s="167"/>
      <c r="V483" s="103"/>
    </row>
    <row r="484" spans="1:22" ht="15.75" customHeight="1">
      <c r="A484" s="109"/>
      <c r="B484" s="866" t="s">
        <v>914</v>
      </c>
      <c r="C484" s="866"/>
      <c r="D484" s="499"/>
      <c r="E484" s="129">
        <v>69</v>
      </c>
      <c r="F484" s="128"/>
      <c r="G484" s="130">
        <v>15.18</v>
      </c>
      <c r="H484" s="131"/>
      <c r="I484" s="130" t="e">
        <v>#REF!</v>
      </c>
      <c r="J484" s="128"/>
      <c r="K484" s="130" t="e">
        <v>#REF!</v>
      </c>
      <c r="L484" s="128"/>
      <c r="M484" s="132" t="s">
        <v>674</v>
      </c>
      <c r="N484" s="103"/>
      <c r="O484" s="131"/>
      <c r="P484" s="103"/>
      <c r="Q484" s="159"/>
      <c r="R484" s="103"/>
      <c r="S484" s="319"/>
      <c r="T484" s="319"/>
      <c r="U484" s="167"/>
      <c r="V484" s="103"/>
    </row>
    <row r="485" spans="1:22">
      <c r="A485" s="109"/>
      <c r="B485" s="866"/>
      <c r="C485" s="866"/>
      <c r="D485" s="499"/>
      <c r="E485" s="129"/>
      <c r="F485" s="128"/>
      <c r="G485" s="130"/>
      <c r="H485" s="131"/>
      <c r="I485" s="130"/>
      <c r="J485" s="128"/>
      <c r="K485" s="130"/>
      <c r="L485" s="128"/>
      <c r="M485" s="132"/>
      <c r="N485" s="103"/>
      <c r="O485" s="131"/>
      <c r="P485" s="103"/>
      <c r="Q485" s="159"/>
      <c r="R485" s="103"/>
      <c r="S485" s="319"/>
      <c r="T485" s="319"/>
      <c r="U485" s="167"/>
      <c r="V485" s="103"/>
    </row>
    <row r="486" spans="1:22">
      <c r="A486" s="109"/>
      <c r="B486" s="864" t="s">
        <v>915</v>
      </c>
      <c r="C486" s="864"/>
      <c r="D486" s="499"/>
      <c r="E486" s="499" t="s">
        <v>566</v>
      </c>
      <c r="F486" s="499"/>
      <c r="G486" s="499"/>
      <c r="H486" s="499"/>
      <c r="I486" s="499"/>
      <c r="J486" s="499"/>
      <c r="K486" s="499"/>
      <c r="L486" s="499"/>
      <c r="M486" s="132"/>
      <c r="N486" s="494"/>
      <c r="O486" s="494"/>
      <c r="P486" s="103"/>
      <c r="Q486" s="159"/>
      <c r="R486" s="103"/>
      <c r="S486" s="319"/>
      <c r="T486" s="319"/>
      <c r="U486" s="319"/>
      <c r="V486" s="319"/>
    </row>
    <row r="487" spans="1:22">
      <c r="A487" s="109"/>
      <c r="B487" s="863" t="s">
        <v>916</v>
      </c>
      <c r="C487" s="863"/>
      <c r="D487" s="499"/>
      <c r="E487" s="129">
        <v>15</v>
      </c>
      <c r="F487" s="128"/>
      <c r="G487" s="130">
        <v>3.3</v>
      </c>
      <c r="H487" s="131"/>
      <c r="I487" s="130" t="e">
        <v>#REF!</v>
      </c>
      <c r="J487" s="128"/>
      <c r="K487" s="130" t="e">
        <v>#REF!</v>
      </c>
      <c r="L487" s="128"/>
      <c r="M487" s="132" t="s">
        <v>675</v>
      </c>
      <c r="N487" s="103"/>
      <c r="O487" s="131"/>
      <c r="P487" s="103"/>
      <c r="Q487" s="159"/>
      <c r="R487" s="103"/>
      <c r="S487" s="319"/>
      <c r="T487" s="319"/>
      <c r="U487" s="167"/>
      <c r="V487" s="103"/>
    </row>
    <row r="488" spans="1:22">
      <c r="A488" s="109"/>
      <c r="B488" s="498"/>
      <c r="C488" s="498"/>
      <c r="D488" s="499"/>
      <c r="E488" s="499"/>
      <c r="F488" s="499"/>
      <c r="G488" s="499"/>
      <c r="H488" s="499"/>
      <c r="I488" s="499"/>
      <c r="J488" s="499"/>
      <c r="K488" s="499"/>
      <c r="L488" s="499"/>
      <c r="M488" s="132"/>
      <c r="N488" s="494"/>
      <c r="O488" s="494"/>
      <c r="P488" s="103"/>
      <c r="Q488" s="159"/>
      <c r="R488" s="103"/>
      <c r="S488" s="319"/>
      <c r="T488" s="319"/>
      <c r="U488" s="319"/>
      <c r="V488" s="319"/>
    </row>
    <row r="489" spans="1:22">
      <c r="A489" s="109"/>
      <c r="B489" s="864" t="s">
        <v>844</v>
      </c>
      <c r="C489" s="864"/>
      <c r="D489" s="499"/>
      <c r="E489" s="499"/>
      <c r="F489" s="499"/>
      <c r="G489" s="499"/>
      <c r="H489" s="499"/>
      <c r="I489" s="499"/>
      <c r="J489" s="499"/>
      <c r="K489" s="499"/>
      <c r="L489" s="499"/>
      <c r="M489" s="132" t="s">
        <v>566</v>
      </c>
      <c r="N489" s="494"/>
      <c r="O489" s="494"/>
      <c r="P489" s="103"/>
      <c r="Q489" s="159"/>
      <c r="R489" s="103"/>
      <c r="S489" s="319"/>
      <c r="T489" s="319"/>
      <c r="U489" s="319"/>
      <c r="V489" s="319"/>
    </row>
    <row r="490" spans="1:22">
      <c r="A490" s="109"/>
      <c r="B490" s="863" t="s">
        <v>917</v>
      </c>
      <c r="C490" s="863"/>
      <c r="D490" s="499"/>
      <c r="E490" s="129">
        <v>105</v>
      </c>
      <c r="F490" s="128"/>
      <c r="G490" s="130">
        <v>23.1</v>
      </c>
      <c r="H490" s="131"/>
      <c r="I490" s="130" t="e">
        <v>#REF!</v>
      </c>
      <c r="J490" s="128"/>
      <c r="K490" s="130" t="e">
        <v>#REF!</v>
      </c>
      <c r="L490" s="128"/>
      <c r="M490" s="132" t="s">
        <v>676</v>
      </c>
      <c r="N490" s="103"/>
      <c r="O490" s="131"/>
      <c r="P490" s="103"/>
      <c r="Q490" s="159"/>
      <c r="R490" s="103"/>
      <c r="S490" s="319"/>
      <c r="T490" s="319"/>
      <c r="U490" s="167"/>
      <c r="V490" s="103"/>
    </row>
    <row r="491" spans="1:22">
      <c r="A491" s="109"/>
      <c r="B491" s="863" t="s">
        <v>918</v>
      </c>
      <c r="C491" s="863"/>
      <c r="D491" s="499"/>
      <c r="E491" s="129">
        <v>110</v>
      </c>
      <c r="F491" s="128"/>
      <c r="G491" s="130">
        <v>24.2</v>
      </c>
      <c r="H491" s="131"/>
      <c r="I491" s="130" t="e">
        <v>#REF!</v>
      </c>
      <c r="J491" s="128"/>
      <c r="K491" s="130" t="e">
        <v>#REF!</v>
      </c>
      <c r="L491" s="128"/>
      <c r="M491" s="132" t="s">
        <v>677</v>
      </c>
      <c r="N491" s="103"/>
      <c r="O491" s="131"/>
      <c r="P491" s="103"/>
      <c r="Q491" s="159"/>
      <c r="R491" s="103"/>
      <c r="S491" s="319"/>
      <c r="T491" s="319"/>
      <c r="U491" s="167"/>
      <c r="V491" s="103"/>
    </row>
    <row r="492" spans="1:22">
      <c r="A492" s="109"/>
      <c r="B492" s="498"/>
      <c r="C492" s="498"/>
      <c r="D492" s="499"/>
      <c r="E492" s="499" t="s">
        <v>566</v>
      </c>
      <c r="F492" s="499"/>
      <c r="G492" s="499"/>
      <c r="H492" s="499"/>
      <c r="I492" s="499"/>
      <c r="J492" s="499"/>
      <c r="K492" s="499"/>
      <c r="L492" s="499"/>
      <c r="M492" s="132"/>
      <c r="N492" s="494"/>
      <c r="O492" s="494"/>
      <c r="P492" s="103"/>
      <c r="Q492" s="159"/>
      <c r="R492" s="103"/>
      <c r="S492" s="319"/>
      <c r="T492" s="319"/>
      <c r="U492" s="319"/>
      <c r="V492" s="319"/>
    </row>
    <row r="493" spans="1:22">
      <c r="A493" s="109"/>
      <c r="B493" s="864" t="s">
        <v>919</v>
      </c>
      <c r="C493" s="864"/>
      <c r="D493" s="499"/>
      <c r="E493" s="499"/>
      <c r="F493" s="499"/>
      <c r="G493" s="499"/>
      <c r="H493" s="499"/>
      <c r="I493" s="499"/>
      <c r="J493" s="499"/>
      <c r="K493" s="499"/>
      <c r="L493" s="499"/>
      <c r="M493" s="132"/>
      <c r="N493" s="494"/>
      <c r="O493" s="494"/>
      <c r="P493" s="103"/>
      <c r="Q493" s="159"/>
      <c r="R493" s="103"/>
      <c r="S493" s="319"/>
      <c r="T493" s="319"/>
      <c r="U493" s="319"/>
      <c r="V493" s="319"/>
    </row>
    <row r="494" spans="1:22">
      <c r="A494" s="109"/>
      <c r="B494" s="863" t="s">
        <v>920</v>
      </c>
      <c r="C494" s="863"/>
      <c r="D494" s="499"/>
      <c r="E494" s="129">
        <v>9</v>
      </c>
      <c r="F494" s="128"/>
      <c r="G494" s="130">
        <v>1.98</v>
      </c>
      <c r="H494" s="131"/>
      <c r="I494" s="130" t="e">
        <v>#REF!</v>
      </c>
      <c r="J494" s="128"/>
      <c r="K494" s="130" t="e">
        <v>#REF!</v>
      </c>
      <c r="L494" s="128"/>
      <c r="M494" s="132" t="s">
        <v>678</v>
      </c>
      <c r="N494" s="103"/>
      <c r="O494" s="131"/>
      <c r="P494" s="103"/>
      <c r="Q494" s="159"/>
      <c r="R494" s="103"/>
      <c r="S494" s="319"/>
      <c r="T494" s="319"/>
      <c r="U494" s="167"/>
      <c r="V494" s="103"/>
    </row>
    <row r="495" spans="1:22">
      <c r="A495" s="109"/>
      <c r="B495" s="498"/>
      <c r="C495" s="498"/>
      <c r="D495" s="499"/>
      <c r="E495" s="499"/>
      <c r="F495" s="499"/>
      <c r="G495" s="499"/>
      <c r="H495" s="499"/>
      <c r="I495" s="499"/>
      <c r="J495" s="499"/>
      <c r="K495" s="499"/>
      <c r="L495" s="499"/>
      <c r="M495" s="132"/>
      <c r="N495" s="494"/>
      <c r="O495" s="494"/>
      <c r="P495" s="103"/>
      <c r="Q495" s="159"/>
      <c r="R495" s="103"/>
      <c r="S495" s="319"/>
      <c r="T495" s="319"/>
      <c r="U495" s="319"/>
      <c r="V495" s="319"/>
    </row>
    <row r="496" spans="1:22">
      <c r="A496" s="109"/>
      <c r="B496" s="864" t="s">
        <v>2546</v>
      </c>
      <c r="C496" s="864"/>
      <c r="D496" s="499"/>
      <c r="E496" s="499"/>
      <c r="F496" s="499"/>
      <c r="G496" s="499"/>
      <c r="H496" s="499"/>
      <c r="I496" s="499"/>
      <c r="J496" s="499"/>
      <c r="K496" s="499"/>
      <c r="L496" s="499"/>
      <c r="M496" s="132"/>
      <c r="N496" s="494"/>
      <c r="O496" s="494"/>
      <c r="P496" s="103"/>
      <c r="Q496" s="159"/>
      <c r="R496" s="103"/>
      <c r="S496" s="319"/>
      <c r="T496" s="319"/>
      <c r="U496" s="319"/>
      <c r="V496" s="319"/>
    </row>
    <row r="497" spans="1:22">
      <c r="A497" s="109"/>
      <c r="B497" s="863" t="s">
        <v>921</v>
      </c>
      <c r="C497" s="863"/>
      <c r="D497" s="499"/>
      <c r="E497" s="129">
        <v>150</v>
      </c>
      <c r="F497" s="128"/>
      <c r="G497" s="130">
        <v>33</v>
      </c>
      <c r="H497" s="131"/>
      <c r="I497" s="130" t="e">
        <v>#REF!</v>
      </c>
      <c r="J497" s="128"/>
      <c r="K497" s="130" t="e">
        <v>#REF!</v>
      </c>
      <c r="L497" s="128"/>
      <c r="M497" s="132" t="s">
        <v>2555</v>
      </c>
      <c r="N497" s="103"/>
      <c r="O497" s="131"/>
      <c r="P497" s="103"/>
      <c r="Q497" s="159"/>
      <c r="R497" s="103"/>
      <c r="S497" s="319"/>
      <c r="T497" s="319"/>
      <c r="U497" s="167"/>
      <c r="V497" s="103"/>
    </row>
    <row r="498" spans="1:22">
      <c r="A498" s="109"/>
      <c r="B498" s="868"/>
      <c r="C498" s="868"/>
      <c r="D498" s="499"/>
      <c r="E498" s="129"/>
      <c r="F498" s="128"/>
      <c r="G498" s="130"/>
      <c r="H498" s="131"/>
      <c r="I498" s="130"/>
      <c r="J498" s="128"/>
      <c r="K498" s="130"/>
      <c r="L498" s="128"/>
      <c r="M498" s="132"/>
      <c r="N498" s="103"/>
      <c r="O498" s="131"/>
      <c r="P498" s="103"/>
      <c r="Q498" s="159"/>
      <c r="R498" s="103"/>
      <c r="S498" s="319"/>
      <c r="T498" s="319"/>
      <c r="U498" s="167"/>
      <c r="V498" s="103"/>
    </row>
    <row r="499" spans="1:22">
      <c r="A499" s="109" t="s">
        <v>566</v>
      </c>
      <c r="B499" s="864" t="s">
        <v>922</v>
      </c>
      <c r="C499" s="864"/>
      <c r="D499" s="499"/>
      <c r="E499" s="129"/>
      <c r="F499" s="128"/>
      <c r="G499" s="130"/>
      <c r="H499" s="131"/>
      <c r="I499" s="130"/>
      <c r="J499" s="128"/>
      <c r="K499" s="130"/>
      <c r="L499" s="128"/>
      <c r="M499" s="132"/>
      <c r="N499" s="103"/>
      <c r="O499" s="131"/>
      <c r="P499" s="103"/>
      <c r="Q499" s="159"/>
      <c r="R499" s="103"/>
      <c r="S499" s="319"/>
      <c r="T499" s="319"/>
      <c r="U499" s="167"/>
      <c r="V499" s="103"/>
    </row>
    <row r="500" spans="1:22">
      <c r="A500" s="109"/>
      <c r="B500" s="863" t="s">
        <v>923</v>
      </c>
      <c r="C500" s="863"/>
      <c r="D500" s="499"/>
      <c r="E500" s="129">
        <v>27</v>
      </c>
      <c r="F500" s="128"/>
      <c r="G500" s="130">
        <v>5.94</v>
      </c>
      <c r="H500" s="131"/>
      <c r="I500" s="130" t="e">
        <v>#REF!</v>
      </c>
      <c r="J500" s="128"/>
      <c r="K500" s="130" t="e">
        <v>#REF!</v>
      </c>
      <c r="L500" s="128"/>
      <c r="M500" s="132" t="s">
        <v>681</v>
      </c>
      <c r="N500" s="103"/>
      <c r="O500" s="131"/>
      <c r="P500" s="103"/>
      <c r="Q500" s="159"/>
      <c r="R500" s="103"/>
      <c r="S500" s="319"/>
      <c r="T500" s="319"/>
      <c r="U500" s="167"/>
      <c r="V500" s="103"/>
    </row>
    <row r="517" ht="15" customHeight="1"/>
    <row r="559" ht="15" customHeight="1"/>
    <row r="565" ht="16.5" customHeight="1"/>
    <row r="567" ht="21" customHeight="1"/>
    <row r="569" ht="21" customHeight="1"/>
    <row r="571" ht="21" customHeight="1"/>
    <row r="573" ht="21" customHeight="1"/>
    <row r="575" ht="21" customHeight="1"/>
    <row r="577" ht="21" customHeight="1"/>
    <row r="579" ht="21" customHeight="1"/>
    <row r="581" ht="21" customHeight="1"/>
    <row r="583" ht="21" customHeight="1"/>
    <row r="585" ht="21" customHeight="1"/>
    <row r="587" ht="21" customHeight="1"/>
    <row r="589" ht="21" customHeight="1"/>
    <row r="591" ht="21" customHeight="1"/>
    <row r="593" ht="21" customHeight="1"/>
    <row r="595" ht="21" customHeight="1"/>
    <row r="599" ht="21" customHeight="1"/>
    <row r="601" ht="21" customHeight="1"/>
    <row r="603" ht="21" customHeight="1"/>
    <row r="605" ht="21" customHeight="1"/>
    <row r="607" ht="21" customHeight="1"/>
    <row r="609" ht="21" customHeight="1"/>
    <row r="618" ht="16.5" customHeight="1"/>
    <row r="620" ht="21" customHeight="1"/>
    <row r="622" ht="21" customHeight="1"/>
    <row r="624" ht="21" customHeight="1"/>
    <row r="626" ht="21" customHeight="1"/>
    <row r="628" ht="21" customHeight="1"/>
    <row r="630" ht="21" customHeight="1"/>
    <row r="632" ht="21" customHeight="1"/>
    <row r="634" ht="21" customHeight="1"/>
    <row r="636" ht="21" customHeight="1"/>
    <row r="638" ht="21" customHeight="1"/>
    <row r="640" ht="21" customHeight="1"/>
    <row r="642" ht="21" customHeight="1"/>
    <row r="644" ht="21" customHeight="1"/>
    <row r="646" ht="21" customHeight="1"/>
    <row r="648" ht="21" customHeight="1"/>
    <row r="652" ht="21" customHeight="1"/>
    <row r="654" ht="21" customHeight="1"/>
    <row r="656" ht="21" customHeight="1"/>
    <row r="658" ht="21" customHeight="1"/>
    <row r="660" ht="21" customHeight="1"/>
    <row r="662" ht="21" customHeight="1"/>
    <row r="664" ht="21" customHeight="1"/>
    <row r="673" ht="16.5" customHeight="1"/>
    <row r="675" ht="21" customHeight="1"/>
    <row r="677" ht="21" customHeight="1"/>
    <row r="679" ht="21" customHeight="1"/>
    <row r="681" ht="21" customHeight="1"/>
    <row r="683" ht="21" customHeight="1"/>
    <row r="685" ht="21" customHeight="1"/>
    <row r="689" ht="21" customHeight="1"/>
    <row r="691" ht="21" customHeight="1"/>
    <row r="693" ht="21" customHeight="1"/>
    <row r="695" ht="21" customHeight="1"/>
    <row r="697" ht="21" customHeight="1"/>
    <row r="705" ht="16.5" customHeight="1"/>
    <row r="707" ht="21" customHeight="1"/>
    <row r="709" ht="21" customHeight="1"/>
    <row r="711" ht="21" customHeight="1"/>
    <row r="713" ht="21" customHeight="1"/>
    <row r="715" ht="21" customHeight="1"/>
    <row r="717" ht="21" customHeight="1"/>
    <row r="719" ht="21" customHeight="1"/>
    <row r="721" ht="21" customHeight="1"/>
    <row r="723" ht="21" customHeight="1"/>
    <row r="725" ht="21" customHeight="1"/>
    <row r="728" ht="21" customHeight="1"/>
    <row r="730" ht="21" customHeight="1"/>
    <row r="732" ht="21" customHeight="1"/>
    <row r="734" ht="21" customHeight="1"/>
    <row r="736" ht="21" customHeight="1"/>
    <row r="738" ht="21" customHeight="1"/>
    <row r="740" ht="21" customHeight="1"/>
    <row r="742" ht="21" customHeight="1"/>
    <row r="744" ht="21" customHeight="1"/>
    <row r="749" ht="16.5" customHeight="1"/>
    <row r="751" ht="21" customHeight="1"/>
    <row r="753" ht="21" customHeight="1"/>
    <row r="755" ht="21" customHeight="1"/>
    <row r="757" ht="21" customHeight="1"/>
    <row r="759" ht="21" customHeight="1"/>
    <row r="761" ht="21" customHeight="1"/>
    <row r="769"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8"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66"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4" ht="15" customHeight="1"/>
    <row r="885" ht="15" customHeight="1"/>
    <row r="887" ht="15" customHeight="1"/>
    <row r="893" ht="15" customHeight="1"/>
    <row r="894" ht="15" customHeight="1"/>
    <row r="895" ht="15" customHeight="1"/>
    <row r="896" ht="15" customHeight="1"/>
    <row r="897" ht="15" customHeight="1"/>
    <row r="901" ht="15" customHeight="1"/>
    <row r="904" ht="15" customHeight="1"/>
    <row r="906" ht="15" customHeight="1"/>
    <row r="910" ht="16.5" customHeight="1"/>
    <row r="914" ht="15" customHeight="1"/>
    <row r="917" ht="15" customHeight="1"/>
    <row r="918" ht="15" customHeight="1"/>
    <row r="921" ht="15" customHeight="1"/>
    <row r="922" ht="15" customHeight="1"/>
    <row r="923" ht="15" customHeight="1"/>
    <row r="924" ht="15" customHeight="1"/>
    <row r="925" ht="15" customHeight="1"/>
    <row r="927" ht="15" customHeight="1"/>
    <row r="930" ht="15" customHeight="1"/>
    <row r="932" ht="15" customHeight="1"/>
    <row r="935" ht="15" customHeight="1"/>
    <row r="937" ht="20.25" customHeight="1"/>
    <row r="939" ht="16.5" customHeight="1"/>
    <row r="941" ht="15" customHeight="1"/>
    <row r="942" ht="15" customHeight="1"/>
    <row r="945" ht="15" customHeight="1"/>
  </sheetData>
  <mergeCells count="87">
    <mergeCell ref="B498:C498"/>
    <mergeCell ref="B499:C499"/>
    <mergeCell ref="B500:C500"/>
    <mergeCell ref="B490:C490"/>
    <mergeCell ref="B491:C491"/>
    <mergeCell ref="B493:C493"/>
    <mergeCell ref="B494:C494"/>
    <mergeCell ref="B496:C496"/>
    <mergeCell ref="B497:C497"/>
    <mergeCell ref="B489:C489"/>
    <mergeCell ref="B473:C473"/>
    <mergeCell ref="B474:C475"/>
    <mergeCell ref="B478:C478"/>
    <mergeCell ref="B479:C479"/>
    <mergeCell ref="B480:C480"/>
    <mergeCell ref="B481:C481"/>
    <mergeCell ref="B482:C482"/>
    <mergeCell ref="B483:C483"/>
    <mergeCell ref="B484:C485"/>
    <mergeCell ref="B486:C486"/>
    <mergeCell ref="B487:C487"/>
    <mergeCell ref="B472:C472"/>
    <mergeCell ref="B458:C458"/>
    <mergeCell ref="B459:C459"/>
    <mergeCell ref="B461:C461"/>
    <mergeCell ref="B462:C462"/>
    <mergeCell ref="B463:C463"/>
    <mergeCell ref="B464:C465"/>
    <mergeCell ref="B466:C466"/>
    <mergeCell ref="B467:C467"/>
    <mergeCell ref="B468:C468"/>
    <mergeCell ref="B470:C470"/>
    <mergeCell ref="B471:C471"/>
    <mergeCell ref="B456:C456"/>
    <mergeCell ref="B443:C443"/>
    <mergeCell ref="B444:C444"/>
    <mergeCell ref="B445:C445"/>
    <mergeCell ref="B446:C446"/>
    <mergeCell ref="B447:C447"/>
    <mergeCell ref="B448:C448"/>
    <mergeCell ref="B449:C450"/>
    <mergeCell ref="B451:C451"/>
    <mergeCell ref="B452:C452"/>
    <mergeCell ref="B454:C454"/>
    <mergeCell ref="B455:C455"/>
    <mergeCell ref="B441:U441"/>
    <mergeCell ref="B193:C193"/>
    <mergeCell ref="B202:U202"/>
    <mergeCell ref="M311:M312"/>
    <mergeCell ref="M321:M322"/>
    <mergeCell ref="M325:M326"/>
    <mergeCell ref="B336:C336"/>
    <mergeCell ref="M337:M338"/>
    <mergeCell ref="B342:C342"/>
    <mergeCell ref="B344:C344"/>
    <mergeCell ref="B359:C360"/>
    <mergeCell ref="B377:U377"/>
    <mergeCell ref="B192:C192"/>
    <mergeCell ref="B162:C162"/>
    <mergeCell ref="B163:C163"/>
    <mergeCell ref="B164:C164"/>
    <mergeCell ref="B165:C165"/>
    <mergeCell ref="B166:C166"/>
    <mergeCell ref="B167:C167"/>
    <mergeCell ref="B168:C168"/>
    <mergeCell ref="B169:C169"/>
    <mergeCell ref="B188:C188"/>
    <mergeCell ref="B190:C190"/>
    <mergeCell ref="B191:C191"/>
    <mergeCell ref="B161:C161"/>
    <mergeCell ref="B121:U121"/>
    <mergeCell ref="B139:C139"/>
    <mergeCell ref="B143:C143"/>
    <mergeCell ref="B153:C153"/>
    <mergeCell ref="B154:C154"/>
    <mergeCell ref="B155:C155"/>
    <mergeCell ref="B156:C156"/>
    <mergeCell ref="B157:C157"/>
    <mergeCell ref="B158:C158"/>
    <mergeCell ref="B159:C159"/>
    <mergeCell ref="B160:C160"/>
    <mergeCell ref="B100:C100"/>
    <mergeCell ref="A3:V3"/>
    <mergeCell ref="A4:V4"/>
    <mergeCell ref="B11:U11"/>
    <mergeCell ref="B13:C13"/>
    <mergeCell ref="B88:U88"/>
  </mergeCells>
  <hyperlinks>
    <hyperlink ref="B1" r:id="rId1" xr:uid="{74C4C70B-BF66-4FF0-9F5C-E037C1F194C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3C9C2-BD57-4F18-BADB-EB00BC273040}">
  <sheetPr codeName="Sheet27">
    <tabColor theme="3"/>
  </sheetPr>
  <dimension ref="A1:Y945"/>
  <sheetViews>
    <sheetView workbookViewId="0">
      <selection activeCell="B52" sqref="B52"/>
    </sheetView>
  </sheetViews>
  <sheetFormatPr baseColWidth="10" defaultColWidth="8.83203125" defaultRowHeight="15"/>
  <cols>
    <col min="1" max="1" width="9.1640625" customWidth="1"/>
    <col min="2" max="2" width="70" customWidth="1"/>
    <col min="3" max="4" width="0" hidden="1" customWidth="1"/>
    <col min="5" max="5" width="9.1640625" customWidth="1"/>
    <col min="6" max="11" width="9.1640625" hidden="1" customWidth="1"/>
    <col min="12" max="12" width="9.1640625" customWidth="1"/>
    <col min="14" max="14" width="9.1640625" customWidth="1"/>
    <col min="15" max="20" width="9.1640625" hidden="1" customWidth="1"/>
    <col min="21" max="21" width="0" hidden="1" customWidth="1"/>
  </cols>
  <sheetData>
    <row r="1" spans="1:25">
      <c r="A1" s="504">
        <v>43983</v>
      </c>
      <c r="B1" s="82" t="s">
        <v>2557</v>
      </c>
      <c r="C1" s="101"/>
      <c r="D1" s="101"/>
      <c r="E1" s="102"/>
      <c r="F1" s="101"/>
      <c r="G1" s="101"/>
      <c r="H1" s="103"/>
      <c r="I1" s="102"/>
      <c r="J1" s="101"/>
      <c r="K1" s="102"/>
      <c r="L1" s="101"/>
      <c r="M1" s="102"/>
      <c r="N1" s="101"/>
      <c r="O1" s="101"/>
      <c r="P1" s="101"/>
      <c r="Q1" s="102"/>
      <c r="R1" s="104"/>
      <c r="S1" s="105"/>
      <c r="T1" s="105"/>
      <c r="U1" s="105"/>
      <c r="V1" s="105"/>
      <c r="W1" s="105"/>
      <c r="X1" s="104"/>
      <c r="Y1" s="106"/>
    </row>
    <row r="2" spans="1:25">
      <c r="A2" s="504"/>
      <c r="B2" s="82">
        <v>1</v>
      </c>
      <c r="C2" s="101">
        <v>2</v>
      </c>
      <c r="D2" s="101">
        <v>3</v>
      </c>
      <c r="E2" s="102">
        <v>4</v>
      </c>
      <c r="F2" s="101">
        <v>5</v>
      </c>
      <c r="G2" s="101">
        <v>6</v>
      </c>
      <c r="H2" s="103">
        <v>7</v>
      </c>
      <c r="I2" s="102">
        <v>8</v>
      </c>
      <c r="J2" s="101">
        <v>9</v>
      </c>
      <c r="K2" s="103">
        <v>10</v>
      </c>
      <c r="L2" s="102">
        <v>11</v>
      </c>
      <c r="M2" s="101">
        <v>12</v>
      </c>
      <c r="N2" s="101"/>
      <c r="O2" s="101"/>
      <c r="P2" s="101"/>
      <c r="Q2" s="102"/>
      <c r="R2" s="104"/>
      <c r="S2" s="105"/>
      <c r="T2" s="105"/>
      <c r="U2" s="105"/>
      <c r="V2" s="105"/>
      <c r="W2" s="105"/>
      <c r="X2" s="104"/>
      <c r="Y2" s="106"/>
    </row>
    <row r="3" spans="1:25" ht="15" customHeight="1">
      <c r="A3" s="852" t="s">
        <v>611</v>
      </c>
      <c r="B3" s="852"/>
      <c r="C3" s="852"/>
      <c r="D3" s="852"/>
      <c r="E3" s="852"/>
      <c r="F3" s="852"/>
      <c r="G3" s="852"/>
      <c r="H3" s="852"/>
      <c r="I3" s="852"/>
      <c r="J3" s="852"/>
      <c r="K3" s="852"/>
      <c r="L3" s="852"/>
      <c r="M3" s="852"/>
      <c r="N3" s="852"/>
      <c r="O3" s="852"/>
      <c r="P3" s="852"/>
      <c r="Q3" s="852"/>
      <c r="R3" s="852"/>
      <c r="S3" s="852"/>
      <c r="T3" s="852"/>
      <c r="U3" s="852"/>
      <c r="V3" s="852"/>
    </row>
    <row r="4" spans="1:25" ht="15" customHeight="1">
      <c r="A4" s="853">
        <v>43983</v>
      </c>
      <c r="B4" s="853"/>
      <c r="C4" s="853"/>
      <c r="D4" s="853"/>
      <c r="E4" s="853"/>
      <c r="F4" s="853"/>
      <c r="G4" s="853"/>
      <c r="H4" s="853"/>
      <c r="I4" s="853"/>
      <c r="J4" s="853"/>
      <c r="K4" s="853"/>
      <c r="L4" s="853"/>
      <c r="M4" s="853"/>
      <c r="N4" s="853"/>
      <c r="O4" s="853"/>
      <c r="P4" s="853"/>
      <c r="Q4" s="853"/>
      <c r="R4" s="853"/>
      <c r="S4" s="853"/>
      <c r="T4" s="853"/>
      <c r="U4" s="853"/>
      <c r="V4" s="853"/>
    </row>
    <row r="5" spans="1:25" ht="16">
      <c r="A5" s="317"/>
      <c r="B5" s="317"/>
      <c r="C5" s="317"/>
      <c r="D5" s="317"/>
      <c r="E5" s="317"/>
      <c r="F5" s="317"/>
      <c r="G5" s="317"/>
      <c r="H5" s="317"/>
      <c r="I5" s="317"/>
      <c r="J5" s="317"/>
      <c r="K5" s="317"/>
      <c r="L5" s="317"/>
      <c r="M5" s="317"/>
      <c r="N5" s="317"/>
      <c r="O5" s="317"/>
      <c r="P5" s="317"/>
      <c r="Q5" s="317"/>
      <c r="R5" s="230"/>
      <c r="S5" s="230"/>
      <c r="T5" s="230"/>
      <c r="U5" s="230"/>
      <c r="V5" s="230"/>
    </row>
    <row r="6" spans="1:25">
      <c r="A6" s="109"/>
      <c r="B6" s="109"/>
      <c r="C6" s="109" t="s">
        <v>566</v>
      </c>
      <c r="D6" s="109"/>
      <c r="E6" s="110"/>
      <c r="F6" s="109"/>
      <c r="G6" s="109"/>
      <c r="H6" s="103"/>
      <c r="I6" s="110"/>
      <c r="J6" s="109"/>
      <c r="K6" s="110"/>
      <c r="L6" s="109"/>
      <c r="M6" s="110"/>
      <c r="N6" s="109"/>
      <c r="O6" s="109"/>
      <c r="P6" s="109"/>
      <c r="Q6" s="110"/>
      <c r="R6" s="109"/>
      <c r="S6" s="111"/>
      <c r="T6" s="111"/>
      <c r="U6" s="111"/>
      <c r="V6" s="111"/>
    </row>
    <row r="7" spans="1:25">
      <c r="A7" s="109"/>
      <c r="B7" s="109"/>
      <c r="C7" s="109"/>
      <c r="D7" s="109"/>
      <c r="E7" s="110"/>
      <c r="F7" s="109"/>
      <c r="G7" s="109"/>
      <c r="H7" s="103"/>
      <c r="I7" s="110"/>
      <c r="J7" s="109"/>
      <c r="K7" s="110"/>
      <c r="L7" s="109"/>
      <c r="M7" s="110"/>
      <c r="N7" s="109"/>
      <c r="O7" s="109"/>
      <c r="P7" s="109"/>
      <c r="Q7" s="110"/>
      <c r="R7" s="109"/>
      <c r="S7" s="111"/>
      <c r="T7" s="111"/>
      <c r="U7" s="111"/>
      <c r="V7" s="111"/>
    </row>
    <row r="8" spans="1:25">
      <c r="A8" s="109"/>
      <c r="B8" s="109"/>
      <c r="C8" s="109"/>
      <c r="D8" s="109"/>
      <c r="E8" s="110"/>
      <c r="F8" s="109"/>
      <c r="G8" s="109"/>
      <c r="H8" s="103"/>
      <c r="I8" s="110"/>
      <c r="J8" s="109"/>
      <c r="K8" s="110"/>
      <c r="L8" s="109"/>
      <c r="M8" s="110"/>
      <c r="N8" s="109"/>
      <c r="O8" s="109"/>
      <c r="P8" s="109"/>
      <c r="Q8" s="110"/>
      <c r="R8" s="109"/>
      <c r="S8" s="111"/>
      <c r="T8" s="111"/>
      <c r="U8" s="111"/>
      <c r="V8" s="111"/>
    </row>
    <row r="9" spans="1:25">
      <c r="A9" s="109"/>
      <c r="B9" s="109"/>
      <c r="C9" s="109"/>
      <c r="D9" s="109"/>
      <c r="E9" s="110"/>
      <c r="F9" s="109"/>
      <c r="G9" s="109"/>
      <c r="H9" s="103"/>
      <c r="I9" s="110"/>
      <c r="J9" s="109"/>
      <c r="K9" s="110"/>
      <c r="L9" s="109"/>
      <c r="M9" s="110"/>
      <c r="N9" s="109"/>
      <c r="O9" s="109"/>
      <c r="P9" s="109"/>
      <c r="Q9" s="110"/>
      <c r="R9" s="109"/>
      <c r="S9" s="111"/>
      <c r="T9" s="111"/>
      <c r="U9" s="111"/>
      <c r="V9" s="111"/>
    </row>
    <row r="10" spans="1:25">
      <c r="A10" s="107"/>
      <c r="B10" s="112" t="s">
        <v>612</v>
      </c>
      <c r="C10" s="107"/>
      <c r="D10" s="107"/>
      <c r="E10" s="107" t="s">
        <v>566</v>
      </c>
      <c r="F10" s="107"/>
      <c r="G10" s="107"/>
      <c r="H10" s="108"/>
      <c r="I10" s="107"/>
      <c r="J10" s="107"/>
      <c r="K10" s="107"/>
      <c r="L10" s="107"/>
      <c r="M10" s="107"/>
      <c r="N10" s="107"/>
      <c r="O10" s="107"/>
      <c r="P10" s="107"/>
      <c r="Q10" s="107"/>
      <c r="R10" s="107"/>
      <c r="S10" s="107"/>
      <c r="T10" s="107"/>
      <c r="U10" s="107" t="s">
        <v>683</v>
      </c>
      <c r="V10" s="105"/>
    </row>
    <row r="11" spans="1:25" ht="15.75" customHeight="1" thickBot="1">
      <c r="A11" s="113"/>
      <c r="B11" s="854" t="s">
        <v>684</v>
      </c>
      <c r="C11" s="854"/>
      <c r="D11" s="854"/>
      <c r="E11" s="854"/>
      <c r="F11" s="854"/>
      <c r="G11" s="854"/>
      <c r="H11" s="854"/>
      <c r="I11" s="854"/>
      <c r="J11" s="854"/>
      <c r="K11" s="854"/>
      <c r="L11" s="854"/>
      <c r="M11" s="854"/>
      <c r="N11" s="854"/>
      <c r="O11" s="854"/>
      <c r="P11" s="854"/>
      <c r="Q11" s="854"/>
      <c r="R11" s="854"/>
      <c r="S11" s="854"/>
      <c r="T11" s="854"/>
      <c r="U11" s="854"/>
      <c r="V11" s="315"/>
    </row>
    <row r="12" spans="1:25" ht="57" thickBot="1">
      <c r="A12" s="114"/>
      <c r="B12" s="114"/>
      <c r="C12" s="114"/>
      <c r="D12" s="115"/>
      <c r="E12" s="116" t="s">
        <v>648</v>
      </c>
      <c r="F12" s="115"/>
      <c r="G12" s="117" t="s">
        <v>649</v>
      </c>
      <c r="H12" s="118"/>
      <c r="I12" s="117" t="s">
        <v>650</v>
      </c>
      <c r="J12" s="115"/>
      <c r="K12" s="117" t="s">
        <v>651</v>
      </c>
      <c r="L12" s="115"/>
      <c r="M12" s="116" t="s">
        <v>613</v>
      </c>
      <c r="N12" s="119"/>
      <c r="O12" s="117" t="s">
        <v>649</v>
      </c>
      <c r="P12" s="119"/>
      <c r="Q12" s="117" t="s">
        <v>650</v>
      </c>
      <c r="R12" s="119"/>
      <c r="S12" s="117" t="s">
        <v>651</v>
      </c>
      <c r="T12" s="120"/>
      <c r="U12" s="117" t="s">
        <v>614</v>
      </c>
      <c r="V12" s="121"/>
    </row>
    <row r="13" spans="1:25" ht="16">
      <c r="A13" s="122"/>
      <c r="B13" s="851" t="s">
        <v>685</v>
      </c>
      <c r="C13" s="851"/>
      <c r="D13" s="109"/>
      <c r="E13" s="110"/>
      <c r="F13" s="109"/>
      <c r="G13" s="109"/>
      <c r="H13" s="103"/>
      <c r="I13" s="110"/>
      <c r="J13" s="109"/>
      <c r="K13" s="110"/>
      <c r="L13" s="109"/>
      <c r="M13" s="110"/>
      <c r="N13" s="123"/>
      <c r="O13" s="123"/>
      <c r="P13" s="123"/>
      <c r="Q13" s="124"/>
      <c r="R13" s="123"/>
      <c r="S13" s="125"/>
      <c r="T13" s="125"/>
      <c r="U13" s="125"/>
      <c r="V13" s="125"/>
    </row>
    <row r="14" spans="1:25" ht="16">
      <c r="A14" s="122"/>
      <c r="B14" s="127" t="s">
        <v>684</v>
      </c>
      <c r="C14" s="109"/>
      <c r="D14" s="109"/>
      <c r="E14" s="110"/>
      <c r="F14" s="109"/>
      <c r="G14" s="109"/>
      <c r="H14" s="103"/>
      <c r="I14" s="110"/>
      <c r="J14" s="109"/>
      <c r="K14" s="110"/>
      <c r="L14" s="109"/>
      <c r="M14" s="110"/>
      <c r="N14" s="123"/>
      <c r="O14" s="123"/>
      <c r="P14" s="123"/>
      <c r="Q14" s="124"/>
      <c r="R14" s="123"/>
      <c r="S14" s="125"/>
      <c r="T14" s="125"/>
      <c r="U14" s="125"/>
      <c r="V14" s="125"/>
    </row>
    <row r="15" spans="1:25" ht="16">
      <c r="A15" s="122" t="s">
        <v>566</v>
      </c>
      <c r="B15" s="109" t="s">
        <v>686</v>
      </c>
      <c r="C15" s="109"/>
      <c r="D15" s="128"/>
      <c r="E15" s="129">
        <v>350</v>
      </c>
      <c r="F15" s="128"/>
      <c r="G15" s="130">
        <v>77</v>
      </c>
      <c r="H15" s="131"/>
      <c r="I15" s="130">
        <v>52.5</v>
      </c>
      <c r="J15" s="128"/>
      <c r="K15" s="130">
        <v>24.5</v>
      </c>
      <c r="L15" s="128"/>
      <c r="M15" s="129">
        <v>17500</v>
      </c>
      <c r="N15" s="123"/>
      <c r="O15" s="130">
        <v>3850</v>
      </c>
      <c r="P15" s="123"/>
      <c r="Q15" s="130">
        <v>2625</v>
      </c>
      <c r="R15" s="123"/>
      <c r="S15" s="130">
        <v>1225</v>
      </c>
      <c r="T15" s="130"/>
      <c r="U15" s="132" t="s">
        <v>615</v>
      </c>
      <c r="V15" s="334"/>
    </row>
    <row r="16" spans="1:25" ht="16">
      <c r="A16" s="122"/>
      <c r="B16" s="109" t="s">
        <v>687</v>
      </c>
      <c r="C16" s="109"/>
      <c r="D16" s="128"/>
      <c r="E16" s="129">
        <v>950</v>
      </c>
      <c r="F16" s="128"/>
      <c r="G16" s="130">
        <v>209</v>
      </c>
      <c r="H16" s="131"/>
      <c r="I16" s="130">
        <v>142.5</v>
      </c>
      <c r="J16" s="128"/>
      <c r="K16" s="130">
        <v>66.5</v>
      </c>
      <c r="L16" s="128"/>
      <c r="M16" s="129">
        <v>47500</v>
      </c>
      <c r="N16" s="123"/>
      <c r="O16" s="130">
        <v>10450</v>
      </c>
      <c r="P16" s="123"/>
      <c r="Q16" s="130">
        <v>7125</v>
      </c>
      <c r="R16" s="123"/>
      <c r="S16" s="130">
        <v>3325</v>
      </c>
      <c r="T16" s="130"/>
      <c r="U16" s="132" t="s">
        <v>616</v>
      </c>
      <c r="V16" s="334"/>
    </row>
    <row r="17" spans="1:22" ht="16">
      <c r="A17" s="122"/>
      <c r="B17" s="109" t="s">
        <v>688</v>
      </c>
      <c r="C17" s="109"/>
      <c r="D17" s="128"/>
      <c r="E17" s="129">
        <v>460</v>
      </c>
      <c r="F17" s="128"/>
      <c r="G17" s="130">
        <v>101.2</v>
      </c>
      <c r="H17" s="131"/>
      <c r="I17" s="130">
        <v>69</v>
      </c>
      <c r="J17" s="128"/>
      <c r="K17" s="130">
        <v>32.200000000000003</v>
      </c>
      <c r="L17" s="128"/>
      <c r="M17" s="133" t="s">
        <v>133</v>
      </c>
      <c r="N17" s="123"/>
      <c r="O17" s="134" t="s">
        <v>133</v>
      </c>
      <c r="P17" s="123"/>
      <c r="Q17" s="130" t="s">
        <v>133</v>
      </c>
      <c r="R17" s="123"/>
      <c r="S17" s="130" t="s">
        <v>133</v>
      </c>
      <c r="T17" s="130"/>
      <c r="U17" s="132" t="s">
        <v>617</v>
      </c>
      <c r="V17" s="334"/>
    </row>
    <row r="18" spans="1:22" ht="16">
      <c r="A18" s="122"/>
      <c r="B18" s="109" t="s">
        <v>689</v>
      </c>
      <c r="C18" s="109"/>
      <c r="D18" s="128"/>
      <c r="E18" s="133" t="s">
        <v>133</v>
      </c>
      <c r="F18" s="128"/>
      <c r="G18" s="133" t="s">
        <v>133</v>
      </c>
      <c r="H18" s="131"/>
      <c r="I18" s="130">
        <v>0</v>
      </c>
      <c r="J18" s="128"/>
      <c r="K18" s="130">
        <v>0</v>
      </c>
      <c r="L18" s="128"/>
      <c r="M18" s="129">
        <v>23000</v>
      </c>
      <c r="N18" s="123"/>
      <c r="O18" s="130">
        <v>5060</v>
      </c>
      <c r="P18" s="123"/>
      <c r="Q18" s="130">
        <v>3450</v>
      </c>
      <c r="R18" s="123"/>
      <c r="S18" s="130">
        <v>1610</v>
      </c>
      <c r="T18" s="130"/>
      <c r="U18" s="135"/>
      <c r="V18" s="130"/>
    </row>
    <row r="19" spans="1:22" ht="16">
      <c r="A19" s="122"/>
      <c r="B19" s="109" t="s">
        <v>690</v>
      </c>
      <c r="C19" s="109"/>
      <c r="D19" s="128"/>
      <c r="E19" s="129">
        <v>200</v>
      </c>
      <c r="F19" s="128"/>
      <c r="G19" s="130">
        <v>44</v>
      </c>
      <c r="H19" s="131"/>
      <c r="I19" s="130">
        <v>0</v>
      </c>
      <c r="J19" s="128"/>
      <c r="K19" s="130">
        <v>0</v>
      </c>
      <c r="L19" s="128"/>
      <c r="M19" s="129">
        <v>10000</v>
      </c>
      <c r="N19" s="123"/>
      <c r="O19" s="130">
        <v>2200</v>
      </c>
      <c r="P19" s="123"/>
      <c r="Q19" s="130">
        <v>0</v>
      </c>
      <c r="R19" s="123"/>
      <c r="S19" s="130">
        <v>0</v>
      </c>
      <c r="T19" s="130"/>
      <c r="U19" s="132">
        <v>6</v>
      </c>
      <c r="V19" s="130"/>
    </row>
    <row r="20" spans="1:22" ht="16">
      <c r="A20" s="122"/>
      <c r="B20" s="136"/>
      <c r="C20" s="136"/>
      <c r="D20" s="137"/>
      <c r="E20" s="138"/>
      <c r="F20" s="137"/>
      <c r="G20" s="139"/>
      <c r="H20" s="140"/>
      <c r="I20" s="141"/>
      <c r="J20" s="137"/>
      <c r="K20" s="141"/>
      <c r="L20" s="137"/>
      <c r="M20" s="142"/>
      <c r="N20" s="143"/>
      <c r="O20" s="141"/>
      <c r="P20" s="143"/>
      <c r="Q20" s="141"/>
      <c r="R20" s="143"/>
      <c r="S20" s="141"/>
      <c r="T20" s="141"/>
      <c r="U20" s="141"/>
      <c r="V20" s="141"/>
    </row>
    <row r="21" spans="1:22" ht="16">
      <c r="A21" s="122"/>
      <c r="B21" s="144" t="s">
        <v>691</v>
      </c>
      <c r="C21" s="109"/>
      <c r="D21" s="128" t="s">
        <v>566</v>
      </c>
      <c r="E21" s="129"/>
      <c r="F21" s="128"/>
      <c r="G21" s="130"/>
      <c r="H21" s="131"/>
      <c r="I21" s="130"/>
      <c r="J21" s="128"/>
      <c r="K21" s="130"/>
      <c r="L21" s="128"/>
      <c r="M21" s="129"/>
      <c r="N21" s="123"/>
      <c r="O21" s="130" t="s">
        <v>566</v>
      </c>
      <c r="P21" s="123"/>
      <c r="Q21" s="130"/>
      <c r="R21" s="123"/>
      <c r="S21" s="130"/>
      <c r="T21" s="130"/>
      <c r="U21" s="130"/>
      <c r="V21" s="130"/>
    </row>
    <row r="22" spans="1:22" ht="16">
      <c r="A22" s="122"/>
      <c r="B22" s="109" t="s">
        <v>692</v>
      </c>
      <c r="C22" s="109"/>
      <c r="D22" s="128"/>
      <c r="E22" s="129">
        <v>350</v>
      </c>
      <c r="F22" s="128"/>
      <c r="G22" s="130">
        <v>77</v>
      </c>
      <c r="H22" s="131"/>
      <c r="I22" s="130">
        <v>0</v>
      </c>
      <c r="J22" s="128"/>
      <c r="K22" s="130">
        <v>0</v>
      </c>
      <c r="L22" s="128"/>
      <c r="M22" s="129">
        <v>17500</v>
      </c>
      <c r="N22" s="123"/>
      <c r="O22" s="130">
        <v>3850</v>
      </c>
      <c r="P22" s="123"/>
      <c r="Q22" s="130">
        <v>0</v>
      </c>
      <c r="R22" s="123"/>
      <c r="S22" s="130">
        <v>0</v>
      </c>
      <c r="T22" s="130"/>
      <c r="U22" s="132">
        <v>2</v>
      </c>
      <c r="V22" s="130"/>
    </row>
    <row r="23" spans="1:22" ht="16">
      <c r="A23" s="122"/>
      <c r="B23" s="109" t="s">
        <v>693</v>
      </c>
      <c r="C23" s="109"/>
      <c r="D23" s="128"/>
      <c r="E23" s="129">
        <v>460</v>
      </c>
      <c r="F23" s="128"/>
      <c r="G23" s="130">
        <v>101.2</v>
      </c>
      <c r="H23" s="131"/>
      <c r="I23" s="130">
        <v>69</v>
      </c>
      <c r="J23" s="128"/>
      <c r="K23" s="130">
        <v>32.200000000000003</v>
      </c>
      <c r="L23" s="128"/>
      <c r="M23" s="129">
        <v>23000</v>
      </c>
      <c r="N23" s="123"/>
      <c r="O23" s="130">
        <v>5060</v>
      </c>
      <c r="P23" s="123"/>
      <c r="Q23" s="130">
        <v>3450</v>
      </c>
      <c r="R23" s="123"/>
      <c r="S23" s="130">
        <v>1610</v>
      </c>
      <c r="T23" s="130"/>
      <c r="U23" s="132" t="s">
        <v>618</v>
      </c>
      <c r="V23" s="334"/>
    </row>
    <row r="24" spans="1:22" ht="16">
      <c r="A24" s="122" t="s">
        <v>566</v>
      </c>
      <c r="B24" s="109" t="s">
        <v>694</v>
      </c>
      <c r="C24" s="109"/>
      <c r="D24" s="128"/>
      <c r="E24" s="129">
        <v>200</v>
      </c>
      <c r="F24" s="128"/>
      <c r="G24" s="130">
        <v>44</v>
      </c>
      <c r="H24" s="131"/>
      <c r="I24" s="130">
        <v>30</v>
      </c>
      <c r="J24" s="128"/>
      <c r="K24" s="130">
        <v>14</v>
      </c>
      <c r="L24" s="128"/>
      <c r="M24" s="129">
        <v>10000</v>
      </c>
      <c r="N24" s="123"/>
      <c r="O24" s="130">
        <v>2200</v>
      </c>
      <c r="P24" s="123"/>
      <c r="Q24" s="130">
        <v>1500</v>
      </c>
      <c r="R24" s="123"/>
      <c r="S24" s="130">
        <v>700</v>
      </c>
      <c r="T24" s="130"/>
      <c r="U24" s="132">
        <v>2</v>
      </c>
      <c r="V24" s="334"/>
    </row>
    <row r="25" spans="1:22" ht="16">
      <c r="A25" s="122"/>
      <c r="B25" s="109" t="s">
        <v>695</v>
      </c>
      <c r="C25" s="109"/>
      <c r="D25" s="128"/>
      <c r="E25" s="129">
        <v>230</v>
      </c>
      <c r="F25" s="128"/>
      <c r="G25" s="130">
        <v>50.6</v>
      </c>
      <c r="H25" s="131"/>
      <c r="I25" s="130">
        <v>34.5</v>
      </c>
      <c r="J25" s="128"/>
      <c r="K25" s="130">
        <v>16.100000000000001</v>
      </c>
      <c r="L25" s="128"/>
      <c r="M25" s="129">
        <v>11500</v>
      </c>
      <c r="N25" s="123"/>
      <c r="O25" s="130">
        <v>2530</v>
      </c>
      <c r="P25" s="145"/>
      <c r="Q25" s="146">
        <v>1725</v>
      </c>
      <c r="R25" s="145"/>
      <c r="S25" s="146">
        <v>805</v>
      </c>
      <c r="T25" s="146"/>
      <c r="U25" s="132" t="s">
        <v>618</v>
      </c>
      <c r="V25" s="334"/>
    </row>
    <row r="26" spans="1:22" ht="16">
      <c r="A26" s="122"/>
      <c r="B26" s="109" t="s">
        <v>696</v>
      </c>
      <c r="C26" s="109"/>
      <c r="D26" s="128"/>
      <c r="E26" s="129">
        <v>230</v>
      </c>
      <c r="F26" s="128"/>
      <c r="G26" s="130">
        <v>50.6</v>
      </c>
      <c r="H26" s="131"/>
      <c r="I26" s="130">
        <v>34.5</v>
      </c>
      <c r="J26" s="128"/>
      <c r="K26" s="130">
        <v>16.100000000000001</v>
      </c>
      <c r="L26" s="128"/>
      <c r="M26" s="129">
        <v>11500</v>
      </c>
      <c r="N26" s="123"/>
      <c r="O26" s="130">
        <v>2530</v>
      </c>
      <c r="P26" s="123"/>
      <c r="Q26" s="130" t="e">
        <v>#REF!</v>
      </c>
      <c r="R26" s="123"/>
      <c r="S26" s="130" t="e">
        <v>#REF!</v>
      </c>
      <c r="T26" s="130"/>
      <c r="U26" s="132" t="s">
        <v>618</v>
      </c>
      <c r="V26" s="334"/>
    </row>
    <row r="27" spans="1:22" ht="16">
      <c r="A27" s="122"/>
      <c r="B27" s="109" t="s">
        <v>697</v>
      </c>
      <c r="C27" s="109"/>
      <c r="D27" s="128"/>
      <c r="E27" s="129">
        <v>230</v>
      </c>
      <c r="F27" s="128"/>
      <c r="G27" s="130">
        <v>50.6</v>
      </c>
      <c r="H27" s="131"/>
      <c r="I27" s="130">
        <v>34.5</v>
      </c>
      <c r="J27" s="128"/>
      <c r="K27" s="130">
        <v>16.100000000000001</v>
      </c>
      <c r="L27" s="128"/>
      <c r="M27" s="129">
        <v>11500</v>
      </c>
      <c r="N27" s="123"/>
      <c r="O27" s="130">
        <v>2530</v>
      </c>
      <c r="P27" s="123"/>
      <c r="Q27" s="130" t="e">
        <v>#REF!</v>
      </c>
      <c r="R27" s="123"/>
      <c r="S27" s="130" t="e">
        <v>#REF!</v>
      </c>
      <c r="T27" s="130"/>
      <c r="U27" s="132">
        <v>2</v>
      </c>
      <c r="V27" s="334"/>
    </row>
    <row r="28" spans="1:22" ht="16">
      <c r="A28" s="122"/>
      <c r="B28" s="109" t="s">
        <v>698</v>
      </c>
      <c r="C28" s="109"/>
      <c r="D28" s="128"/>
      <c r="E28" s="129">
        <v>230</v>
      </c>
      <c r="F28" s="128"/>
      <c r="G28" s="130">
        <v>50.6</v>
      </c>
      <c r="H28" s="131"/>
      <c r="I28" s="130">
        <v>34.5</v>
      </c>
      <c r="J28" s="128"/>
      <c r="K28" s="130">
        <v>16.100000000000001</v>
      </c>
      <c r="L28" s="128"/>
      <c r="M28" s="129">
        <v>11500</v>
      </c>
      <c r="N28" s="123"/>
      <c r="O28" s="130">
        <v>2530</v>
      </c>
      <c r="P28" s="123"/>
      <c r="Q28" s="130" t="e">
        <v>#REF!</v>
      </c>
      <c r="R28" s="123"/>
      <c r="S28" s="130" t="e">
        <v>#REF!</v>
      </c>
      <c r="T28" s="130"/>
      <c r="U28" s="132">
        <v>2</v>
      </c>
      <c r="V28" s="334"/>
    </row>
    <row r="29" spans="1:22" ht="16">
      <c r="A29" s="122"/>
      <c r="B29" s="109" t="s">
        <v>699</v>
      </c>
      <c r="C29" s="109"/>
      <c r="D29" s="128"/>
      <c r="E29" s="129">
        <v>300</v>
      </c>
      <c r="F29" s="128"/>
      <c r="G29" s="130">
        <v>66</v>
      </c>
      <c r="H29" s="131"/>
      <c r="I29" s="130">
        <v>45</v>
      </c>
      <c r="J29" s="128"/>
      <c r="K29" s="130">
        <v>21</v>
      </c>
      <c r="L29" s="128"/>
      <c r="M29" s="129">
        <v>15000</v>
      </c>
      <c r="N29" s="123"/>
      <c r="O29" s="130">
        <v>3300</v>
      </c>
      <c r="P29" s="123"/>
      <c r="Q29" s="130">
        <v>1725</v>
      </c>
      <c r="R29" s="123"/>
      <c r="S29" s="130">
        <v>805</v>
      </c>
      <c r="T29" s="130"/>
      <c r="U29" s="132">
        <v>2</v>
      </c>
      <c r="V29" s="334"/>
    </row>
    <row r="30" spans="1:22" ht="16">
      <c r="A30" s="122"/>
      <c r="B30" s="109" t="s">
        <v>700</v>
      </c>
      <c r="C30" s="109"/>
      <c r="D30" s="128"/>
      <c r="E30" s="129">
        <v>230</v>
      </c>
      <c r="F30" s="128"/>
      <c r="G30" s="130">
        <v>50.6</v>
      </c>
      <c r="H30" s="131"/>
      <c r="I30" s="130">
        <v>34.5</v>
      </c>
      <c r="J30" s="128"/>
      <c r="K30" s="130">
        <v>16.100000000000001</v>
      </c>
      <c r="L30" s="128"/>
      <c r="M30" s="129">
        <v>11500</v>
      </c>
      <c r="N30" s="123"/>
      <c r="O30" s="130">
        <v>2530</v>
      </c>
      <c r="P30" s="123"/>
      <c r="Q30" s="130"/>
      <c r="R30" s="123"/>
      <c r="S30" s="130"/>
      <c r="T30" s="130"/>
      <c r="U30" s="132">
        <v>2</v>
      </c>
      <c r="V30" s="334"/>
    </row>
    <row r="31" spans="1:22" ht="16">
      <c r="A31" s="122"/>
      <c r="B31" s="109" t="s">
        <v>701</v>
      </c>
      <c r="C31" s="109"/>
      <c r="D31" s="128"/>
      <c r="E31" s="129">
        <v>230</v>
      </c>
      <c r="F31" s="128"/>
      <c r="G31" s="130">
        <v>50.6</v>
      </c>
      <c r="H31" s="131"/>
      <c r="I31" s="130">
        <v>34.5</v>
      </c>
      <c r="J31" s="128"/>
      <c r="K31" s="130">
        <v>16.100000000000001</v>
      </c>
      <c r="L31" s="128"/>
      <c r="M31" s="129">
        <v>11500</v>
      </c>
      <c r="N31" s="123"/>
      <c r="O31" s="130">
        <v>2530</v>
      </c>
      <c r="P31" s="123"/>
      <c r="Q31" s="130"/>
      <c r="R31" s="123"/>
      <c r="S31" s="130"/>
      <c r="T31" s="130"/>
      <c r="U31" s="132">
        <v>2</v>
      </c>
      <c r="V31" s="334"/>
    </row>
    <row r="32" spans="1:22" ht="16">
      <c r="A32" s="122"/>
      <c r="B32" s="109" t="s">
        <v>702</v>
      </c>
      <c r="C32" s="109"/>
      <c r="D32" s="128"/>
      <c r="E32" s="129">
        <v>460</v>
      </c>
      <c r="F32" s="128"/>
      <c r="G32" s="130">
        <v>101.2</v>
      </c>
      <c r="H32" s="131"/>
      <c r="I32" s="130">
        <v>69</v>
      </c>
      <c r="J32" s="128"/>
      <c r="K32" s="130">
        <v>32.200000000000003</v>
      </c>
      <c r="L32" s="128"/>
      <c r="M32" s="129">
        <v>23000</v>
      </c>
      <c r="N32" s="123"/>
      <c r="O32" s="130">
        <v>5060</v>
      </c>
      <c r="P32" s="123"/>
      <c r="Q32" s="130"/>
      <c r="R32" s="123"/>
      <c r="S32" s="130"/>
      <c r="T32" s="130"/>
      <c r="U32" s="132">
        <v>2</v>
      </c>
      <c r="V32" s="334"/>
    </row>
    <row r="33" spans="1:22" ht="16">
      <c r="A33" s="122"/>
      <c r="B33" s="109" t="s">
        <v>703</v>
      </c>
      <c r="C33" s="109" t="s">
        <v>566</v>
      </c>
      <c r="D33" s="128" t="s">
        <v>566</v>
      </c>
      <c r="E33" s="129">
        <v>460</v>
      </c>
      <c r="F33" s="128"/>
      <c r="G33" s="130">
        <v>101.2</v>
      </c>
      <c r="H33" s="131"/>
      <c r="I33" s="130">
        <v>69</v>
      </c>
      <c r="J33" s="128"/>
      <c r="K33" s="130">
        <v>32.200000000000003</v>
      </c>
      <c r="L33" s="128"/>
      <c r="M33" s="129">
        <v>23000</v>
      </c>
      <c r="N33" s="123"/>
      <c r="O33" s="130">
        <v>5060</v>
      </c>
      <c r="P33" s="123"/>
      <c r="Q33" s="130"/>
      <c r="R33" s="123"/>
      <c r="S33" s="130"/>
      <c r="T33" s="130"/>
      <c r="U33" s="132">
        <v>2</v>
      </c>
      <c r="V33" s="334"/>
    </row>
    <row r="34" spans="1:22" ht="15" customHeight="1">
      <c r="A34" s="122"/>
      <c r="B34" s="109" t="s">
        <v>704</v>
      </c>
      <c r="C34" s="109" t="s">
        <v>566</v>
      </c>
      <c r="D34" s="128" t="s">
        <v>566</v>
      </c>
      <c r="E34" s="129">
        <v>460</v>
      </c>
      <c r="F34" s="128"/>
      <c r="G34" s="130">
        <v>101.2</v>
      </c>
      <c r="H34" s="131"/>
      <c r="I34" s="130">
        <v>69</v>
      </c>
      <c r="J34" s="128"/>
      <c r="K34" s="130">
        <v>32.200000000000003</v>
      </c>
      <c r="L34" s="128"/>
      <c r="M34" s="129">
        <v>23000</v>
      </c>
      <c r="N34" s="123"/>
      <c r="O34" s="130">
        <v>5060</v>
      </c>
      <c r="P34" s="123"/>
      <c r="Q34" s="130"/>
      <c r="R34" s="123"/>
      <c r="S34" s="130"/>
      <c r="T34" s="130"/>
      <c r="U34" s="132">
        <v>2</v>
      </c>
      <c r="V34" s="334"/>
    </row>
    <row r="35" spans="1:22" ht="15" customHeight="1">
      <c r="A35" s="122" t="s">
        <v>566</v>
      </c>
      <c r="B35" s="109" t="s">
        <v>566</v>
      </c>
      <c r="C35" s="109"/>
      <c r="D35" s="128"/>
      <c r="E35" s="129" t="s">
        <v>566</v>
      </c>
      <c r="F35" s="128"/>
      <c r="G35" s="130"/>
      <c r="H35" s="131"/>
      <c r="I35" s="130"/>
      <c r="J35" s="128"/>
      <c r="K35" s="130"/>
      <c r="L35" s="128"/>
      <c r="M35" s="129"/>
      <c r="N35" s="123"/>
      <c r="O35" s="130"/>
      <c r="P35" s="123"/>
      <c r="Q35" s="130"/>
      <c r="R35" s="123"/>
      <c r="S35" s="130"/>
      <c r="T35" s="130"/>
      <c r="U35" s="126"/>
      <c r="V35" s="130"/>
    </row>
    <row r="36" spans="1:22" ht="16">
      <c r="A36" s="122"/>
      <c r="B36" s="127" t="s">
        <v>619</v>
      </c>
      <c r="C36" s="109"/>
      <c r="D36" s="128" t="s">
        <v>566</v>
      </c>
      <c r="E36" s="129" t="s">
        <v>566</v>
      </c>
      <c r="F36" s="128"/>
      <c r="G36" s="130"/>
      <c r="H36" s="131"/>
      <c r="I36" s="130"/>
      <c r="J36" s="128"/>
      <c r="K36" s="130"/>
      <c r="L36" s="128"/>
      <c r="M36" s="129"/>
      <c r="N36" s="123"/>
      <c r="O36" s="130"/>
      <c r="P36" s="123"/>
      <c r="Q36" s="130"/>
      <c r="R36" s="123"/>
      <c r="S36" s="130"/>
      <c r="T36" s="130"/>
      <c r="U36" s="126"/>
      <c r="V36" s="130"/>
    </row>
    <row r="37" spans="1:22" ht="16">
      <c r="A37" s="122"/>
      <c r="B37" s="109" t="s">
        <v>705</v>
      </c>
      <c r="C37" s="109"/>
      <c r="D37" s="128"/>
      <c r="E37" s="129">
        <v>150</v>
      </c>
      <c r="F37" s="128"/>
      <c r="G37" s="130">
        <v>33</v>
      </c>
      <c r="H37" s="131"/>
      <c r="I37" s="130">
        <v>0</v>
      </c>
      <c r="J37" s="128"/>
      <c r="K37" s="130">
        <v>0</v>
      </c>
      <c r="L37" s="128"/>
      <c r="M37" s="129">
        <v>7500</v>
      </c>
      <c r="N37" s="123"/>
      <c r="O37" s="130">
        <v>1650</v>
      </c>
      <c r="P37" s="123"/>
      <c r="Q37" s="130">
        <v>1125</v>
      </c>
      <c r="R37" s="123"/>
      <c r="S37" s="130">
        <v>525</v>
      </c>
      <c r="T37" s="130"/>
      <c r="U37" s="132" t="s">
        <v>618</v>
      </c>
      <c r="V37" s="334"/>
    </row>
    <row r="38" spans="1:22" ht="16">
      <c r="A38" s="122"/>
      <c r="B38" s="109" t="s">
        <v>706</v>
      </c>
      <c r="C38" s="109"/>
      <c r="D38" s="128"/>
      <c r="E38" s="129">
        <v>100</v>
      </c>
      <c r="F38" s="128"/>
      <c r="G38" s="130">
        <v>22</v>
      </c>
      <c r="H38" s="131"/>
      <c r="I38" s="130">
        <v>22.5</v>
      </c>
      <c r="J38" s="128"/>
      <c r="K38" s="130">
        <v>10.5</v>
      </c>
      <c r="L38" s="128"/>
      <c r="M38" s="129">
        <v>5000</v>
      </c>
      <c r="N38" s="123"/>
      <c r="O38" s="130">
        <v>1100</v>
      </c>
      <c r="P38" s="123"/>
      <c r="Q38" s="130">
        <v>750</v>
      </c>
      <c r="R38" s="123"/>
      <c r="S38" s="130">
        <v>350</v>
      </c>
      <c r="T38" s="130"/>
      <c r="U38" s="132" t="s">
        <v>618</v>
      </c>
      <c r="V38" s="334"/>
    </row>
    <row r="39" spans="1:22" ht="16">
      <c r="A39" s="122"/>
      <c r="B39" s="109" t="s">
        <v>707</v>
      </c>
      <c r="C39" s="109"/>
      <c r="D39" s="128"/>
      <c r="E39" s="129">
        <v>240</v>
      </c>
      <c r="F39" s="128"/>
      <c r="G39" s="130">
        <v>52.8</v>
      </c>
      <c r="H39" s="131"/>
      <c r="I39" s="130">
        <v>15</v>
      </c>
      <c r="J39" s="128"/>
      <c r="K39" s="130">
        <v>7</v>
      </c>
      <c r="L39" s="128"/>
      <c r="M39" s="129">
        <v>12000</v>
      </c>
      <c r="N39" s="123"/>
      <c r="O39" s="130">
        <v>2640</v>
      </c>
      <c r="P39" s="123"/>
      <c r="Q39" s="130">
        <v>1800</v>
      </c>
      <c r="R39" s="123"/>
      <c r="S39" s="130">
        <v>840</v>
      </c>
      <c r="T39" s="130"/>
      <c r="U39" s="132">
        <v>2</v>
      </c>
      <c r="V39" s="334"/>
    </row>
    <row r="40" spans="1:22" ht="16">
      <c r="A40" s="122" t="s">
        <v>566</v>
      </c>
      <c r="B40" s="109" t="s">
        <v>708</v>
      </c>
      <c r="C40" s="109"/>
      <c r="D40" s="128"/>
      <c r="E40" s="129">
        <v>230</v>
      </c>
      <c r="F40" s="128"/>
      <c r="G40" s="130">
        <v>50.6</v>
      </c>
      <c r="H40" s="131"/>
      <c r="I40" s="130">
        <v>36</v>
      </c>
      <c r="J40" s="128"/>
      <c r="K40" s="130">
        <v>16.8</v>
      </c>
      <c r="L40" s="128"/>
      <c r="M40" s="129">
        <v>11500</v>
      </c>
      <c r="N40" s="123"/>
      <c r="O40" s="130">
        <v>2530</v>
      </c>
      <c r="P40" s="123"/>
      <c r="Q40" s="130">
        <v>1725</v>
      </c>
      <c r="R40" s="123"/>
      <c r="S40" s="130">
        <v>805</v>
      </c>
      <c r="T40" s="130"/>
      <c r="U40" s="132">
        <v>2</v>
      </c>
      <c r="V40" s="334"/>
    </row>
    <row r="41" spans="1:22" ht="16">
      <c r="A41" s="122"/>
      <c r="B41" s="109" t="s">
        <v>709</v>
      </c>
      <c r="C41" s="109"/>
      <c r="D41" s="128"/>
      <c r="E41" s="129">
        <v>150</v>
      </c>
      <c r="F41" s="128"/>
      <c r="G41" s="130">
        <v>33</v>
      </c>
      <c r="H41" s="131"/>
      <c r="I41" s="130" t="e">
        <v>#REF!</v>
      </c>
      <c r="J41" s="128"/>
      <c r="K41" s="130" t="e">
        <v>#REF!</v>
      </c>
      <c r="L41" s="128"/>
      <c r="M41" s="129">
        <v>7500</v>
      </c>
      <c r="N41" s="123"/>
      <c r="O41" s="130">
        <v>1650</v>
      </c>
      <c r="P41" s="123"/>
      <c r="Q41" s="130">
        <v>1125</v>
      </c>
      <c r="R41" s="123"/>
      <c r="S41" s="130">
        <v>525</v>
      </c>
      <c r="T41" s="130"/>
      <c r="U41" s="132">
        <v>2</v>
      </c>
      <c r="V41" s="334"/>
    </row>
    <row r="42" spans="1:22" ht="15.75" customHeight="1">
      <c r="A42" s="122"/>
      <c r="B42" s="109"/>
      <c r="C42" s="109"/>
      <c r="D42" s="128"/>
      <c r="E42" s="129"/>
      <c r="F42" s="128"/>
      <c r="G42" s="130"/>
      <c r="H42" s="131"/>
      <c r="I42" s="130"/>
      <c r="J42" s="128"/>
      <c r="K42" s="130"/>
      <c r="L42" s="128"/>
      <c r="M42" s="129"/>
      <c r="N42" s="123"/>
      <c r="O42" s="130"/>
      <c r="P42" s="123"/>
      <c r="Q42" s="130"/>
      <c r="R42" s="123"/>
      <c r="S42" s="130"/>
      <c r="T42" s="130"/>
      <c r="U42" s="132"/>
      <c r="V42" s="334"/>
    </row>
    <row r="43" spans="1:22" ht="17" thickBot="1">
      <c r="A43" s="122"/>
      <c r="B43" s="150"/>
      <c r="C43" s="109"/>
      <c r="D43" s="128"/>
      <c r="E43" s="129"/>
      <c r="F43" s="128"/>
      <c r="G43" s="130"/>
      <c r="H43" s="131"/>
      <c r="I43" s="130"/>
      <c r="J43" s="128"/>
      <c r="K43" s="130"/>
      <c r="L43" s="128"/>
      <c r="M43" s="129"/>
      <c r="N43" s="123"/>
      <c r="O43" s="130"/>
      <c r="P43" s="123"/>
      <c r="Q43" s="130"/>
      <c r="R43" s="123"/>
      <c r="S43" s="130"/>
      <c r="T43" s="130"/>
      <c r="U43" s="132"/>
      <c r="V43" s="130"/>
    </row>
    <row r="44" spans="1:22" ht="57" thickBot="1">
      <c r="A44" s="122"/>
      <c r="B44" s="109" t="s">
        <v>566</v>
      </c>
      <c r="C44" s="109"/>
      <c r="D44" s="128"/>
      <c r="E44" s="116" t="s">
        <v>710</v>
      </c>
      <c r="F44" s="115"/>
      <c r="G44" s="117" t="s">
        <v>649</v>
      </c>
      <c r="H44" s="131"/>
      <c r="I44" s="130"/>
      <c r="J44" s="128"/>
      <c r="K44" s="130"/>
      <c r="L44" s="128"/>
      <c r="M44" s="117" t="s">
        <v>711</v>
      </c>
      <c r="N44" s="123"/>
      <c r="O44" s="117" t="s">
        <v>561</v>
      </c>
      <c r="P44" s="123"/>
      <c r="Q44" s="130"/>
      <c r="R44" s="123"/>
      <c r="S44" s="130"/>
      <c r="T44" s="130"/>
      <c r="U44" s="117" t="s">
        <v>614</v>
      </c>
      <c r="V44" s="121"/>
    </row>
    <row r="45" spans="1:22" ht="16">
      <c r="A45" s="122"/>
      <c r="B45" s="104" t="s">
        <v>712</v>
      </c>
      <c r="C45" s="109" t="s">
        <v>566</v>
      </c>
      <c r="D45" s="128"/>
      <c r="E45" s="129">
        <v>3500</v>
      </c>
      <c r="F45" s="128"/>
      <c r="G45" s="130">
        <v>770</v>
      </c>
      <c r="H45" s="131"/>
      <c r="I45" s="130"/>
      <c r="J45" s="128"/>
      <c r="K45" s="130"/>
      <c r="L45" s="128"/>
      <c r="M45" s="110" t="s">
        <v>620</v>
      </c>
      <c r="N45" s="123"/>
      <c r="O45" s="110" t="s">
        <v>713</v>
      </c>
      <c r="P45" s="123"/>
      <c r="Q45" s="130"/>
      <c r="R45" s="123"/>
      <c r="S45" s="130"/>
      <c r="T45" s="130"/>
      <c r="U45" s="132"/>
      <c r="V45" s="334"/>
    </row>
    <row r="46" spans="1:22" ht="16">
      <c r="A46" s="122"/>
      <c r="B46" s="109"/>
      <c r="C46" s="109"/>
      <c r="D46" s="128"/>
      <c r="E46" s="129"/>
      <c r="F46" s="128"/>
      <c r="G46" s="130"/>
      <c r="H46" s="131"/>
      <c r="I46" s="130"/>
      <c r="J46" s="128"/>
      <c r="K46" s="130"/>
      <c r="L46" s="128"/>
      <c r="M46" s="129"/>
      <c r="N46" s="123"/>
      <c r="O46" s="130"/>
      <c r="P46" s="123"/>
      <c r="Q46" s="130"/>
      <c r="R46" s="123"/>
      <c r="S46" s="130"/>
      <c r="T46" s="130"/>
      <c r="U46" s="130"/>
      <c r="V46" s="130"/>
    </row>
    <row r="47" spans="1:22" ht="17" thickBot="1">
      <c r="A47" s="122"/>
      <c r="B47" s="109"/>
      <c r="C47" s="109"/>
      <c r="D47" s="128"/>
      <c r="E47" s="129"/>
      <c r="F47" s="128"/>
      <c r="G47" s="130"/>
      <c r="H47" s="131"/>
      <c r="I47" s="130"/>
      <c r="J47" s="128"/>
      <c r="K47" s="130"/>
      <c r="L47" s="128"/>
      <c r="M47" s="129"/>
      <c r="N47" s="123"/>
      <c r="O47" s="130"/>
      <c r="P47" s="123"/>
      <c r="Q47" s="130"/>
      <c r="R47" s="123"/>
      <c r="S47" s="130"/>
      <c r="T47" s="130"/>
      <c r="U47" s="130"/>
      <c r="V47" s="130"/>
    </row>
    <row r="48" spans="1:22" ht="57" thickBot="1">
      <c r="A48" s="114"/>
      <c r="B48" s="114"/>
      <c r="C48" s="114"/>
      <c r="D48" s="115"/>
      <c r="E48" s="116" t="s">
        <v>648</v>
      </c>
      <c r="F48" s="115"/>
      <c r="G48" s="117" t="s">
        <v>649</v>
      </c>
      <c r="H48" s="118"/>
      <c r="I48" s="117" t="s">
        <v>650</v>
      </c>
      <c r="J48" s="115"/>
      <c r="K48" s="117" t="s">
        <v>651</v>
      </c>
      <c r="L48" s="115"/>
      <c r="M48" s="116" t="s">
        <v>613</v>
      </c>
      <c r="N48" s="119"/>
      <c r="O48" s="117" t="s">
        <v>649</v>
      </c>
      <c r="P48" s="119"/>
      <c r="Q48" s="117" t="s">
        <v>650</v>
      </c>
      <c r="R48" s="119"/>
      <c r="S48" s="117" t="s">
        <v>651</v>
      </c>
      <c r="T48" s="120"/>
      <c r="U48" s="117" t="s">
        <v>614</v>
      </c>
      <c r="V48" s="121"/>
    </row>
    <row r="49" spans="1:22" ht="16">
      <c r="A49" s="122"/>
      <c r="B49" s="127" t="s">
        <v>714</v>
      </c>
      <c r="C49" s="107"/>
      <c r="D49" s="128"/>
      <c r="E49" s="129"/>
      <c r="F49" s="128"/>
      <c r="G49" s="130"/>
      <c r="H49" s="131"/>
      <c r="I49" s="130"/>
      <c r="J49" s="128"/>
      <c r="K49" s="130"/>
      <c r="L49" s="128"/>
      <c r="M49" s="129"/>
      <c r="N49" s="123"/>
      <c r="O49" s="130"/>
      <c r="P49" s="123"/>
      <c r="Q49" s="130"/>
      <c r="R49" s="123"/>
      <c r="S49" s="130"/>
      <c r="T49" s="130"/>
      <c r="U49" s="130"/>
      <c r="V49" s="130"/>
    </row>
    <row r="50" spans="1:22" ht="16">
      <c r="A50" s="122"/>
      <c r="B50" s="109" t="s">
        <v>715</v>
      </c>
      <c r="C50" s="110" t="s">
        <v>566</v>
      </c>
      <c r="D50" s="128"/>
      <c r="E50" s="129">
        <v>950</v>
      </c>
      <c r="F50" s="128"/>
      <c r="G50" s="130">
        <v>209</v>
      </c>
      <c r="H50" s="131"/>
      <c r="I50" s="130"/>
      <c r="J50" s="128"/>
      <c r="K50" s="130"/>
      <c r="L50" s="128"/>
      <c r="M50" s="129">
        <v>47500</v>
      </c>
      <c r="N50" s="128"/>
      <c r="O50" s="130">
        <v>10450</v>
      </c>
      <c r="P50" s="123"/>
      <c r="Q50" s="130"/>
      <c r="R50" s="123"/>
      <c r="S50" s="130"/>
      <c r="T50" s="130"/>
      <c r="U50" s="132">
        <v>6</v>
      </c>
      <c r="V50" s="334"/>
    </row>
    <row r="51" spans="1:22" ht="16">
      <c r="A51" s="122"/>
      <c r="B51" s="109"/>
      <c r="C51" s="110"/>
      <c r="D51" s="128"/>
      <c r="E51" s="151"/>
      <c r="F51" s="152"/>
      <c r="G51" s="153"/>
      <c r="H51" s="131"/>
      <c r="I51" s="130"/>
      <c r="J51" s="128"/>
      <c r="K51" s="130"/>
      <c r="L51" s="128"/>
      <c r="M51" s="129"/>
      <c r="N51" s="128"/>
      <c r="O51" s="130"/>
      <c r="P51" s="123"/>
      <c r="Q51" s="130"/>
      <c r="R51" s="123"/>
      <c r="S51" s="130"/>
      <c r="T51" s="130"/>
      <c r="U51" s="130"/>
      <c r="V51" s="130"/>
    </row>
    <row r="52" spans="1:22" ht="16">
      <c r="A52" s="122"/>
      <c r="B52" s="127" t="s">
        <v>716</v>
      </c>
      <c r="C52" s="110"/>
      <c r="D52" s="128"/>
      <c r="E52" s="154"/>
      <c r="F52" s="128"/>
      <c r="G52" s="155"/>
      <c r="H52" s="131"/>
      <c r="I52" s="130"/>
      <c r="J52" s="128"/>
      <c r="K52" s="130"/>
      <c r="L52" s="128"/>
      <c r="M52" s="129"/>
      <c r="N52" s="128"/>
      <c r="O52" s="130"/>
      <c r="P52" s="123"/>
      <c r="Q52" s="130"/>
      <c r="R52" s="123"/>
      <c r="S52" s="130"/>
      <c r="T52" s="130"/>
      <c r="U52" s="130"/>
      <c r="V52" s="130"/>
    </row>
    <row r="53" spans="1:22" ht="16">
      <c r="A53" s="122"/>
      <c r="B53" s="109" t="s">
        <v>717</v>
      </c>
      <c r="C53" s="110"/>
      <c r="D53" s="128"/>
      <c r="E53" s="133" t="s">
        <v>133</v>
      </c>
      <c r="F53" s="128"/>
      <c r="G53" s="133" t="s">
        <v>133</v>
      </c>
      <c r="H53" s="131"/>
      <c r="I53" s="130"/>
      <c r="J53" s="128"/>
      <c r="K53" s="130"/>
      <c r="L53" s="128"/>
      <c r="M53" s="129">
        <v>9800</v>
      </c>
      <c r="N53" s="128"/>
      <c r="O53" s="130">
        <v>2156</v>
      </c>
      <c r="P53" s="123"/>
      <c r="Q53" s="130"/>
      <c r="R53" s="123"/>
      <c r="S53" s="130"/>
      <c r="T53" s="130"/>
      <c r="U53" s="130"/>
      <c r="V53" s="130"/>
    </row>
    <row r="54" spans="1:22" ht="17" thickBot="1">
      <c r="A54" s="122"/>
      <c r="B54" s="109"/>
      <c r="C54" s="110"/>
      <c r="D54" s="128"/>
      <c r="E54" s="151"/>
      <c r="F54" s="128"/>
      <c r="G54" s="153"/>
      <c r="H54" s="131"/>
      <c r="I54" s="130"/>
      <c r="J54" s="128"/>
      <c r="K54" s="130"/>
      <c r="L54" s="128"/>
      <c r="M54" s="129"/>
      <c r="N54" s="128"/>
      <c r="O54" s="130"/>
      <c r="P54" s="123"/>
      <c r="Q54" s="130"/>
      <c r="R54" s="123"/>
      <c r="S54" s="130"/>
      <c r="T54" s="130"/>
      <c r="U54" s="130"/>
      <c r="V54" s="130"/>
    </row>
    <row r="55" spans="1:22" ht="57" thickBot="1">
      <c r="A55" s="114"/>
      <c r="B55" s="114"/>
      <c r="C55" s="114"/>
      <c r="D55" s="115"/>
      <c r="E55" s="116" t="s">
        <v>621</v>
      </c>
      <c r="F55" s="115"/>
      <c r="G55" s="117" t="s">
        <v>649</v>
      </c>
      <c r="H55" s="118"/>
      <c r="I55" s="117" t="s">
        <v>650</v>
      </c>
      <c r="J55" s="115"/>
      <c r="K55" s="117" t="s">
        <v>651</v>
      </c>
      <c r="L55" s="115"/>
      <c r="M55" s="116" t="s">
        <v>613</v>
      </c>
      <c r="N55" s="119"/>
      <c r="O55" s="117" t="s">
        <v>649</v>
      </c>
      <c r="P55" s="119"/>
      <c r="Q55" s="117" t="s">
        <v>650</v>
      </c>
      <c r="R55" s="119"/>
      <c r="S55" s="117" t="s">
        <v>651</v>
      </c>
      <c r="T55" s="120"/>
      <c r="U55" s="117" t="s">
        <v>614</v>
      </c>
      <c r="V55" s="121"/>
    </row>
    <row r="56" spans="1:22" ht="16">
      <c r="A56" s="122"/>
      <c r="B56" s="109" t="s">
        <v>718</v>
      </c>
      <c r="C56" s="110" t="s">
        <v>566</v>
      </c>
      <c r="D56" s="128"/>
      <c r="E56" s="129">
        <v>6</v>
      </c>
      <c r="F56" s="128"/>
      <c r="G56" s="130">
        <v>1.32</v>
      </c>
      <c r="H56" s="131"/>
      <c r="I56" s="130" t="e">
        <v>#REF!</v>
      </c>
      <c r="J56" s="128"/>
      <c r="K56" s="130" t="e">
        <v>#REF!</v>
      </c>
      <c r="L56" s="128"/>
      <c r="M56" s="129">
        <v>5800</v>
      </c>
      <c r="N56" s="123"/>
      <c r="O56" s="130">
        <v>1276</v>
      </c>
      <c r="P56" s="123"/>
      <c r="Q56" s="130" t="e">
        <v>#REF!</v>
      </c>
      <c r="R56" s="123"/>
      <c r="S56" s="130" t="e">
        <v>#REF!</v>
      </c>
      <c r="T56" s="130"/>
      <c r="U56" s="132">
        <v>50</v>
      </c>
      <c r="V56" s="334"/>
    </row>
    <row r="57" spans="1:22" ht="16">
      <c r="A57" s="122"/>
      <c r="B57" s="109" t="s">
        <v>719</v>
      </c>
      <c r="C57" s="110"/>
      <c r="D57" s="128"/>
      <c r="E57" s="129">
        <v>6</v>
      </c>
      <c r="F57" s="128"/>
      <c r="G57" s="130">
        <v>1.32</v>
      </c>
      <c r="H57" s="131"/>
      <c r="I57" s="130" t="e">
        <v>#REF!</v>
      </c>
      <c r="J57" s="128"/>
      <c r="K57" s="130" t="e">
        <v>#REF!</v>
      </c>
      <c r="L57" s="128"/>
      <c r="M57" s="129">
        <v>1800</v>
      </c>
      <c r="N57" s="123"/>
      <c r="O57" s="130">
        <v>396</v>
      </c>
      <c r="P57" s="123"/>
      <c r="Q57" s="130" t="e">
        <v>#REF!</v>
      </c>
      <c r="R57" s="123"/>
      <c r="S57" s="130" t="e">
        <v>#REF!</v>
      </c>
      <c r="T57" s="130"/>
      <c r="U57" s="132">
        <v>50</v>
      </c>
      <c r="V57" s="334"/>
    </row>
    <row r="58" spans="1:22" ht="16">
      <c r="A58" s="122"/>
      <c r="B58" s="109" t="s">
        <v>720</v>
      </c>
      <c r="C58" s="110" t="s">
        <v>566</v>
      </c>
      <c r="D58" s="128"/>
      <c r="E58" s="129">
        <v>6</v>
      </c>
      <c r="F58" s="128"/>
      <c r="G58" s="130">
        <v>1.32</v>
      </c>
      <c r="H58" s="131"/>
      <c r="I58" s="130" t="e">
        <v>#REF!</v>
      </c>
      <c r="J58" s="128"/>
      <c r="K58" s="130" t="e">
        <v>#REF!</v>
      </c>
      <c r="L58" s="128"/>
      <c r="M58" s="129">
        <v>900</v>
      </c>
      <c r="N58" s="123"/>
      <c r="O58" s="130">
        <v>198</v>
      </c>
      <c r="P58" s="123"/>
      <c r="Q58" s="130" t="e">
        <v>#REF!</v>
      </c>
      <c r="R58" s="123"/>
      <c r="S58" s="130" t="e">
        <v>#REF!</v>
      </c>
      <c r="T58" s="130"/>
      <c r="U58" s="132">
        <v>50</v>
      </c>
      <c r="V58" s="334"/>
    </row>
    <row r="59" spans="1:22" ht="17" thickBot="1">
      <c r="A59" s="122"/>
      <c r="B59" s="109" t="s">
        <v>566</v>
      </c>
      <c r="C59" s="110"/>
      <c r="D59" s="128"/>
      <c r="E59" s="154"/>
      <c r="F59" s="128"/>
      <c r="G59" s="153"/>
      <c r="H59" s="131"/>
      <c r="I59" s="130"/>
      <c r="J59" s="128"/>
      <c r="K59" s="130"/>
      <c r="L59" s="128"/>
      <c r="M59" s="129"/>
      <c r="N59" s="128"/>
      <c r="O59" s="130"/>
      <c r="P59" s="123"/>
      <c r="Q59" s="130"/>
      <c r="R59" s="123"/>
      <c r="S59" s="130"/>
      <c r="T59" s="130"/>
      <c r="U59" s="130"/>
      <c r="V59" s="130"/>
    </row>
    <row r="60" spans="1:22" ht="57" thickBot="1">
      <c r="A60" s="114"/>
      <c r="B60" s="114"/>
      <c r="C60" s="114"/>
      <c r="D60" s="115"/>
      <c r="E60" s="116" t="s">
        <v>648</v>
      </c>
      <c r="F60" s="115"/>
      <c r="G60" s="117" t="s">
        <v>649</v>
      </c>
      <c r="H60" s="118"/>
      <c r="I60" s="117" t="s">
        <v>650</v>
      </c>
      <c r="J60" s="115"/>
      <c r="K60" s="117" t="s">
        <v>651</v>
      </c>
      <c r="L60" s="115"/>
      <c r="M60" s="116" t="s">
        <v>613</v>
      </c>
      <c r="N60" s="119"/>
      <c r="O60" s="117" t="s">
        <v>649</v>
      </c>
      <c r="P60" s="119"/>
      <c r="Q60" s="117" t="s">
        <v>650</v>
      </c>
      <c r="R60" s="119"/>
      <c r="S60" s="117" t="s">
        <v>651</v>
      </c>
      <c r="T60" s="120"/>
      <c r="U60" s="117" t="s">
        <v>614</v>
      </c>
      <c r="V60" s="121"/>
    </row>
    <row r="61" spans="1:22" ht="16">
      <c r="A61" s="122"/>
      <c r="B61" s="109" t="s">
        <v>721</v>
      </c>
      <c r="C61" s="110"/>
      <c r="D61" s="128"/>
      <c r="E61" s="133" t="s">
        <v>133</v>
      </c>
      <c r="F61" s="128"/>
      <c r="G61" s="133" t="s">
        <v>133</v>
      </c>
      <c r="H61" s="131"/>
      <c r="I61" s="130"/>
      <c r="J61" s="128"/>
      <c r="K61" s="130"/>
      <c r="L61" s="128"/>
      <c r="M61" s="129">
        <v>5800</v>
      </c>
      <c r="N61" s="123"/>
      <c r="O61" s="130">
        <v>1276</v>
      </c>
      <c r="P61" s="123"/>
      <c r="Q61" s="130"/>
      <c r="R61" s="123"/>
      <c r="S61" s="130"/>
      <c r="T61" s="130"/>
      <c r="U61" s="130"/>
      <c r="V61" s="130"/>
    </row>
    <row r="62" spans="1:22" ht="16">
      <c r="A62" s="122"/>
      <c r="B62" s="109" t="s">
        <v>719</v>
      </c>
      <c r="C62" s="110"/>
      <c r="D62" s="128" t="s">
        <v>566</v>
      </c>
      <c r="E62" s="133" t="s">
        <v>133</v>
      </c>
      <c r="F62" s="128"/>
      <c r="G62" s="133" t="s">
        <v>133</v>
      </c>
      <c r="H62" s="131"/>
      <c r="I62" s="130"/>
      <c r="J62" s="128"/>
      <c r="K62" s="130"/>
      <c r="L62" s="128"/>
      <c r="M62" s="129">
        <v>1800</v>
      </c>
      <c r="N62" s="123"/>
      <c r="O62" s="130">
        <v>396</v>
      </c>
      <c r="P62" s="123"/>
      <c r="Q62" s="130"/>
      <c r="R62" s="123"/>
      <c r="S62" s="130"/>
      <c r="T62" s="130"/>
      <c r="U62" s="130"/>
      <c r="V62" s="130"/>
    </row>
    <row r="63" spans="1:22" ht="16">
      <c r="A63" s="122"/>
      <c r="B63" s="109" t="s">
        <v>720</v>
      </c>
      <c r="C63" s="110"/>
      <c r="D63" s="128"/>
      <c r="E63" s="133" t="s">
        <v>133</v>
      </c>
      <c r="F63" s="128"/>
      <c r="G63" s="133" t="s">
        <v>133</v>
      </c>
      <c r="H63" s="131"/>
      <c r="I63" s="130"/>
      <c r="J63" s="128"/>
      <c r="K63" s="130"/>
      <c r="L63" s="128"/>
      <c r="M63" s="129">
        <v>900</v>
      </c>
      <c r="N63" s="123"/>
      <c r="O63" s="130">
        <v>198</v>
      </c>
      <c r="P63" s="123"/>
      <c r="Q63" s="130"/>
      <c r="R63" s="123"/>
      <c r="S63" s="130"/>
      <c r="T63" s="130"/>
      <c r="U63" s="130"/>
      <c r="V63" s="130"/>
    </row>
    <row r="64" spans="1:22" ht="16">
      <c r="A64" s="122" t="s">
        <v>566</v>
      </c>
      <c r="B64" s="109" t="s">
        <v>722</v>
      </c>
      <c r="C64" s="110"/>
      <c r="D64" s="128"/>
      <c r="E64" s="133" t="s">
        <v>133</v>
      </c>
      <c r="F64" s="128"/>
      <c r="G64" s="133" t="s">
        <v>133</v>
      </c>
      <c r="H64" s="131"/>
      <c r="I64" s="130"/>
      <c r="J64" s="128"/>
      <c r="K64" s="130"/>
      <c r="L64" s="128"/>
      <c r="M64" s="129">
        <v>9800</v>
      </c>
      <c r="N64" s="123"/>
      <c r="O64" s="130">
        <v>2156</v>
      </c>
      <c r="P64" s="123"/>
      <c r="Q64" s="130"/>
      <c r="R64" s="123"/>
      <c r="S64" s="130"/>
      <c r="T64" s="130"/>
      <c r="U64" s="130"/>
      <c r="V64" s="130"/>
    </row>
    <row r="65" spans="1:22" ht="16">
      <c r="A65" s="122"/>
      <c r="B65" s="109" t="s">
        <v>723</v>
      </c>
      <c r="C65" s="110"/>
      <c r="D65" s="128"/>
      <c r="E65" s="133" t="s">
        <v>133</v>
      </c>
      <c r="F65" s="128"/>
      <c r="G65" s="133" t="s">
        <v>133</v>
      </c>
      <c r="H65" s="131"/>
      <c r="I65" s="130"/>
      <c r="J65" s="128"/>
      <c r="K65" s="130"/>
      <c r="L65" s="128"/>
      <c r="M65" s="129">
        <v>5800</v>
      </c>
      <c r="N65" s="123"/>
      <c r="O65" s="130">
        <v>1276</v>
      </c>
      <c r="P65" s="123"/>
      <c r="Q65" s="130"/>
      <c r="R65" s="123"/>
      <c r="S65" s="130"/>
      <c r="T65" s="130"/>
      <c r="U65" s="130"/>
      <c r="V65" s="130"/>
    </row>
    <row r="66" spans="1:22" ht="16">
      <c r="A66" s="122"/>
      <c r="B66" s="109" t="s">
        <v>724</v>
      </c>
      <c r="C66" s="110"/>
      <c r="D66" s="128"/>
      <c r="E66" s="133" t="s">
        <v>133</v>
      </c>
      <c r="F66" s="128"/>
      <c r="G66" s="133" t="s">
        <v>133</v>
      </c>
      <c r="H66" s="131"/>
      <c r="I66" s="130"/>
      <c r="J66" s="128"/>
      <c r="K66" s="130"/>
      <c r="L66" s="128"/>
      <c r="M66" s="129">
        <v>1800</v>
      </c>
      <c r="N66" s="123"/>
      <c r="O66" s="130">
        <v>396</v>
      </c>
      <c r="P66" s="123"/>
      <c r="Q66" s="130"/>
      <c r="R66" s="123"/>
      <c r="S66" s="130"/>
      <c r="T66" s="130"/>
      <c r="U66" s="130"/>
      <c r="V66" s="130"/>
    </row>
    <row r="67" spans="1:22" ht="16">
      <c r="A67" s="122"/>
      <c r="B67" s="109" t="s">
        <v>725</v>
      </c>
      <c r="C67" s="110"/>
      <c r="D67" s="128"/>
      <c r="E67" s="133" t="s">
        <v>133</v>
      </c>
      <c r="F67" s="128"/>
      <c r="G67" s="133" t="s">
        <v>133</v>
      </c>
      <c r="H67" s="131"/>
      <c r="I67" s="130"/>
      <c r="J67" s="128"/>
      <c r="K67" s="130"/>
      <c r="L67" s="128"/>
      <c r="M67" s="129">
        <v>13800</v>
      </c>
      <c r="N67" s="123"/>
      <c r="O67" s="130">
        <v>3036</v>
      </c>
      <c r="P67" s="123"/>
      <c r="Q67" s="130"/>
      <c r="R67" s="123"/>
      <c r="S67" s="130"/>
      <c r="T67" s="130"/>
      <c r="U67" s="130"/>
      <c r="V67" s="130"/>
    </row>
    <row r="68" spans="1:22" ht="16">
      <c r="A68" s="122"/>
      <c r="B68" s="109" t="s">
        <v>726</v>
      </c>
      <c r="C68" s="110"/>
      <c r="D68" s="128"/>
      <c r="E68" s="133" t="s">
        <v>133</v>
      </c>
      <c r="F68" s="128"/>
      <c r="G68" s="133" t="s">
        <v>133</v>
      </c>
      <c r="H68" s="131"/>
      <c r="I68" s="130"/>
      <c r="J68" s="128"/>
      <c r="K68" s="130"/>
      <c r="L68" s="128"/>
      <c r="M68" s="129">
        <v>8100</v>
      </c>
      <c r="N68" s="123"/>
      <c r="O68" s="130">
        <v>1782</v>
      </c>
      <c r="P68" s="123"/>
      <c r="Q68" s="130"/>
      <c r="R68" s="123"/>
      <c r="S68" s="130"/>
      <c r="T68" s="130"/>
      <c r="U68" s="130"/>
      <c r="V68" s="130"/>
    </row>
    <row r="69" spans="1:22" ht="16">
      <c r="A69" s="122"/>
      <c r="B69" s="109" t="s">
        <v>727</v>
      </c>
      <c r="C69" s="110"/>
      <c r="D69" s="128"/>
      <c r="E69" s="133" t="s">
        <v>133</v>
      </c>
      <c r="F69" s="128"/>
      <c r="G69" s="133" t="s">
        <v>133</v>
      </c>
      <c r="H69" s="131"/>
      <c r="I69" s="130"/>
      <c r="J69" s="128"/>
      <c r="K69" s="130"/>
      <c r="L69" s="128"/>
      <c r="M69" s="129">
        <v>2600</v>
      </c>
      <c r="N69" s="123"/>
      <c r="O69" s="130">
        <v>572</v>
      </c>
      <c r="P69" s="123"/>
      <c r="Q69" s="130"/>
      <c r="R69" s="123"/>
      <c r="S69" s="130"/>
      <c r="T69" s="130"/>
      <c r="U69" s="130"/>
      <c r="V69" s="130"/>
    </row>
    <row r="70" spans="1:22" ht="16">
      <c r="A70" s="122"/>
      <c r="B70" s="109" t="s">
        <v>728</v>
      </c>
      <c r="C70" s="110"/>
      <c r="D70" s="128"/>
      <c r="E70" s="133" t="s">
        <v>133</v>
      </c>
      <c r="F70" s="128"/>
      <c r="G70" s="133" t="s">
        <v>133</v>
      </c>
      <c r="H70" s="131"/>
      <c r="I70" s="130"/>
      <c r="J70" s="128"/>
      <c r="K70" s="130"/>
      <c r="L70" s="128"/>
      <c r="M70" s="129">
        <v>1800</v>
      </c>
      <c r="N70" s="123"/>
      <c r="O70" s="130">
        <v>396</v>
      </c>
      <c r="P70" s="123"/>
      <c r="Q70" s="130"/>
      <c r="R70" s="123"/>
      <c r="S70" s="130"/>
      <c r="T70" s="130"/>
      <c r="U70" s="130"/>
      <c r="V70" s="130"/>
    </row>
    <row r="71" spans="1:22" ht="16">
      <c r="A71" s="122"/>
      <c r="B71" s="109"/>
      <c r="C71" s="110"/>
      <c r="D71" s="128"/>
      <c r="E71" s="129"/>
      <c r="F71" s="128"/>
      <c r="G71" s="130"/>
      <c r="H71" s="131"/>
      <c r="I71" s="130"/>
      <c r="J71" s="128"/>
      <c r="K71" s="130"/>
      <c r="L71" s="128"/>
      <c r="M71" s="129"/>
      <c r="N71" s="128"/>
      <c r="O71" s="130"/>
      <c r="P71" s="123"/>
      <c r="Q71" s="130"/>
      <c r="R71" s="123"/>
      <c r="S71" s="130"/>
      <c r="T71" s="130"/>
      <c r="U71" s="130"/>
      <c r="V71" s="130"/>
    </row>
    <row r="72" spans="1:22" ht="16">
      <c r="A72" s="122"/>
      <c r="B72" s="156" t="s">
        <v>622</v>
      </c>
      <c r="C72" s="157"/>
      <c r="D72" s="128"/>
      <c r="E72" s="129" t="s">
        <v>566</v>
      </c>
      <c r="F72" s="128"/>
      <c r="G72" s="130"/>
      <c r="H72" s="131"/>
      <c r="I72" s="130"/>
      <c r="J72" s="128"/>
      <c r="K72" s="130"/>
      <c r="L72" s="128"/>
      <c r="M72" s="129" t="s">
        <v>566</v>
      </c>
      <c r="N72" s="123"/>
      <c r="O72" s="130" t="s">
        <v>566</v>
      </c>
      <c r="P72" s="123"/>
      <c r="Q72" s="130"/>
      <c r="R72" s="123"/>
      <c r="S72" s="130"/>
      <c r="T72" s="130"/>
      <c r="U72" s="130"/>
      <c r="V72" s="130"/>
    </row>
    <row r="73" spans="1:22" ht="16">
      <c r="A73" s="122"/>
      <c r="B73" s="109" t="s">
        <v>729</v>
      </c>
      <c r="C73" s="109"/>
      <c r="D73" s="128"/>
      <c r="E73" s="129">
        <v>120</v>
      </c>
      <c r="F73" s="128"/>
      <c r="G73" s="130">
        <v>26.4</v>
      </c>
      <c r="H73" s="131"/>
      <c r="I73" s="130" t="e">
        <v>#REF!</v>
      </c>
      <c r="J73" s="128"/>
      <c r="K73" s="130" t="e">
        <v>#REF!</v>
      </c>
      <c r="L73" s="128"/>
      <c r="M73" s="129">
        <v>6000</v>
      </c>
      <c r="N73" s="123"/>
      <c r="O73" s="130">
        <v>1320</v>
      </c>
      <c r="P73" s="123"/>
      <c r="Q73" s="130"/>
      <c r="R73" s="123"/>
      <c r="S73" s="130"/>
      <c r="T73" s="130"/>
      <c r="U73" s="132">
        <v>26</v>
      </c>
      <c r="V73" s="334"/>
    </row>
    <row r="74" spans="1:22" ht="16">
      <c r="A74" s="122"/>
      <c r="B74" s="109" t="s">
        <v>730</v>
      </c>
      <c r="C74" s="109"/>
      <c r="D74" s="128" t="s">
        <v>566</v>
      </c>
      <c r="E74" s="133" t="s">
        <v>133</v>
      </c>
      <c r="F74" s="128"/>
      <c r="G74" s="134" t="s">
        <v>133</v>
      </c>
      <c r="H74" s="131"/>
      <c r="I74" s="130" t="e">
        <v>#REF!</v>
      </c>
      <c r="J74" s="128"/>
      <c r="K74" s="130" t="e">
        <v>#REF!</v>
      </c>
      <c r="L74" s="128"/>
      <c r="M74" s="129">
        <v>2000</v>
      </c>
      <c r="N74" s="123"/>
      <c r="O74" s="130">
        <v>440</v>
      </c>
      <c r="P74" s="123"/>
      <c r="Q74" s="130"/>
      <c r="R74" s="123"/>
      <c r="S74" s="130"/>
      <c r="T74" s="130"/>
      <c r="U74" s="132"/>
      <c r="V74" s="334"/>
    </row>
    <row r="75" spans="1:22" ht="16">
      <c r="A75" s="122"/>
      <c r="B75" s="109" t="s">
        <v>731</v>
      </c>
      <c r="C75" s="109"/>
      <c r="D75" s="128" t="s">
        <v>566</v>
      </c>
      <c r="E75" s="133" t="s">
        <v>133</v>
      </c>
      <c r="F75" s="128"/>
      <c r="G75" s="134" t="s">
        <v>133</v>
      </c>
      <c r="H75" s="131"/>
      <c r="I75" s="130" t="e">
        <v>#REF!</v>
      </c>
      <c r="J75" s="128"/>
      <c r="K75" s="130" t="e">
        <v>#REF!</v>
      </c>
      <c r="L75" s="128"/>
      <c r="M75" s="129">
        <v>2000</v>
      </c>
      <c r="N75" s="123"/>
      <c r="O75" s="130">
        <v>440</v>
      </c>
      <c r="P75" s="123"/>
      <c r="Q75" s="130"/>
      <c r="R75" s="123"/>
      <c r="S75" s="130"/>
      <c r="T75" s="130"/>
      <c r="U75" s="132"/>
      <c r="V75" s="334"/>
    </row>
    <row r="76" spans="1:22" ht="17" thickBot="1">
      <c r="A76" s="122"/>
      <c r="B76" s="109" t="s">
        <v>566</v>
      </c>
      <c r="C76" s="109"/>
      <c r="D76" s="128"/>
      <c r="E76" s="133"/>
      <c r="F76" s="128"/>
      <c r="G76" s="134"/>
      <c r="H76" s="131"/>
      <c r="I76" s="130"/>
      <c r="J76" s="128"/>
      <c r="K76" s="130"/>
      <c r="L76" s="128"/>
      <c r="M76" s="129"/>
      <c r="N76" s="123"/>
      <c r="O76" s="130"/>
      <c r="P76" s="123"/>
      <c r="Q76" s="130"/>
      <c r="R76" s="123"/>
      <c r="S76" s="130"/>
      <c r="T76" s="130"/>
      <c r="U76" s="130"/>
      <c r="V76" s="130"/>
    </row>
    <row r="77" spans="1:22" ht="57" thickBot="1">
      <c r="A77" s="122"/>
      <c r="B77" s="109" t="s">
        <v>566</v>
      </c>
      <c r="C77" s="109"/>
      <c r="D77" s="128"/>
      <c r="E77" s="116" t="s">
        <v>710</v>
      </c>
      <c r="F77" s="115"/>
      <c r="G77" s="117" t="s">
        <v>649</v>
      </c>
      <c r="H77" s="131"/>
      <c r="I77" s="130"/>
      <c r="J77" s="128"/>
      <c r="K77" s="130"/>
      <c r="L77" s="128"/>
      <c r="M77" s="117" t="s">
        <v>711</v>
      </c>
      <c r="N77" s="123"/>
      <c r="O77" s="117" t="s">
        <v>561</v>
      </c>
      <c r="P77" s="123"/>
      <c r="Q77" s="130"/>
      <c r="R77" s="123"/>
      <c r="S77" s="130"/>
      <c r="T77" s="130"/>
      <c r="U77" s="117" t="s">
        <v>614</v>
      </c>
      <c r="V77" s="121"/>
    </row>
    <row r="78" spans="1:22" ht="16">
      <c r="A78" s="122"/>
      <c r="B78" s="104" t="s">
        <v>732</v>
      </c>
      <c r="C78" s="109" t="s">
        <v>566</v>
      </c>
      <c r="D78" s="128"/>
      <c r="E78" s="129">
        <v>100000</v>
      </c>
      <c r="F78" s="128"/>
      <c r="G78" s="130">
        <v>22000</v>
      </c>
      <c r="H78" s="131"/>
      <c r="I78" s="130"/>
      <c r="J78" s="128"/>
      <c r="K78" s="130"/>
      <c r="L78" s="128"/>
      <c r="M78" s="110" t="s">
        <v>623</v>
      </c>
      <c r="N78" s="123"/>
      <c r="O78" s="110" t="s">
        <v>133</v>
      </c>
      <c r="P78" s="123"/>
      <c r="Q78" s="130"/>
      <c r="R78" s="123"/>
      <c r="S78" s="130"/>
      <c r="T78" s="130"/>
      <c r="U78" s="132"/>
      <c r="V78" s="334"/>
    </row>
    <row r="79" spans="1:22" ht="16">
      <c r="A79" s="122"/>
      <c r="B79" s="104" t="s">
        <v>733</v>
      </c>
      <c r="C79" s="109" t="s">
        <v>566</v>
      </c>
      <c r="D79" s="128"/>
      <c r="E79" s="129">
        <v>4000</v>
      </c>
      <c r="F79" s="128"/>
      <c r="G79" s="130">
        <v>880</v>
      </c>
      <c r="H79" s="131"/>
      <c r="I79" s="130"/>
      <c r="J79" s="128"/>
      <c r="K79" s="130"/>
      <c r="L79" s="128"/>
      <c r="M79" s="110" t="s">
        <v>624</v>
      </c>
      <c r="N79" s="123"/>
      <c r="O79" s="110" t="s">
        <v>133</v>
      </c>
      <c r="P79" s="123"/>
      <c r="Q79" s="130"/>
      <c r="R79" s="123"/>
      <c r="S79" s="130"/>
      <c r="T79" s="130"/>
      <c r="U79" s="132"/>
      <c r="V79" s="130"/>
    </row>
    <row r="80" spans="1:22" ht="16">
      <c r="A80" s="122"/>
      <c r="B80" s="109"/>
      <c r="C80" s="109"/>
      <c r="D80" s="128"/>
      <c r="E80" s="133"/>
      <c r="F80" s="128"/>
      <c r="G80" s="134"/>
      <c r="H80" s="131"/>
      <c r="I80" s="130"/>
      <c r="J80" s="128"/>
      <c r="K80" s="130"/>
      <c r="L80" s="128"/>
      <c r="M80" s="129"/>
      <c r="N80" s="123"/>
      <c r="O80" s="130"/>
      <c r="P80" s="123"/>
      <c r="Q80" s="130"/>
      <c r="R80" s="123"/>
      <c r="S80" s="130"/>
      <c r="T80" s="130"/>
      <c r="U80" s="130"/>
      <c r="V80" s="130"/>
    </row>
    <row r="81" spans="1:22" ht="16">
      <c r="A81" s="122"/>
      <c r="B81" s="109"/>
      <c r="C81" s="109"/>
      <c r="D81" s="128"/>
      <c r="E81" s="129"/>
      <c r="F81" s="128"/>
      <c r="G81" s="130"/>
      <c r="H81" s="131"/>
      <c r="I81" s="130"/>
      <c r="J81" s="128"/>
      <c r="K81" s="130"/>
      <c r="L81" s="128"/>
      <c r="M81" s="129"/>
      <c r="N81" s="123"/>
      <c r="O81" s="158"/>
      <c r="P81" s="123"/>
      <c r="Q81" s="130"/>
      <c r="R81" s="123"/>
      <c r="S81" s="130"/>
      <c r="T81" s="130"/>
      <c r="U81" s="130"/>
      <c r="V81" s="130"/>
    </row>
    <row r="82" spans="1:22" ht="16">
      <c r="A82" s="122"/>
      <c r="B82" s="109"/>
      <c r="C82" s="109"/>
      <c r="D82" s="128"/>
      <c r="E82" s="129"/>
      <c r="F82" s="128"/>
      <c r="G82" s="130"/>
      <c r="H82" s="131"/>
      <c r="I82" s="130"/>
      <c r="J82" s="128"/>
      <c r="K82" s="130"/>
      <c r="L82" s="128"/>
      <c r="M82" s="129"/>
      <c r="N82" s="123"/>
      <c r="O82" s="158"/>
      <c r="P82" s="123"/>
      <c r="Q82" s="130"/>
      <c r="R82" s="123"/>
      <c r="S82" s="130"/>
      <c r="T82" s="130"/>
      <c r="U82" s="130"/>
      <c r="V82" s="130"/>
    </row>
    <row r="83" spans="1:22" ht="16">
      <c r="A83" s="122"/>
      <c r="B83" s="109"/>
      <c r="C83" s="109"/>
      <c r="D83" s="128"/>
      <c r="E83" s="129"/>
      <c r="F83" s="128"/>
      <c r="G83" s="130"/>
      <c r="H83" s="131"/>
      <c r="I83" s="130"/>
      <c r="J83" s="128"/>
      <c r="K83" s="130"/>
      <c r="L83" s="128"/>
      <c r="M83" s="129"/>
      <c r="N83" s="123"/>
      <c r="O83" s="130"/>
      <c r="P83" s="123"/>
      <c r="Q83" s="130"/>
      <c r="R83" s="123"/>
      <c r="S83" s="130"/>
      <c r="T83" s="130"/>
      <c r="U83" s="130"/>
      <c r="V83" s="130"/>
    </row>
    <row r="84" spans="1:22" ht="16">
      <c r="A84" s="122"/>
      <c r="B84" s="109"/>
      <c r="C84" s="109"/>
      <c r="D84" s="128"/>
      <c r="E84" s="129"/>
      <c r="F84" s="128"/>
      <c r="G84" s="130"/>
      <c r="H84" s="131"/>
      <c r="I84" s="130"/>
      <c r="J84" s="128"/>
      <c r="K84" s="130"/>
      <c r="L84" s="128"/>
      <c r="M84" s="129"/>
      <c r="N84" s="123"/>
      <c r="O84" s="130"/>
      <c r="P84" s="123"/>
      <c r="Q84" s="130"/>
      <c r="R84" s="123"/>
      <c r="S84" s="130"/>
      <c r="T84" s="130"/>
      <c r="U84" s="130"/>
      <c r="V84" s="130"/>
    </row>
    <row r="85" spans="1:22" ht="16">
      <c r="A85" s="122"/>
      <c r="B85" s="109"/>
      <c r="C85" s="109"/>
      <c r="D85" s="128"/>
      <c r="E85" s="129"/>
      <c r="F85" s="128"/>
      <c r="G85" s="130"/>
      <c r="H85" s="131"/>
      <c r="I85" s="130"/>
      <c r="J85" s="128"/>
      <c r="K85" s="130"/>
      <c r="L85" s="128"/>
      <c r="M85" s="129"/>
      <c r="N85" s="123"/>
      <c r="O85" s="130"/>
      <c r="P85" s="123"/>
      <c r="Q85" s="130"/>
      <c r="R85" s="123"/>
      <c r="S85" s="130"/>
      <c r="T85" s="130"/>
      <c r="U85" s="130"/>
      <c r="V85" s="130"/>
    </row>
    <row r="86" spans="1:22" ht="16">
      <c r="A86" s="122"/>
      <c r="B86" s="109"/>
      <c r="C86" s="109"/>
      <c r="D86" s="128"/>
      <c r="E86" s="129"/>
      <c r="F86" s="128"/>
      <c r="G86" s="130"/>
      <c r="H86" s="131"/>
      <c r="I86" s="130"/>
      <c r="J86" s="128"/>
      <c r="K86" s="130"/>
      <c r="L86" s="128"/>
      <c r="M86" s="129"/>
      <c r="N86" s="123"/>
      <c r="O86" s="130"/>
      <c r="P86" s="123"/>
      <c r="Q86" s="130"/>
      <c r="R86" s="123"/>
      <c r="S86" s="130"/>
      <c r="T86" s="130"/>
      <c r="U86" s="130"/>
      <c r="V86" s="130"/>
    </row>
    <row r="87" spans="1:22" ht="16">
      <c r="A87" s="122"/>
      <c r="B87" s="112" t="s">
        <v>612</v>
      </c>
      <c r="C87" s="109"/>
      <c r="D87" s="128"/>
      <c r="E87" s="129" t="s">
        <v>566</v>
      </c>
      <c r="F87" s="128"/>
      <c r="G87" s="130"/>
      <c r="H87" s="131"/>
      <c r="I87" s="130"/>
      <c r="J87" s="128"/>
      <c r="K87" s="130"/>
      <c r="L87" s="128"/>
      <c r="M87" s="129"/>
      <c r="N87" s="123"/>
      <c r="O87" s="130"/>
      <c r="P87" s="123"/>
      <c r="Q87" s="130"/>
      <c r="R87" s="123"/>
      <c r="S87" s="130"/>
      <c r="T87" s="130"/>
      <c r="U87" s="107" t="s">
        <v>683</v>
      </c>
      <c r="V87" s="130"/>
    </row>
    <row r="88" spans="1:22" ht="15.75" customHeight="1" thickBot="1">
      <c r="A88" s="113"/>
      <c r="B88" s="854" t="s">
        <v>1293</v>
      </c>
      <c r="C88" s="854"/>
      <c r="D88" s="854"/>
      <c r="E88" s="854"/>
      <c r="F88" s="854"/>
      <c r="G88" s="854"/>
      <c r="H88" s="854"/>
      <c r="I88" s="854"/>
      <c r="J88" s="854"/>
      <c r="K88" s="854"/>
      <c r="L88" s="854"/>
      <c r="M88" s="854"/>
      <c r="N88" s="854"/>
      <c r="O88" s="854"/>
      <c r="P88" s="854"/>
      <c r="Q88" s="854"/>
      <c r="R88" s="854"/>
      <c r="S88" s="854"/>
      <c r="T88" s="854"/>
      <c r="U88" s="854"/>
      <c r="V88" s="315"/>
    </row>
    <row r="89" spans="1:22" ht="57" thickBot="1">
      <c r="A89" s="122"/>
      <c r="B89" s="109"/>
      <c r="C89" s="109"/>
      <c r="D89" s="128"/>
      <c r="E89" s="116" t="s">
        <v>648</v>
      </c>
      <c r="F89" s="115"/>
      <c r="G89" s="117" t="s">
        <v>649</v>
      </c>
      <c r="H89" s="118"/>
      <c r="I89" s="117" t="s">
        <v>650</v>
      </c>
      <c r="J89" s="115"/>
      <c r="K89" s="117" t="s">
        <v>651</v>
      </c>
      <c r="L89" s="115"/>
      <c r="M89" s="116" t="s">
        <v>625</v>
      </c>
      <c r="N89" s="119"/>
      <c r="O89" s="117" t="s">
        <v>649</v>
      </c>
      <c r="P89" s="123"/>
      <c r="Q89" s="130"/>
      <c r="R89" s="123"/>
      <c r="S89" s="130"/>
      <c r="T89" s="130"/>
      <c r="U89" s="117" t="s">
        <v>614</v>
      </c>
      <c r="V89" s="130"/>
    </row>
    <row r="90" spans="1:22" ht="16">
      <c r="A90" s="122"/>
      <c r="B90" s="156" t="s">
        <v>626</v>
      </c>
      <c r="C90" s="157"/>
      <c r="D90" s="128"/>
      <c r="E90" s="129"/>
      <c r="F90" s="128"/>
      <c r="G90" s="130"/>
      <c r="H90" s="131"/>
      <c r="I90" s="130"/>
      <c r="J90" s="128"/>
      <c r="K90" s="130"/>
      <c r="L90" s="128"/>
      <c r="M90" s="129"/>
      <c r="N90" s="123"/>
      <c r="O90" s="130"/>
      <c r="P90" s="123"/>
      <c r="Q90" s="130"/>
      <c r="R90" s="123"/>
      <c r="S90" s="130"/>
      <c r="T90" s="130"/>
      <c r="U90" s="126"/>
      <c r="V90" s="130"/>
    </row>
    <row r="91" spans="1:22" ht="16">
      <c r="A91" s="122"/>
      <c r="B91" s="109" t="s">
        <v>734</v>
      </c>
      <c r="C91" s="109"/>
      <c r="D91" s="160"/>
      <c r="E91" s="133" t="s">
        <v>133</v>
      </c>
      <c r="F91" s="161"/>
      <c r="G91" s="134" t="s">
        <v>133</v>
      </c>
      <c r="H91" s="131"/>
      <c r="I91" s="130" t="e">
        <v>#REF!</v>
      </c>
      <c r="J91" s="162"/>
      <c r="K91" s="130" t="e">
        <v>#REF!</v>
      </c>
      <c r="L91" s="160"/>
      <c r="M91" s="129">
        <v>17500</v>
      </c>
      <c r="N91" s="161"/>
      <c r="O91" s="130">
        <v>3850</v>
      </c>
      <c r="P91" s="123"/>
      <c r="Q91" s="130"/>
      <c r="R91" s="123"/>
      <c r="S91" s="130"/>
      <c r="T91" s="130"/>
      <c r="U91" s="126"/>
      <c r="V91" s="130"/>
    </row>
    <row r="92" spans="1:22" ht="16">
      <c r="A92" s="122"/>
      <c r="B92" s="109" t="s">
        <v>735</v>
      </c>
      <c r="C92" s="109"/>
      <c r="D92" s="160"/>
      <c r="E92" s="133" t="s">
        <v>133</v>
      </c>
      <c r="F92" s="161"/>
      <c r="G92" s="134" t="s">
        <v>133</v>
      </c>
      <c r="H92" s="131"/>
      <c r="I92" s="130">
        <v>0</v>
      </c>
      <c r="J92" s="162"/>
      <c r="K92" s="130">
        <v>0</v>
      </c>
      <c r="L92" s="160"/>
      <c r="M92" s="129">
        <v>17500</v>
      </c>
      <c r="N92" s="161"/>
      <c r="O92" s="130">
        <v>3850</v>
      </c>
      <c r="P92" s="123"/>
      <c r="Q92" s="130"/>
      <c r="R92" s="123"/>
      <c r="S92" s="130"/>
      <c r="T92" s="130"/>
      <c r="U92" s="126"/>
      <c r="V92" s="130"/>
    </row>
    <row r="93" spans="1:22" ht="16">
      <c r="A93" s="122"/>
      <c r="B93" s="109" t="s">
        <v>736</v>
      </c>
      <c r="C93" s="109"/>
      <c r="D93" s="160"/>
      <c r="E93" s="133" t="s">
        <v>133</v>
      </c>
      <c r="F93" s="161"/>
      <c r="G93" s="134" t="s">
        <v>133</v>
      </c>
      <c r="H93" s="131"/>
      <c r="I93" s="130" t="e">
        <v>#REF!</v>
      </c>
      <c r="J93" s="162"/>
      <c r="K93" s="130" t="e">
        <v>#REF!</v>
      </c>
      <c r="L93" s="160"/>
      <c r="M93" s="129">
        <v>17500</v>
      </c>
      <c r="N93" s="161"/>
      <c r="O93" s="130">
        <v>3850</v>
      </c>
      <c r="P93" s="123"/>
      <c r="Q93" s="130"/>
      <c r="R93" s="123"/>
      <c r="S93" s="130"/>
      <c r="T93" s="130"/>
      <c r="U93" s="126"/>
      <c r="V93" s="130"/>
    </row>
    <row r="94" spans="1:22" ht="16">
      <c r="A94" s="122"/>
      <c r="B94" s="109" t="s">
        <v>737</v>
      </c>
      <c r="C94" s="109"/>
      <c r="D94" s="160"/>
      <c r="E94" s="133" t="s">
        <v>133</v>
      </c>
      <c r="F94" s="161"/>
      <c r="G94" s="134" t="s">
        <v>133</v>
      </c>
      <c r="H94" s="131"/>
      <c r="I94" s="130">
        <v>0</v>
      </c>
      <c r="J94" s="162"/>
      <c r="K94" s="130">
        <v>0</v>
      </c>
      <c r="L94" s="160"/>
      <c r="M94" s="129">
        <v>109500</v>
      </c>
      <c r="N94" s="161"/>
      <c r="O94" s="130">
        <v>24090</v>
      </c>
      <c r="P94" s="123"/>
      <c r="Q94" s="130"/>
      <c r="R94" s="123"/>
      <c r="S94" s="130"/>
      <c r="T94" s="130"/>
      <c r="U94" s="126"/>
      <c r="V94" s="130"/>
    </row>
    <row r="95" spans="1:22" ht="16">
      <c r="A95" s="122"/>
      <c r="B95" s="109" t="s">
        <v>738</v>
      </c>
      <c r="C95" s="109"/>
      <c r="D95" s="160"/>
      <c r="E95" s="133" t="s">
        <v>133</v>
      </c>
      <c r="F95" s="161"/>
      <c r="G95" s="134" t="s">
        <v>133</v>
      </c>
      <c r="H95" s="131"/>
      <c r="I95" s="130">
        <v>0</v>
      </c>
      <c r="J95" s="162"/>
      <c r="K95" s="130" t="e">
        <v>#VALUE!</v>
      </c>
      <c r="L95" s="160"/>
      <c r="M95" s="129">
        <v>46000</v>
      </c>
      <c r="N95" s="161"/>
      <c r="O95" s="130">
        <v>10120</v>
      </c>
      <c r="P95" s="123"/>
      <c r="Q95" s="130"/>
      <c r="R95" s="123"/>
      <c r="S95" s="130"/>
      <c r="T95" s="130"/>
      <c r="U95" s="126"/>
      <c r="V95" s="130"/>
    </row>
    <row r="96" spans="1:22" ht="16">
      <c r="A96" s="122"/>
      <c r="B96" s="109" t="s">
        <v>739</v>
      </c>
      <c r="C96" s="109"/>
      <c r="D96" s="160"/>
      <c r="E96" s="133" t="s">
        <v>133</v>
      </c>
      <c r="F96" s="161"/>
      <c r="G96" s="134" t="s">
        <v>133</v>
      </c>
      <c r="H96" s="131"/>
      <c r="I96" s="130">
        <v>0</v>
      </c>
      <c r="J96" s="162"/>
      <c r="K96" s="130">
        <v>0</v>
      </c>
      <c r="L96" s="160"/>
      <c r="M96" s="129">
        <v>46000</v>
      </c>
      <c r="N96" s="161"/>
      <c r="O96" s="130">
        <v>10120</v>
      </c>
      <c r="P96" s="123"/>
      <c r="Q96" s="130"/>
      <c r="R96" s="123"/>
      <c r="S96" s="130"/>
      <c r="T96" s="130"/>
      <c r="U96" s="126"/>
      <c r="V96" s="130"/>
    </row>
    <row r="97" spans="1:22" ht="16">
      <c r="A97" s="122"/>
      <c r="B97" s="109" t="s">
        <v>740</v>
      </c>
      <c r="C97" s="109"/>
      <c r="D97" s="160"/>
      <c r="E97" s="133" t="s">
        <v>133</v>
      </c>
      <c r="F97" s="161"/>
      <c r="G97" s="134" t="s">
        <v>133</v>
      </c>
      <c r="H97" s="131"/>
      <c r="I97" s="130" t="e">
        <v>#REF!</v>
      </c>
      <c r="J97" s="162"/>
      <c r="K97" s="130" t="e">
        <v>#REF!</v>
      </c>
      <c r="L97" s="160"/>
      <c r="M97" s="129">
        <v>46000</v>
      </c>
      <c r="N97" s="161"/>
      <c r="O97" s="130">
        <v>10120</v>
      </c>
      <c r="P97" s="123"/>
      <c r="Q97" s="130"/>
      <c r="R97" s="123"/>
      <c r="S97" s="130"/>
      <c r="T97" s="130"/>
      <c r="U97" s="126"/>
      <c r="V97" s="130"/>
    </row>
    <row r="98" spans="1:22" ht="17" thickBot="1">
      <c r="A98" s="122"/>
      <c r="B98" s="109"/>
      <c r="C98" s="109"/>
      <c r="D98" s="128"/>
      <c r="E98" s="129"/>
      <c r="F98" s="128"/>
      <c r="G98" s="130"/>
      <c r="H98" s="131"/>
      <c r="I98" s="130"/>
      <c r="J98" s="128"/>
      <c r="K98" s="130"/>
      <c r="L98" s="128"/>
      <c r="M98" s="129"/>
      <c r="N98" s="123"/>
      <c r="O98" s="130"/>
      <c r="P98" s="123"/>
      <c r="Q98" s="130"/>
      <c r="R98" s="123"/>
      <c r="S98" s="130"/>
      <c r="T98" s="130"/>
      <c r="U98" s="126"/>
      <c r="V98" s="130"/>
    </row>
    <row r="99" spans="1:22" ht="57" thickBot="1">
      <c r="A99" s="122"/>
      <c r="B99" s="114"/>
      <c r="C99" s="114"/>
      <c r="D99" s="115"/>
      <c r="E99" s="116" t="s">
        <v>648</v>
      </c>
      <c r="F99" s="115"/>
      <c r="G99" s="117" t="s">
        <v>649</v>
      </c>
      <c r="H99" s="118"/>
      <c r="I99" s="117" t="s">
        <v>650</v>
      </c>
      <c r="J99" s="115"/>
      <c r="K99" s="117" t="s">
        <v>651</v>
      </c>
      <c r="L99" s="115"/>
      <c r="M99" s="116" t="s">
        <v>613</v>
      </c>
      <c r="N99" s="119"/>
      <c r="O99" s="117" t="s">
        <v>649</v>
      </c>
      <c r="P99" s="123"/>
      <c r="Q99" s="130"/>
      <c r="R99" s="123"/>
      <c r="S99" s="130"/>
      <c r="T99" s="130"/>
      <c r="U99" s="117" t="s">
        <v>614</v>
      </c>
      <c r="V99" s="130"/>
    </row>
    <row r="100" spans="1:22" ht="16">
      <c r="A100" s="122"/>
      <c r="B100" s="851" t="s">
        <v>627</v>
      </c>
      <c r="C100" s="851"/>
      <c r="D100" s="109"/>
      <c r="E100" s="163"/>
      <c r="F100" s="160"/>
      <c r="G100" s="160"/>
      <c r="H100" s="164"/>
      <c r="I100" s="163"/>
      <c r="J100" s="165"/>
      <c r="K100" s="163"/>
      <c r="L100" s="166"/>
      <c r="M100" s="165"/>
      <c r="N100" s="123"/>
      <c r="O100" s="123"/>
      <c r="P100" s="123"/>
      <c r="Q100" s="130"/>
      <c r="R100" s="123"/>
      <c r="S100" s="130"/>
      <c r="T100" s="130"/>
      <c r="U100" s="130"/>
      <c r="V100" s="130"/>
    </row>
    <row r="101" spans="1:22" ht="16">
      <c r="A101" s="122"/>
      <c r="B101" s="127"/>
      <c r="C101" s="109"/>
      <c r="D101" s="160"/>
      <c r="E101" s="110"/>
      <c r="F101" s="109"/>
      <c r="G101" s="109"/>
      <c r="H101" s="103"/>
      <c r="I101" s="110"/>
      <c r="J101" s="109"/>
      <c r="K101" s="110"/>
      <c r="L101" s="109"/>
      <c r="M101" s="110"/>
      <c r="N101" s="123"/>
      <c r="O101" s="123"/>
      <c r="P101" s="123"/>
      <c r="Q101" s="130"/>
      <c r="R101" s="123"/>
      <c r="S101" s="130"/>
      <c r="T101" s="130"/>
      <c r="U101" s="130"/>
      <c r="V101" s="130"/>
    </row>
    <row r="102" spans="1:22" ht="16">
      <c r="A102" s="122"/>
      <c r="B102" s="127" t="s">
        <v>628</v>
      </c>
      <c r="C102" s="109"/>
      <c r="D102" s="109"/>
      <c r="E102" s="102"/>
      <c r="F102" s="101"/>
      <c r="G102" s="101"/>
      <c r="H102" s="103"/>
      <c r="I102" s="102"/>
      <c r="J102" s="101"/>
      <c r="K102" s="102"/>
      <c r="L102" s="101"/>
      <c r="M102" s="102"/>
      <c r="N102" s="101"/>
      <c r="O102" s="101"/>
      <c r="P102" s="123"/>
      <c r="Q102" s="130"/>
      <c r="R102" s="123"/>
      <c r="S102" s="130"/>
      <c r="T102" s="130"/>
      <c r="U102" s="130"/>
      <c r="V102" s="130"/>
    </row>
    <row r="103" spans="1:22" ht="16">
      <c r="A103" s="122"/>
      <c r="B103" s="109" t="s">
        <v>741</v>
      </c>
      <c r="C103" s="109"/>
      <c r="D103" s="160"/>
      <c r="E103" s="129">
        <v>950</v>
      </c>
      <c r="F103" s="161"/>
      <c r="G103" s="130">
        <v>209</v>
      </c>
      <c r="H103" s="167"/>
      <c r="I103" s="130">
        <v>0</v>
      </c>
      <c r="J103" s="162"/>
      <c r="K103" s="130">
        <v>0</v>
      </c>
      <c r="L103" s="160"/>
      <c r="M103" s="129">
        <v>47500</v>
      </c>
      <c r="N103" s="161"/>
      <c r="O103" s="130">
        <v>10450</v>
      </c>
      <c r="P103" s="123"/>
      <c r="Q103" s="130"/>
      <c r="R103" s="123"/>
      <c r="S103" s="130"/>
      <c r="T103" s="130"/>
      <c r="U103" s="126">
        <v>17</v>
      </c>
      <c r="V103" s="130"/>
    </row>
    <row r="104" spans="1:22" ht="16">
      <c r="A104" s="122"/>
      <c r="B104" s="109" t="s">
        <v>742</v>
      </c>
      <c r="C104" s="109"/>
      <c r="D104" s="160"/>
      <c r="E104" s="129">
        <v>950</v>
      </c>
      <c r="F104" s="161"/>
      <c r="G104" s="130">
        <v>209</v>
      </c>
      <c r="H104" s="167"/>
      <c r="I104" s="130">
        <v>0</v>
      </c>
      <c r="J104" s="162"/>
      <c r="K104" s="130">
        <v>0</v>
      </c>
      <c r="L104" s="160"/>
      <c r="M104" s="129" t="s">
        <v>133</v>
      </c>
      <c r="N104" s="161"/>
      <c r="O104" s="130" t="s">
        <v>133</v>
      </c>
      <c r="P104" s="123"/>
      <c r="Q104" s="130"/>
      <c r="R104" s="123"/>
      <c r="S104" s="130"/>
      <c r="T104" s="130"/>
      <c r="U104" s="126">
        <v>17</v>
      </c>
      <c r="V104" s="130"/>
    </row>
    <row r="105" spans="1:22" ht="16">
      <c r="A105" s="122"/>
      <c r="B105" s="109"/>
      <c r="C105" s="109"/>
      <c r="D105" s="160"/>
      <c r="E105" s="129"/>
      <c r="F105" s="161"/>
      <c r="G105" s="130"/>
      <c r="H105" s="167"/>
      <c r="I105" s="130">
        <v>142.5</v>
      </c>
      <c r="J105" s="162"/>
      <c r="K105" s="130">
        <v>66.5</v>
      </c>
      <c r="L105" s="160"/>
      <c r="M105" s="129"/>
      <c r="N105" s="161"/>
      <c r="O105" s="130"/>
      <c r="P105" s="123"/>
      <c r="Q105" s="130"/>
      <c r="R105" s="123"/>
      <c r="S105" s="130"/>
      <c r="T105" s="130"/>
      <c r="U105" s="126"/>
      <c r="V105" s="130"/>
    </row>
    <row r="106" spans="1:22" ht="16">
      <c r="A106" s="122"/>
      <c r="B106" s="127" t="s">
        <v>743</v>
      </c>
      <c r="C106" s="109"/>
      <c r="D106" s="160"/>
      <c r="E106" s="129"/>
      <c r="F106" s="161"/>
      <c r="G106" s="130"/>
      <c r="H106" s="167"/>
      <c r="I106" s="130">
        <v>69</v>
      </c>
      <c r="J106" s="162"/>
      <c r="K106" s="130">
        <v>32.200000000000003</v>
      </c>
      <c r="L106" s="160"/>
      <c r="M106" s="129"/>
      <c r="N106" s="161"/>
      <c r="O106" s="130"/>
      <c r="P106" s="123"/>
      <c r="Q106" s="130"/>
      <c r="R106" s="123"/>
      <c r="S106" s="130"/>
      <c r="T106" s="130"/>
      <c r="U106" s="126"/>
      <c r="V106" s="130"/>
    </row>
    <row r="107" spans="1:22" ht="16">
      <c r="A107" s="122"/>
      <c r="B107" s="109" t="s">
        <v>629</v>
      </c>
      <c r="C107" s="109"/>
      <c r="D107" s="160"/>
      <c r="E107" s="129">
        <v>120</v>
      </c>
      <c r="F107" s="161"/>
      <c r="G107" s="130">
        <v>26.4</v>
      </c>
      <c r="H107" s="167"/>
      <c r="I107" s="130">
        <v>0</v>
      </c>
      <c r="J107" s="162"/>
      <c r="K107" s="130">
        <v>0</v>
      </c>
      <c r="L107" s="160"/>
      <c r="M107" s="129">
        <v>5800</v>
      </c>
      <c r="N107" s="161"/>
      <c r="O107" s="130">
        <v>1276</v>
      </c>
      <c r="P107" s="123"/>
      <c r="Q107" s="130"/>
      <c r="R107" s="123"/>
      <c r="S107" s="130"/>
      <c r="T107" s="130"/>
      <c r="U107" s="126" t="s">
        <v>630</v>
      </c>
      <c r="V107" s="130"/>
    </row>
    <row r="108" spans="1:22" ht="16">
      <c r="A108" s="122"/>
      <c r="B108" s="109"/>
      <c r="C108" s="109"/>
      <c r="D108" s="160"/>
      <c r="E108" s="129"/>
      <c r="F108" s="161"/>
      <c r="G108" s="130"/>
      <c r="H108" s="167"/>
      <c r="I108" s="130">
        <v>0</v>
      </c>
      <c r="J108" s="162"/>
      <c r="K108" s="130">
        <v>0</v>
      </c>
      <c r="L108" s="160"/>
      <c r="M108" s="129"/>
      <c r="N108" s="161"/>
      <c r="O108" s="130"/>
      <c r="P108" s="123"/>
      <c r="Q108" s="130"/>
      <c r="R108" s="123"/>
      <c r="S108" s="130"/>
      <c r="T108" s="130"/>
      <c r="U108" s="126"/>
      <c r="V108" s="130"/>
    </row>
    <row r="109" spans="1:22" ht="16">
      <c r="A109" s="122"/>
      <c r="B109" s="127" t="s">
        <v>744</v>
      </c>
      <c r="C109" s="109"/>
      <c r="D109" s="160"/>
      <c r="E109" s="129"/>
      <c r="F109" s="161"/>
      <c r="G109" s="130"/>
      <c r="H109" s="167"/>
      <c r="I109" s="130">
        <v>0</v>
      </c>
      <c r="J109" s="162"/>
      <c r="K109" s="130">
        <v>0</v>
      </c>
      <c r="L109" s="160"/>
      <c r="M109" s="129"/>
      <c r="N109" s="161"/>
      <c r="O109" s="130"/>
      <c r="P109" s="123"/>
      <c r="Q109" s="130"/>
      <c r="R109" s="123"/>
      <c r="S109" s="130"/>
      <c r="T109" s="130"/>
      <c r="U109" s="126"/>
      <c r="V109" s="130"/>
    </row>
    <row r="110" spans="1:22" ht="16">
      <c r="A110" s="122"/>
      <c r="B110" s="109" t="s">
        <v>631</v>
      </c>
      <c r="C110" s="109"/>
      <c r="D110" s="160"/>
      <c r="E110" s="129">
        <v>1200</v>
      </c>
      <c r="F110" s="161"/>
      <c r="G110" s="130">
        <v>264</v>
      </c>
      <c r="H110" s="167"/>
      <c r="I110" s="130">
        <v>69</v>
      </c>
      <c r="J110" s="162"/>
      <c r="K110" s="130">
        <v>32.200000000000003</v>
      </c>
      <c r="L110" s="160"/>
      <c r="M110" s="129" t="s">
        <v>133</v>
      </c>
      <c r="N110" s="161"/>
      <c r="O110" s="130" t="s">
        <v>133</v>
      </c>
      <c r="P110" s="123"/>
      <c r="Q110" s="130"/>
      <c r="R110" s="123"/>
      <c r="S110" s="130"/>
      <c r="T110" s="130"/>
      <c r="U110" s="126">
        <v>20</v>
      </c>
      <c r="V110" s="130"/>
    </row>
    <row r="111" spans="1:22" ht="16">
      <c r="A111" s="122"/>
      <c r="B111" s="109" t="s">
        <v>745</v>
      </c>
      <c r="C111" s="109"/>
      <c r="D111" s="160"/>
      <c r="E111" s="129">
        <v>5800</v>
      </c>
      <c r="F111" s="161"/>
      <c r="G111" s="130">
        <v>1276</v>
      </c>
      <c r="H111" s="167"/>
      <c r="I111" s="130">
        <v>34.5</v>
      </c>
      <c r="J111" s="162"/>
      <c r="K111" s="130">
        <v>16.100000000000001</v>
      </c>
      <c r="L111" s="160"/>
      <c r="M111" s="129" t="s">
        <v>133</v>
      </c>
      <c r="N111" s="161"/>
      <c r="O111" s="130" t="s">
        <v>133</v>
      </c>
      <c r="P111" s="123"/>
      <c r="Q111" s="130"/>
      <c r="R111" s="123"/>
      <c r="S111" s="130"/>
      <c r="T111" s="130"/>
      <c r="U111" s="126"/>
      <c r="V111" s="130"/>
    </row>
    <row r="112" spans="1:22" ht="16">
      <c r="A112" s="122"/>
      <c r="B112" s="109" t="s">
        <v>632</v>
      </c>
      <c r="C112" s="109"/>
      <c r="D112" s="160"/>
      <c r="E112" s="129" t="s">
        <v>133</v>
      </c>
      <c r="F112" s="161"/>
      <c r="G112" s="130" t="s">
        <v>133</v>
      </c>
      <c r="H112" s="167"/>
      <c r="I112" s="130" t="e">
        <v>#REF!</v>
      </c>
      <c r="J112" s="162"/>
      <c r="K112" s="130" t="e">
        <v>#REF!</v>
      </c>
      <c r="L112" s="160"/>
      <c r="M112" s="129">
        <v>5800</v>
      </c>
      <c r="N112" s="161"/>
      <c r="O112" s="130">
        <v>1276</v>
      </c>
      <c r="P112" s="123"/>
      <c r="Q112" s="130"/>
      <c r="R112" s="123"/>
      <c r="S112" s="130"/>
      <c r="T112" s="130"/>
      <c r="U112" s="126">
        <v>21</v>
      </c>
      <c r="V112" s="130"/>
    </row>
    <row r="113" spans="1:22" ht="16">
      <c r="A113" s="122"/>
      <c r="B113" s="109"/>
      <c r="C113" s="109"/>
      <c r="D113" s="160"/>
      <c r="E113" s="129"/>
      <c r="F113" s="161"/>
      <c r="G113" s="130"/>
      <c r="H113" s="167"/>
      <c r="I113" s="130"/>
      <c r="J113" s="162"/>
      <c r="K113" s="130"/>
      <c r="L113" s="160"/>
      <c r="M113" s="129"/>
      <c r="N113" s="161"/>
      <c r="O113" s="130"/>
      <c r="P113" s="123"/>
      <c r="Q113" s="130"/>
      <c r="R113" s="123"/>
      <c r="S113" s="130"/>
      <c r="T113" s="130"/>
      <c r="U113" s="130"/>
      <c r="V113" s="130"/>
    </row>
    <row r="114" spans="1:22" ht="16">
      <c r="A114" s="122"/>
      <c r="B114" s="109"/>
      <c r="C114" s="109"/>
      <c r="D114" s="160"/>
      <c r="E114" s="129"/>
      <c r="F114" s="161"/>
      <c r="G114" s="130"/>
      <c r="H114" s="167"/>
      <c r="I114" s="130"/>
      <c r="J114" s="162"/>
      <c r="K114" s="130"/>
      <c r="L114" s="160"/>
      <c r="M114" s="129"/>
      <c r="N114" s="161"/>
      <c r="O114" s="130"/>
      <c r="P114" s="123"/>
      <c r="Q114" s="130"/>
      <c r="R114" s="123"/>
      <c r="S114" s="130"/>
      <c r="T114" s="130"/>
      <c r="U114" s="130" t="s">
        <v>566</v>
      </c>
      <c r="V114" s="130"/>
    </row>
    <row r="115" spans="1:22" ht="16">
      <c r="A115" s="122"/>
      <c r="B115" s="109"/>
      <c r="C115" s="109"/>
      <c r="D115" s="160"/>
      <c r="E115" s="129"/>
      <c r="F115" s="161"/>
      <c r="G115" s="130"/>
      <c r="H115" s="167"/>
      <c r="I115" s="130"/>
      <c r="J115" s="162"/>
      <c r="K115" s="130"/>
      <c r="L115" s="160"/>
      <c r="M115" s="129"/>
      <c r="N115" s="161"/>
      <c r="O115" s="130"/>
      <c r="P115" s="123"/>
      <c r="Q115" s="130"/>
      <c r="R115" s="123"/>
      <c r="S115" s="130"/>
      <c r="T115" s="130"/>
      <c r="U115" s="130"/>
      <c r="V115" s="130"/>
    </row>
    <row r="116" spans="1:22" ht="16">
      <c r="A116" s="122"/>
      <c r="B116" s="109"/>
      <c r="C116" s="109"/>
      <c r="D116" s="160"/>
      <c r="E116" s="129"/>
      <c r="F116" s="161"/>
      <c r="G116" s="130"/>
      <c r="H116" s="167"/>
      <c r="I116" s="130"/>
      <c r="J116" s="162"/>
      <c r="K116" s="130"/>
      <c r="L116" s="160"/>
      <c r="M116" s="129"/>
      <c r="N116" s="161"/>
      <c r="O116" s="130"/>
      <c r="P116" s="123"/>
      <c r="Q116" s="130"/>
      <c r="R116" s="123"/>
      <c r="S116" s="130"/>
      <c r="T116" s="130"/>
      <c r="U116" s="130"/>
      <c r="V116" s="130"/>
    </row>
    <row r="117" spans="1:22" ht="16">
      <c r="A117" s="122"/>
      <c r="B117" s="109"/>
      <c r="C117" s="109"/>
      <c r="D117" s="160"/>
      <c r="E117" s="129" t="s">
        <v>566</v>
      </c>
      <c r="F117" s="161"/>
      <c r="G117" s="130"/>
      <c r="H117" s="167"/>
      <c r="I117" s="130"/>
      <c r="J117" s="162"/>
      <c r="K117" s="130"/>
      <c r="L117" s="160"/>
      <c r="M117" s="129"/>
      <c r="N117" s="161"/>
      <c r="O117" s="130"/>
      <c r="P117" s="123"/>
      <c r="Q117" s="130"/>
      <c r="R117" s="123"/>
      <c r="S117" s="130"/>
      <c r="T117" s="130"/>
      <c r="U117" s="130"/>
      <c r="V117" s="130"/>
    </row>
    <row r="118" spans="1:22" ht="16">
      <c r="A118" s="122"/>
      <c r="B118" s="109" t="s">
        <v>566</v>
      </c>
      <c r="C118" s="109"/>
      <c r="D118" s="160"/>
      <c r="E118" s="129"/>
      <c r="F118" s="161"/>
      <c r="G118" s="130"/>
      <c r="H118" s="167"/>
      <c r="I118" s="130"/>
      <c r="J118" s="162"/>
      <c r="K118" s="130"/>
      <c r="L118" s="160"/>
      <c r="M118" s="129"/>
      <c r="N118" s="161"/>
      <c r="O118" s="130"/>
      <c r="P118" s="123"/>
      <c r="Q118" s="130"/>
      <c r="R118" s="123"/>
      <c r="S118" s="130"/>
      <c r="T118" s="130"/>
      <c r="U118" s="130"/>
      <c r="V118" s="130"/>
    </row>
    <row r="119" spans="1:22" ht="16">
      <c r="A119" s="122"/>
      <c r="B119" s="109"/>
      <c r="C119" s="109"/>
      <c r="D119" s="160"/>
      <c r="E119" s="129"/>
      <c r="F119" s="161"/>
      <c r="G119" s="130"/>
      <c r="H119" s="167"/>
      <c r="I119" s="130"/>
      <c r="J119" s="162"/>
      <c r="K119" s="130"/>
      <c r="L119" s="160"/>
      <c r="M119" s="129"/>
      <c r="N119" s="161"/>
      <c r="O119" s="130"/>
      <c r="P119" s="123"/>
      <c r="Q119" s="130"/>
      <c r="R119" s="123"/>
      <c r="S119" s="130"/>
      <c r="T119" s="130"/>
      <c r="U119" s="130"/>
      <c r="V119" s="130"/>
    </row>
    <row r="120" spans="1:22" ht="16">
      <c r="A120" s="122"/>
      <c r="B120" s="168" t="s">
        <v>633</v>
      </c>
      <c r="C120" s="337"/>
      <c r="D120" s="337"/>
      <c r="E120" s="337"/>
      <c r="F120" s="337"/>
      <c r="G120" s="337"/>
      <c r="H120" s="337"/>
      <c r="I120" s="337"/>
      <c r="J120" s="337"/>
      <c r="K120" s="337"/>
      <c r="L120" s="337"/>
      <c r="M120" s="337"/>
      <c r="N120" s="337"/>
      <c r="O120" s="337"/>
      <c r="P120" s="129"/>
      <c r="Q120" s="129"/>
      <c r="R120" s="129"/>
      <c r="S120" s="129"/>
      <c r="T120" s="129"/>
      <c r="U120" s="107" t="s">
        <v>683</v>
      </c>
      <c r="V120" s="129"/>
    </row>
    <row r="121" spans="1:22" ht="15.75" customHeight="1" thickBot="1">
      <c r="A121" s="169"/>
      <c r="B121" s="854" t="s">
        <v>634</v>
      </c>
      <c r="C121" s="854"/>
      <c r="D121" s="854"/>
      <c r="E121" s="854"/>
      <c r="F121" s="854"/>
      <c r="G121" s="854"/>
      <c r="H121" s="854"/>
      <c r="I121" s="854"/>
      <c r="J121" s="854"/>
      <c r="K121" s="854"/>
      <c r="L121" s="854"/>
      <c r="M121" s="854"/>
      <c r="N121" s="854"/>
      <c r="O121" s="854"/>
      <c r="P121" s="854"/>
      <c r="Q121" s="854"/>
      <c r="R121" s="854"/>
      <c r="S121" s="854"/>
      <c r="T121" s="854"/>
      <c r="U121" s="854"/>
      <c r="V121" s="315"/>
    </row>
    <row r="122" spans="1:22" ht="57" thickBot="1">
      <c r="A122" s="122"/>
      <c r="B122" s="109"/>
      <c r="C122" s="109"/>
      <c r="D122" s="128"/>
      <c r="E122" s="116" t="s">
        <v>648</v>
      </c>
      <c r="F122" s="115"/>
      <c r="G122" s="117" t="s">
        <v>649</v>
      </c>
      <c r="H122" s="118"/>
      <c r="I122" s="117" t="s">
        <v>650</v>
      </c>
      <c r="J122" s="115"/>
      <c r="K122" s="117" t="s">
        <v>651</v>
      </c>
      <c r="L122" s="115"/>
      <c r="M122" s="116" t="s">
        <v>613</v>
      </c>
      <c r="N122" s="119"/>
      <c r="O122" s="117" t="s">
        <v>649</v>
      </c>
      <c r="P122" s="123"/>
      <c r="Q122" s="130"/>
      <c r="R122" s="123"/>
      <c r="S122" s="130"/>
      <c r="T122" s="130"/>
      <c r="U122" s="117" t="s">
        <v>614</v>
      </c>
      <c r="V122" s="130"/>
    </row>
    <row r="123" spans="1:22" ht="16">
      <c r="A123" s="122"/>
      <c r="B123" s="156" t="s">
        <v>635</v>
      </c>
      <c r="C123" s="157"/>
      <c r="D123" s="128"/>
      <c r="E123" s="129"/>
      <c r="F123" s="128"/>
      <c r="G123" s="130"/>
      <c r="H123" s="131"/>
      <c r="I123" s="130"/>
      <c r="J123" s="128"/>
      <c r="K123" s="130"/>
      <c r="L123" s="128"/>
      <c r="M123" s="129"/>
      <c r="N123" s="123"/>
      <c r="O123" s="130"/>
      <c r="P123" s="123"/>
      <c r="Q123" s="130"/>
      <c r="R123" s="123"/>
      <c r="S123" s="130"/>
      <c r="T123" s="130"/>
      <c r="U123" s="126" t="s">
        <v>566</v>
      </c>
      <c r="V123" s="130"/>
    </row>
    <row r="124" spans="1:22" ht="16">
      <c r="A124" s="122"/>
      <c r="B124" s="109" t="s">
        <v>746</v>
      </c>
      <c r="C124" s="109"/>
      <c r="D124" s="128"/>
      <c r="E124" s="129">
        <v>120</v>
      </c>
      <c r="F124" s="128"/>
      <c r="G124" s="130">
        <v>26.4</v>
      </c>
      <c r="H124" s="131"/>
      <c r="I124" s="130">
        <v>180</v>
      </c>
      <c r="J124" s="128"/>
      <c r="K124" s="130">
        <v>84</v>
      </c>
      <c r="L124" s="128"/>
      <c r="M124" s="129">
        <v>5800</v>
      </c>
      <c r="N124" s="123"/>
      <c r="O124" s="130">
        <v>1276</v>
      </c>
      <c r="P124" s="123"/>
      <c r="Q124" s="130">
        <v>870</v>
      </c>
      <c r="R124" s="123"/>
      <c r="S124" s="130">
        <v>406</v>
      </c>
      <c r="T124" s="130"/>
      <c r="U124" s="132" t="s">
        <v>636</v>
      </c>
      <c r="V124" s="130"/>
    </row>
    <row r="125" spans="1:22" ht="16">
      <c r="A125" s="122"/>
      <c r="B125" s="104" t="s">
        <v>747</v>
      </c>
      <c r="C125" s="109"/>
      <c r="D125" s="128"/>
      <c r="E125" s="129">
        <v>200</v>
      </c>
      <c r="F125" s="128"/>
      <c r="G125" s="130">
        <v>44</v>
      </c>
      <c r="H125" s="131"/>
      <c r="I125" s="130" t="e">
        <v>#REF!</v>
      </c>
      <c r="J125" s="128"/>
      <c r="K125" s="130" t="e">
        <v>#REF!</v>
      </c>
      <c r="L125" s="128"/>
      <c r="M125" s="129">
        <v>10000</v>
      </c>
      <c r="N125" s="123"/>
      <c r="O125" s="130">
        <v>2200</v>
      </c>
      <c r="P125" s="123"/>
      <c r="Q125" s="130"/>
      <c r="R125" s="123"/>
      <c r="S125" s="130"/>
      <c r="T125" s="130"/>
      <c r="U125" s="132" t="s">
        <v>637</v>
      </c>
      <c r="V125" s="130"/>
    </row>
    <row r="126" spans="1:22" ht="16">
      <c r="A126" s="122"/>
      <c r="B126" s="104" t="s">
        <v>748</v>
      </c>
      <c r="C126" s="109" t="s">
        <v>566</v>
      </c>
      <c r="D126" s="128"/>
      <c r="E126" s="129">
        <v>500</v>
      </c>
      <c r="F126" s="128"/>
      <c r="G126" s="130">
        <v>110</v>
      </c>
      <c r="H126" s="131"/>
      <c r="I126" s="130" t="e">
        <v>#REF!</v>
      </c>
      <c r="J126" s="128"/>
      <c r="K126" s="130" t="e">
        <v>#REF!</v>
      </c>
      <c r="L126" s="128"/>
      <c r="M126" s="129">
        <v>25000</v>
      </c>
      <c r="N126" s="123"/>
      <c r="O126" s="130">
        <v>5500</v>
      </c>
      <c r="P126" s="123"/>
      <c r="Q126" s="130"/>
      <c r="R126" s="123"/>
      <c r="S126" s="130"/>
      <c r="T126" s="130"/>
      <c r="U126" s="132" t="s">
        <v>638</v>
      </c>
      <c r="V126" s="130"/>
    </row>
    <row r="127" spans="1:22" ht="16">
      <c r="A127" s="122"/>
      <c r="B127" s="104" t="s">
        <v>749</v>
      </c>
      <c r="C127" s="109"/>
      <c r="D127" s="128"/>
      <c r="E127" s="129">
        <v>900</v>
      </c>
      <c r="F127" s="128"/>
      <c r="G127" s="130">
        <v>198</v>
      </c>
      <c r="H127" s="131"/>
      <c r="I127" s="130" t="e">
        <v>#REF!</v>
      </c>
      <c r="J127" s="128"/>
      <c r="K127" s="130" t="e">
        <v>#REF!</v>
      </c>
      <c r="L127" s="128"/>
      <c r="M127" s="129">
        <v>45000</v>
      </c>
      <c r="N127" s="123"/>
      <c r="O127" s="130">
        <v>9900</v>
      </c>
      <c r="P127" s="123"/>
      <c r="Q127" s="130"/>
      <c r="R127" s="123"/>
      <c r="S127" s="130"/>
      <c r="T127" s="130"/>
      <c r="U127" s="132" t="s">
        <v>638</v>
      </c>
      <c r="V127" s="130"/>
    </row>
    <row r="128" spans="1:22" ht="16">
      <c r="A128" s="122" t="s">
        <v>566</v>
      </c>
      <c r="B128" s="104" t="s">
        <v>750</v>
      </c>
      <c r="C128" s="109"/>
      <c r="D128" s="128"/>
      <c r="E128" s="129">
        <v>100</v>
      </c>
      <c r="F128" s="128"/>
      <c r="G128" s="130">
        <v>22</v>
      </c>
      <c r="H128" s="131"/>
      <c r="I128" s="130" t="e">
        <v>#REF!</v>
      </c>
      <c r="J128" s="128"/>
      <c r="K128" s="130" t="e">
        <v>#REF!</v>
      </c>
      <c r="L128" s="128"/>
      <c r="M128" s="129">
        <v>5000</v>
      </c>
      <c r="N128" s="123"/>
      <c r="O128" s="130">
        <v>1100</v>
      </c>
      <c r="P128" s="123"/>
      <c r="Q128" s="130"/>
      <c r="R128" s="123"/>
      <c r="S128" s="130"/>
      <c r="T128" s="130"/>
      <c r="U128" s="132">
        <v>1</v>
      </c>
      <c r="V128" s="130"/>
    </row>
    <row r="129" spans="1:22" ht="16">
      <c r="A129" s="122"/>
      <c r="B129" s="104" t="s">
        <v>751</v>
      </c>
      <c r="C129" s="109" t="s">
        <v>566</v>
      </c>
      <c r="D129" s="128"/>
      <c r="E129" s="129">
        <v>700</v>
      </c>
      <c r="F129" s="128"/>
      <c r="G129" s="130">
        <v>154</v>
      </c>
      <c r="H129" s="131"/>
      <c r="I129" s="130">
        <v>69</v>
      </c>
      <c r="J129" s="128"/>
      <c r="K129" s="130">
        <v>32.200000000000003</v>
      </c>
      <c r="L129" s="128"/>
      <c r="M129" s="129">
        <v>35000</v>
      </c>
      <c r="N129" s="123"/>
      <c r="O129" s="130">
        <v>7700</v>
      </c>
      <c r="P129" s="123"/>
      <c r="Q129" s="130">
        <v>5250</v>
      </c>
      <c r="R129" s="123"/>
      <c r="S129" s="130">
        <v>2450</v>
      </c>
      <c r="T129" s="130"/>
      <c r="U129" s="132" t="s">
        <v>639</v>
      </c>
      <c r="V129" s="130"/>
    </row>
    <row r="130" spans="1:22" ht="16">
      <c r="A130" s="122" t="s">
        <v>566</v>
      </c>
      <c r="B130" s="104" t="s">
        <v>752</v>
      </c>
      <c r="C130" s="109"/>
      <c r="D130" s="128"/>
      <c r="E130" s="129">
        <v>100</v>
      </c>
      <c r="F130" s="128"/>
      <c r="G130" s="130">
        <v>22</v>
      </c>
      <c r="H130" s="131"/>
      <c r="I130" s="130">
        <v>0</v>
      </c>
      <c r="J130" s="128"/>
      <c r="K130" s="130">
        <v>0</v>
      </c>
      <c r="L130" s="128"/>
      <c r="M130" s="129">
        <v>5000</v>
      </c>
      <c r="N130" s="123"/>
      <c r="O130" s="130">
        <v>1100</v>
      </c>
      <c r="P130" s="123"/>
      <c r="Q130" s="130"/>
      <c r="R130" s="123"/>
      <c r="S130" s="130"/>
      <c r="T130" s="130"/>
      <c r="U130" s="132">
        <v>1</v>
      </c>
      <c r="V130" s="130"/>
    </row>
    <row r="131" spans="1:22" ht="16">
      <c r="A131" s="122"/>
      <c r="B131" s="104" t="s">
        <v>753</v>
      </c>
      <c r="C131" s="109" t="s">
        <v>566</v>
      </c>
      <c r="D131" s="128"/>
      <c r="E131" s="129">
        <v>16</v>
      </c>
      <c r="F131" s="128"/>
      <c r="G131" s="130">
        <v>3.52</v>
      </c>
      <c r="H131" s="131"/>
      <c r="I131" s="130">
        <v>0</v>
      </c>
      <c r="J131" s="128"/>
      <c r="K131" s="130">
        <v>0</v>
      </c>
      <c r="L131" s="128"/>
      <c r="M131" s="129">
        <v>800</v>
      </c>
      <c r="N131" s="123"/>
      <c r="O131" s="130">
        <v>176</v>
      </c>
      <c r="P131" s="123"/>
      <c r="Q131" s="130"/>
      <c r="R131" s="123"/>
      <c r="S131" s="130"/>
      <c r="T131" s="130"/>
      <c r="U131" s="132">
        <v>1</v>
      </c>
      <c r="V131" s="130"/>
    </row>
    <row r="132" spans="1:22" ht="16">
      <c r="A132" s="122"/>
      <c r="B132" s="104" t="s">
        <v>754</v>
      </c>
      <c r="C132" s="109" t="s">
        <v>566</v>
      </c>
      <c r="D132" s="128"/>
      <c r="E132" s="129">
        <v>230</v>
      </c>
      <c r="F132" s="128"/>
      <c r="G132" s="130">
        <v>50.6</v>
      </c>
      <c r="H132" s="131"/>
      <c r="I132" s="130" t="e">
        <v>#REF!</v>
      </c>
      <c r="J132" s="128"/>
      <c r="K132" s="130" t="e">
        <v>#REF!</v>
      </c>
      <c r="L132" s="128"/>
      <c r="M132" s="129">
        <v>11500</v>
      </c>
      <c r="N132" s="123"/>
      <c r="O132" s="130">
        <v>2530</v>
      </c>
      <c r="P132" s="123"/>
      <c r="Q132" s="130"/>
      <c r="R132" s="123"/>
      <c r="S132" s="130"/>
      <c r="T132" s="130"/>
      <c r="U132" s="132">
        <v>1</v>
      </c>
      <c r="V132" s="130"/>
    </row>
    <row r="133" spans="1:22" ht="16">
      <c r="A133" s="122"/>
      <c r="B133" s="104" t="s">
        <v>755</v>
      </c>
      <c r="C133" s="109" t="s">
        <v>566</v>
      </c>
      <c r="D133" s="128"/>
      <c r="E133" s="129">
        <v>500</v>
      </c>
      <c r="F133" s="128"/>
      <c r="G133" s="130">
        <v>110</v>
      </c>
      <c r="H133" s="131"/>
      <c r="I133" s="130" t="e">
        <v>#REF!</v>
      </c>
      <c r="J133" s="128"/>
      <c r="K133" s="130" t="e">
        <v>#REF!</v>
      </c>
      <c r="L133" s="128"/>
      <c r="M133" s="129">
        <v>25000</v>
      </c>
      <c r="N133" s="123"/>
      <c r="O133" s="130">
        <v>5500</v>
      </c>
      <c r="P133" s="123"/>
      <c r="Q133" s="130"/>
      <c r="R133" s="123"/>
      <c r="S133" s="130"/>
      <c r="T133" s="130"/>
      <c r="U133" s="132">
        <v>1</v>
      </c>
      <c r="V133" s="130"/>
    </row>
    <row r="134" spans="1:22" ht="16">
      <c r="A134" s="122"/>
      <c r="B134" s="495" t="s">
        <v>756</v>
      </c>
      <c r="C134" s="495"/>
      <c r="D134" s="170"/>
      <c r="E134" s="129">
        <v>1200</v>
      </c>
      <c r="F134" s="170"/>
      <c r="G134" s="130">
        <v>264</v>
      </c>
      <c r="H134" s="131"/>
      <c r="I134" s="130" t="e">
        <v>#REF!</v>
      </c>
      <c r="J134" s="170"/>
      <c r="K134" s="130" t="e">
        <v>#REF!</v>
      </c>
      <c r="L134" s="170"/>
      <c r="M134" s="129">
        <v>60000</v>
      </c>
      <c r="N134" s="171"/>
      <c r="O134" s="130">
        <v>13200</v>
      </c>
      <c r="P134" s="171"/>
      <c r="Q134" s="130">
        <v>9000</v>
      </c>
      <c r="R134" s="171"/>
      <c r="S134" s="130">
        <v>4200</v>
      </c>
      <c r="T134" s="130"/>
      <c r="U134" s="132" t="s">
        <v>640</v>
      </c>
      <c r="V134" s="130"/>
    </row>
    <row r="135" spans="1:22" ht="16">
      <c r="A135" s="122"/>
      <c r="B135" s="495" t="s">
        <v>757</v>
      </c>
      <c r="C135" s="495"/>
      <c r="D135" s="170"/>
      <c r="E135" s="129">
        <v>1400</v>
      </c>
      <c r="F135" s="170"/>
      <c r="G135" s="130">
        <v>308</v>
      </c>
      <c r="H135" s="131"/>
      <c r="I135" s="130" t="e">
        <v>#REF!</v>
      </c>
      <c r="J135" s="170"/>
      <c r="K135" s="130" t="e">
        <v>#REF!</v>
      </c>
      <c r="L135" s="170"/>
      <c r="M135" s="129">
        <v>70000</v>
      </c>
      <c r="N135" s="171"/>
      <c r="O135" s="130">
        <v>15400</v>
      </c>
      <c r="P135" s="171"/>
      <c r="Q135" s="130">
        <v>10500</v>
      </c>
      <c r="R135" s="171"/>
      <c r="S135" s="130">
        <v>4900</v>
      </c>
      <c r="T135" s="130"/>
      <c r="U135" s="132" t="s">
        <v>640</v>
      </c>
      <c r="V135" s="130"/>
    </row>
    <row r="136" spans="1:22" ht="16">
      <c r="A136" s="122"/>
      <c r="B136" s="495" t="s">
        <v>758</v>
      </c>
      <c r="C136" s="495"/>
      <c r="D136" s="170"/>
      <c r="E136" s="129">
        <v>1500</v>
      </c>
      <c r="F136" s="170"/>
      <c r="G136" s="130">
        <v>330</v>
      </c>
      <c r="H136" s="131"/>
      <c r="I136" s="130">
        <v>300</v>
      </c>
      <c r="J136" s="170"/>
      <c r="K136" s="130">
        <v>140</v>
      </c>
      <c r="L136" s="170"/>
      <c r="M136" s="129">
        <v>75000</v>
      </c>
      <c r="N136" s="171"/>
      <c r="O136" s="130">
        <v>16500</v>
      </c>
      <c r="P136" s="129"/>
      <c r="Q136" s="129">
        <v>8625</v>
      </c>
      <c r="R136" s="129"/>
      <c r="S136" s="129">
        <v>4025</v>
      </c>
      <c r="T136" s="129"/>
      <c r="U136" s="132" t="s">
        <v>640</v>
      </c>
      <c r="V136" s="129"/>
    </row>
    <row r="137" spans="1:22" ht="16">
      <c r="A137" s="122"/>
      <c r="B137" s="495" t="s">
        <v>759</v>
      </c>
      <c r="C137" s="172"/>
      <c r="D137" s="170"/>
      <c r="E137" s="129">
        <v>1150</v>
      </c>
      <c r="F137" s="170"/>
      <c r="G137" s="130">
        <v>253</v>
      </c>
      <c r="H137" s="131"/>
      <c r="I137" s="130">
        <v>90</v>
      </c>
      <c r="J137" s="170"/>
      <c r="K137" s="130">
        <v>42</v>
      </c>
      <c r="L137" s="170"/>
      <c r="M137" s="129">
        <v>57500</v>
      </c>
      <c r="N137" s="171"/>
      <c r="O137" s="130">
        <v>12650</v>
      </c>
      <c r="P137" s="129"/>
      <c r="Q137" s="129"/>
      <c r="R137" s="129"/>
      <c r="S137" s="129"/>
      <c r="T137" s="129"/>
      <c r="U137" s="132">
        <v>1</v>
      </c>
      <c r="V137" s="129"/>
    </row>
    <row r="138" spans="1:22" ht="16">
      <c r="A138" s="122" t="s">
        <v>566</v>
      </c>
      <c r="B138" s="495" t="s">
        <v>760</v>
      </c>
      <c r="C138" s="172"/>
      <c r="D138" s="170"/>
      <c r="E138" s="129">
        <v>600</v>
      </c>
      <c r="F138" s="170"/>
      <c r="G138" s="130">
        <v>132</v>
      </c>
      <c r="H138" s="131"/>
      <c r="I138" s="130">
        <v>52.5</v>
      </c>
      <c r="J138" s="170"/>
      <c r="K138" s="130">
        <v>24.5</v>
      </c>
      <c r="L138" s="170"/>
      <c r="M138" s="129">
        <v>30000</v>
      </c>
      <c r="N138" s="171"/>
      <c r="O138" s="130">
        <v>6600</v>
      </c>
      <c r="P138" s="129"/>
      <c r="Q138" s="129"/>
      <c r="R138" s="129"/>
      <c r="S138" s="129"/>
      <c r="T138" s="129"/>
      <c r="U138" s="132">
        <v>1</v>
      </c>
      <c r="V138" s="129"/>
    </row>
    <row r="139" spans="1:22" ht="16">
      <c r="A139" s="122"/>
      <c r="B139" s="855" t="s">
        <v>761</v>
      </c>
      <c r="C139" s="855"/>
      <c r="D139" s="170"/>
      <c r="E139" s="129">
        <v>1200</v>
      </c>
      <c r="F139" s="170"/>
      <c r="G139" s="130">
        <v>264</v>
      </c>
      <c r="H139" s="131"/>
      <c r="I139" s="130" t="e">
        <v>#REF!</v>
      </c>
      <c r="J139" s="170"/>
      <c r="K139" s="130" t="e">
        <v>#REF!</v>
      </c>
      <c r="L139" s="170"/>
      <c r="M139" s="129">
        <v>60000</v>
      </c>
      <c r="N139" s="171"/>
      <c r="O139" s="130">
        <v>13200</v>
      </c>
      <c r="P139" s="129"/>
      <c r="Q139" s="129"/>
      <c r="R139" s="129"/>
      <c r="S139" s="129"/>
      <c r="T139" s="129"/>
      <c r="U139" s="132">
        <v>1</v>
      </c>
      <c r="V139" s="129"/>
    </row>
    <row r="140" spans="1:22" ht="16">
      <c r="A140" s="122"/>
      <c r="B140" s="495" t="s">
        <v>762</v>
      </c>
      <c r="C140" s="495"/>
      <c r="D140" s="170"/>
      <c r="E140" s="129">
        <v>460</v>
      </c>
      <c r="F140" s="170"/>
      <c r="G140" s="130">
        <v>101.2</v>
      </c>
      <c r="H140" s="131"/>
      <c r="I140" s="130" t="e">
        <v>#REF!</v>
      </c>
      <c r="J140" s="170"/>
      <c r="K140" s="130" t="e">
        <v>#REF!</v>
      </c>
      <c r="L140" s="170"/>
      <c r="M140" s="129">
        <v>23000</v>
      </c>
      <c r="N140" s="171"/>
      <c r="O140" s="130">
        <v>5060</v>
      </c>
      <c r="P140" s="129"/>
      <c r="Q140" s="129"/>
      <c r="R140" s="129"/>
      <c r="S140" s="129"/>
      <c r="T140" s="129"/>
      <c r="U140" s="132">
        <v>1</v>
      </c>
      <c r="V140" s="129"/>
    </row>
    <row r="141" spans="1:22" ht="17" thickBot="1">
      <c r="A141" s="122"/>
      <c r="B141" s="495"/>
      <c r="C141" s="495"/>
      <c r="D141" s="170"/>
      <c r="E141" s="129"/>
      <c r="F141" s="170"/>
      <c r="G141" s="130"/>
      <c r="H141" s="131"/>
      <c r="I141" s="130"/>
      <c r="J141" s="170"/>
      <c r="K141" s="130"/>
      <c r="L141" s="170"/>
      <c r="M141" s="129"/>
      <c r="N141" s="171"/>
      <c r="O141" s="130"/>
      <c r="P141" s="129"/>
      <c r="Q141" s="129"/>
      <c r="R141" s="129"/>
      <c r="S141" s="129"/>
      <c r="T141" s="129"/>
      <c r="U141" s="132"/>
      <c r="V141" s="129"/>
    </row>
    <row r="142" spans="1:22" ht="57" thickBot="1">
      <c r="A142" s="122"/>
      <c r="B142" s="109"/>
      <c r="C142" s="109"/>
      <c r="D142" s="128"/>
      <c r="E142" s="116" t="s">
        <v>648</v>
      </c>
      <c r="F142" s="115"/>
      <c r="G142" s="117" t="s">
        <v>649</v>
      </c>
      <c r="H142" s="118"/>
      <c r="I142" s="117" t="s">
        <v>650</v>
      </c>
      <c r="J142" s="115"/>
      <c r="K142" s="117" t="s">
        <v>651</v>
      </c>
      <c r="L142" s="115"/>
      <c r="M142" s="116" t="s">
        <v>613</v>
      </c>
      <c r="N142" s="119"/>
      <c r="O142" s="117" t="s">
        <v>649</v>
      </c>
      <c r="P142" s="123"/>
      <c r="Q142" s="130"/>
      <c r="R142" s="123"/>
      <c r="S142" s="130"/>
      <c r="T142" s="130"/>
      <c r="U142" s="117" t="s">
        <v>614</v>
      </c>
      <c r="V142" s="130"/>
    </row>
    <row r="143" spans="1:22" ht="16">
      <c r="A143" s="122"/>
      <c r="B143" s="856" t="s">
        <v>1630</v>
      </c>
      <c r="C143" s="856"/>
      <c r="D143" s="128"/>
      <c r="E143" s="129"/>
      <c r="F143" s="128"/>
      <c r="G143" s="130"/>
      <c r="H143" s="131"/>
      <c r="I143" s="130"/>
      <c r="J143" s="128"/>
      <c r="K143" s="130"/>
      <c r="L143" s="128"/>
      <c r="M143" s="129"/>
      <c r="N143" s="123"/>
      <c r="O143" s="130"/>
      <c r="P143" s="123"/>
      <c r="Q143" s="130"/>
      <c r="R143" s="123"/>
      <c r="S143" s="130"/>
      <c r="T143" s="130"/>
      <c r="U143" s="126" t="s">
        <v>566</v>
      </c>
      <c r="V143" s="130"/>
    </row>
    <row r="144" spans="1:22" ht="16">
      <c r="A144" s="122"/>
      <c r="B144" s="109" t="s">
        <v>1631</v>
      </c>
      <c r="C144" s="109"/>
      <c r="D144" s="128"/>
      <c r="E144" s="129" t="s">
        <v>133</v>
      </c>
      <c r="F144" s="128"/>
      <c r="G144" s="130" t="s">
        <v>133</v>
      </c>
      <c r="H144" s="131"/>
      <c r="I144" s="130">
        <v>180</v>
      </c>
      <c r="J144" s="128"/>
      <c r="K144" s="130">
        <v>84</v>
      </c>
      <c r="L144" s="128"/>
      <c r="M144" s="129">
        <v>47500</v>
      </c>
      <c r="N144" s="123"/>
      <c r="O144" s="130">
        <v>10450</v>
      </c>
      <c r="P144" s="123"/>
      <c r="Q144" s="130">
        <v>5250</v>
      </c>
      <c r="R144" s="123"/>
      <c r="S144" s="130">
        <v>2450</v>
      </c>
      <c r="T144" s="130"/>
      <c r="U144" s="132"/>
      <c r="V144" s="129"/>
    </row>
    <row r="145" spans="1:22" ht="17" thickBot="1">
      <c r="A145" s="122"/>
      <c r="B145" s="109"/>
      <c r="C145" s="109"/>
      <c r="D145" s="128"/>
      <c r="E145" s="129" t="s">
        <v>566</v>
      </c>
      <c r="F145" s="128"/>
      <c r="G145" s="130"/>
      <c r="H145" s="131"/>
      <c r="I145" s="130"/>
      <c r="J145" s="128"/>
      <c r="K145" s="130"/>
      <c r="L145" s="128"/>
      <c r="M145" s="129"/>
      <c r="N145" s="123"/>
      <c r="O145" s="130"/>
      <c r="P145" s="129"/>
      <c r="Q145" s="129"/>
      <c r="R145" s="129"/>
      <c r="S145" s="129"/>
      <c r="T145" s="129"/>
      <c r="U145" s="129"/>
      <c r="V145" s="129"/>
    </row>
    <row r="146" spans="1:22" ht="57" thickBot="1">
      <c r="A146" s="122"/>
      <c r="B146" s="109" t="s">
        <v>566</v>
      </c>
      <c r="C146" s="109"/>
      <c r="D146" s="128"/>
      <c r="E146" s="116" t="s">
        <v>710</v>
      </c>
      <c r="F146" s="115"/>
      <c r="G146" s="117" t="s">
        <v>649</v>
      </c>
      <c r="H146" s="131"/>
      <c r="I146" s="130"/>
      <c r="J146" s="128"/>
      <c r="K146" s="130"/>
      <c r="L146" s="128"/>
      <c r="M146" s="117" t="s">
        <v>711</v>
      </c>
      <c r="N146" s="123"/>
      <c r="O146" s="173"/>
      <c r="P146" s="123"/>
      <c r="Q146" s="130"/>
      <c r="R146" s="123"/>
      <c r="S146" s="130"/>
      <c r="T146" s="130"/>
      <c r="U146" s="117" t="s">
        <v>614</v>
      </c>
      <c r="V146" s="121"/>
    </row>
    <row r="147" spans="1:22" ht="16">
      <c r="A147" s="122"/>
      <c r="B147" s="174" t="s">
        <v>641</v>
      </c>
      <c r="C147" s="174"/>
      <c r="D147" s="128"/>
      <c r="E147" s="129"/>
      <c r="F147" s="128"/>
      <c r="G147" s="130"/>
      <c r="H147" s="131"/>
      <c r="I147" s="130"/>
      <c r="J147" s="128"/>
      <c r="K147" s="130"/>
      <c r="L147" s="128"/>
      <c r="M147" s="129"/>
      <c r="N147" s="123"/>
      <c r="O147" s="130"/>
      <c r="P147" s="129"/>
      <c r="Q147" s="129"/>
      <c r="R147" s="129"/>
      <c r="S147" s="129"/>
      <c r="T147" s="129"/>
      <c r="U147" s="175"/>
      <c r="V147" s="129"/>
    </row>
    <row r="148" spans="1:22" ht="16">
      <c r="A148" s="122"/>
      <c r="B148" s="109" t="s">
        <v>763</v>
      </c>
      <c r="C148" s="109"/>
      <c r="D148" s="128"/>
      <c r="E148" s="129">
        <v>45000</v>
      </c>
      <c r="F148" s="128"/>
      <c r="G148" s="130">
        <v>9900</v>
      </c>
      <c r="H148" s="131"/>
      <c r="I148" s="130" t="e">
        <v>#REF!</v>
      </c>
      <c r="J148" s="128"/>
      <c r="K148" s="130" t="e">
        <v>#REF!</v>
      </c>
      <c r="L148" s="128"/>
      <c r="M148" s="129" t="s">
        <v>241</v>
      </c>
      <c r="N148" s="123"/>
      <c r="O148" s="130"/>
      <c r="P148" s="129"/>
      <c r="Q148" s="129"/>
      <c r="R148" s="129"/>
      <c r="S148" s="129"/>
      <c r="T148" s="129"/>
      <c r="U148" s="175">
        <v>91</v>
      </c>
      <c r="V148" s="129"/>
    </row>
    <row r="149" spans="1:22" ht="16">
      <c r="A149" s="122"/>
      <c r="B149" s="109" t="s">
        <v>764</v>
      </c>
      <c r="C149" s="109"/>
      <c r="D149" s="128"/>
      <c r="E149" s="129">
        <v>100</v>
      </c>
      <c r="F149" s="128"/>
      <c r="G149" s="130">
        <v>22</v>
      </c>
      <c r="H149" s="131"/>
      <c r="I149" s="130" t="e">
        <v>#REF!</v>
      </c>
      <c r="J149" s="128"/>
      <c r="K149" s="130" t="e">
        <v>#REF!</v>
      </c>
      <c r="L149" s="128"/>
      <c r="M149" s="129" t="s">
        <v>642</v>
      </c>
      <c r="N149" s="123"/>
      <c r="O149" s="130"/>
      <c r="P149" s="129"/>
      <c r="Q149" s="129"/>
      <c r="R149" s="129"/>
      <c r="S149" s="129"/>
      <c r="T149" s="129"/>
      <c r="U149" s="175" t="s">
        <v>643</v>
      </c>
      <c r="V149" s="129"/>
    </row>
    <row r="150" spans="1:22" ht="16">
      <c r="A150" s="122"/>
      <c r="B150" s="109"/>
      <c r="C150" s="109"/>
      <c r="D150" s="128"/>
      <c r="E150" s="129">
        <v>50000</v>
      </c>
      <c r="F150" s="128"/>
      <c r="G150" s="130">
        <v>11000</v>
      </c>
      <c r="H150" s="131"/>
      <c r="I150" s="130"/>
      <c r="J150" s="128"/>
      <c r="K150" s="130"/>
      <c r="L150" s="128"/>
      <c r="M150" s="129" t="s">
        <v>644</v>
      </c>
      <c r="N150" s="123"/>
      <c r="O150" s="130"/>
      <c r="P150" s="129"/>
      <c r="Q150" s="129"/>
      <c r="R150" s="129"/>
      <c r="S150" s="129"/>
      <c r="T150" s="129"/>
      <c r="U150" s="175"/>
      <c r="V150" s="129"/>
    </row>
    <row r="151" spans="1:22" ht="17" thickBot="1">
      <c r="A151" s="122"/>
      <c r="B151" s="109"/>
      <c r="C151" s="109"/>
      <c r="D151" s="128"/>
      <c r="E151" s="129"/>
      <c r="F151" s="128"/>
      <c r="G151" s="130"/>
      <c r="H151" s="131"/>
      <c r="I151" s="130"/>
      <c r="J151" s="128"/>
      <c r="K151" s="130"/>
      <c r="L151" s="128"/>
      <c r="M151" s="129"/>
      <c r="N151" s="123"/>
      <c r="O151" s="130"/>
      <c r="P151" s="129"/>
      <c r="Q151" s="129"/>
      <c r="R151" s="129"/>
      <c r="S151" s="129"/>
      <c r="T151" s="129"/>
      <c r="U151" s="175"/>
      <c r="V151" s="129"/>
    </row>
    <row r="152" spans="1:22" ht="57" thickBot="1">
      <c r="A152" s="122"/>
      <c r="B152" s="109"/>
      <c r="C152" s="109"/>
      <c r="D152" s="128"/>
      <c r="E152" s="116" t="s">
        <v>648</v>
      </c>
      <c r="F152" s="115"/>
      <c r="G152" s="117" t="s">
        <v>649</v>
      </c>
      <c r="H152" s="118"/>
      <c r="I152" s="117" t="s">
        <v>650</v>
      </c>
      <c r="J152" s="115"/>
      <c r="K152" s="117" t="s">
        <v>651</v>
      </c>
      <c r="L152" s="115"/>
      <c r="M152" s="116" t="s">
        <v>613</v>
      </c>
      <c r="N152" s="119"/>
      <c r="O152" s="117" t="s">
        <v>649</v>
      </c>
      <c r="P152" s="123"/>
      <c r="Q152" s="130"/>
      <c r="R152" s="123"/>
      <c r="S152" s="130"/>
      <c r="T152" s="130"/>
      <c r="U152" s="117" t="s">
        <v>614</v>
      </c>
      <c r="V152" s="130"/>
    </row>
    <row r="153" spans="1:22" ht="16">
      <c r="A153" s="122" t="s">
        <v>566</v>
      </c>
      <c r="B153" s="857" t="s">
        <v>765</v>
      </c>
      <c r="C153" s="857"/>
      <c r="D153" s="128"/>
      <c r="E153" s="129"/>
      <c r="F153" s="128"/>
      <c r="G153" s="130"/>
      <c r="H153" s="131"/>
      <c r="I153" s="130"/>
      <c r="J153" s="128"/>
      <c r="K153" s="130"/>
      <c r="L153" s="128"/>
      <c r="M153" s="129"/>
      <c r="N153" s="123"/>
      <c r="O153" s="130"/>
      <c r="P153" s="129"/>
      <c r="Q153" s="129"/>
      <c r="R153" s="129"/>
      <c r="S153" s="129"/>
      <c r="T153" s="129"/>
      <c r="U153" s="129"/>
      <c r="V153" s="129"/>
    </row>
    <row r="154" spans="1:22" ht="15.75" customHeight="1">
      <c r="A154" s="122"/>
      <c r="B154" s="855" t="s">
        <v>766</v>
      </c>
      <c r="C154" s="855"/>
      <c r="D154" s="128"/>
      <c r="E154" s="129">
        <v>900</v>
      </c>
      <c r="F154" s="170"/>
      <c r="G154" s="130">
        <v>198</v>
      </c>
      <c r="H154" s="131"/>
      <c r="I154" s="130" t="e">
        <v>#REF!</v>
      </c>
      <c r="J154" s="170"/>
      <c r="K154" s="130" t="e">
        <v>#REF!</v>
      </c>
      <c r="L154" s="170"/>
      <c r="M154" s="129">
        <v>30000</v>
      </c>
      <c r="N154" s="171"/>
      <c r="O154" s="130">
        <v>6600</v>
      </c>
      <c r="P154" s="129"/>
      <c r="Q154" s="129"/>
      <c r="R154" s="129"/>
      <c r="S154" s="129"/>
      <c r="T154" s="129"/>
      <c r="U154" s="132">
        <v>6</v>
      </c>
      <c r="V154" s="129"/>
    </row>
    <row r="155" spans="1:22" ht="16">
      <c r="A155" s="122"/>
      <c r="B155" s="855" t="s">
        <v>767</v>
      </c>
      <c r="C155" s="855"/>
      <c r="D155" s="128"/>
      <c r="E155" s="129" t="s">
        <v>133</v>
      </c>
      <c r="F155" s="170"/>
      <c r="G155" s="130" t="s">
        <v>133</v>
      </c>
      <c r="H155" s="131"/>
      <c r="I155" s="130" t="e">
        <v>#REF!</v>
      </c>
      <c r="J155" s="170"/>
      <c r="K155" s="130" t="e">
        <v>#REF!</v>
      </c>
      <c r="L155" s="170"/>
      <c r="M155" s="129">
        <v>3000</v>
      </c>
      <c r="N155" s="171"/>
      <c r="O155" s="130">
        <v>660</v>
      </c>
      <c r="P155" s="129"/>
      <c r="Q155" s="129"/>
      <c r="R155" s="129"/>
      <c r="S155" s="129"/>
      <c r="T155" s="129"/>
      <c r="U155" s="132"/>
      <c r="V155" s="129"/>
    </row>
    <row r="156" spans="1:22" ht="16">
      <c r="A156" s="122"/>
      <c r="B156" s="855" t="s">
        <v>768</v>
      </c>
      <c r="C156" s="855"/>
      <c r="D156" s="128"/>
      <c r="E156" s="129" t="s">
        <v>133</v>
      </c>
      <c r="F156" s="170"/>
      <c r="G156" s="130" t="s">
        <v>133</v>
      </c>
      <c r="H156" s="131"/>
      <c r="I156" s="130" t="e">
        <v>#REF!</v>
      </c>
      <c r="J156" s="170"/>
      <c r="K156" s="130" t="e">
        <v>#REF!</v>
      </c>
      <c r="L156" s="170"/>
      <c r="M156" s="129">
        <v>150000</v>
      </c>
      <c r="N156" s="171"/>
      <c r="O156" s="130">
        <v>33000</v>
      </c>
      <c r="P156" s="129"/>
      <c r="Q156" s="129"/>
      <c r="R156" s="129"/>
      <c r="S156" s="129"/>
      <c r="T156" s="129"/>
      <c r="U156" s="132" t="s">
        <v>645</v>
      </c>
      <c r="V156" s="129"/>
    </row>
    <row r="157" spans="1:22" ht="16">
      <c r="A157" s="122"/>
      <c r="B157" s="855" t="s">
        <v>769</v>
      </c>
      <c r="C157" s="855"/>
      <c r="D157" s="128"/>
      <c r="E157" s="129" t="s">
        <v>133</v>
      </c>
      <c r="F157" s="128"/>
      <c r="G157" s="130" t="s">
        <v>133</v>
      </c>
      <c r="H157" s="131"/>
      <c r="I157" s="130">
        <v>0</v>
      </c>
      <c r="J157" s="128"/>
      <c r="K157" s="130">
        <v>0</v>
      </c>
      <c r="L157" s="128"/>
      <c r="M157" s="129">
        <v>100000</v>
      </c>
      <c r="N157" s="123"/>
      <c r="O157" s="130">
        <v>22000</v>
      </c>
      <c r="P157" s="129"/>
      <c r="Q157" s="129"/>
      <c r="R157" s="129"/>
      <c r="S157" s="129"/>
      <c r="T157" s="129"/>
      <c r="U157" s="132">
        <v>62</v>
      </c>
      <c r="V157" s="129"/>
    </row>
    <row r="158" spans="1:22" ht="16">
      <c r="A158" s="122" t="s">
        <v>566</v>
      </c>
      <c r="B158" s="855" t="s">
        <v>770</v>
      </c>
      <c r="C158" s="855"/>
      <c r="D158" s="128"/>
      <c r="E158" s="129" t="s">
        <v>133</v>
      </c>
      <c r="F158" s="128"/>
      <c r="G158" s="130" t="s">
        <v>133</v>
      </c>
      <c r="H158" s="131"/>
      <c r="I158" s="130">
        <v>0</v>
      </c>
      <c r="J158" s="128"/>
      <c r="K158" s="130">
        <v>0</v>
      </c>
      <c r="L158" s="128"/>
      <c r="M158" s="129">
        <v>50000</v>
      </c>
      <c r="N158" s="123"/>
      <c r="O158" s="130">
        <v>11000</v>
      </c>
      <c r="P158" s="129"/>
      <c r="Q158" s="129"/>
      <c r="R158" s="129"/>
      <c r="S158" s="129"/>
      <c r="T158" s="129"/>
      <c r="U158" s="132">
        <v>62</v>
      </c>
      <c r="V158" s="129"/>
    </row>
    <row r="159" spans="1:22" ht="16">
      <c r="A159" s="122"/>
      <c r="B159" s="855" t="s">
        <v>771</v>
      </c>
      <c r="C159" s="855"/>
      <c r="D159" s="128"/>
      <c r="E159" s="129" t="s">
        <v>133</v>
      </c>
      <c r="F159" s="128"/>
      <c r="G159" s="130" t="s">
        <v>133</v>
      </c>
      <c r="H159" s="131"/>
      <c r="I159" s="130">
        <v>0</v>
      </c>
      <c r="J159" s="128"/>
      <c r="K159" s="130">
        <v>0</v>
      </c>
      <c r="L159" s="128"/>
      <c r="M159" s="129">
        <v>100000</v>
      </c>
      <c r="N159" s="123"/>
      <c r="O159" s="130">
        <v>22000</v>
      </c>
      <c r="P159" s="129"/>
      <c r="Q159" s="129"/>
      <c r="R159" s="129"/>
      <c r="S159" s="129"/>
      <c r="T159" s="129"/>
      <c r="U159" s="132">
        <v>62</v>
      </c>
      <c r="V159" s="129"/>
    </row>
    <row r="160" spans="1:22" ht="16">
      <c r="A160" s="122"/>
      <c r="B160" s="855" t="s">
        <v>772</v>
      </c>
      <c r="C160" s="855"/>
      <c r="D160" s="128"/>
      <c r="E160" s="129" t="s">
        <v>133</v>
      </c>
      <c r="F160" s="128"/>
      <c r="G160" s="130" t="s">
        <v>133</v>
      </c>
      <c r="H160" s="131"/>
      <c r="I160" s="130">
        <v>0</v>
      </c>
      <c r="J160" s="128"/>
      <c r="K160" s="130">
        <v>0</v>
      </c>
      <c r="L160" s="128"/>
      <c r="M160" s="129">
        <v>100000</v>
      </c>
      <c r="N160" s="123"/>
      <c r="O160" s="130">
        <v>22000</v>
      </c>
      <c r="P160" s="129"/>
      <c r="Q160" s="129"/>
      <c r="R160" s="129"/>
      <c r="S160" s="129"/>
      <c r="T160" s="129"/>
      <c r="U160" s="132">
        <v>62</v>
      </c>
      <c r="V160" s="129"/>
    </row>
    <row r="161" spans="1:22" ht="16">
      <c r="A161" s="122"/>
      <c r="B161" s="855" t="s">
        <v>773</v>
      </c>
      <c r="C161" s="855"/>
      <c r="D161" s="128"/>
      <c r="E161" s="129" t="s">
        <v>133</v>
      </c>
      <c r="F161" s="128"/>
      <c r="G161" s="130" t="s">
        <v>133</v>
      </c>
      <c r="H161" s="131"/>
      <c r="I161" s="130">
        <v>0</v>
      </c>
      <c r="J161" s="128"/>
      <c r="K161" s="130">
        <v>0</v>
      </c>
      <c r="L161" s="128"/>
      <c r="M161" s="129">
        <v>63300</v>
      </c>
      <c r="N161" s="123"/>
      <c r="O161" s="130">
        <v>13926</v>
      </c>
      <c r="P161" s="129"/>
      <c r="Q161" s="129"/>
      <c r="R161" s="129"/>
      <c r="S161" s="129"/>
      <c r="T161" s="129"/>
      <c r="U161" s="132">
        <v>62</v>
      </c>
      <c r="V161" s="129"/>
    </row>
    <row r="162" spans="1:22" ht="16">
      <c r="A162" s="122"/>
      <c r="B162" s="855" t="s">
        <v>774</v>
      </c>
      <c r="C162" s="855"/>
      <c r="D162" s="128"/>
      <c r="E162" s="129" t="s">
        <v>133</v>
      </c>
      <c r="F162" s="128"/>
      <c r="G162" s="130" t="s">
        <v>133</v>
      </c>
      <c r="H162" s="131"/>
      <c r="I162" s="130">
        <v>0</v>
      </c>
      <c r="J162" s="128"/>
      <c r="K162" s="130">
        <v>0</v>
      </c>
      <c r="L162" s="128"/>
      <c r="M162" s="129">
        <v>70000</v>
      </c>
      <c r="N162" s="123"/>
      <c r="O162" s="130">
        <v>15400</v>
      </c>
      <c r="P162" s="129"/>
      <c r="Q162" s="129"/>
      <c r="R162" s="129"/>
      <c r="S162" s="129"/>
      <c r="T162" s="129"/>
      <c r="U162" s="129"/>
      <c r="V162" s="129"/>
    </row>
    <row r="163" spans="1:22" ht="16">
      <c r="A163" s="122"/>
      <c r="B163" s="855" t="s">
        <v>775</v>
      </c>
      <c r="C163" s="855"/>
      <c r="D163" s="128"/>
      <c r="E163" s="129">
        <v>350</v>
      </c>
      <c r="F163" s="128"/>
      <c r="G163" s="130">
        <v>77</v>
      </c>
      <c r="H163" s="131"/>
      <c r="I163" s="130">
        <v>52.5</v>
      </c>
      <c r="J163" s="128"/>
      <c r="K163" s="130">
        <v>24.5</v>
      </c>
      <c r="L163" s="128"/>
      <c r="M163" s="129">
        <v>17500</v>
      </c>
      <c r="N163" s="123"/>
      <c r="O163" s="130">
        <v>3850</v>
      </c>
      <c r="P163" s="129"/>
      <c r="Q163" s="129"/>
      <c r="R163" s="129"/>
      <c r="S163" s="129"/>
      <c r="T163" s="129"/>
      <c r="U163" s="132">
        <v>6</v>
      </c>
      <c r="V163" s="129"/>
    </row>
    <row r="164" spans="1:22" ht="16">
      <c r="A164" s="122" t="s">
        <v>566</v>
      </c>
      <c r="B164" s="855" t="s">
        <v>776</v>
      </c>
      <c r="C164" s="855"/>
      <c r="D164" s="128"/>
      <c r="E164" s="129">
        <v>350</v>
      </c>
      <c r="F164" s="128"/>
      <c r="G164" s="130">
        <v>77</v>
      </c>
      <c r="H164" s="131"/>
      <c r="I164" s="130">
        <v>52.5</v>
      </c>
      <c r="J164" s="128"/>
      <c r="K164" s="130">
        <v>24.5</v>
      </c>
      <c r="L164" s="128"/>
      <c r="M164" s="129">
        <v>17500</v>
      </c>
      <c r="N164" s="123"/>
      <c r="O164" s="130">
        <v>3850</v>
      </c>
      <c r="P164" s="129"/>
      <c r="Q164" s="129"/>
      <c r="R164" s="129"/>
      <c r="S164" s="129"/>
      <c r="T164" s="129"/>
      <c r="U164" s="132">
        <v>6</v>
      </c>
      <c r="V164" s="129"/>
    </row>
    <row r="165" spans="1:22" ht="16">
      <c r="A165" s="122"/>
      <c r="B165" s="855" t="s">
        <v>777</v>
      </c>
      <c r="C165" s="855"/>
      <c r="D165" s="128"/>
      <c r="E165" s="129">
        <v>2000</v>
      </c>
      <c r="F165" s="128"/>
      <c r="G165" s="130">
        <v>440</v>
      </c>
      <c r="H165" s="131"/>
      <c r="I165" s="130">
        <v>300</v>
      </c>
      <c r="J165" s="128"/>
      <c r="K165" s="130">
        <v>140</v>
      </c>
      <c r="L165" s="128"/>
      <c r="M165" s="129">
        <v>100000</v>
      </c>
      <c r="N165" s="123"/>
      <c r="O165" s="130">
        <v>22000</v>
      </c>
      <c r="P165" s="129"/>
      <c r="Q165" s="129"/>
      <c r="R165" s="129"/>
      <c r="S165" s="129"/>
      <c r="T165" s="129"/>
      <c r="U165" s="132">
        <v>6</v>
      </c>
      <c r="V165" s="129"/>
    </row>
    <row r="166" spans="1:22" ht="16">
      <c r="A166" s="122" t="s">
        <v>566</v>
      </c>
      <c r="B166" s="855" t="s">
        <v>778</v>
      </c>
      <c r="C166" s="855"/>
      <c r="D166" s="128" t="s">
        <v>566</v>
      </c>
      <c r="E166" s="129">
        <v>600</v>
      </c>
      <c r="F166" s="128"/>
      <c r="G166" s="130">
        <v>132</v>
      </c>
      <c r="H166" s="131"/>
      <c r="I166" s="130">
        <v>90</v>
      </c>
      <c r="J166" s="128"/>
      <c r="K166" s="130">
        <v>42</v>
      </c>
      <c r="L166" s="128"/>
      <c r="M166" s="129">
        <v>30000</v>
      </c>
      <c r="N166" s="123"/>
      <c r="O166" s="130">
        <v>6600</v>
      </c>
      <c r="P166" s="129"/>
      <c r="Q166" s="129"/>
      <c r="R166" s="129"/>
      <c r="S166" s="129"/>
      <c r="T166" s="129"/>
      <c r="U166" s="132">
        <v>6</v>
      </c>
      <c r="V166" s="129"/>
    </row>
    <row r="167" spans="1:22" ht="16">
      <c r="A167" s="122"/>
      <c r="B167" s="855" t="s">
        <v>779</v>
      </c>
      <c r="C167" s="855"/>
      <c r="D167" s="128" t="s">
        <v>566</v>
      </c>
      <c r="E167" s="129">
        <v>350</v>
      </c>
      <c r="F167" s="128"/>
      <c r="G167" s="130">
        <v>77</v>
      </c>
      <c r="H167" s="131"/>
      <c r="I167" s="130">
        <v>52.5</v>
      </c>
      <c r="J167" s="128"/>
      <c r="K167" s="130">
        <v>24.5</v>
      </c>
      <c r="L167" s="128"/>
      <c r="M167" s="129">
        <v>17500</v>
      </c>
      <c r="N167" s="123"/>
      <c r="O167" s="130">
        <v>3850</v>
      </c>
      <c r="P167" s="129"/>
      <c r="Q167" s="129"/>
      <c r="R167" s="129"/>
      <c r="S167" s="129"/>
      <c r="T167" s="129"/>
      <c r="U167" s="132" t="s">
        <v>646</v>
      </c>
      <c r="V167" s="129"/>
    </row>
    <row r="168" spans="1:22" ht="16">
      <c r="A168" s="122"/>
      <c r="B168" s="855" t="s">
        <v>780</v>
      </c>
      <c r="C168" s="855"/>
      <c r="D168" s="128" t="s">
        <v>566</v>
      </c>
      <c r="E168" s="129">
        <v>400</v>
      </c>
      <c r="F168" s="128"/>
      <c r="G168" s="130">
        <v>88</v>
      </c>
      <c r="H168" s="131"/>
      <c r="I168" s="130">
        <v>60</v>
      </c>
      <c r="J168" s="128"/>
      <c r="K168" s="130">
        <v>28</v>
      </c>
      <c r="L168" s="128"/>
      <c r="M168" s="129">
        <v>20000</v>
      </c>
      <c r="N168" s="123"/>
      <c r="O168" s="130">
        <v>4400</v>
      </c>
      <c r="P168" s="129"/>
      <c r="Q168" s="129"/>
      <c r="R168" s="129"/>
      <c r="S168" s="129"/>
      <c r="T168" s="129"/>
      <c r="U168" s="132">
        <v>6</v>
      </c>
      <c r="V168" s="129"/>
    </row>
    <row r="169" spans="1:22" ht="16">
      <c r="A169" s="122"/>
      <c r="B169" s="855" t="s">
        <v>781</v>
      </c>
      <c r="C169" s="855"/>
      <c r="D169" s="128" t="s">
        <v>566</v>
      </c>
      <c r="E169" s="129">
        <v>150</v>
      </c>
      <c r="F169" s="128"/>
      <c r="G169" s="130">
        <v>33</v>
      </c>
      <c r="H169" s="131"/>
      <c r="I169" s="130">
        <v>22.5</v>
      </c>
      <c r="J169" s="128"/>
      <c r="K169" s="130">
        <v>10.5</v>
      </c>
      <c r="L169" s="128"/>
      <c r="M169" s="129">
        <v>7500</v>
      </c>
      <c r="N169" s="123"/>
      <c r="O169" s="130">
        <v>1650</v>
      </c>
      <c r="P169" s="129"/>
      <c r="Q169" s="129"/>
      <c r="R169" s="129"/>
      <c r="S169" s="129"/>
      <c r="T169" s="129"/>
      <c r="U169" s="132" t="s">
        <v>647</v>
      </c>
      <c r="V169" s="129"/>
    </row>
    <row r="170" spans="1:22" ht="17" thickBot="1">
      <c r="A170" s="122"/>
      <c r="B170" s="495" t="s">
        <v>566</v>
      </c>
      <c r="C170" s="495"/>
      <c r="D170" s="128"/>
      <c r="E170" s="129"/>
      <c r="F170" s="128"/>
      <c r="G170" s="130"/>
      <c r="H170" s="131"/>
      <c r="I170" s="130"/>
      <c r="J170" s="128"/>
      <c r="K170" s="130"/>
      <c r="L170" s="128"/>
      <c r="M170" s="129"/>
      <c r="N170" s="123"/>
      <c r="O170" s="130"/>
      <c r="P170" s="129"/>
      <c r="Q170" s="129"/>
      <c r="R170" s="129"/>
      <c r="S170" s="129"/>
      <c r="T170" s="129"/>
      <c r="U170" s="132"/>
      <c r="V170" s="129"/>
    </row>
    <row r="171" spans="1:22" ht="57" thickBot="1">
      <c r="A171" s="122"/>
      <c r="B171" s="109" t="s">
        <v>566</v>
      </c>
      <c r="C171" s="109" t="s">
        <v>566</v>
      </c>
      <c r="D171" s="128"/>
      <c r="E171" s="116" t="s">
        <v>648</v>
      </c>
      <c r="F171" s="115"/>
      <c r="G171" s="117" t="s">
        <v>649</v>
      </c>
      <c r="H171" s="118"/>
      <c r="I171" s="117" t="s">
        <v>650</v>
      </c>
      <c r="J171" s="115"/>
      <c r="K171" s="117" t="s">
        <v>651</v>
      </c>
      <c r="L171" s="115"/>
      <c r="M171" s="116" t="s">
        <v>613</v>
      </c>
      <c r="N171" s="119"/>
      <c r="O171" s="117" t="s">
        <v>649</v>
      </c>
      <c r="P171" s="123"/>
      <c r="Q171" s="130"/>
      <c r="R171" s="123"/>
      <c r="S171" s="130"/>
      <c r="T171" s="130"/>
      <c r="U171" s="117" t="s">
        <v>614</v>
      </c>
      <c r="V171" s="130"/>
    </row>
    <row r="172" spans="1:22" ht="16">
      <c r="A172" s="176"/>
      <c r="B172" s="144" t="s">
        <v>782</v>
      </c>
      <c r="C172" s="109"/>
      <c r="D172" s="128"/>
      <c r="E172" s="129"/>
      <c r="F172" s="129"/>
      <c r="G172" s="130"/>
      <c r="H172" s="131"/>
      <c r="I172" s="130"/>
      <c r="J172" s="128"/>
      <c r="K172" s="130"/>
      <c r="L172" s="128"/>
      <c r="M172" s="129"/>
      <c r="N172" s="129"/>
      <c r="O172" s="130"/>
      <c r="P172" s="123"/>
      <c r="Q172" s="130"/>
      <c r="R172" s="123"/>
      <c r="S172" s="130"/>
      <c r="T172" s="130"/>
      <c r="U172" s="132"/>
      <c r="V172" s="130"/>
    </row>
    <row r="173" spans="1:22" ht="16">
      <c r="A173" s="176"/>
      <c r="B173" s="109" t="s">
        <v>783</v>
      </c>
      <c r="C173" s="109"/>
      <c r="D173" s="128" t="s">
        <v>566</v>
      </c>
      <c r="E173" s="129">
        <v>460</v>
      </c>
      <c r="F173" s="128"/>
      <c r="G173" s="130">
        <v>101.2</v>
      </c>
      <c r="H173" s="131"/>
      <c r="I173" s="130">
        <v>172.5</v>
      </c>
      <c r="J173" s="128"/>
      <c r="K173" s="130">
        <v>80.5</v>
      </c>
      <c r="L173" s="128"/>
      <c r="M173" s="129">
        <v>23000</v>
      </c>
      <c r="N173" s="123"/>
      <c r="O173" s="130">
        <v>5060</v>
      </c>
      <c r="P173" s="129"/>
      <c r="Q173" s="130" t="e">
        <v>#REF!</v>
      </c>
      <c r="R173" s="123"/>
      <c r="S173" s="130" t="e">
        <v>#REF!</v>
      </c>
      <c r="T173" s="130"/>
      <c r="U173" s="132">
        <v>11</v>
      </c>
      <c r="V173" s="130"/>
    </row>
    <row r="174" spans="1:22" ht="16">
      <c r="A174" s="122"/>
      <c r="B174" s="109" t="s">
        <v>784</v>
      </c>
      <c r="C174" s="109"/>
      <c r="D174" s="128"/>
      <c r="E174" s="129">
        <v>460</v>
      </c>
      <c r="F174" s="128"/>
      <c r="G174" s="130">
        <v>101.2</v>
      </c>
      <c r="H174" s="131"/>
      <c r="I174" s="130">
        <v>0</v>
      </c>
      <c r="J174" s="128"/>
      <c r="K174" s="130">
        <v>0</v>
      </c>
      <c r="L174" s="128"/>
      <c r="M174" s="129">
        <v>23000</v>
      </c>
      <c r="N174" s="123"/>
      <c r="O174" s="130">
        <v>5060</v>
      </c>
      <c r="P174" s="123"/>
      <c r="Q174" s="130"/>
      <c r="R174" s="123"/>
      <c r="S174" s="130"/>
      <c r="T174" s="130"/>
      <c r="U174" s="132">
        <v>11</v>
      </c>
      <c r="V174" s="130"/>
    </row>
    <row r="175" spans="1:22" ht="16">
      <c r="A175" s="176"/>
      <c r="B175" s="109" t="s">
        <v>785</v>
      </c>
      <c r="C175" s="109"/>
      <c r="D175" s="128"/>
      <c r="E175" s="129">
        <v>1200</v>
      </c>
      <c r="F175" s="128"/>
      <c r="G175" s="130">
        <v>264</v>
      </c>
      <c r="H175" s="131"/>
      <c r="I175" s="130">
        <v>0</v>
      </c>
      <c r="J175" s="128"/>
      <c r="K175" s="130">
        <v>0</v>
      </c>
      <c r="L175" s="128"/>
      <c r="M175" s="129">
        <v>57500</v>
      </c>
      <c r="N175" s="123"/>
      <c r="O175" s="130">
        <v>12650</v>
      </c>
      <c r="P175" s="123"/>
      <c r="Q175" s="130"/>
      <c r="R175" s="123"/>
      <c r="S175" s="130"/>
      <c r="T175" s="130"/>
      <c r="U175" s="132">
        <v>11</v>
      </c>
      <c r="V175" s="130"/>
    </row>
    <row r="176" spans="1:22" ht="16">
      <c r="A176" s="176"/>
      <c r="B176" s="109" t="s">
        <v>786</v>
      </c>
      <c r="C176" s="109"/>
      <c r="D176" s="128"/>
      <c r="E176" s="129">
        <v>1150</v>
      </c>
      <c r="F176" s="128"/>
      <c r="G176" s="130">
        <v>253</v>
      </c>
      <c r="H176" s="131"/>
      <c r="I176" s="130" t="e">
        <v>#REF!</v>
      </c>
      <c r="J176" s="128"/>
      <c r="K176" s="130" t="e">
        <v>#REF!</v>
      </c>
      <c r="L176" s="128"/>
      <c r="M176" s="129">
        <v>57500</v>
      </c>
      <c r="N176" s="123"/>
      <c r="O176" s="130">
        <v>12650</v>
      </c>
      <c r="P176" s="123"/>
      <c r="Q176" s="130"/>
      <c r="R176" s="123"/>
      <c r="S176" s="130"/>
      <c r="T176" s="130"/>
      <c r="U176" s="132">
        <v>11</v>
      </c>
      <c r="V176" s="130"/>
    </row>
    <row r="177" spans="1:22" ht="16">
      <c r="A177" s="176" t="s">
        <v>566</v>
      </c>
      <c r="B177" s="109" t="s">
        <v>787</v>
      </c>
      <c r="C177" s="109"/>
      <c r="D177" s="128"/>
      <c r="E177" s="129">
        <v>200</v>
      </c>
      <c r="F177" s="128"/>
      <c r="G177" s="130">
        <v>44</v>
      </c>
      <c r="H177" s="131"/>
      <c r="I177" s="130">
        <v>75</v>
      </c>
      <c r="J177" s="128"/>
      <c r="K177" s="130">
        <v>35</v>
      </c>
      <c r="L177" s="128"/>
      <c r="M177" s="129">
        <v>10000</v>
      </c>
      <c r="N177" s="123"/>
      <c r="O177" s="130">
        <v>2200</v>
      </c>
      <c r="P177" s="123"/>
      <c r="Q177" s="130"/>
      <c r="R177" s="123"/>
      <c r="S177" s="130"/>
      <c r="T177" s="130"/>
      <c r="U177" s="132">
        <v>11</v>
      </c>
      <c r="V177" s="130"/>
    </row>
    <row r="178" spans="1:22" ht="16">
      <c r="A178" s="176"/>
      <c r="B178" s="109"/>
      <c r="C178" s="109"/>
      <c r="D178" s="128"/>
      <c r="E178" s="129" t="s">
        <v>566</v>
      </c>
      <c r="F178" s="128"/>
      <c r="G178" s="130"/>
      <c r="H178" s="131"/>
      <c r="I178" s="130"/>
      <c r="J178" s="128"/>
      <c r="K178" s="130"/>
      <c r="L178" s="128"/>
      <c r="M178" s="129"/>
      <c r="N178" s="123"/>
      <c r="O178" s="130"/>
      <c r="P178" s="123"/>
      <c r="Q178" s="130"/>
      <c r="R178" s="123"/>
      <c r="S178" s="130"/>
      <c r="T178" s="130"/>
      <c r="U178" s="130"/>
      <c r="V178" s="130"/>
    </row>
    <row r="179" spans="1:22" ht="16">
      <c r="A179" s="176" t="s">
        <v>566</v>
      </c>
      <c r="B179" s="127" t="s">
        <v>788</v>
      </c>
      <c r="C179" s="109"/>
      <c r="D179" s="128"/>
      <c r="E179" s="129"/>
      <c r="F179" s="128"/>
      <c r="G179" s="130"/>
      <c r="H179" s="131"/>
      <c r="I179" s="130"/>
      <c r="J179" s="128"/>
      <c r="K179" s="130"/>
      <c r="L179" s="128"/>
      <c r="M179" s="129"/>
      <c r="N179" s="123"/>
      <c r="O179" s="130"/>
      <c r="P179" s="123"/>
      <c r="Q179" s="130"/>
      <c r="R179" s="123"/>
      <c r="S179" s="130"/>
      <c r="T179" s="130"/>
      <c r="U179" s="132"/>
      <c r="V179" s="130"/>
    </row>
    <row r="180" spans="1:22" ht="16">
      <c r="A180" s="176" t="s">
        <v>566</v>
      </c>
      <c r="B180" s="109" t="s">
        <v>789</v>
      </c>
      <c r="C180" s="109"/>
      <c r="D180" s="128"/>
      <c r="E180" s="129">
        <v>400</v>
      </c>
      <c r="F180" s="128"/>
      <c r="G180" s="130">
        <v>88</v>
      </c>
      <c r="H180" s="131"/>
      <c r="I180" s="130">
        <v>22.5</v>
      </c>
      <c r="J180" s="128"/>
      <c r="K180" s="130">
        <v>10.5</v>
      </c>
      <c r="L180" s="128"/>
      <c r="M180" s="129">
        <v>20000</v>
      </c>
      <c r="N180" s="123"/>
      <c r="O180" s="130">
        <v>4400</v>
      </c>
      <c r="P180" s="123"/>
      <c r="Q180" s="130"/>
      <c r="R180" s="123"/>
      <c r="S180" s="130"/>
      <c r="T180" s="130"/>
      <c r="U180" s="132" t="s">
        <v>2545</v>
      </c>
      <c r="V180" s="130"/>
    </row>
    <row r="181" spans="1:22" ht="16">
      <c r="A181" s="176" t="s">
        <v>566</v>
      </c>
      <c r="B181" s="109" t="s">
        <v>790</v>
      </c>
      <c r="C181" s="109"/>
      <c r="D181" s="128"/>
      <c r="E181" s="129">
        <v>400</v>
      </c>
      <c r="F181" s="128"/>
      <c r="G181" s="130">
        <v>88</v>
      </c>
      <c r="H181" s="131"/>
      <c r="I181" s="130">
        <v>30.75</v>
      </c>
      <c r="J181" s="128"/>
      <c r="K181" s="130">
        <v>14.35</v>
      </c>
      <c r="L181" s="128"/>
      <c r="M181" s="129">
        <v>20000</v>
      </c>
      <c r="N181" s="123"/>
      <c r="O181" s="130">
        <v>4400</v>
      </c>
      <c r="P181" s="123"/>
      <c r="Q181" s="130"/>
      <c r="R181" s="123"/>
      <c r="S181" s="130"/>
      <c r="T181" s="130"/>
      <c r="U181" s="132" t="s">
        <v>2545</v>
      </c>
      <c r="V181" s="130"/>
    </row>
    <row r="182" spans="1:22" ht="16">
      <c r="A182" s="176" t="s">
        <v>566</v>
      </c>
      <c r="B182" s="109"/>
      <c r="C182" s="109"/>
      <c r="D182" s="128"/>
      <c r="E182" s="129"/>
      <c r="F182" s="128"/>
      <c r="G182" s="130"/>
      <c r="H182" s="131"/>
      <c r="I182" s="130"/>
      <c r="J182" s="128"/>
      <c r="K182" s="130"/>
      <c r="L182" s="128"/>
      <c r="M182" s="129"/>
      <c r="N182" s="123"/>
      <c r="O182" s="130"/>
      <c r="P182" s="123"/>
      <c r="Q182" s="130"/>
      <c r="R182" s="123"/>
      <c r="S182" s="130"/>
      <c r="T182" s="130"/>
      <c r="U182" s="132"/>
      <c r="V182" s="130"/>
    </row>
    <row r="183" spans="1:22" ht="16">
      <c r="A183" s="176" t="s">
        <v>566</v>
      </c>
      <c r="B183" s="127" t="s">
        <v>791</v>
      </c>
      <c r="C183" s="109"/>
      <c r="D183" s="128"/>
      <c r="E183" s="129"/>
      <c r="F183" s="128"/>
      <c r="G183" s="130"/>
      <c r="H183" s="131"/>
      <c r="I183" s="130"/>
      <c r="J183" s="128"/>
      <c r="K183" s="130"/>
      <c r="L183" s="128"/>
      <c r="M183" s="129"/>
      <c r="N183" s="123"/>
      <c r="O183" s="130"/>
      <c r="P183" s="123"/>
      <c r="Q183" s="130"/>
      <c r="R183" s="123"/>
      <c r="S183" s="130"/>
      <c r="T183" s="130"/>
      <c r="U183" s="132"/>
      <c r="V183" s="130"/>
    </row>
    <row r="184" spans="1:22" ht="16">
      <c r="A184" s="176" t="s">
        <v>566</v>
      </c>
      <c r="B184" s="109" t="s">
        <v>792</v>
      </c>
      <c r="C184" s="109"/>
      <c r="D184" s="128"/>
      <c r="E184" s="129">
        <v>500</v>
      </c>
      <c r="F184" s="128"/>
      <c r="G184" s="130">
        <v>110</v>
      </c>
      <c r="H184" s="131"/>
      <c r="I184" s="130">
        <v>52.5</v>
      </c>
      <c r="J184" s="128"/>
      <c r="K184" s="130">
        <v>24.5</v>
      </c>
      <c r="L184" s="128"/>
      <c r="M184" s="129">
        <v>25000</v>
      </c>
      <c r="N184" s="123"/>
      <c r="O184" s="130">
        <v>5500</v>
      </c>
      <c r="P184" s="123"/>
      <c r="Q184" s="130"/>
      <c r="R184" s="123"/>
      <c r="S184" s="130"/>
      <c r="T184" s="130"/>
      <c r="U184" s="132">
        <v>97</v>
      </c>
      <c r="V184" s="130"/>
    </row>
    <row r="185" spans="1:22" ht="16">
      <c r="A185" s="176"/>
      <c r="B185" s="109" t="s">
        <v>793</v>
      </c>
      <c r="C185" s="109"/>
      <c r="D185" s="128"/>
      <c r="E185" s="129">
        <v>500</v>
      </c>
      <c r="F185" s="128"/>
      <c r="G185" s="130">
        <v>110</v>
      </c>
      <c r="H185" s="131"/>
      <c r="I185" s="130">
        <v>52.5</v>
      </c>
      <c r="J185" s="128"/>
      <c r="K185" s="130">
        <v>24.5</v>
      </c>
      <c r="L185" s="128"/>
      <c r="M185" s="129">
        <v>25000</v>
      </c>
      <c r="N185" s="123"/>
      <c r="O185" s="130">
        <v>5500</v>
      </c>
      <c r="P185" s="123"/>
      <c r="Q185" s="130"/>
      <c r="R185" s="123"/>
      <c r="S185" s="130"/>
      <c r="T185" s="130"/>
      <c r="U185" s="132">
        <v>97</v>
      </c>
      <c r="V185" s="130"/>
    </row>
    <row r="186" spans="1:22" ht="16">
      <c r="A186" s="176"/>
      <c r="B186" s="109"/>
      <c r="C186" s="109"/>
      <c r="D186" s="128"/>
      <c r="E186" s="129"/>
      <c r="F186" s="128"/>
      <c r="G186" s="130"/>
      <c r="H186" s="131"/>
      <c r="I186" s="130"/>
      <c r="J186" s="128"/>
      <c r="K186" s="130"/>
      <c r="L186" s="128"/>
      <c r="M186" s="129"/>
      <c r="N186" s="123"/>
      <c r="O186" s="130"/>
      <c r="P186" s="123"/>
      <c r="Q186" s="130"/>
      <c r="R186" s="123"/>
      <c r="S186" s="130"/>
      <c r="T186" s="130"/>
      <c r="U186" s="130"/>
      <c r="V186" s="130"/>
    </row>
    <row r="187" spans="1:22" ht="16">
      <c r="A187" s="176"/>
      <c r="B187" s="127" t="s">
        <v>794</v>
      </c>
      <c r="C187" s="148"/>
      <c r="D187" s="149"/>
      <c r="E187" s="129" t="s">
        <v>566</v>
      </c>
      <c r="F187" s="128"/>
      <c r="G187" s="130"/>
      <c r="H187" s="131"/>
      <c r="I187" s="130"/>
      <c r="J187" s="128"/>
      <c r="K187" s="130"/>
      <c r="L187" s="128"/>
      <c r="M187" s="129"/>
      <c r="N187" s="123"/>
      <c r="O187" s="130"/>
      <c r="P187" s="123"/>
      <c r="Q187" s="130"/>
      <c r="R187" s="123"/>
      <c r="S187" s="130"/>
      <c r="T187" s="130"/>
      <c r="U187" s="130"/>
      <c r="V187" s="130"/>
    </row>
    <row r="188" spans="1:22" ht="16">
      <c r="A188" s="176" t="s">
        <v>566</v>
      </c>
      <c r="B188" s="855" t="s">
        <v>795</v>
      </c>
      <c r="C188" s="855"/>
      <c r="D188" s="128"/>
      <c r="E188" s="129">
        <v>240</v>
      </c>
      <c r="F188" s="128"/>
      <c r="G188" s="130">
        <v>52.8</v>
      </c>
      <c r="H188" s="131"/>
      <c r="I188" s="130">
        <v>10.5</v>
      </c>
      <c r="J188" s="128"/>
      <c r="K188" s="130">
        <v>4.9000000000000004</v>
      </c>
      <c r="L188" s="128"/>
      <c r="M188" s="129">
        <v>12000</v>
      </c>
      <c r="N188" s="123"/>
      <c r="O188" s="130">
        <v>2640</v>
      </c>
      <c r="P188" s="123"/>
      <c r="Q188" s="130"/>
      <c r="R188" s="123"/>
      <c r="S188" s="130"/>
      <c r="T188" s="130"/>
      <c r="U188" s="132">
        <v>9</v>
      </c>
      <c r="V188" s="130"/>
    </row>
    <row r="189" spans="1:22" ht="16">
      <c r="A189" s="176"/>
      <c r="B189" s="109" t="s">
        <v>796</v>
      </c>
      <c r="C189" s="177" t="s">
        <v>566</v>
      </c>
      <c r="D189" s="128"/>
      <c r="E189" s="129">
        <v>500</v>
      </c>
      <c r="F189" s="128"/>
      <c r="G189" s="130">
        <v>110</v>
      </c>
      <c r="H189" s="131"/>
      <c r="I189" s="130">
        <v>0</v>
      </c>
      <c r="J189" s="128"/>
      <c r="K189" s="130">
        <v>0</v>
      </c>
      <c r="L189" s="128"/>
      <c r="M189" s="129">
        <v>25000</v>
      </c>
      <c r="N189" s="123"/>
      <c r="O189" s="130">
        <v>5500</v>
      </c>
      <c r="P189" s="123"/>
      <c r="Q189" s="130"/>
      <c r="R189" s="123"/>
      <c r="S189" s="130"/>
      <c r="T189" s="130"/>
      <c r="U189" s="132">
        <v>9</v>
      </c>
      <c r="V189" s="130"/>
    </row>
    <row r="190" spans="1:22" ht="16">
      <c r="A190" s="147"/>
      <c r="B190" s="855" t="s">
        <v>797</v>
      </c>
      <c r="C190" s="855"/>
      <c r="D190" s="128"/>
      <c r="E190" s="129">
        <v>70</v>
      </c>
      <c r="F190" s="128"/>
      <c r="G190" s="130">
        <v>15.4</v>
      </c>
      <c r="H190" s="131"/>
      <c r="I190" s="130">
        <v>0</v>
      </c>
      <c r="J190" s="128"/>
      <c r="K190" s="130">
        <v>0</v>
      </c>
      <c r="L190" s="128"/>
      <c r="M190" s="129">
        <v>3500</v>
      </c>
      <c r="N190" s="123"/>
      <c r="O190" s="130">
        <v>770</v>
      </c>
      <c r="P190" s="123"/>
      <c r="Q190" s="130"/>
      <c r="R190" s="123"/>
      <c r="S190" s="130"/>
      <c r="T190" s="130"/>
      <c r="U190" s="132">
        <v>9</v>
      </c>
      <c r="V190" s="130"/>
    </row>
    <row r="191" spans="1:22" ht="16">
      <c r="A191" s="147" t="s">
        <v>566</v>
      </c>
      <c r="B191" s="855" t="s">
        <v>798</v>
      </c>
      <c r="C191" s="855"/>
      <c r="D191" s="128"/>
      <c r="E191" s="129">
        <v>70</v>
      </c>
      <c r="F191" s="128"/>
      <c r="G191" s="130">
        <v>15.4</v>
      </c>
      <c r="H191" s="131"/>
      <c r="I191" s="130">
        <v>52.5</v>
      </c>
      <c r="J191" s="128"/>
      <c r="K191" s="130">
        <v>24.5</v>
      </c>
      <c r="L191" s="128"/>
      <c r="M191" s="129">
        <v>3500</v>
      </c>
      <c r="N191" s="123"/>
      <c r="O191" s="130">
        <v>770</v>
      </c>
      <c r="P191" s="123"/>
      <c r="Q191" s="130"/>
      <c r="R191" s="123"/>
      <c r="S191" s="130"/>
      <c r="T191" s="130"/>
      <c r="U191" s="132">
        <v>9</v>
      </c>
      <c r="V191" s="130"/>
    </row>
    <row r="192" spans="1:22" ht="16">
      <c r="A192" s="147"/>
      <c r="B192" s="855" t="s">
        <v>799</v>
      </c>
      <c r="C192" s="855"/>
      <c r="D192" s="128"/>
      <c r="E192" s="129">
        <v>150</v>
      </c>
      <c r="F192" s="128"/>
      <c r="G192" s="130">
        <v>33</v>
      </c>
      <c r="H192" s="131"/>
      <c r="I192" s="130">
        <v>52.5</v>
      </c>
      <c r="J192" s="128"/>
      <c r="K192" s="130">
        <v>24.5</v>
      </c>
      <c r="L192" s="128"/>
      <c r="M192" s="129">
        <v>7500</v>
      </c>
      <c r="N192" s="123"/>
      <c r="O192" s="130">
        <v>1650</v>
      </c>
      <c r="P192" s="123"/>
      <c r="Q192" s="130"/>
      <c r="R192" s="123"/>
      <c r="S192" s="130"/>
      <c r="T192" s="130"/>
      <c r="U192" s="132">
        <v>9</v>
      </c>
      <c r="V192" s="130"/>
    </row>
    <row r="193" spans="1:22" ht="16">
      <c r="A193" s="147"/>
      <c r="B193" s="855" t="s">
        <v>800</v>
      </c>
      <c r="C193" s="855"/>
      <c r="D193" s="128"/>
      <c r="E193" s="129">
        <v>205</v>
      </c>
      <c r="F193" s="128"/>
      <c r="G193" s="130">
        <v>45.1</v>
      </c>
      <c r="H193" s="131"/>
      <c r="I193" s="130">
        <v>0</v>
      </c>
      <c r="J193" s="128"/>
      <c r="K193" s="130">
        <v>0</v>
      </c>
      <c r="L193" s="128"/>
      <c r="M193" s="129">
        <v>6900</v>
      </c>
      <c r="N193" s="123"/>
      <c r="O193" s="130">
        <v>1518</v>
      </c>
      <c r="P193" s="123"/>
      <c r="Q193" s="130"/>
      <c r="R193" s="123"/>
      <c r="S193" s="130"/>
      <c r="T193" s="130"/>
      <c r="U193" s="132">
        <v>9</v>
      </c>
      <c r="V193" s="130"/>
    </row>
    <row r="194" spans="1:22" ht="16">
      <c r="A194" s="147"/>
      <c r="B194" s="148" t="s">
        <v>566</v>
      </c>
      <c r="C194" s="148"/>
      <c r="D194" s="149"/>
      <c r="E194" s="178" t="s">
        <v>566</v>
      </c>
      <c r="F194" s="149"/>
      <c r="G194" s="146"/>
      <c r="H194" s="179"/>
      <c r="I194" s="146"/>
      <c r="J194" s="149"/>
      <c r="K194" s="146"/>
      <c r="L194" s="149"/>
      <c r="M194" s="178"/>
      <c r="N194" s="145"/>
      <c r="O194" s="146"/>
      <c r="P194" s="178"/>
      <c r="Q194" s="178"/>
      <c r="R194" s="178"/>
      <c r="S194" s="178"/>
      <c r="T194" s="178"/>
      <c r="U194" s="178"/>
      <c r="V194" s="178"/>
    </row>
    <row r="195" spans="1:22" ht="16">
      <c r="A195" s="147"/>
      <c r="B195" s="148"/>
      <c r="C195" s="148"/>
      <c r="D195" s="149"/>
      <c r="E195" s="178"/>
      <c r="F195" s="149"/>
      <c r="G195" s="146"/>
      <c r="H195" s="179"/>
      <c r="I195" s="146"/>
      <c r="J195" s="149"/>
      <c r="K195" s="146"/>
      <c r="L195" s="149"/>
      <c r="M195" s="178"/>
      <c r="N195" s="145"/>
      <c r="O195" s="146"/>
      <c r="P195" s="178"/>
      <c r="Q195" s="178"/>
      <c r="R195" s="178"/>
      <c r="S195" s="178"/>
      <c r="T195" s="178"/>
      <c r="U195" s="178"/>
      <c r="V195" s="178"/>
    </row>
    <row r="196" spans="1:22" ht="16">
      <c r="A196" s="147"/>
      <c r="B196" s="148"/>
      <c r="C196" s="148"/>
      <c r="D196" s="149"/>
      <c r="E196" s="178"/>
      <c r="F196" s="149"/>
      <c r="G196" s="146"/>
      <c r="H196" s="179"/>
      <c r="I196" s="146"/>
      <c r="J196" s="149"/>
      <c r="K196" s="146"/>
      <c r="L196" s="149"/>
      <c r="M196" s="178"/>
      <c r="N196" s="145"/>
      <c r="O196" s="146"/>
      <c r="P196" s="178"/>
      <c r="Q196" s="178"/>
      <c r="R196" s="178"/>
      <c r="S196" s="178"/>
      <c r="T196" s="178"/>
      <c r="U196" s="178"/>
      <c r="V196" s="178"/>
    </row>
    <row r="197" spans="1:22" ht="16">
      <c r="A197" s="147"/>
      <c r="B197" s="148"/>
      <c r="C197" s="148"/>
      <c r="D197" s="149"/>
      <c r="E197" s="178"/>
      <c r="F197" s="149"/>
      <c r="G197" s="146"/>
      <c r="H197" s="179"/>
      <c r="I197" s="146"/>
      <c r="J197" s="149"/>
      <c r="K197" s="146"/>
      <c r="L197" s="149"/>
      <c r="M197" s="178"/>
      <c r="N197" s="145"/>
      <c r="O197" s="146"/>
      <c r="P197" s="178"/>
      <c r="Q197" s="178"/>
      <c r="R197" s="178"/>
      <c r="S197" s="178"/>
      <c r="T197" s="178"/>
      <c r="U197" s="178"/>
      <c r="V197" s="178"/>
    </row>
    <row r="198" spans="1:22" ht="16">
      <c r="A198" s="122"/>
      <c r="B198" s="109"/>
      <c r="C198" s="109"/>
      <c r="D198" s="160"/>
      <c r="E198" s="129" t="s">
        <v>566</v>
      </c>
      <c r="F198" s="161"/>
      <c r="G198" s="130"/>
      <c r="H198" s="167"/>
      <c r="I198" s="130"/>
      <c r="J198" s="162"/>
      <c r="K198" s="130"/>
      <c r="L198" s="160"/>
      <c r="M198" s="129"/>
      <c r="N198" s="161"/>
      <c r="O198" s="130"/>
      <c r="P198" s="123"/>
      <c r="Q198" s="130"/>
      <c r="R198" s="123"/>
      <c r="S198" s="130"/>
      <c r="T198" s="130"/>
      <c r="U198" s="130"/>
      <c r="V198" s="130"/>
    </row>
    <row r="199" spans="1:22" ht="16">
      <c r="A199" s="122"/>
      <c r="B199" s="109" t="s">
        <v>566</v>
      </c>
      <c r="C199" s="109"/>
      <c r="D199" s="160"/>
      <c r="E199" s="129"/>
      <c r="F199" s="161"/>
      <c r="G199" s="130"/>
      <c r="H199" s="167"/>
      <c r="I199" s="130"/>
      <c r="J199" s="162"/>
      <c r="K199" s="130"/>
      <c r="L199" s="160"/>
      <c r="M199" s="129"/>
      <c r="N199" s="161"/>
      <c r="O199" s="130"/>
      <c r="P199" s="123"/>
      <c r="Q199" s="130"/>
      <c r="R199" s="123"/>
      <c r="S199" s="130"/>
      <c r="T199" s="130"/>
      <c r="U199" s="130"/>
      <c r="V199" s="130"/>
    </row>
    <row r="200" spans="1:22" ht="16">
      <c r="A200" s="122"/>
      <c r="B200" s="109"/>
      <c r="C200" s="109"/>
      <c r="D200" s="160"/>
      <c r="E200" s="129"/>
      <c r="F200" s="161"/>
      <c r="G200" s="130"/>
      <c r="H200" s="167"/>
      <c r="I200" s="130"/>
      <c r="J200" s="162"/>
      <c r="K200" s="130"/>
      <c r="L200" s="160"/>
      <c r="M200" s="129"/>
      <c r="N200" s="161"/>
      <c r="O200" s="130"/>
      <c r="P200" s="123"/>
      <c r="Q200" s="130"/>
      <c r="R200" s="123"/>
      <c r="S200" s="130"/>
      <c r="T200" s="130"/>
      <c r="U200" s="130"/>
      <c r="V200" s="130"/>
    </row>
    <row r="201" spans="1:22" ht="16">
      <c r="A201" s="122"/>
      <c r="B201" s="168" t="s">
        <v>633</v>
      </c>
      <c r="C201" s="337"/>
      <c r="D201" s="337"/>
      <c r="E201" s="337"/>
      <c r="F201" s="337"/>
      <c r="G201" s="337"/>
      <c r="H201" s="337"/>
      <c r="I201" s="337"/>
      <c r="J201" s="337"/>
      <c r="K201" s="337"/>
      <c r="L201" s="337"/>
      <c r="M201" s="337"/>
      <c r="N201" s="337"/>
      <c r="O201" s="337"/>
      <c r="P201" s="129"/>
      <c r="Q201" s="129"/>
      <c r="R201" s="129"/>
      <c r="S201" s="129"/>
      <c r="T201" s="129"/>
      <c r="U201" s="107" t="s">
        <v>683</v>
      </c>
      <c r="V201" s="129"/>
    </row>
    <row r="202" spans="1:22" ht="17" thickBot="1">
      <c r="A202" s="169"/>
      <c r="B202" s="854"/>
      <c r="C202" s="854"/>
      <c r="D202" s="854"/>
      <c r="E202" s="854"/>
      <c r="F202" s="854"/>
      <c r="G202" s="854"/>
      <c r="H202" s="854"/>
      <c r="I202" s="854"/>
      <c r="J202" s="854"/>
      <c r="K202" s="854"/>
      <c r="L202" s="854"/>
      <c r="M202" s="854"/>
      <c r="N202" s="854"/>
      <c r="O202" s="854"/>
      <c r="P202" s="854"/>
      <c r="Q202" s="854"/>
      <c r="R202" s="854"/>
      <c r="S202" s="854"/>
      <c r="T202" s="854"/>
      <c r="U202" s="854"/>
      <c r="V202" s="315"/>
    </row>
    <row r="203" spans="1:22" ht="57" thickBot="1">
      <c r="A203" s="122"/>
      <c r="B203" s="109"/>
      <c r="C203" s="109"/>
      <c r="D203" s="128"/>
      <c r="E203" s="116" t="s">
        <v>648</v>
      </c>
      <c r="F203" s="115"/>
      <c r="G203" s="117" t="s">
        <v>649</v>
      </c>
      <c r="H203" s="118"/>
      <c r="I203" s="117" t="s">
        <v>650</v>
      </c>
      <c r="J203" s="115"/>
      <c r="K203" s="117" t="s">
        <v>651</v>
      </c>
      <c r="L203" s="115"/>
      <c r="M203" s="116" t="s">
        <v>613</v>
      </c>
      <c r="N203" s="119"/>
      <c r="O203" s="117" t="s">
        <v>649</v>
      </c>
      <c r="P203" s="123"/>
      <c r="Q203" s="130"/>
      <c r="R203" s="123"/>
      <c r="S203" s="130"/>
      <c r="T203" s="130"/>
      <c r="U203" s="117" t="s">
        <v>614</v>
      </c>
      <c r="V203" s="130"/>
    </row>
    <row r="204" spans="1:22" ht="16">
      <c r="A204" s="176"/>
      <c r="B204" s="144" t="s">
        <v>801</v>
      </c>
      <c r="C204" s="109"/>
      <c r="D204" s="128"/>
      <c r="E204" s="129"/>
      <c r="F204" s="128"/>
      <c r="G204" s="130"/>
      <c r="H204" s="131"/>
      <c r="I204" s="130"/>
      <c r="J204" s="128"/>
      <c r="K204" s="130"/>
      <c r="L204" s="128"/>
      <c r="M204" s="129"/>
      <c r="N204" s="123"/>
      <c r="O204" s="130"/>
      <c r="P204" s="123"/>
      <c r="Q204" s="130"/>
      <c r="R204" s="123"/>
      <c r="S204" s="130"/>
      <c r="T204" s="130"/>
      <c r="U204" s="130"/>
      <c r="V204" s="130"/>
    </row>
    <row r="205" spans="1:22" ht="16">
      <c r="A205" s="176"/>
      <c r="B205" s="104" t="s">
        <v>802</v>
      </c>
      <c r="C205" s="109"/>
      <c r="D205" s="128"/>
      <c r="E205" s="129">
        <v>350</v>
      </c>
      <c r="F205" s="128"/>
      <c r="G205" s="130">
        <v>77</v>
      </c>
      <c r="H205" s="131"/>
      <c r="I205" s="130" t="e">
        <v>#REF!</v>
      </c>
      <c r="J205" s="128"/>
      <c r="K205" s="130" t="e">
        <v>#REF!</v>
      </c>
      <c r="L205" s="128"/>
      <c r="M205" s="129">
        <v>17500</v>
      </c>
      <c r="N205" s="123"/>
      <c r="O205" s="130">
        <v>3850</v>
      </c>
      <c r="P205" s="123"/>
      <c r="Q205" s="130"/>
      <c r="R205" s="123"/>
      <c r="S205" s="130"/>
      <c r="T205" s="130"/>
      <c r="U205" s="132" t="s">
        <v>652</v>
      </c>
      <c r="V205" s="130"/>
    </row>
    <row r="206" spans="1:22" ht="16">
      <c r="A206" s="176"/>
      <c r="B206" s="104" t="s">
        <v>803</v>
      </c>
      <c r="C206" s="109"/>
      <c r="D206" s="128"/>
      <c r="E206" s="129">
        <v>350</v>
      </c>
      <c r="F206" s="128"/>
      <c r="G206" s="130">
        <v>77</v>
      </c>
      <c r="H206" s="131"/>
      <c r="I206" s="130" t="e">
        <v>#REF!</v>
      </c>
      <c r="J206" s="128"/>
      <c r="K206" s="130" t="e">
        <v>#REF!</v>
      </c>
      <c r="L206" s="128"/>
      <c r="M206" s="129">
        <v>17500</v>
      </c>
      <c r="N206" s="123"/>
      <c r="O206" s="130">
        <v>3850</v>
      </c>
      <c r="P206" s="123"/>
      <c r="Q206" s="130"/>
      <c r="R206" s="123"/>
      <c r="S206" s="130"/>
      <c r="T206" s="130"/>
      <c r="U206" s="132">
        <v>1</v>
      </c>
      <c r="V206" s="130"/>
    </row>
    <row r="207" spans="1:22" ht="16">
      <c r="A207" s="176"/>
      <c r="B207" s="104" t="s">
        <v>804</v>
      </c>
      <c r="C207" s="109"/>
      <c r="D207" s="128"/>
      <c r="E207" s="129">
        <v>350</v>
      </c>
      <c r="F207" s="128"/>
      <c r="G207" s="130">
        <v>77</v>
      </c>
      <c r="H207" s="131"/>
      <c r="I207" s="130" t="e">
        <v>#REF!</v>
      </c>
      <c r="J207" s="128"/>
      <c r="K207" s="130" t="e">
        <v>#REF!</v>
      </c>
      <c r="L207" s="128"/>
      <c r="M207" s="129">
        <v>17500</v>
      </c>
      <c r="N207" s="123"/>
      <c r="O207" s="130">
        <v>3850</v>
      </c>
      <c r="P207" s="123"/>
      <c r="Q207" s="130"/>
      <c r="R207" s="123"/>
      <c r="S207" s="130"/>
      <c r="T207" s="130"/>
      <c r="U207" s="132" t="s">
        <v>653</v>
      </c>
      <c r="V207" s="130"/>
    </row>
    <row r="208" spans="1:22" ht="16">
      <c r="A208" s="176"/>
      <c r="B208" s="104" t="s">
        <v>805</v>
      </c>
      <c r="C208" s="109"/>
      <c r="D208" s="128"/>
      <c r="E208" s="129">
        <v>350</v>
      </c>
      <c r="F208" s="128"/>
      <c r="G208" s="130">
        <v>77</v>
      </c>
      <c r="H208" s="131"/>
      <c r="I208" s="130" t="e">
        <v>#REF!</v>
      </c>
      <c r="J208" s="128"/>
      <c r="K208" s="130" t="e">
        <v>#REF!</v>
      </c>
      <c r="L208" s="128"/>
      <c r="M208" s="129">
        <v>17500</v>
      </c>
      <c r="N208" s="123"/>
      <c r="O208" s="130">
        <v>3850</v>
      </c>
      <c r="P208" s="123"/>
      <c r="Q208" s="130"/>
      <c r="R208" s="123"/>
      <c r="S208" s="130"/>
      <c r="T208" s="130"/>
      <c r="U208" s="132" t="s">
        <v>653</v>
      </c>
      <c r="V208" s="130"/>
    </row>
    <row r="209" spans="1:22" ht="16">
      <c r="A209" s="176"/>
      <c r="B209" s="104" t="s">
        <v>806</v>
      </c>
      <c r="C209" s="109"/>
      <c r="D209" s="128"/>
      <c r="E209" s="129">
        <v>350</v>
      </c>
      <c r="F209" s="128"/>
      <c r="G209" s="130">
        <v>77</v>
      </c>
      <c r="H209" s="131"/>
      <c r="I209" s="130" t="e">
        <v>#REF!</v>
      </c>
      <c r="J209" s="128"/>
      <c r="K209" s="130" t="e">
        <v>#REF!</v>
      </c>
      <c r="L209" s="128"/>
      <c r="M209" s="129">
        <v>17500</v>
      </c>
      <c r="N209" s="123"/>
      <c r="O209" s="130">
        <v>3850</v>
      </c>
      <c r="P209" s="123"/>
      <c r="Q209" s="130"/>
      <c r="R209" s="123"/>
      <c r="S209" s="130"/>
      <c r="T209" s="130"/>
      <c r="U209" s="132" t="s">
        <v>653</v>
      </c>
      <c r="V209" s="130"/>
    </row>
    <row r="210" spans="1:22" ht="16">
      <c r="A210" s="176"/>
      <c r="B210" s="104" t="s">
        <v>807</v>
      </c>
      <c r="C210" s="109"/>
      <c r="D210" s="128" t="s">
        <v>566</v>
      </c>
      <c r="E210" s="129">
        <v>350</v>
      </c>
      <c r="F210" s="128"/>
      <c r="G210" s="130">
        <v>77</v>
      </c>
      <c r="H210" s="131"/>
      <c r="I210" s="130" t="e">
        <v>#REF!</v>
      </c>
      <c r="J210" s="128"/>
      <c r="K210" s="130" t="e">
        <v>#REF!</v>
      </c>
      <c r="L210" s="128"/>
      <c r="M210" s="129">
        <v>17500</v>
      </c>
      <c r="N210" s="123"/>
      <c r="O210" s="130">
        <v>3850</v>
      </c>
      <c r="P210" s="123"/>
      <c r="Q210" s="130"/>
      <c r="R210" s="123"/>
      <c r="S210" s="130"/>
      <c r="T210" s="130"/>
      <c r="U210" s="132" t="s">
        <v>654</v>
      </c>
      <c r="V210" s="130"/>
    </row>
    <row r="211" spans="1:22" ht="16">
      <c r="A211" s="176"/>
      <c r="B211" s="104" t="s">
        <v>808</v>
      </c>
      <c r="C211" s="109"/>
      <c r="D211" s="128"/>
      <c r="E211" s="129" t="s">
        <v>133</v>
      </c>
      <c r="F211" s="128"/>
      <c r="G211" s="130" t="s">
        <v>133</v>
      </c>
      <c r="H211" s="131"/>
      <c r="I211" s="130" t="e">
        <v>#REF!</v>
      </c>
      <c r="J211" s="128"/>
      <c r="K211" s="130" t="e">
        <v>#REF!</v>
      </c>
      <c r="L211" s="128"/>
      <c r="M211" s="129">
        <v>34500</v>
      </c>
      <c r="N211" s="123"/>
      <c r="O211" s="130">
        <v>7590</v>
      </c>
      <c r="P211" s="123"/>
      <c r="Q211" s="130"/>
      <c r="R211" s="123"/>
      <c r="S211" s="130"/>
      <c r="T211" s="130"/>
      <c r="U211" s="132">
        <v>4</v>
      </c>
      <c r="V211" s="130"/>
    </row>
    <row r="212" spans="1:22" ht="16">
      <c r="A212" s="176"/>
      <c r="B212" s="104" t="s">
        <v>809</v>
      </c>
      <c r="C212" s="109"/>
      <c r="D212" s="128"/>
      <c r="E212" s="129" t="s">
        <v>133</v>
      </c>
      <c r="F212" s="128"/>
      <c r="G212" s="130" t="s">
        <v>133</v>
      </c>
      <c r="H212" s="131"/>
      <c r="I212" s="130" t="e">
        <v>#REF!</v>
      </c>
      <c r="J212" s="128"/>
      <c r="K212" s="130" t="e">
        <v>#REF!</v>
      </c>
      <c r="L212" s="128"/>
      <c r="M212" s="129">
        <v>60000</v>
      </c>
      <c r="N212" s="123"/>
      <c r="O212" s="130">
        <v>13200</v>
      </c>
      <c r="P212" s="123"/>
      <c r="Q212" s="130"/>
      <c r="R212" s="123"/>
      <c r="S212" s="130"/>
      <c r="T212" s="130"/>
      <c r="U212" s="132">
        <v>44</v>
      </c>
      <c r="V212" s="130"/>
    </row>
    <row r="213" spans="1:22" ht="16">
      <c r="A213" s="176"/>
      <c r="B213" s="104" t="s">
        <v>810</v>
      </c>
      <c r="C213" s="109"/>
      <c r="D213" s="128"/>
      <c r="E213" s="129">
        <v>90</v>
      </c>
      <c r="F213" s="128"/>
      <c r="G213" s="130">
        <v>19.8</v>
      </c>
      <c r="H213" s="131"/>
      <c r="I213" s="130" t="e">
        <v>#REF!</v>
      </c>
      <c r="J213" s="128"/>
      <c r="K213" s="130" t="e">
        <v>#REF!</v>
      </c>
      <c r="L213" s="128"/>
      <c r="M213" s="129">
        <v>3000</v>
      </c>
      <c r="N213" s="123"/>
      <c r="O213" s="130">
        <v>660</v>
      </c>
      <c r="P213" s="123"/>
      <c r="Q213" s="130"/>
      <c r="R213" s="123"/>
      <c r="S213" s="130"/>
      <c r="T213" s="130"/>
      <c r="U213" s="132">
        <v>45</v>
      </c>
      <c r="V213" s="130"/>
    </row>
    <row r="214" spans="1:22" ht="16">
      <c r="A214" s="176"/>
      <c r="B214" s="104" t="s">
        <v>811</v>
      </c>
      <c r="C214" s="109"/>
      <c r="D214" s="128"/>
      <c r="E214" s="129" t="s">
        <v>133</v>
      </c>
      <c r="F214" s="128"/>
      <c r="G214" s="130" t="s">
        <v>133</v>
      </c>
      <c r="H214" s="131"/>
      <c r="I214" s="130" t="e">
        <v>#REF!</v>
      </c>
      <c r="J214" s="128"/>
      <c r="K214" s="130" t="e">
        <v>#REF!</v>
      </c>
      <c r="L214" s="128"/>
      <c r="M214" s="129">
        <v>20000</v>
      </c>
      <c r="N214" s="123"/>
      <c r="O214" s="130">
        <v>4400</v>
      </c>
      <c r="P214" s="123"/>
      <c r="Q214" s="130"/>
      <c r="R214" s="123"/>
      <c r="S214" s="130"/>
      <c r="T214" s="130"/>
      <c r="U214" s="132">
        <v>49</v>
      </c>
      <c r="V214" s="130"/>
    </row>
    <row r="215" spans="1:22" ht="16">
      <c r="A215" s="181"/>
      <c r="B215" s="104" t="s">
        <v>812</v>
      </c>
      <c r="C215" s="109"/>
      <c r="D215" s="128"/>
      <c r="E215" s="129" t="s">
        <v>133</v>
      </c>
      <c r="F215" s="128"/>
      <c r="G215" s="130" t="s">
        <v>133</v>
      </c>
      <c r="H215" s="131"/>
      <c r="I215" s="130" t="e">
        <v>#REF!</v>
      </c>
      <c r="J215" s="128"/>
      <c r="K215" s="130" t="e">
        <v>#REF!</v>
      </c>
      <c r="L215" s="128"/>
      <c r="M215" s="129">
        <v>2300</v>
      </c>
      <c r="N215" s="123"/>
      <c r="O215" s="130">
        <v>506</v>
      </c>
      <c r="P215" s="123"/>
      <c r="Q215" s="130"/>
      <c r="R215" s="123"/>
      <c r="S215" s="130"/>
      <c r="T215" s="130"/>
      <c r="U215" s="132">
        <v>47</v>
      </c>
      <c r="V215" s="130"/>
    </row>
    <row r="216" spans="1:22" ht="16">
      <c r="A216" s="176"/>
      <c r="B216" s="104" t="s">
        <v>813</v>
      </c>
      <c r="C216" s="109"/>
      <c r="D216" s="128"/>
      <c r="E216" s="129">
        <v>690</v>
      </c>
      <c r="F216" s="128"/>
      <c r="G216" s="130">
        <v>151.80000000000001</v>
      </c>
      <c r="H216" s="131"/>
      <c r="I216" s="130" t="e">
        <v>#REF!</v>
      </c>
      <c r="J216" s="128"/>
      <c r="K216" s="130" t="e">
        <v>#REF!</v>
      </c>
      <c r="L216" s="128"/>
      <c r="M216" s="129">
        <v>34500</v>
      </c>
      <c r="N216" s="123"/>
      <c r="O216" s="130">
        <v>7590</v>
      </c>
      <c r="P216" s="123"/>
      <c r="Q216" s="130"/>
      <c r="R216" s="123"/>
      <c r="S216" s="130"/>
      <c r="T216" s="130"/>
      <c r="U216" s="132">
        <v>1</v>
      </c>
      <c r="V216" s="130"/>
    </row>
    <row r="217" spans="1:22" ht="16">
      <c r="A217" s="176"/>
      <c r="B217" s="104" t="s">
        <v>814</v>
      </c>
      <c r="C217" s="109"/>
      <c r="D217" s="128"/>
      <c r="E217" s="129">
        <v>690</v>
      </c>
      <c r="F217" s="128"/>
      <c r="G217" s="130">
        <v>151.80000000000001</v>
      </c>
      <c r="H217" s="131"/>
      <c r="I217" s="130" t="e">
        <v>#REF!</v>
      </c>
      <c r="J217" s="128"/>
      <c r="K217" s="130" t="e">
        <v>#REF!</v>
      </c>
      <c r="L217" s="128"/>
      <c r="M217" s="129">
        <v>34500</v>
      </c>
      <c r="N217" s="123"/>
      <c r="O217" s="130">
        <v>7590</v>
      </c>
      <c r="P217" s="123"/>
      <c r="Q217" s="130"/>
      <c r="R217" s="123"/>
      <c r="S217" s="130"/>
      <c r="T217" s="130"/>
      <c r="U217" s="132">
        <v>1</v>
      </c>
      <c r="V217" s="130"/>
    </row>
    <row r="218" spans="1:22" ht="16">
      <c r="A218" s="176"/>
      <c r="B218" s="104" t="s">
        <v>815</v>
      </c>
      <c r="C218" s="109"/>
      <c r="D218" s="128"/>
      <c r="E218" s="129">
        <v>230</v>
      </c>
      <c r="F218" s="128"/>
      <c r="G218" s="130">
        <v>50.6</v>
      </c>
      <c r="H218" s="131"/>
      <c r="I218" s="130" t="e">
        <v>#REF!</v>
      </c>
      <c r="J218" s="128"/>
      <c r="K218" s="130" t="e">
        <v>#REF!</v>
      </c>
      <c r="L218" s="128"/>
      <c r="M218" s="129">
        <v>11500</v>
      </c>
      <c r="N218" s="123"/>
      <c r="O218" s="130">
        <v>2530</v>
      </c>
      <c r="P218" s="123"/>
      <c r="Q218" s="130"/>
      <c r="R218" s="123"/>
      <c r="S218" s="130"/>
      <c r="T218" s="130"/>
      <c r="U218" s="132">
        <v>1</v>
      </c>
      <c r="V218" s="130"/>
    </row>
    <row r="219" spans="1:22" ht="16">
      <c r="A219" s="176"/>
      <c r="B219" s="104"/>
      <c r="C219" s="109"/>
      <c r="D219" s="128"/>
      <c r="E219" s="129"/>
      <c r="F219" s="128"/>
      <c r="G219" s="130"/>
      <c r="H219" s="131"/>
      <c r="I219" s="130"/>
      <c r="J219" s="128"/>
      <c r="K219" s="130"/>
      <c r="L219" s="128"/>
      <c r="M219" s="129" t="s">
        <v>566</v>
      </c>
      <c r="N219" s="123"/>
      <c r="O219" s="130"/>
      <c r="P219" s="123"/>
      <c r="Q219" s="130"/>
      <c r="R219" s="123"/>
      <c r="S219" s="130"/>
      <c r="T219" s="130"/>
      <c r="U219" s="130"/>
      <c r="V219" s="130"/>
    </row>
    <row r="220" spans="1:22" ht="16">
      <c r="A220" s="182"/>
      <c r="B220" s="156" t="s">
        <v>816</v>
      </c>
      <c r="C220" s="156"/>
      <c r="D220" s="128"/>
      <c r="E220" s="129"/>
      <c r="F220" s="128"/>
      <c r="G220" s="130"/>
      <c r="H220" s="131"/>
      <c r="I220" s="130"/>
      <c r="J220" s="128"/>
      <c r="K220" s="130"/>
      <c r="L220" s="128"/>
      <c r="M220" s="129"/>
      <c r="N220" s="123"/>
      <c r="O220" s="130" t="s">
        <v>566</v>
      </c>
      <c r="P220" s="123"/>
      <c r="Q220" s="130"/>
      <c r="R220" s="123"/>
      <c r="S220" s="130"/>
      <c r="T220" s="130"/>
      <c r="U220" s="130"/>
      <c r="V220" s="130"/>
    </row>
    <row r="221" spans="1:22" ht="16">
      <c r="A221" s="182"/>
      <c r="B221" s="104" t="s">
        <v>817</v>
      </c>
      <c r="C221" s="104"/>
      <c r="D221" s="128"/>
      <c r="E221" s="129">
        <v>1800</v>
      </c>
      <c r="F221" s="128"/>
      <c r="G221" s="130">
        <v>396</v>
      </c>
      <c r="H221" s="131"/>
      <c r="I221" s="130" t="e">
        <v>#REF!</v>
      </c>
      <c r="J221" s="128"/>
      <c r="K221" s="130" t="e">
        <v>#REF!</v>
      </c>
      <c r="L221" s="128"/>
      <c r="M221" s="129">
        <v>60000</v>
      </c>
      <c r="N221" s="123"/>
      <c r="O221" s="130">
        <v>13200</v>
      </c>
      <c r="P221" s="123"/>
      <c r="Q221" s="130"/>
      <c r="R221" s="123"/>
      <c r="S221" s="130"/>
      <c r="T221" s="130"/>
      <c r="U221" s="183">
        <v>1</v>
      </c>
      <c r="V221" s="130"/>
    </row>
    <row r="222" spans="1:22" ht="16">
      <c r="A222" s="182"/>
      <c r="B222" s="104" t="s">
        <v>818</v>
      </c>
      <c r="C222" s="104"/>
      <c r="D222" s="128"/>
      <c r="E222" s="129">
        <v>200</v>
      </c>
      <c r="F222" s="128"/>
      <c r="G222" s="130">
        <v>44</v>
      </c>
      <c r="H222" s="131"/>
      <c r="I222" s="130" t="e">
        <v>#REF!</v>
      </c>
      <c r="J222" s="128"/>
      <c r="K222" s="130" t="e">
        <v>#REF!</v>
      </c>
      <c r="L222" s="128"/>
      <c r="M222" s="129">
        <v>10000</v>
      </c>
      <c r="N222" s="123"/>
      <c r="O222" s="130">
        <v>2200</v>
      </c>
      <c r="P222" s="123"/>
      <c r="Q222" s="130"/>
      <c r="R222" s="123"/>
      <c r="S222" s="130"/>
      <c r="T222" s="130"/>
      <c r="U222" s="183">
        <v>98</v>
      </c>
      <c r="V222" s="130"/>
    </row>
    <row r="223" spans="1:22" ht="16">
      <c r="A223" s="182"/>
      <c r="B223" s="104" t="s">
        <v>819</v>
      </c>
      <c r="C223" s="109"/>
      <c r="D223" s="128"/>
      <c r="E223" s="129" t="s">
        <v>133</v>
      </c>
      <c r="F223" s="128"/>
      <c r="G223" s="130" t="s">
        <v>133</v>
      </c>
      <c r="H223" s="131"/>
      <c r="I223" s="130" t="e">
        <v>#REF!</v>
      </c>
      <c r="J223" s="128"/>
      <c r="K223" s="130" t="e">
        <v>#REF!</v>
      </c>
      <c r="L223" s="128"/>
      <c r="M223" s="129">
        <v>9000</v>
      </c>
      <c r="N223" s="123"/>
      <c r="O223" s="130">
        <v>1980</v>
      </c>
      <c r="P223" s="123"/>
      <c r="Q223" s="130"/>
      <c r="R223" s="123"/>
      <c r="S223" s="130"/>
      <c r="T223" s="130"/>
      <c r="U223" s="119"/>
      <c r="V223" s="130"/>
    </row>
    <row r="224" spans="1:22" ht="16">
      <c r="A224" s="182"/>
      <c r="B224" s="104" t="s">
        <v>820</v>
      </c>
      <c r="C224" s="109"/>
      <c r="D224" s="128"/>
      <c r="E224" s="129" t="s">
        <v>133</v>
      </c>
      <c r="F224" s="128"/>
      <c r="G224" s="130" t="s">
        <v>133</v>
      </c>
      <c r="H224" s="131"/>
      <c r="I224" s="130" t="e">
        <v>#REF!</v>
      </c>
      <c r="J224" s="128"/>
      <c r="K224" s="130" t="e">
        <v>#REF!</v>
      </c>
      <c r="L224" s="128"/>
      <c r="M224" s="129">
        <v>12000</v>
      </c>
      <c r="N224" s="123"/>
      <c r="O224" s="130">
        <v>2640</v>
      </c>
      <c r="P224" s="123"/>
      <c r="Q224" s="130"/>
      <c r="R224" s="123"/>
      <c r="S224" s="130"/>
      <c r="T224" s="130"/>
      <c r="U224" s="119"/>
      <c r="V224" s="130"/>
    </row>
    <row r="225" spans="1:22" ht="16">
      <c r="A225" s="182"/>
      <c r="B225" s="104" t="s">
        <v>821</v>
      </c>
      <c r="C225" s="109"/>
      <c r="D225" s="128"/>
      <c r="E225" s="129" t="s">
        <v>133</v>
      </c>
      <c r="F225" s="128"/>
      <c r="G225" s="130" t="s">
        <v>133</v>
      </c>
      <c r="H225" s="131"/>
      <c r="I225" s="130" t="e">
        <v>#REF!</v>
      </c>
      <c r="J225" s="128"/>
      <c r="K225" s="130" t="e">
        <v>#REF!</v>
      </c>
      <c r="L225" s="128"/>
      <c r="M225" s="129">
        <v>14000</v>
      </c>
      <c r="N225" s="123"/>
      <c r="O225" s="130">
        <v>3080</v>
      </c>
      <c r="P225" s="123"/>
      <c r="Q225" s="130"/>
      <c r="R225" s="123"/>
      <c r="S225" s="130"/>
      <c r="T225" s="130"/>
      <c r="U225" s="119"/>
      <c r="V225" s="130"/>
    </row>
    <row r="226" spans="1:22" ht="16">
      <c r="A226" s="182"/>
      <c r="B226" s="104" t="s">
        <v>822</v>
      </c>
      <c r="C226" s="109"/>
      <c r="D226" s="128"/>
      <c r="E226" s="129" t="s">
        <v>133</v>
      </c>
      <c r="F226" s="128"/>
      <c r="G226" s="130" t="s">
        <v>133</v>
      </c>
      <c r="H226" s="131"/>
      <c r="I226" s="130" t="e">
        <v>#REF!</v>
      </c>
      <c r="J226" s="128"/>
      <c r="K226" s="130" t="e">
        <v>#REF!</v>
      </c>
      <c r="L226" s="128"/>
      <c r="M226" s="129">
        <v>22000</v>
      </c>
      <c r="N226" s="123"/>
      <c r="O226" s="130">
        <v>4840</v>
      </c>
      <c r="P226" s="123"/>
      <c r="Q226" s="130"/>
      <c r="R226" s="123"/>
      <c r="S226" s="130"/>
      <c r="T226" s="130"/>
      <c r="U226" s="119"/>
      <c r="V226" s="130"/>
    </row>
    <row r="227" spans="1:22" ht="16">
      <c r="A227" s="182"/>
      <c r="B227" s="104" t="s">
        <v>823</v>
      </c>
      <c r="C227" s="109"/>
      <c r="D227" s="128"/>
      <c r="E227" s="129" t="s">
        <v>133</v>
      </c>
      <c r="F227" s="128"/>
      <c r="G227" s="130" t="s">
        <v>133</v>
      </c>
      <c r="H227" s="131"/>
      <c r="I227" s="130" t="e">
        <v>#REF!</v>
      </c>
      <c r="J227" s="128"/>
      <c r="K227" s="130" t="e">
        <v>#REF!</v>
      </c>
      <c r="L227" s="128"/>
      <c r="M227" s="129">
        <v>22000</v>
      </c>
      <c r="N227" s="123"/>
      <c r="O227" s="130">
        <v>4840</v>
      </c>
      <c r="P227" s="123"/>
      <c r="Q227" s="130"/>
      <c r="R227" s="123"/>
      <c r="S227" s="130"/>
      <c r="T227" s="130"/>
      <c r="U227" s="119"/>
      <c r="V227" s="130"/>
    </row>
    <row r="228" spans="1:22" ht="16">
      <c r="A228" s="182"/>
      <c r="B228" s="104" t="s">
        <v>824</v>
      </c>
      <c r="C228" s="109"/>
      <c r="D228" s="128" t="s">
        <v>566</v>
      </c>
      <c r="E228" s="129" t="s">
        <v>133</v>
      </c>
      <c r="F228" s="128"/>
      <c r="G228" s="129" t="s">
        <v>133</v>
      </c>
      <c r="H228" s="131"/>
      <c r="I228" s="130" t="e">
        <v>#REF!</v>
      </c>
      <c r="J228" s="128"/>
      <c r="K228" s="130" t="e">
        <v>#REF!</v>
      </c>
      <c r="L228" s="128"/>
      <c r="M228" s="129">
        <v>22000</v>
      </c>
      <c r="N228" s="123"/>
      <c r="O228" s="130">
        <v>4840</v>
      </c>
      <c r="P228" s="123"/>
      <c r="Q228" s="130"/>
      <c r="R228" s="123"/>
      <c r="S228" s="130"/>
      <c r="T228" s="130"/>
      <c r="U228" s="119"/>
      <c r="V228" s="130"/>
    </row>
    <row r="229" spans="1:22" ht="16">
      <c r="A229" s="182"/>
      <c r="B229" s="104" t="s">
        <v>825</v>
      </c>
      <c r="C229" s="109"/>
      <c r="D229" s="128"/>
      <c r="E229" s="129" t="s">
        <v>133</v>
      </c>
      <c r="F229" s="128"/>
      <c r="G229" s="129" t="s">
        <v>133</v>
      </c>
      <c r="H229" s="131"/>
      <c r="I229" s="130" t="e">
        <v>#REF!</v>
      </c>
      <c r="J229" s="128"/>
      <c r="K229" s="130" t="e">
        <v>#REF!</v>
      </c>
      <c r="L229" s="128"/>
      <c r="M229" s="129">
        <v>22000</v>
      </c>
      <c r="N229" s="123"/>
      <c r="O229" s="130">
        <v>4840</v>
      </c>
      <c r="P229" s="123"/>
      <c r="Q229" s="130"/>
      <c r="R229" s="123"/>
      <c r="S229" s="130"/>
      <c r="T229" s="130"/>
      <c r="U229" s="119"/>
      <c r="V229" s="130"/>
    </row>
    <row r="230" spans="1:22" ht="16">
      <c r="A230" s="182"/>
      <c r="B230" s="104" t="s">
        <v>826</v>
      </c>
      <c r="C230" s="109"/>
      <c r="D230" s="128"/>
      <c r="E230" s="129" t="s">
        <v>133</v>
      </c>
      <c r="F230" s="128"/>
      <c r="G230" s="129" t="s">
        <v>133</v>
      </c>
      <c r="H230" s="131"/>
      <c r="I230" s="130" t="e">
        <v>#REF!</v>
      </c>
      <c r="J230" s="128"/>
      <c r="K230" s="130" t="e">
        <v>#REF!</v>
      </c>
      <c r="L230" s="128"/>
      <c r="M230" s="129">
        <v>9000</v>
      </c>
      <c r="N230" s="123"/>
      <c r="O230" s="130">
        <v>1980</v>
      </c>
      <c r="P230" s="123"/>
      <c r="Q230" s="130"/>
      <c r="R230" s="123"/>
      <c r="S230" s="130"/>
      <c r="T230" s="130"/>
      <c r="U230" s="119"/>
      <c r="V230" s="130"/>
    </row>
    <row r="231" spans="1:22" ht="16">
      <c r="A231" s="182"/>
      <c r="B231" s="104" t="s">
        <v>827</v>
      </c>
      <c r="C231" s="109"/>
      <c r="D231" s="128"/>
      <c r="E231" s="129" t="s">
        <v>133</v>
      </c>
      <c r="F231" s="128"/>
      <c r="G231" s="129" t="s">
        <v>133</v>
      </c>
      <c r="H231" s="131"/>
      <c r="I231" s="130" t="e">
        <v>#REF!</v>
      </c>
      <c r="J231" s="128"/>
      <c r="K231" s="130" t="e">
        <v>#REF!</v>
      </c>
      <c r="L231" s="128"/>
      <c r="M231" s="129">
        <v>19500</v>
      </c>
      <c r="N231" s="123"/>
      <c r="O231" s="130">
        <v>4290</v>
      </c>
      <c r="P231" s="123"/>
      <c r="Q231" s="130"/>
      <c r="R231" s="123"/>
      <c r="S231" s="130"/>
      <c r="T231" s="130"/>
      <c r="U231" s="119"/>
      <c r="V231" s="130"/>
    </row>
    <row r="232" spans="1:22" ht="16">
      <c r="A232" s="182"/>
      <c r="B232" s="104" t="s">
        <v>828</v>
      </c>
      <c r="C232" s="109"/>
      <c r="D232" s="128"/>
      <c r="E232" s="129">
        <v>42500</v>
      </c>
      <c r="F232" s="128"/>
      <c r="G232" s="130">
        <v>9350</v>
      </c>
      <c r="H232" s="131"/>
      <c r="I232" s="130" t="e">
        <v>#REF!</v>
      </c>
      <c r="J232" s="128"/>
      <c r="K232" s="130" t="e">
        <v>#REF!</v>
      </c>
      <c r="L232" s="128"/>
      <c r="M232" s="129" t="s">
        <v>133</v>
      </c>
      <c r="N232" s="123"/>
      <c r="O232" s="129" t="s">
        <v>133</v>
      </c>
      <c r="P232" s="123"/>
      <c r="Q232" s="130"/>
      <c r="R232" s="123"/>
      <c r="S232" s="130"/>
      <c r="T232" s="130"/>
      <c r="U232" s="183">
        <v>51</v>
      </c>
      <c r="V232" s="130"/>
    </row>
    <row r="233" spans="1:22" ht="16">
      <c r="A233" s="182"/>
      <c r="B233" s="104" t="s">
        <v>829</v>
      </c>
      <c r="C233" s="109"/>
      <c r="D233" s="128"/>
      <c r="E233" s="129" t="s">
        <v>133</v>
      </c>
      <c r="F233" s="128"/>
      <c r="G233" s="130" t="s">
        <v>133</v>
      </c>
      <c r="H233" s="131"/>
      <c r="I233" s="130" t="e">
        <v>#REF!</v>
      </c>
      <c r="J233" s="128"/>
      <c r="K233" s="130" t="e">
        <v>#REF!</v>
      </c>
      <c r="L233" s="128"/>
      <c r="M233" s="129">
        <v>14000</v>
      </c>
      <c r="N233" s="123"/>
      <c r="O233" s="130">
        <v>3080</v>
      </c>
      <c r="P233" s="123"/>
      <c r="Q233" s="130"/>
      <c r="R233" s="123"/>
      <c r="S233" s="130"/>
      <c r="T233" s="130"/>
      <c r="U233" s="183">
        <v>101</v>
      </c>
      <c r="V233" s="130"/>
    </row>
    <row r="234" spans="1:22" ht="16">
      <c r="A234" s="182"/>
      <c r="B234" s="104" t="s">
        <v>830</v>
      </c>
      <c r="C234" s="109"/>
      <c r="D234" s="128"/>
      <c r="E234" s="129" t="s">
        <v>133</v>
      </c>
      <c r="F234" s="128"/>
      <c r="G234" s="129" t="s">
        <v>133</v>
      </c>
      <c r="H234" s="131"/>
      <c r="I234" s="130" t="e">
        <v>#REF!</v>
      </c>
      <c r="J234" s="128"/>
      <c r="K234" s="130" t="e">
        <v>#REF!</v>
      </c>
      <c r="L234" s="128"/>
      <c r="M234" s="129">
        <v>18000</v>
      </c>
      <c r="N234" s="123"/>
      <c r="O234" s="130">
        <v>3960</v>
      </c>
      <c r="P234" s="123"/>
      <c r="Q234" s="130"/>
      <c r="R234" s="123"/>
      <c r="S234" s="130"/>
      <c r="T234" s="130"/>
      <c r="U234" s="119"/>
      <c r="V234" s="130"/>
    </row>
    <row r="235" spans="1:22" ht="16">
      <c r="A235" s="182"/>
      <c r="B235" s="104" t="s">
        <v>831</v>
      </c>
      <c r="C235" s="109"/>
      <c r="D235" s="128"/>
      <c r="E235" s="129" t="s">
        <v>133</v>
      </c>
      <c r="F235" s="128"/>
      <c r="G235" s="130" t="s">
        <v>133</v>
      </c>
      <c r="H235" s="131"/>
      <c r="I235" s="130" t="e">
        <v>#REF!</v>
      </c>
      <c r="J235" s="128"/>
      <c r="K235" s="130" t="e">
        <v>#REF!</v>
      </c>
      <c r="L235" s="128"/>
      <c r="M235" s="129">
        <v>6000</v>
      </c>
      <c r="N235" s="123"/>
      <c r="O235" s="130">
        <v>1320</v>
      </c>
      <c r="P235" s="123"/>
      <c r="Q235" s="130"/>
      <c r="R235" s="123"/>
      <c r="S235" s="130"/>
      <c r="T235" s="130"/>
      <c r="U235" s="130"/>
      <c r="V235" s="130"/>
    </row>
    <row r="236" spans="1:22" ht="16">
      <c r="A236" s="182"/>
      <c r="B236" s="104"/>
      <c r="C236" s="109"/>
      <c r="D236" s="128"/>
      <c r="E236" s="129"/>
      <c r="F236" s="128"/>
      <c r="G236" s="130"/>
      <c r="H236" s="131"/>
      <c r="I236" s="130"/>
      <c r="J236" s="128"/>
      <c r="K236" s="130"/>
      <c r="L236" s="128"/>
      <c r="M236" s="129"/>
      <c r="N236" s="123"/>
      <c r="O236" s="130"/>
      <c r="P236" s="123"/>
      <c r="Q236" s="130"/>
      <c r="R236" s="123"/>
      <c r="S236" s="130"/>
      <c r="T236" s="130"/>
      <c r="U236" s="130"/>
      <c r="V236" s="130"/>
    </row>
    <row r="237" spans="1:22" ht="16">
      <c r="A237" s="176"/>
      <c r="B237" s="156" t="s">
        <v>832</v>
      </c>
      <c r="C237" s="156"/>
      <c r="D237" s="128"/>
      <c r="E237" s="129"/>
      <c r="F237" s="128"/>
      <c r="G237" s="130"/>
      <c r="H237" s="131"/>
      <c r="I237" s="130"/>
      <c r="J237" s="128"/>
      <c r="K237" s="130"/>
      <c r="L237" s="128"/>
      <c r="M237" s="129"/>
      <c r="N237" s="123"/>
      <c r="O237" s="130"/>
      <c r="P237" s="123"/>
      <c r="Q237" s="130"/>
      <c r="R237" s="123"/>
      <c r="S237" s="130"/>
      <c r="T237" s="130"/>
      <c r="U237" s="130"/>
      <c r="V237" s="130"/>
    </row>
    <row r="238" spans="1:22" ht="16">
      <c r="A238" s="176"/>
      <c r="B238" s="104" t="s">
        <v>833</v>
      </c>
      <c r="C238" s="104"/>
      <c r="D238" s="128"/>
      <c r="E238" s="129">
        <v>920</v>
      </c>
      <c r="F238" s="128"/>
      <c r="G238" s="130">
        <v>202.4</v>
      </c>
      <c r="H238" s="131"/>
      <c r="I238" s="130">
        <v>0</v>
      </c>
      <c r="J238" s="128"/>
      <c r="K238" s="130">
        <v>0</v>
      </c>
      <c r="L238" s="128"/>
      <c r="M238" s="129">
        <v>46000</v>
      </c>
      <c r="N238" s="123"/>
      <c r="O238" s="130">
        <v>10120</v>
      </c>
      <c r="P238" s="123"/>
      <c r="Q238" s="130"/>
      <c r="R238" s="123"/>
      <c r="S238" s="130"/>
      <c r="T238" s="130"/>
      <c r="U238" s="183">
        <v>10</v>
      </c>
      <c r="V238" s="130"/>
    </row>
    <row r="239" spans="1:22" ht="16">
      <c r="A239" s="176"/>
      <c r="B239" s="109"/>
      <c r="C239" s="109"/>
      <c r="D239" s="128"/>
      <c r="E239" s="184" t="s">
        <v>566</v>
      </c>
      <c r="F239" s="185"/>
      <c r="G239" s="173"/>
      <c r="H239" s="173"/>
      <c r="I239" s="173"/>
      <c r="J239" s="185"/>
      <c r="K239" s="173"/>
      <c r="L239" s="185"/>
      <c r="M239" s="184"/>
      <c r="N239" s="173"/>
      <c r="O239" s="173"/>
      <c r="P239" s="103"/>
      <c r="Q239" s="186"/>
      <c r="R239" s="103"/>
      <c r="S239" s="186"/>
      <c r="T239" s="186"/>
      <c r="U239" s="186"/>
      <c r="V239" s="186"/>
    </row>
    <row r="240" spans="1:22" ht="16">
      <c r="A240" s="176"/>
      <c r="B240" s="156" t="s">
        <v>2546</v>
      </c>
      <c r="C240" s="157"/>
      <c r="D240" s="128"/>
      <c r="E240" s="129"/>
      <c r="F240" s="128"/>
      <c r="G240" s="130"/>
      <c r="H240" s="131"/>
      <c r="I240" s="130"/>
      <c r="J240" s="128"/>
      <c r="K240" s="130"/>
      <c r="L240" s="128"/>
      <c r="M240" s="129" t="s">
        <v>566</v>
      </c>
      <c r="N240" s="123"/>
      <c r="O240" s="130"/>
      <c r="P240" s="123"/>
      <c r="Q240" s="130"/>
      <c r="R240" s="123"/>
      <c r="S240" s="130"/>
      <c r="T240" s="130"/>
      <c r="U240" s="130"/>
      <c r="V240" s="130"/>
    </row>
    <row r="241" spans="1:22" ht="16">
      <c r="A241" s="176"/>
      <c r="B241" s="104" t="s">
        <v>2547</v>
      </c>
      <c r="C241" s="109"/>
      <c r="D241" s="128"/>
      <c r="E241" s="129">
        <v>1200</v>
      </c>
      <c r="F241" s="128"/>
      <c r="G241" s="130">
        <v>264</v>
      </c>
      <c r="H241" s="131"/>
      <c r="I241" s="130" t="e">
        <v>#REF!</v>
      </c>
      <c r="J241" s="128"/>
      <c r="K241" s="130" t="e">
        <v>#REF!</v>
      </c>
      <c r="L241" s="128"/>
      <c r="M241" s="129" t="s">
        <v>133</v>
      </c>
      <c r="N241" s="123"/>
      <c r="O241" s="130" t="s">
        <v>133</v>
      </c>
      <c r="P241" s="123"/>
      <c r="Q241" s="130"/>
      <c r="R241" s="123"/>
      <c r="S241" s="130"/>
      <c r="T241" s="130"/>
      <c r="U241" s="132" t="s">
        <v>655</v>
      </c>
      <c r="V241" s="130"/>
    </row>
    <row r="242" spans="1:22" ht="16">
      <c r="A242" s="176"/>
      <c r="B242" s="104" t="s">
        <v>2548</v>
      </c>
      <c r="C242" s="109"/>
      <c r="D242" s="128"/>
      <c r="E242" s="129">
        <v>2000</v>
      </c>
      <c r="F242" s="128"/>
      <c r="G242" s="130">
        <v>440</v>
      </c>
      <c r="H242" s="131"/>
      <c r="I242" s="130" t="e">
        <v>#REF!</v>
      </c>
      <c r="J242" s="128"/>
      <c r="K242" s="130" t="e">
        <v>#REF!</v>
      </c>
      <c r="L242" s="128"/>
      <c r="M242" s="129">
        <v>221250</v>
      </c>
      <c r="N242" s="123"/>
      <c r="O242" s="130">
        <v>48675</v>
      </c>
      <c r="P242" s="123"/>
      <c r="Q242" s="130"/>
      <c r="R242" s="123"/>
      <c r="S242" s="130"/>
      <c r="T242" s="130"/>
      <c r="U242" s="132">
        <v>81</v>
      </c>
      <c r="V242" s="130"/>
    </row>
    <row r="243" spans="1:22" ht="16">
      <c r="A243" s="176" t="s">
        <v>566</v>
      </c>
      <c r="B243" s="104" t="s">
        <v>2549</v>
      </c>
      <c r="C243" s="109"/>
      <c r="D243" s="128" t="s">
        <v>566</v>
      </c>
      <c r="E243" s="129">
        <v>3675</v>
      </c>
      <c r="F243" s="128"/>
      <c r="G243" s="130">
        <v>808.5</v>
      </c>
      <c r="H243" s="131"/>
      <c r="I243" s="130" t="e">
        <v>#REF!</v>
      </c>
      <c r="J243" s="128"/>
      <c r="K243" s="130" t="e">
        <v>#REF!</v>
      </c>
      <c r="L243" s="128"/>
      <c r="M243" s="129">
        <v>300000</v>
      </c>
      <c r="N243" s="123"/>
      <c r="O243" s="130">
        <v>66000</v>
      </c>
      <c r="P243" s="123"/>
      <c r="Q243" s="130"/>
      <c r="R243" s="123"/>
      <c r="S243" s="130"/>
      <c r="T243" s="130"/>
      <c r="U243" s="132" t="s">
        <v>2550</v>
      </c>
      <c r="V243" s="130"/>
    </row>
    <row r="244" spans="1:22" ht="16">
      <c r="A244" s="176"/>
      <c r="B244" s="104" t="s">
        <v>2551</v>
      </c>
      <c r="C244" s="109"/>
      <c r="D244" s="128" t="s">
        <v>566</v>
      </c>
      <c r="E244" s="129">
        <v>5800</v>
      </c>
      <c r="F244" s="128"/>
      <c r="G244" s="130">
        <v>1276</v>
      </c>
      <c r="H244" s="131"/>
      <c r="I244" s="130" t="e">
        <v>#REF!</v>
      </c>
      <c r="J244" s="128"/>
      <c r="K244" s="130" t="e">
        <v>#REF!</v>
      </c>
      <c r="L244" s="128"/>
      <c r="M244" s="129" t="s">
        <v>133</v>
      </c>
      <c r="N244" s="123"/>
      <c r="O244" s="130" t="s">
        <v>133</v>
      </c>
      <c r="P244" s="123"/>
      <c r="Q244" s="130"/>
      <c r="R244" s="123"/>
      <c r="S244" s="130"/>
      <c r="T244" s="130"/>
      <c r="U244" s="132"/>
      <c r="V244" s="130"/>
    </row>
    <row r="245" spans="1:22" ht="16">
      <c r="A245" s="176"/>
      <c r="B245" s="104" t="s">
        <v>2552</v>
      </c>
      <c r="C245" s="109"/>
      <c r="D245" s="128" t="s">
        <v>566</v>
      </c>
      <c r="E245" s="129">
        <v>460</v>
      </c>
      <c r="F245" s="128"/>
      <c r="G245" s="130">
        <v>101.2</v>
      </c>
      <c r="H245" s="131"/>
      <c r="I245" s="130" t="e">
        <v>#REF!</v>
      </c>
      <c r="J245" s="128"/>
      <c r="K245" s="130" t="e">
        <v>#REF!</v>
      </c>
      <c r="L245" s="128"/>
      <c r="M245" s="129">
        <v>46000</v>
      </c>
      <c r="N245" s="123"/>
      <c r="O245" s="130">
        <v>10120</v>
      </c>
      <c r="P245" s="123"/>
      <c r="Q245" s="130"/>
      <c r="R245" s="123"/>
      <c r="S245" s="130"/>
      <c r="T245" s="130"/>
      <c r="U245" s="132">
        <v>14</v>
      </c>
      <c r="V245" s="130"/>
    </row>
    <row r="246" spans="1:22">
      <c r="A246" s="101"/>
      <c r="B246" s="101"/>
      <c r="C246" s="101"/>
      <c r="D246" s="101"/>
      <c r="E246" s="102"/>
      <c r="F246" s="101"/>
      <c r="G246" s="101"/>
      <c r="H246" s="103"/>
      <c r="I246" s="102"/>
      <c r="J246" s="101"/>
      <c r="K246" s="102"/>
      <c r="L246" s="101"/>
      <c r="M246" s="102"/>
      <c r="N246" s="101"/>
      <c r="O246" s="101"/>
      <c r="P246" s="101"/>
      <c r="Q246" s="102"/>
      <c r="R246" s="104"/>
      <c r="S246" s="105"/>
      <c r="T246" s="105"/>
      <c r="U246" s="105"/>
      <c r="V246" s="105"/>
    </row>
    <row r="247" spans="1:22" ht="16">
      <c r="A247" s="122"/>
      <c r="B247" s="104"/>
      <c r="C247" s="109"/>
      <c r="D247" s="128"/>
      <c r="E247" s="129"/>
      <c r="F247" s="128"/>
      <c r="G247" s="130"/>
      <c r="H247" s="131"/>
      <c r="I247" s="130"/>
      <c r="J247" s="128"/>
      <c r="K247" s="130"/>
      <c r="L247" s="128"/>
      <c r="M247" s="129"/>
      <c r="N247" s="123"/>
      <c r="O247" s="130"/>
      <c r="P247" s="145"/>
      <c r="Q247" s="146"/>
      <c r="R247" s="145"/>
      <c r="S247" s="146"/>
      <c r="T247" s="146"/>
      <c r="U247" s="187"/>
      <c r="V247" s="146"/>
    </row>
    <row r="248" spans="1:22" ht="16">
      <c r="A248" s="122"/>
      <c r="B248" s="174" t="s">
        <v>2553</v>
      </c>
      <c r="C248" s="109"/>
      <c r="D248" s="128"/>
      <c r="E248" s="129" t="s">
        <v>566</v>
      </c>
      <c r="F248" s="128"/>
      <c r="G248" s="130"/>
      <c r="H248" s="131"/>
      <c r="I248" s="130"/>
      <c r="J248" s="128"/>
      <c r="K248" s="130"/>
      <c r="L248" s="128"/>
      <c r="M248" s="129" t="s">
        <v>566</v>
      </c>
      <c r="N248" s="123"/>
      <c r="O248" s="130"/>
      <c r="P248" s="145"/>
      <c r="Q248" s="146"/>
      <c r="R248" s="145"/>
      <c r="S248" s="146"/>
      <c r="T248" s="146"/>
      <c r="U248" s="187"/>
      <c r="V248" s="146"/>
    </row>
    <row r="249" spans="1:22" ht="16">
      <c r="A249" s="122"/>
      <c r="B249" s="104" t="s">
        <v>834</v>
      </c>
      <c r="C249" s="109"/>
      <c r="D249" s="128"/>
      <c r="E249" s="129">
        <v>230</v>
      </c>
      <c r="F249" s="128"/>
      <c r="G249" s="130">
        <v>50.6</v>
      </c>
      <c r="H249" s="131"/>
      <c r="I249" s="130"/>
      <c r="J249" s="128"/>
      <c r="K249" s="130"/>
      <c r="L249" s="128"/>
      <c r="M249" s="129">
        <v>11500</v>
      </c>
      <c r="N249" s="123"/>
      <c r="O249" s="130">
        <v>2530</v>
      </c>
      <c r="P249" s="145"/>
      <c r="Q249" s="146"/>
      <c r="R249" s="145"/>
      <c r="S249" s="146"/>
      <c r="T249" s="146"/>
      <c r="U249" s="132">
        <v>27</v>
      </c>
      <c r="V249" s="146"/>
    </row>
    <row r="250" spans="1:22" ht="16">
      <c r="A250" s="122"/>
      <c r="B250" s="104"/>
      <c r="C250" s="109"/>
      <c r="D250" s="128"/>
      <c r="E250" s="129"/>
      <c r="F250" s="128"/>
      <c r="G250" s="130"/>
      <c r="H250" s="131"/>
      <c r="I250" s="130"/>
      <c r="J250" s="128"/>
      <c r="K250" s="130"/>
      <c r="L250" s="128"/>
      <c r="M250" s="129"/>
      <c r="N250" s="123"/>
      <c r="O250" s="130"/>
      <c r="P250" s="145"/>
      <c r="Q250" s="146"/>
      <c r="R250" s="145"/>
      <c r="S250" s="146"/>
      <c r="T250" s="146"/>
      <c r="U250" s="187"/>
      <c r="V250" s="146"/>
    </row>
    <row r="251" spans="1:22" ht="16">
      <c r="A251" s="122"/>
      <c r="B251" s="174" t="s">
        <v>835</v>
      </c>
      <c r="C251" s="109"/>
      <c r="D251" s="128"/>
      <c r="E251" s="129" t="s">
        <v>566</v>
      </c>
      <c r="F251" s="128"/>
      <c r="G251" s="130"/>
      <c r="H251" s="131"/>
      <c r="I251" s="130"/>
      <c r="J251" s="128"/>
      <c r="K251" s="130"/>
      <c r="L251" s="128"/>
      <c r="M251" s="129" t="s">
        <v>566</v>
      </c>
      <c r="N251" s="123"/>
      <c r="O251" s="130"/>
      <c r="P251" s="145"/>
      <c r="Q251" s="146"/>
      <c r="R251" s="145"/>
      <c r="S251" s="146"/>
      <c r="T251" s="146"/>
      <c r="U251" s="187"/>
      <c r="V251" s="146"/>
    </row>
    <row r="252" spans="1:22" ht="16">
      <c r="A252" s="122"/>
      <c r="B252" s="104" t="s">
        <v>836</v>
      </c>
      <c r="C252" s="109"/>
      <c r="D252" s="128"/>
      <c r="E252" s="129">
        <v>690</v>
      </c>
      <c r="F252" s="128"/>
      <c r="G252" s="130">
        <v>151.80000000000001</v>
      </c>
      <c r="H252" s="131"/>
      <c r="I252" s="130"/>
      <c r="J252" s="128"/>
      <c r="K252" s="130"/>
      <c r="L252" s="128"/>
      <c r="M252" s="129">
        <v>23000</v>
      </c>
      <c r="N252" s="123"/>
      <c r="O252" s="130">
        <v>5060</v>
      </c>
      <c r="P252" s="145"/>
      <c r="Q252" s="146"/>
      <c r="R252" s="145"/>
      <c r="S252" s="146"/>
      <c r="T252" s="146"/>
      <c r="U252" s="187">
        <v>89</v>
      </c>
      <c r="V252" s="146"/>
    </row>
    <row r="253" spans="1:22" ht="16">
      <c r="A253" s="122"/>
      <c r="B253" s="104" t="s">
        <v>837</v>
      </c>
      <c r="C253" s="109"/>
      <c r="D253" s="128" t="s">
        <v>566</v>
      </c>
      <c r="E253" s="129">
        <v>690</v>
      </c>
      <c r="F253" s="128"/>
      <c r="G253" s="130">
        <v>151.80000000000001</v>
      </c>
      <c r="H253" s="131"/>
      <c r="I253" s="130"/>
      <c r="J253" s="128"/>
      <c r="K253" s="130"/>
      <c r="L253" s="128"/>
      <c r="M253" s="129">
        <v>25300</v>
      </c>
      <c r="N253" s="123"/>
      <c r="O253" s="130">
        <v>5566</v>
      </c>
      <c r="P253" s="145"/>
      <c r="Q253" s="146"/>
      <c r="R253" s="145"/>
      <c r="S253" s="146"/>
      <c r="T253" s="146"/>
      <c r="U253" s="132" t="s">
        <v>1632</v>
      </c>
      <c r="V253" s="146"/>
    </row>
    <row r="254" spans="1:22" ht="16">
      <c r="A254" s="122" t="s">
        <v>566</v>
      </c>
      <c r="B254" s="104" t="s">
        <v>838</v>
      </c>
      <c r="C254" s="109"/>
      <c r="D254" s="128" t="s">
        <v>566</v>
      </c>
      <c r="E254" s="129">
        <v>2400</v>
      </c>
      <c r="F254" s="128"/>
      <c r="G254" s="130">
        <v>528</v>
      </c>
      <c r="H254" s="131"/>
      <c r="I254" s="130"/>
      <c r="J254" s="128"/>
      <c r="K254" s="130"/>
      <c r="L254" s="128"/>
      <c r="M254" s="129">
        <v>80000</v>
      </c>
      <c r="N254" s="123"/>
      <c r="O254" s="130">
        <v>17600</v>
      </c>
      <c r="P254" s="145"/>
      <c r="Q254" s="146"/>
      <c r="R254" s="145"/>
      <c r="S254" s="146"/>
      <c r="T254" s="146"/>
      <c r="U254" s="132" t="s">
        <v>656</v>
      </c>
      <c r="V254" s="146"/>
    </row>
    <row r="255" spans="1:22" ht="17" thickBot="1">
      <c r="A255" s="122"/>
      <c r="B255" s="104"/>
      <c r="C255" s="109"/>
      <c r="D255" s="128"/>
      <c r="E255" s="129"/>
      <c r="F255" s="128"/>
      <c r="G255" s="130"/>
      <c r="H255" s="131"/>
      <c r="I255" s="130"/>
      <c r="J255" s="128"/>
      <c r="K255" s="130"/>
      <c r="L255" s="128"/>
      <c r="M255" s="129"/>
      <c r="N255" s="123"/>
      <c r="O255" s="130" t="s">
        <v>566</v>
      </c>
      <c r="P255" s="145"/>
      <c r="Q255" s="146"/>
      <c r="R255" s="145"/>
      <c r="S255" s="146"/>
      <c r="T255" s="146"/>
      <c r="U255" s="146"/>
      <c r="V255" s="146"/>
    </row>
    <row r="256" spans="1:22" ht="57" thickBot="1">
      <c r="A256" s="122"/>
      <c r="B256" s="188"/>
      <c r="C256" s="109"/>
      <c r="D256" s="128"/>
      <c r="E256" s="116" t="s">
        <v>710</v>
      </c>
      <c r="F256" s="115"/>
      <c r="G256" s="117" t="s">
        <v>649</v>
      </c>
      <c r="H256" s="118"/>
      <c r="I256" s="117" t="e">
        <v>#REF!</v>
      </c>
      <c r="J256" s="119"/>
      <c r="K256" s="117" t="e">
        <v>#REF!</v>
      </c>
      <c r="L256" s="119"/>
      <c r="M256" s="117" t="s">
        <v>711</v>
      </c>
      <c r="N256" s="123"/>
      <c r="O256" s="130"/>
      <c r="P256" s="123"/>
      <c r="Q256" s="130"/>
      <c r="R256" s="123"/>
      <c r="S256" s="130"/>
      <c r="T256" s="130"/>
      <c r="U256" s="117" t="s">
        <v>614</v>
      </c>
      <c r="V256" s="130"/>
    </row>
    <row r="257" spans="1:22" ht="16">
      <c r="A257" s="122"/>
      <c r="B257" s="189" t="s">
        <v>839</v>
      </c>
      <c r="C257" s="109"/>
      <c r="D257" s="128"/>
      <c r="E257" s="129"/>
      <c r="F257" s="128"/>
      <c r="G257" s="130"/>
      <c r="H257" s="131"/>
      <c r="I257" s="130"/>
      <c r="J257" s="128"/>
      <c r="K257" s="130"/>
      <c r="L257" s="128"/>
      <c r="M257" s="129"/>
      <c r="N257" s="123"/>
      <c r="O257" s="130"/>
      <c r="P257" s="123"/>
      <c r="Q257" s="130"/>
      <c r="R257" s="123"/>
      <c r="S257" s="130"/>
      <c r="T257" s="130"/>
      <c r="U257" s="130"/>
      <c r="V257" s="130"/>
    </row>
    <row r="258" spans="1:22" ht="16">
      <c r="A258" s="122"/>
      <c r="B258" s="188" t="s">
        <v>840</v>
      </c>
      <c r="C258" s="109" t="s">
        <v>566</v>
      </c>
      <c r="D258" s="128"/>
      <c r="E258" s="129">
        <v>92000</v>
      </c>
      <c r="F258" s="128"/>
      <c r="G258" s="130">
        <v>20240</v>
      </c>
      <c r="H258" s="131"/>
      <c r="I258" s="130"/>
      <c r="J258" s="128"/>
      <c r="K258" s="130"/>
      <c r="L258" s="128"/>
      <c r="M258" s="129" t="s">
        <v>241</v>
      </c>
      <c r="N258" s="123"/>
      <c r="O258" s="130"/>
      <c r="P258" s="123"/>
      <c r="Q258" s="130"/>
      <c r="R258" s="123"/>
      <c r="S258" s="130"/>
      <c r="T258" s="130"/>
      <c r="U258" s="341">
        <v>10</v>
      </c>
      <c r="V258" s="130"/>
    </row>
    <row r="259" spans="1:22" ht="17" thickBot="1">
      <c r="A259" s="122"/>
      <c r="B259" s="190"/>
      <c r="C259" s="148"/>
      <c r="D259" s="149"/>
      <c r="E259" s="178"/>
      <c r="F259" s="149"/>
      <c r="G259" s="146"/>
      <c r="H259" s="179"/>
      <c r="I259" s="146"/>
      <c r="J259" s="149"/>
      <c r="K259" s="146"/>
      <c r="L259" s="149"/>
      <c r="M259" s="178"/>
      <c r="N259" s="145"/>
      <c r="O259" s="146"/>
      <c r="P259" s="145"/>
      <c r="Q259" s="146"/>
      <c r="R259" s="145"/>
      <c r="S259" s="146"/>
      <c r="T259" s="146"/>
      <c r="U259" s="146"/>
      <c r="V259" s="146"/>
    </row>
    <row r="260" spans="1:22" ht="57" thickBot="1">
      <c r="A260" s="122"/>
      <c r="B260" s="188"/>
      <c r="C260" s="109"/>
      <c r="D260" s="128"/>
      <c r="E260" s="116" t="s">
        <v>648</v>
      </c>
      <c r="F260" s="115"/>
      <c r="G260" s="117" t="s">
        <v>649</v>
      </c>
      <c r="H260" s="118"/>
      <c r="I260" s="117" t="s">
        <v>650</v>
      </c>
      <c r="J260" s="115"/>
      <c r="K260" s="117" t="s">
        <v>651</v>
      </c>
      <c r="L260" s="115"/>
      <c r="M260" s="116" t="s">
        <v>613</v>
      </c>
      <c r="N260" s="119"/>
      <c r="O260" s="117" t="s">
        <v>649</v>
      </c>
      <c r="P260" s="123"/>
      <c r="Q260" s="130"/>
      <c r="R260" s="123"/>
      <c r="S260" s="130"/>
      <c r="T260" s="130"/>
      <c r="U260" s="117" t="s">
        <v>614</v>
      </c>
      <c r="V260" s="130"/>
    </row>
    <row r="261" spans="1:22" ht="16">
      <c r="A261" s="122"/>
      <c r="B261" s="189" t="s">
        <v>841</v>
      </c>
      <c r="C261" s="109"/>
      <c r="D261" s="128"/>
      <c r="E261" s="129"/>
      <c r="F261" s="128"/>
      <c r="G261" s="130"/>
      <c r="H261" s="131"/>
      <c r="I261" s="130"/>
      <c r="J261" s="128"/>
      <c r="K261" s="130"/>
      <c r="L261" s="128"/>
      <c r="M261" s="129"/>
      <c r="N261" s="123"/>
      <c r="O261" s="130"/>
      <c r="P261" s="123"/>
      <c r="Q261" s="130"/>
      <c r="R261" s="123"/>
      <c r="S261" s="130"/>
      <c r="T261" s="130"/>
      <c r="U261" s="132"/>
      <c r="V261" s="130"/>
    </row>
    <row r="262" spans="1:22" ht="16">
      <c r="A262" s="122"/>
      <c r="B262" s="188" t="s">
        <v>842</v>
      </c>
      <c r="C262" s="109" t="s">
        <v>566</v>
      </c>
      <c r="D262" s="128"/>
      <c r="E262" s="129">
        <v>2900</v>
      </c>
      <c r="F262" s="128"/>
      <c r="G262" s="130">
        <v>638</v>
      </c>
      <c r="H262" s="131"/>
      <c r="I262" s="130" t="e">
        <v>#REF!</v>
      </c>
      <c r="J262" s="128"/>
      <c r="K262" s="130" t="e">
        <v>#REF!</v>
      </c>
      <c r="L262" s="128"/>
      <c r="M262" s="129">
        <v>138000</v>
      </c>
      <c r="N262" s="123"/>
      <c r="O262" s="130">
        <v>30360</v>
      </c>
      <c r="P262" s="123"/>
      <c r="Q262" s="130"/>
      <c r="R262" s="123"/>
      <c r="S262" s="130"/>
      <c r="T262" s="130"/>
      <c r="U262" s="132" t="s">
        <v>657</v>
      </c>
      <c r="V262" s="130"/>
    </row>
    <row r="263" spans="1:22" ht="16">
      <c r="A263" s="122"/>
      <c r="B263" s="188"/>
      <c r="C263" s="109"/>
      <c r="D263" s="128"/>
      <c r="E263" s="129"/>
      <c r="F263" s="128"/>
      <c r="G263" s="130"/>
      <c r="H263" s="131"/>
      <c r="I263" s="130"/>
      <c r="J263" s="128"/>
      <c r="K263" s="130"/>
      <c r="L263" s="128"/>
      <c r="M263" s="129"/>
      <c r="N263" s="123"/>
      <c r="O263" s="130"/>
      <c r="P263" s="123"/>
      <c r="Q263" s="130"/>
      <c r="R263" s="123"/>
      <c r="S263" s="130"/>
      <c r="T263" s="130"/>
      <c r="U263" s="132"/>
      <c r="V263" s="130"/>
    </row>
    <row r="264" spans="1:22" ht="16">
      <c r="A264" s="122"/>
      <c r="B264" s="188" t="s">
        <v>843</v>
      </c>
      <c r="C264" s="109"/>
      <c r="D264" s="128"/>
      <c r="E264" s="129">
        <v>520</v>
      </c>
      <c r="F264" s="128"/>
      <c r="G264" s="130">
        <v>114.4</v>
      </c>
      <c r="H264" s="131"/>
      <c r="I264" s="130" t="e">
        <v>#REF!</v>
      </c>
      <c r="J264" s="128"/>
      <c r="K264" s="130" t="e">
        <v>#REF!</v>
      </c>
      <c r="L264" s="128"/>
      <c r="M264" s="129">
        <v>40500</v>
      </c>
      <c r="N264" s="123"/>
      <c r="O264" s="130">
        <v>8910</v>
      </c>
      <c r="P264" s="123"/>
      <c r="Q264" s="130"/>
      <c r="R264" s="123"/>
      <c r="S264" s="130"/>
      <c r="T264" s="130"/>
      <c r="U264" s="132" t="s">
        <v>657</v>
      </c>
      <c r="V264" s="130"/>
    </row>
    <row r="265" spans="1:22" ht="16">
      <c r="A265" s="122"/>
      <c r="B265" s="188"/>
      <c r="C265" s="109"/>
      <c r="D265" s="128"/>
      <c r="E265" s="129"/>
      <c r="F265" s="128"/>
      <c r="G265" s="130"/>
      <c r="H265" s="131"/>
      <c r="I265" s="130"/>
      <c r="J265" s="128"/>
      <c r="K265" s="130"/>
      <c r="L265" s="128"/>
      <c r="M265" s="129"/>
      <c r="N265" s="123"/>
      <c r="O265" s="130"/>
      <c r="P265" s="123"/>
      <c r="Q265" s="130"/>
      <c r="R265" s="123"/>
      <c r="S265" s="130"/>
      <c r="T265" s="130"/>
      <c r="U265" s="132"/>
      <c r="V265" s="130"/>
    </row>
    <row r="266" spans="1:22" ht="16">
      <c r="A266" s="122"/>
      <c r="B266" s="174"/>
      <c r="C266" s="109"/>
      <c r="D266" s="128"/>
      <c r="E266" s="129"/>
      <c r="F266" s="128"/>
      <c r="G266" s="130"/>
      <c r="H266" s="131"/>
      <c r="I266" s="130"/>
      <c r="J266" s="128"/>
      <c r="K266" s="130"/>
      <c r="L266" s="128"/>
      <c r="M266" s="129"/>
      <c r="N266" s="123"/>
      <c r="O266" s="130"/>
      <c r="P266" s="123"/>
      <c r="Q266" s="130"/>
      <c r="R266" s="123"/>
      <c r="S266" s="130"/>
      <c r="T266" s="130"/>
      <c r="U266" s="132"/>
      <c r="V266" s="130"/>
    </row>
    <row r="267" spans="1:22" ht="16">
      <c r="A267" s="122"/>
      <c r="B267" s="109"/>
      <c r="C267" s="109"/>
      <c r="D267" s="128"/>
      <c r="E267" s="129"/>
      <c r="F267" s="128"/>
      <c r="G267" s="130"/>
      <c r="H267" s="131"/>
      <c r="I267" s="130"/>
      <c r="J267" s="128"/>
      <c r="K267" s="130"/>
      <c r="L267" s="128"/>
      <c r="M267" s="129"/>
      <c r="N267" s="123"/>
      <c r="O267" s="130"/>
      <c r="P267" s="123"/>
      <c r="Q267" s="130"/>
      <c r="R267" s="123"/>
      <c r="S267" s="130"/>
      <c r="T267" s="130"/>
      <c r="U267" s="130"/>
      <c r="V267" s="130"/>
    </row>
    <row r="268" spans="1:22" ht="16">
      <c r="A268" s="122"/>
      <c r="B268" s="109"/>
      <c r="C268" s="109"/>
      <c r="D268" s="128"/>
      <c r="E268" s="129"/>
      <c r="F268" s="128"/>
      <c r="G268" s="130"/>
      <c r="H268" s="131"/>
      <c r="I268" s="130"/>
      <c r="J268" s="128"/>
      <c r="K268" s="130"/>
      <c r="L268" s="128"/>
      <c r="M268" s="129"/>
      <c r="N268" s="123"/>
      <c r="O268" s="130"/>
      <c r="P268" s="123"/>
      <c r="Q268" s="130"/>
      <c r="R268" s="123"/>
      <c r="S268" s="130"/>
      <c r="T268" s="130"/>
      <c r="U268" s="130"/>
      <c r="V268" s="130"/>
    </row>
    <row r="269" spans="1:22" ht="16">
      <c r="A269" s="176"/>
      <c r="B269" s="109" t="s">
        <v>566</v>
      </c>
      <c r="C269" s="109"/>
      <c r="D269" s="128"/>
      <c r="E269" s="129"/>
      <c r="F269" s="128"/>
      <c r="G269" s="130"/>
      <c r="H269" s="131"/>
      <c r="I269" s="130"/>
      <c r="J269" s="128"/>
      <c r="K269" s="130"/>
      <c r="L269" s="128"/>
      <c r="M269" s="129"/>
      <c r="N269" s="123"/>
      <c r="O269" s="130"/>
      <c r="P269" s="123"/>
      <c r="Q269" s="130"/>
      <c r="R269" s="123"/>
      <c r="S269" s="130"/>
      <c r="T269" s="130"/>
      <c r="U269" s="130"/>
      <c r="V269" s="130"/>
    </row>
    <row r="270" spans="1:22" ht="16">
      <c r="A270" s="176"/>
      <c r="B270" s="109"/>
      <c r="C270" s="109"/>
      <c r="D270" s="128"/>
      <c r="E270" s="129"/>
      <c r="F270" s="128"/>
      <c r="G270" s="130"/>
      <c r="H270" s="131"/>
      <c r="I270" s="130"/>
      <c r="J270" s="128"/>
      <c r="K270" s="130"/>
      <c r="L270" s="128"/>
      <c r="M270" s="129"/>
      <c r="N270" s="123"/>
      <c r="O270" s="130"/>
      <c r="P270" s="123"/>
      <c r="Q270" s="130"/>
      <c r="R270" s="123"/>
      <c r="S270" s="130"/>
      <c r="T270" s="130"/>
      <c r="U270" s="130"/>
      <c r="V270" s="130"/>
    </row>
    <row r="271" spans="1:22" ht="16">
      <c r="A271" s="176"/>
      <c r="B271" s="109"/>
      <c r="C271" s="109"/>
      <c r="D271" s="128"/>
      <c r="E271" s="129"/>
      <c r="F271" s="128"/>
      <c r="G271" s="130"/>
      <c r="H271" s="131"/>
      <c r="I271" s="130"/>
      <c r="J271" s="128"/>
      <c r="K271" s="130"/>
      <c r="L271" s="128"/>
      <c r="M271" s="129"/>
      <c r="N271" s="123"/>
      <c r="O271" s="130"/>
      <c r="P271" s="123"/>
      <c r="Q271" s="130"/>
      <c r="R271" s="123"/>
      <c r="S271" s="130"/>
      <c r="T271" s="130"/>
      <c r="U271" s="130"/>
      <c r="V271" s="130"/>
    </row>
    <row r="272" spans="1:22" ht="16">
      <c r="A272" s="122"/>
      <c r="B272" s="168" t="s">
        <v>633</v>
      </c>
      <c r="C272" s="337"/>
      <c r="D272" s="337"/>
      <c r="E272" s="337"/>
      <c r="F272" s="337"/>
      <c r="G272" s="337"/>
      <c r="H272" s="337"/>
      <c r="I272" s="337"/>
      <c r="J272" s="337"/>
      <c r="K272" s="337"/>
      <c r="L272" s="337"/>
      <c r="M272" s="337"/>
      <c r="N272" s="337"/>
      <c r="O272" s="337"/>
      <c r="P272" s="129"/>
      <c r="Q272" s="129"/>
      <c r="R272" s="129"/>
      <c r="S272" s="129"/>
      <c r="T272" s="129"/>
      <c r="U272" s="107" t="s">
        <v>683</v>
      </c>
      <c r="V272" s="129"/>
    </row>
    <row r="273" spans="1:22" ht="17" thickBot="1">
      <c r="A273" s="176"/>
      <c r="B273" s="109" t="s">
        <v>566</v>
      </c>
      <c r="C273" s="109"/>
      <c r="D273" s="128"/>
      <c r="E273" s="129"/>
      <c r="F273" s="128"/>
      <c r="G273" s="130"/>
      <c r="H273" s="131"/>
      <c r="I273" s="130"/>
      <c r="J273" s="128"/>
      <c r="K273" s="130"/>
      <c r="L273" s="128"/>
      <c r="M273" s="129"/>
      <c r="N273" s="123"/>
      <c r="O273" s="130"/>
      <c r="P273" s="123"/>
      <c r="Q273" s="130"/>
      <c r="R273" s="123"/>
      <c r="S273" s="130"/>
      <c r="T273" s="130"/>
      <c r="U273" s="130"/>
      <c r="V273" s="130"/>
    </row>
    <row r="274" spans="1:22" ht="57" thickBot="1">
      <c r="A274" s="122"/>
      <c r="B274" s="188"/>
      <c r="C274" s="109"/>
      <c r="D274" s="128"/>
      <c r="E274" s="116" t="s">
        <v>648</v>
      </c>
      <c r="F274" s="115"/>
      <c r="G274" s="117" t="s">
        <v>649</v>
      </c>
      <c r="H274" s="118"/>
      <c r="I274" s="117" t="s">
        <v>650</v>
      </c>
      <c r="J274" s="115"/>
      <c r="K274" s="117" t="s">
        <v>651</v>
      </c>
      <c r="L274" s="115"/>
      <c r="M274" s="116" t="s">
        <v>613</v>
      </c>
      <c r="N274" s="119"/>
      <c r="O274" s="117" t="s">
        <v>649</v>
      </c>
      <c r="P274" s="123"/>
      <c r="Q274" s="130"/>
      <c r="R274" s="123"/>
      <c r="S274" s="130"/>
      <c r="T274" s="130"/>
      <c r="U274" s="117" t="s">
        <v>614</v>
      </c>
      <c r="V274" s="130"/>
    </row>
    <row r="275" spans="1:22">
      <c r="A275" s="191"/>
      <c r="B275" s="156" t="s">
        <v>844</v>
      </c>
      <c r="C275" s="157"/>
      <c r="D275" s="128"/>
      <c r="E275" s="129"/>
      <c r="F275" s="128"/>
      <c r="G275" s="130"/>
      <c r="H275" s="131"/>
      <c r="I275" s="130"/>
      <c r="J275" s="128"/>
      <c r="K275" s="130"/>
      <c r="L275" s="128"/>
      <c r="M275" s="129"/>
      <c r="N275" s="123"/>
      <c r="O275" s="130"/>
      <c r="P275" s="123"/>
      <c r="Q275" s="130"/>
      <c r="R275" s="123"/>
      <c r="S275" s="130"/>
      <c r="T275" s="130"/>
      <c r="U275" s="132"/>
      <c r="V275" s="192"/>
    </row>
    <row r="276" spans="1:22">
      <c r="A276" s="191"/>
      <c r="B276" s="109" t="s">
        <v>845</v>
      </c>
      <c r="C276" s="109"/>
      <c r="D276" s="128"/>
      <c r="E276" s="129">
        <v>4000</v>
      </c>
      <c r="F276" s="128"/>
      <c r="G276" s="130">
        <v>880</v>
      </c>
      <c r="H276" s="131"/>
      <c r="I276" s="130" t="e">
        <v>#REF!</v>
      </c>
      <c r="J276" s="128"/>
      <c r="K276" s="130" t="e">
        <v>#REF!</v>
      </c>
      <c r="L276" s="128"/>
      <c r="M276" s="129">
        <v>200000</v>
      </c>
      <c r="N276" s="123"/>
      <c r="O276" s="130">
        <v>44000</v>
      </c>
      <c r="P276" s="123"/>
      <c r="Q276" s="130"/>
      <c r="R276" s="123"/>
      <c r="S276" s="130"/>
      <c r="T276" s="130"/>
      <c r="U276" s="132" t="s">
        <v>640</v>
      </c>
      <c r="V276" s="192"/>
    </row>
    <row r="277" spans="1:22">
      <c r="A277" s="191"/>
      <c r="B277" s="109" t="s">
        <v>846</v>
      </c>
      <c r="C277" s="109"/>
      <c r="D277" s="128"/>
      <c r="E277" s="129">
        <v>2500</v>
      </c>
      <c r="F277" s="128"/>
      <c r="G277" s="130">
        <v>550</v>
      </c>
      <c r="H277" s="131"/>
      <c r="I277" s="130"/>
      <c r="J277" s="128"/>
      <c r="K277" s="130"/>
      <c r="L277" s="128"/>
      <c r="M277" s="129">
        <v>125000</v>
      </c>
      <c r="N277" s="123"/>
      <c r="O277" s="130">
        <v>27500</v>
      </c>
      <c r="P277" s="123"/>
      <c r="Q277" s="130"/>
      <c r="R277" s="123"/>
      <c r="S277" s="130"/>
      <c r="T277" s="130"/>
      <c r="U277" s="132">
        <v>1</v>
      </c>
      <c r="V277" s="192"/>
    </row>
    <row r="278" spans="1:22">
      <c r="A278" s="191"/>
      <c r="B278" s="109" t="s">
        <v>847</v>
      </c>
      <c r="C278" s="109"/>
      <c r="D278" s="128"/>
      <c r="E278" s="129">
        <v>3450</v>
      </c>
      <c r="F278" s="128"/>
      <c r="G278" s="130">
        <v>759</v>
      </c>
      <c r="H278" s="131"/>
      <c r="I278" s="130"/>
      <c r="J278" s="128"/>
      <c r="K278" s="130"/>
      <c r="L278" s="128"/>
      <c r="M278" s="129">
        <v>172500</v>
      </c>
      <c r="N278" s="123"/>
      <c r="O278" s="130">
        <v>37950</v>
      </c>
      <c r="P278" s="123"/>
      <c r="Q278" s="130"/>
      <c r="R278" s="123"/>
      <c r="S278" s="130"/>
      <c r="T278" s="130"/>
      <c r="U278" s="132">
        <v>1</v>
      </c>
      <c r="V278" s="192"/>
    </row>
    <row r="279" spans="1:22">
      <c r="A279" s="191"/>
      <c r="B279" s="109" t="s">
        <v>848</v>
      </c>
      <c r="C279" s="109"/>
      <c r="D279" s="128"/>
      <c r="E279" s="129">
        <v>2000</v>
      </c>
      <c r="F279" s="128"/>
      <c r="G279" s="130">
        <v>440</v>
      </c>
      <c r="H279" s="131"/>
      <c r="I279" s="130"/>
      <c r="J279" s="128"/>
      <c r="K279" s="130"/>
      <c r="L279" s="128"/>
      <c r="M279" s="129">
        <v>100000</v>
      </c>
      <c r="N279" s="123"/>
      <c r="O279" s="130">
        <v>22000</v>
      </c>
      <c r="P279" s="123"/>
      <c r="Q279" s="130"/>
      <c r="R279" s="123"/>
      <c r="S279" s="130"/>
      <c r="T279" s="130"/>
      <c r="U279" s="132">
        <v>1</v>
      </c>
      <c r="V279" s="192"/>
    </row>
    <row r="280" spans="1:22">
      <c r="A280" s="191"/>
      <c r="B280" s="109" t="s">
        <v>849</v>
      </c>
      <c r="C280" s="109"/>
      <c r="D280" s="128"/>
      <c r="E280" s="129">
        <v>500</v>
      </c>
      <c r="F280" s="128"/>
      <c r="G280" s="130">
        <v>110</v>
      </c>
      <c r="H280" s="131"/>
      <c r="I280" s="130"/>
      <c r="J280" s="128"/>
      <c r="K280" s="130"/>
      <c r="L280" s="128"/>
      <c r="M280" s="129">
        <v>25000</v>
      </c>
      <c r="N280" s="123"/>
      <c r="O280" s="130">
        <v>5500</v>
      </c>
      <c r="P280" s="123"/>
      <c r="Q280" s="130"/>
      <c r="R280" s="123"/>
      <c r="S280" s="130"/>
      <c r="T280" s="130"/>
      <c r="U280" s="132">
        <v>1</v>
      </c>
      <c r="V280" s="192"/>
    </row>
    <row r="281" spans="1:22">
      <c r="A281" s="191"/>
      <c r="B281" s="109" t="s">
        <v>850</v>
      </c>
      <c r="C281" s="109"/>
      <c r="D281" s="128"/>
      <c r="E281" s="129">
        <v>2300</v>
      </c>
      <c r="F281" s="128"/>
      <c r="G281" s="130">
        <v>506</v>
      </c>
      <c r="H281" s="131"/>
      <c r="I281" s="130"/>
      <c r="J281" s="128"/>
      <c r="K281" s="130"/>
      <c r="L281" s="128"/>
      <c r="M281" s="129">
        <v>115000</v>
      </c>
      <c r="N281" s="123"/>
      <c r="O281" s="130">
        <v>25300</v>
      </c>
      <c r="P281" s="123"/>
      <c r="Q281" s="130"/>
      <c r="R281" s="123"/>
      <c r="S281" s="130"/>
      <c r="T281" s="130"/>
      <c r="U281" s="132">
        <v>1</v>
      </c>
      <c r="V281" s="192"/>
    </row>
    <row r="282" spans="1:22">
      <c r="A282" s="191"/>
      <c r="B282" s="109" t="s">
        <v>851</v>
      </c>
      <c r="C282" s="109"/>
      <c r="D282" s="128"/>
      <c r="E282" s="129">
        <v>1840</v>
      </c>
      <c r="F282" s="128"/>
      <c r="G282" s="130">
        <v>404.8</v>
      </c>
      <c r="H282" s="131"/>
      <c r="I282" s="130"/>
      <c r="J282" s="128"/>
      <c r="K282" s="130"/>
      <c r="L282" s="128"/>
      <c r="M282" s="129">
        <v>92000</v>
      </c>
      <c r="N282" s="123"/>
      <c r="O282" s="130">
        <v>20240</v>
      </c>
      <c r="P282" s="123"/>
      <c r="Q282" s="130"/>
      <c r="R282" s="123"/>
      <c r="S282" s="130"/>
      <c r="T282" s="130"/>
      <c r="U282" s="132">
        <v>1</v>
      </c>
      <c r="V282" s="192"/>
    </row>
    <row r="283" spans="1:22">
      <c r="A283" s="191"/>
      <c r="B283" s="109" t="s">
        <v>852</v>
      </c>
      <c r="C283" s="109"/>
      <c r="D283" s="128"/>
      <c r="E283" s="129">
        <v>2000</v>
      </c>
      <c r="F283" s="128"/>
      <c r="G283" s="130">
        <v>440</v>
      </c>
      <c r="H283" s="131"/>
      <c r="I283" s="130"/>
      <c r="J283" s="128"/>
      <c r="K283" s="130"/>
      <c r="L283" s="128"/>
      <c r="M283" s="129">
        <v>100000</v>
      </c>
      <c r="N283" s="123"/>
      <c r="O283" s="130">
        <v>22000</v>
      </c>
      <c r="P283" s="123"/>
      <c r="Q283" s="130"/>
      <c r="R283" s="123"/>
      <c r="S283" s="130"/>
      <c r="T283" s="130"/>
      <c r="U283" s="132">
        <v>1</v>
      </c>
      <c r="V283" s="192"/>
    </row>
    <row r="284" spans="1:22">
      <c r="A284" s="191" t="s">
        <v>566</v>
      </c>
      <c r="B284" s="109" t="s">
        <v>853</v>
      </c>
      <c r="C284" s="109"/>
      <c r="D284" s="128"/>
      <c r="E284" s="129">
        <v>1200</v>
      </c>
      <c r="F284" s="128"/>
      <c r="G284" s="130">
        <v>264</v>
      </c>
      <c r="H284" s="131"/>
      <c r="I284" s="130"/>
      <c r="J284" s="128"/>
      <c r="K284" s="130"/>
      <c r="L284" s="128"/>
      <c r="M284" s="129">
        <v>60000</v>
      </c>
      <c r="N284" s="123"/>
      <c r="O284" s="130">
        <v>13200</v>
      </c>
      <c r="P284" s="123"/>
      <c r="Q284" s="130"/>
      <c r="R284" s="123"/>
      <c r="S284" s="130"/>
      <c r="T284" s="130"/>
      <c r="U284" s="132">
        <v>1</v>
      </c>
      <c r="V284" s="192"/>
    </row>
    <row r="285" spans="1:22">
      <c r="A285" s="191"/>
      <c r="B285" s="109" t="s">
        <v>854</v>
      </c>
      <c r="C285" s="109"/>
      <c r="D285" s="128"/>
      <c r="E285" s="129">
        <v>600</v>
      </c>
      <c r="F285" s="128"/>
      <c r="G285" s="130">
        <v>132</v>
      </c>
      <c r="H285" s="131"/>
      <c r="I285" s="130"/>
      <c r="J285" s="128"/>
      <c r="K285" s="130"/>
      <c r="L285" s="128"/>
      <c r="M285" s="129">
        <v>30000</v>
      </c>
      <c r="N285" s="123"/>
      <c r="O285" s="130">
        <v>6600</v>
      </c>
      <c r="P285" s="123"/>
      <c r="Q285" s="130"/>
      <c r="R285" s="123"/>
      <c r="S285" s="130"/>
      <c r="T285" s="130"/>
      <c r="U285" s="132">
        <v>1</v>
      </c>
      <c r="V285" s="192"/>
    </row>
    <row r="286" spans="1:22">
      <c r="A286" s="191"/>
      <c r="B286" s="109" t="s">
        <v>855</v>
      </c>
      <c r="C286" s="109"/>
      <c r="D286" s="128"/>
      <c r="E286" s="129">
        <v>100</v>
      </c>
      <c r="F286" s="128"/>
      <c r="G286" s="130">
        <v>22</v>
      </c>
      <c r="H286" s="131"/>
      <c r="I286" s="130"/>
      <c r="J286" s="128"/>
      <c r="K286" s="130"/>
      <c r="L286" s="128"/>
      <c r="M286" s="129">
        <v>20000</v>
      </c>
      <c r="N286" s="123"/>
      <c r="O286" s="130">
        <v>4400</v>
      </c>
      <c r="P286" s="123"/>
      <c r="Q286" s="130"/>
      <c r="R286" s="123"/>
      <c r="S286" s="130"/>
      <c r="T286" s="130"/>
      <c r="U286" s="132" t="s">
        <v>640</v>
      </c>
      <c r="V286" s="192"/>
    </row>
    <row r="287" spans="1:22">
      <c r="A287" s="191"/>
      <c r="B287" s="109"/>
      <c r="C287" s="109"/>
      <c r="D287" s="128"/>
      <c r="E287" s="129"/>
      <c r="F287" s="128"/>
      <c r="G287" s="130"/>
      <c r="H287" s="131"/>
      <c r="I287" s="130"/>
      <c r="J287" s="128"/>
      <c r="K287" s="130"/>
      <c r="L287" s="128"/>
      <c r="M287" s="129"/>
      <c r="N287" s="123"/>
      <c r="O287" s="130"/>
      <c r="P287" s="123"/>
      <c r="Q287" s="130"/>
      <c r="R287" s="123"/>
      <c r="S287" s="130"/>
      <c r="T287" s="130"/>
      <c r="U287" s="132"/>
      <c r="V287" s="192"/>
    </row>
    <row r="288" spans="1:22">
      <c r="A288" s="191"/>
      <c r="B288" s="144" t="s">
        <v>658</v>
      </c>
      <c r="C288" s="109"/>
      <c r="D288" s="128"/>
      <c r="E288" s="129"/>
      <c r="F288" s="128"/>
      <c r="G288" s="130"/>
      <c r="H288" s="131"/>
      <c r="I288" s="130"/>
      <c r="J288" s="128"/>
      <c r="K288" s="130"/>
      <c r="L288" s="128"/>
      <c r="M288" s="129"/>
      <c r="N288" s="123"/>
      <c r="O288" s="130"/>
      <c r="P288" s="123"/>
      <c r="Q288" s="130"/>
      <c r="R288" s="123"/>
      <c r="S288" s="130"/>
      <c r="T288" s="130"/>
      <c r="U288" s="132"/>
      <c r="V288" s="192"/>
    </row>
    <row r="289" spans="1:22">
      <c r="A289" s="191"/>
      <c r="B289" s="109" t="s">
        <v>856</v>
      </c>
      <c r="C289" s="109" t="s">
        <v>566</v>
      </c>
      <c r="D289" s="128"/>
      <c r="E289" s="129">
        <v>400</v>
      </c>
      <c r="F289" s="128"/>
      <c r="G289" s="130">
        <v>88</v>
      </c>
      <c r="H289" s="131"/>
      <c r="I289" s="130"/>
      <c r="J289" s="128"/>
      <c r="K289" s="130"/>
      <c r="L289" s="128"/>
      <c r="M289" s="129">
        <v>20000</v>
      </c>
      <c r="N289" s="123"/>
      <c r="O289" s="130">
        <v>4400</v>
      </c>
      <c r="P289" s="123"/>
      <c r="Q289" s="130"/>
      <c r="R289" s="123"/>
      <c r="S289" s="130"/>
      <c r="T289" s="130"/>
      <c r="U289" s="132" t="s">
        <v>659</v>
      </c>
      <c r="V289" s="192"/>
    </row>
    <row r="290" spans="1:22" ht="16" thickBot="1">
      <c r="A290" s="191"/>
      <c r="B290" s="109"/>
      <c r="C290" s="109"/>
      <c r="D290" s="128"/>
      <c r="E290" s="129"/>
      <c r="F290" s="128"/>
      <c r="G290" s="130"/>
      <c r="H290" s="131"/>
      <c r="I290" s="130"/>
      <c r="J290" s="128"/>
      <c r="K290" s="130"/>
      <c r="L290" s="128"/>
      <c r="M290" s="129"/>
      <c r="N290" s="123"/>
      <c r="O290" s="130"/>
      <c r="P290" s="123"/>
      <c r="Q290" s="130"/>
      <c r="R290" s="123"/>
      <c r="S290" s="130"/>
      <c r="T290" s="130"/>
      <c r="U290" s="132"/>
      <c r="V290" s="192"/>
    </row>
    <row r="291" spans="1:22" ht="57" thickBot="1">
      <c r="A291" s="191"/>
      <c r="B291" s="188"/>
      <c r="C291" s="109"/>
      <c r="D291" s="128"/>
      <c r="E291" s="116" t="s">
        <v>710</v>
      </c>
      <c r="F291" s="115"/>
      <c r="G291" s="117" t="s">
        <v>649</v>
      </c>
      <c r="H291" s="118"/>
      <c r="I291" s="117" t="e">
        <v>#REF!</v>
      </c>
      <c r="J291" s="119"/>
      <c r="K291" s="117" t="e">
        <v>#REF!</v>
      </c>
      <c r="L291" s="119"/>
      <c r="M291" s="117" t="s">
        <v>711</v>
      </c>
      <c r="N291" s="123"/>
      <c r="O291" s="130"/>
      <c r="P291" s="123"/>
      <c r="Q291" s="130"/>
      <c r="R291" s="123"/>
      <c r="S291" s="130"/>
      <c r="T291" s="130"/>
      <c r="U291" s="117" t="s">
        <v>614</v>
      </c>
      <c r="V291" s="192"/>
    </row>
    <row r="292" spans="1:22">
      <c r="A292" s="191"/>
      <c r="B292" s="109" t="s">
        <v>857</v>
      </c>
      <c r="C292" s="109"/>
      <c r="D292" s="128"/>
      <c r="E292" s="129">
        <v>30000</v>
      </c>
      <c r="F292" s="128"/>
      <c r="G292" s="130">
        <v>6600</v>
      </c>
      <c r="H292" s="131"/>
      <c r="I292" s="130"/>
      <c r="J292" s="128"/>
      <c r="K292" s="130"/>
      <c r="L292" s="128"/>
      <c r="M292" s="129" t="s">
        <v>858</v>
      </c>
      <c r="N292" s="123"/>
      <c r="O292" s="130"/>
      <c r="P292" s="123"/>
      <c r="Q292" s="130"/>
      <c r="R292" s="123"/>
      <c r="S292" s="130"/>
      <c r="T292" s="130"/>
      <c r="U292" s="132" t="s">
        <v>660</v>
      </c>
      <c r="V292" s="192"/>
    </row>
    <row r="293" spans="1:22" ht="16" thickBot="1">
      <c r="A293" s="191"/>
      <c r="B293" s="109"/>
      <c r="C293" s="109"/>
      <c r="D293" s="128"/>
      <c r="E293" s="129"/>
      <c r="F293" s="128"/>
      <c r="G293" s="130"/>
      <c r="H293" s="131"/>
      <c r="I293" s="130"/>
      <c r="J293" s="128"/>
      <c r="K293" s="130"/>
      <c r="L293" s="128"/>
      <c r="M293" s="129"/>
      <c r="N293" s="123"/>
      <c r="O293" s="130"/>
      <c r="P293" s="123"/>
      <c r="Q293" s="130"/>
      <c r="R293" s="123"/>
      <c r="S293" s="130"/>
      <c r="T293" s="130"/>
      <c r="U293" s="132"/>
      <c r="V293" s="192"/>
    </row>
    <row r="294" spans="1:22" ht="57" thickBot="1">
      <c r="A294" s="191"/>
      <c r="B294" s="188"/>
      <c r="C294" s="109"/>
      <c r="D294" s="128"/>
      <c r="E294" s="116" t="s">
        <v>648</v>
      </c>
      <c r="F294" s="115"/>
      <c r="G294" s="117" t="s">
        <v>649</v>
      </c>
      <c r="H294" s="118"/>
      <c r="I294" s="117" t="s">
        <v>650</v>
      </c>
      <c r="J294" s="115"/>
      <c r="K294" s="117" t="s">
        <v>651</v>
      </c>
      <c r="L294" s="115"/>
      <c r="M294" s="116" t="s">
        <v>613</v>
      </c>
      <c r="N294" s="119"/>
      <c r="O294" s="117" t="s">
        <v>649</v>
      </c>
      <c r="P294" s="123"/>
      <c r="Q294" s="130"/>
      <c r="R294" s="123"/>
      <c r="S294" s="130"/>
      <c r="T294" s="130"/>
      <c r="U294" s="117" t="s">
        <v>614</v>
      </c>
      <c r="V294" s="192"/>
    </row>
    <row r="295" spans="1:22">
      <c r="A295" s="191"/>
      <c r="B295" s="144" t="s">
        <v>859</v>
      </c>
      <c r="C295" s="109"/>
      <c r="D295" s="128"/>
      <c r="E295" s="129"/>
      <c r="F295" s="128"/>
      <c r="G295" s="130"/>
      <c r="H295" s="131"/>
      <c r="I295" s="130"/>
      <c r="J295" s="128"/>
      <c r="K295" s="130"/>
      <c r="L295" s="128"/>
      <c r="M295" s="129"/>
      <c r="N295" s="123"/>
      <c r="O295" s="130"/>
      <c r="P295" s="123"/>
      <c r="Q295" s="130"/>
      <c r="R295" s="123"/>
      <c r="S295" s="130"/>
      <c r="T295" s="130"/>
      <c r="U295" s="130"/>
      <c r="V295" s="192"/>
    </row>
    <row r="296" spans="1:22">
      <c r="A296" s="191"/>
      <c r="B296" s="109" t="s">
        <v>860</v>
      </c>
      <c r="C296" s="148"/>
      <c r="D296" s="149" t="s">
        <v>566</v>
      </c>
      <c r="E296" s="129" t="s">
        <v>133</v>
      </c>
      <c r="F296" s="128"/>
      <c r="G296" s="130" t="s">
        <v>133</v>
      </c>
      <c r="H296" s="179"/>
      <c r="I296" s="146"/>
      <c r="J296" s="149"/>
      <c r="K296" s="146"/>
      <c r="L296" s="149"/>
      <c r="M296" s="129">
        <v>20000</v>
      </c>
      <c r="N296" s="123"/>
      <c r="O296" s="130">
        <v>4400</v>
      </c>
      <c r="P296" s="145"/>
      <c r="Q296" s="146"/>
      <c r="R296" s="145"/>
      <c r="S296" s="146"/>
      <c r="T296" s="146"/>
      <c r="U296" s="132">
        <v>30</v>
      </c>
      <c r="V296" s="192"/>
    </row>
    <row r="297" spans="1:22">
      <c r="A297" s="191"/>
      <c r="B297" s="109" t="s">
        <v>861</v>
      </c>
      <c r="C297" s="148"/>
      <c r="D297" s="149"/>
      <c r="E297" s="129" t="s">
        <v>133</v>
      </c>
      <c r="F297" s="128"/>
      <c r="G297" s="130" t="s">
        <v>133</v>
      </c>
      <c r="H297" s="179"/>
      <c r="I297" s="146"/>
      <c r="J297" s="149"/>
      <c r="K297" s="146"/>
      <c r="L297" s="149"/>
      <c r="M297" s="129">
        <v>11500</v>
      </c>
      <c r="N297" s="123"/>
      <c r="O297" s="130">
        <v>2530</v>
      </c>
      <c r="P297" s="145"/>
      <c r="Q297" s="146"/>
      <c r="R297" s="145"/>
      <c r="S297" s="146"/>
      <c r="T297" s="146"/>
      <c r="U297" s="132" t="s">
        <v>661</v>
      </c>
      <c r="V297" s="192"/>
    </row>
    <row r="298" spans="1:22">
      <c r="A298" s="191"/>
      <c r="B298" s="109"/>
      <c r="C298" s="148"/>
      <c r="D298" s="149"/>
      <c r="E298" s="129"/>
      <c r="F298" s="128"/>
      <c r="G298" s="130"/>
      <c r="H298" s="179"/>
      <c r="I298" s="146"/>
      <c r="J298" s="149"/>
      <c r="K298" s="146"/>
      <c r="L298" s="149"/>
      <c r="M298" s="129"/>
      <c r="N298" s="123"/>
      <c r="O298" s="130"/>
      <c r="P298" s="145"/>
      <c r="Q298" s="146"/>
      <c r="R298" s="145"/>
      <c r="S298" s="146"/>
      <c r="T298" s="146"/>
      <c r="U298" s="146"/>
      <c r="V298" s="192"/>
    </row>
    <row r="299" spans="1:22">
      <c r="A299" s="191"/>
      <c r="B299" s="127" t="s">
        <v>862</v>
      </c>
      <c r="C299" s="109"/>
      <c r="D299" s="128"/>
      <c r="E299" s="129"/>
      <c r="F299" s="128"/>
      <c r="G299" s="130"/>
      <c r="H299" s="131"/>
      <c r="I299" s="130"/>
      <c r="J299" s="128"/>
      <c r="K299" s="130"/>
      <c r="L299" s="128"/>
      <c r="M299" s="129"/>
      <c r="N299" s="123"/>
      <c r="O299" s="130"/>
      <c r="P299" s="123"/>
      <c r="Q299" s="130"/>
      <c r="R299" s="123"/>
      <c r="S299" s="130"/>
      <c r="T299" s="130"/>
      <c r="U299" s="130"/>
      <c r="V299" s="192"/>
    </row>
    <row r="300" spans="1:22">
      <c r="A300" s="191"/>
      <c r="B300" s="109" t="s">
        <v>863</v>
      </c>
      <c r="C300" s="109" t="s">
        <v>566</v>
      </c>
      <c r="D300" s="128"/>
      <c r="E300" s="129">
        <v>240</v>
      </c>
      <c r="F300" s="128"/>
      <c r="G300" s="130">
        <v>52.8</v>
      </c>
      <c r="H300" s="131"/>
      <c r="I300" s="130"/>
      <c r="J300" s="128"/>
      <c r="K300" s="130"/>
      <c r="L300" s="128"/>
      <c r="M300" s="129">
        <v>12000</v>
      </c>
      <c r="N300" s="123"/>
      <c r="O300" s="130">
        <v>2640</v>
      </c>
      <c r="P300" s="123"/>
      <c r="Q300" s="130"/>
      <c r="R300" s="123"/>
      <c r="S300" s="130"/>
      <c r="T300" s="130"/>
      <c r="U300" s="132">
        <v>79</v>
      </c>
      <c r="V300" s="192"/>
    </row>
    <row r="301" spans="1:22" ht="16" thickBot="1">
      <c r="A301" s="191"/>
      <c r="B301" s="195"/>
      <c r="C301" s="194"/>
      <c r="D301" s="196"/>
      <c r="E301" s="120"/>
      <c r="F301" s="196"/>
      <c r="G301" s="120"/>
      <c r="H301" s="120"/>
      <c r="I301" s="120"/>
      <c r="J301" s="120"/>
      <c r="K301" s="120"/>
      <c r="L301" s="120"/>
      <c r="M301" s="120"/>
      <c r="N301" s="196"/>
      <c r="O301" s="120"/>
      <c r="P301" s="196"/>
      <c r="Q301" s="194"/>
      <c r="R301" s="193"/>
      <c r="S301" s="193"/>
      <c r="T301" s="193"/>
      <c r="U301" s="120"/>
      <c r="V301" s="192"/>
    </row>
    <row r="302" spans="1:22" ht="57" thickBot="1">
      <c r="A302" s="197"/>
      <c r="B302" s="198"/>
      <c r="C302" s="197" t="s">
        <v>566</v>
      </c>
      <c r="D302" s="115"/>
      <c r="E302" s="116" t="s">
        <v>710</v>
      </c>
      <c r="F302" s="115"/>
      <c r="G302" s="117" t="s">
        <v>649</v>
      </c>
      <c r="H302" s="118"/>
      <c r="I302" s="117" t="e">
        <v>#REF!</v>
      </c>
      <c r="J302" s="119"/>
      <c r="K302" s="117" t="e">
        <v>#REF!</v>
      </c>
      <c r="L302" s="119"/>
      <c r="M302" s="117" t="s">
        <v>711</v>
      </c>
      <c r="N302" s="115"/>
      <c r="O302" s="117" t="s">
        <v>561</v>
      </c>
      <c r="P302" s="115"/>
      <c r="Q302" s="169"/>
      <c r="R302" s="199"/>
      <c r="S302" s="199"/>
      <c r="T302" s="199"/>
      <c r="U302" s="117" t="s">
        <v>614</v>
      </c>
      <c r="V302" s="199"/>
    </row>
    <row r="303" spans="1:22">
      <c r="A303" s="197"/>
      <c r="B303" s="200" t="s">
        <v>662</v>
      </c>
      <c r="C303" s="201"/>
      <c r="D303" s="115"/>
      <c r="E303" s="184"/>
      <c r="F303" s="185"/>
      <c r="G303" s="173"/>
      <c r="H303" s="173"/>
      <c r="I303" s="173"/>
      <c r="J303" s="173"/>
      <c r="K303" s="173"/>
      <c r="L303" s="173"/>
      <c r="M303" s="173"/>
      <c r="N303" s="185"/>
      <c r="O303" s="173"/>
      <c r="P303" s="115"/>
      <c r="Q303" s="169"/>
      <c r="R303" s="199"/>
      <c r="S303" s="199"/>
      <c r="T303" s="199"/>
      <c r="U303" s="199"/>
      <c r="V303" s="199"/>
    </row>
    <row r="304" spans="1:22" ht="45">
      <c r="A304" s="197"/>
      <c r="B304" s="497" t="s">
        <v>864</v>
      </c>
      <c r="C304" s="497"/>
      <c r="D304" s="202" t="s">
        <v>566</v>
      </c>
      <c r="E304" s="129">
        <v>4400</v>
      </c>
      <c r="F304" s="203"/>
      <c r="G304" s="130">
        <v>968</v>
      </c>
      <c r="H304" s="204"/>
      <c r="I304" s="204"/>
      <c r="J304" s="204"/>
      <c r="K304" s="204"/>
      <c r="L304" s="204"/>
      <c r="M304" s="496" t="s">
        <v>642</v>
      </c>
      <c r="N304" s="205"/>
      <c r="O304" s="206" t="s">
        <v>133</v>
      </c>
      <c r="P304" s="207"/>
      <c r="Q304" s="316"/>
      <c r="R304" s="208"/>
      <c r="S304" s="208"/>
      <c r="T304" s="208"/>
      <c r="U304" s="209">
        <v>1</v>
      </c>
      <c r="V304" s="199"/>
    </row>
    <row r="305" spans="1:22" ht="30">
      <c r="A305" s="197"/>
      <c r="B305" s="497"/>
      <c r="C305" s="497"/>
      <c r="D305" s="202"/>
      <c r="E305" s="129">
        <v>220000</v>
      </c>
      <c r="F305" s="203"/>
      <c r="G305" s="130">
        <v>48400</v>
      </c>
      <c r="H305" s="204"/>
      <c r="I305" s="204"/>
      <c r="J305" s="204"/>
      <c r="K305" s="204"/>
      <c r="L305" s="204"/>
      <c r="M305" s="496" t="s">
        <v>241</v>
      </c>
      <c r="N305" s="205"/>
      <c r="O305" s="210">
        <v>1</v>
      </c>
      <c r="P305" s="207"/>
      <c r="Q305" s="316"/>
      <c r="R305" s="208"/>
      <c r="S305" s="208"/>
      <c r="T305" s="208"/>
      <c r="U305" s="209"/>
      <c r="V305" s="199"/>
    </row>
    <row r="306" spans="1:22">
      <c r="A306" s="197"/>
      <c r="B306" s="211"/>
      <c r="C306" s="212"/>
      <c r="D306" s="115"/>
      <c r="E306" s="184"/>
      <c r="F306" s="185"/>
      <c r="G306" s="173"/>
      <c r="H306" s="173"/>
      <c r="I306" s="173"/>
      <c r="J306" s="173"/>
      <c r="K306" s="173"/>
      <c r="L306" s="173"/>
      <c r="M306" s="173"/>
      <c r="N306" s="185"/>
      <c r="O306" s="173"/>
      <c r="P306" s="115"/>
      <c r="Q306" s="169"/>
      <c r="R306" s="199"/>
      <c r="S306" s="199"/>
      <c r="T306" s="199"/>
      <c r="U306" s="199"/>
      <c r="V306" s="199"/>
    </row>
    <row r="307" spans="1:22" ht="45">
      <c r="A307" s="197"/>
      <c r="B307" s="497" t="s">
        <v>865</v>
      </c>
      <c r="C307" s="497"/>
      <c r="D307" s="202" t="s">
        <v>566</v>
      </c>
      <c r="E307" s="129">
        <v>3600</v>
      </c>
      <c r="F307" s="203"/>
      <c r="G307" s="130">
        <v>792</v>
      </c>
      <c r="H307" s="204"/>
      <c r="I307" s="204"/>
      <c r="J307" s="204"/>
      <c r="K307" s="204"/>
      <c r="L307" s="204"/>
      <c r="M307" s="496" t="s">
        <v>642</v>
      </c>
      <c r="N307" s="205"/>
      <c r="O307" s="206" t="s">
        <v>133</v>
      </c>
      <c r="P307" s="207"/>
      <c r="Q307" s="316"/>
      <c r="R307" s="208"/>
      <c r="S307" s="208"/>
      <c r="T307" s="208"/>
      <c r="U307" s="209">
        <v>1</v>
      </c>
      <c r="V307" s="199"/>
    </row>
    <row r="308" spans="1:22" ht="30">
      <c r="A308" s="197"/>
      <c r="B308" s="497"/>
      <c r="C308" s="497"/>
      <c r="D308" s="202"/>
      <c r="E308" s="129">
        <v>180000</v>
      </c>
      <c r="F308" s="203"/>
      <c r="G308" s="130">
        <v>39600</v>
      </c>
      <c r="H308" s="204"/>
      <c r="I308" s="204"/>
      <c r="J308" s="204"/>
      <c r="K308" s="204"/>
      <c r="L308" s="204"/>
      <c r="M308" s="496" t="s">
        <v>241</v>
      </c>
      <c r="N308" s="205"/>
      <c r="O308" s="210">
        <v>1</v>
      </c>
      <c r="P308" s="207"/>
      <c r="Q308" s="316"/>
      <c r="R308" s="208"/>
      <c r="S308" s="208"/>
      <c r="T308" s="208"/>
      <c r="U308" s="209"/>
      <c r="V308" s="199"/>
    </row>
    <row r="309" spans="1:22">
      <c r="A309" s="197"/>
      <c r="B309" s="211"/>
      <c r="C309" s="212"/>
      <c r="D309" s="115"/>
      <c r="E309" s="184"/>
      <c r="F309" s="185"/>
      <c r="G309" s="173"/>
      <c r="H309" s="173"/>
      <c r="I309" s="173"/>
      <c r="J309" s="173"/>
      <c r="K309" s="173"/>
      <c r="L309" s="173"/>
      <c r="M309" s="173"/>
      <c r="N309" s="185"/>
      <c r="O309" s="173"/>
      <c r="P309" s="115"/>
      <c r="Q309" s="169"/>
      <c r="R309" s="199"/>
      <c r="S309" s="199"/>
      <c r="T309" s="199"/>
      <c r="U309" s="209"/>
      <c r="V309" s="199"/>
    </row>
    <row r="310" spans="1:22" ht="30">
      <c r="A310" s="213"/>
      <c r="B310" s="497" t="s">
        <v>866</v>
      </c>
      <c r="C310" s="497"/>
      <c r="D310" s="202" t="s">
        <v>566</v>
      </c>
      <c r="E310" s="129">
        <v>12</v>
      </c>
      <c r="F310" s="203"/>
      <c r="G310" s="130">
        <v>2.64</v>
      </c>
      <c r="H310" s="204"/>
      <c r="I310" s="204"/>
      <c r="J310" s="204"/>
      <c r="K310" s="204"/>
      <c r="L310" s="204"/>
      <c r="M310" s="496" t="s">
        <v>867</v>
      </c>
      <c r="N310" s="205"/>
      <c r="O310" s="210">
        <v>2000</v>
      </c>
      <c r="P310" s="207"/>
      <c r="Q310" s="316"/>
      <c r="R310" s="208"/>
      <c r="S310" s="208"/>
      <c r="T310" s="208"/>
      <c r="U310" s="209"/>
      <c r="V310" s="208"/>
    </row>
    <row r="311" spans="1:22" ht="15" customHeight="1">
      <c r="A311" s="213"/>
      <c r="B311" s="497"/>
      <c r="C311" s="497"/>
      <c r="D311" s="202"/>
      <c r="E311" s="129">
        <v>4</v>
      </c>
      <c r="F311" s="203"/>
      <c r="G311" s="130">
        <v>0.88</v>
      </c>
      <c r="H311" s="204"/>
      <c r="I311" s="204"/>
      <c r="J311" s="204"/>
      <c r="K311" s="204"/>
      <c r="L311" s="204"/>
      <c r="M311" s="858" t="s">
        <v>868</v>
      </c>
      <c r="N311" s="205"/>
      <c r="O311" s="210">
        <v>5000</v>
      </c>
      <c r="P311" s="207"/>
      <c r="Q311" s="316"/>
      <c r="R311" s="208"/>
      <c r="S311" s="208"/>
      <c r="T311" s="208"/>
      <c r="U311" s="209"/>
      <c r="V311" s="208"/>
    </row>
    <row r="312" spans="1:22">
      <c r="A312" s="213"/>
      <c r="B312" s="497"/>
      <c r="C312" s="497"/>
      <c r="D312" s="202"/>
      <c r="E312" s="214"/>
      <c r="F312" s="203"/>
      <c r="G312" s="215" t="s">
        <v>566</v>
      </c>
      <c r="H312" s="204"/>
      <c r="I312" s="204"/>
      <c r="J312" s="204"/>
      <c r="K312" s="204"/>
      <c r="L312" s="204"/>
      <c r="M312" s="858"/>
      <c r="N312" s="205"/>
      <c r="O312" s="210"/>
      <c r="P312" s="207"/>
      <c r="Q312" s="316"/>
      <c r="R312" s="208"/>
      <c r="S312" s="208"/>
      <c r="T312" s="208"/>
      <c r="U312" s="209"/>
      <c r="V312" s="208"/>
    </row>
    <row r="313" spans="1:22" ht="30">
      <c r="A313" s="213"/>
      <c r="B313" s="497"/>
      <c r="C313" s="497"/>
      <c r="D313" s="202" t="s">
        <v>566</v>
      </c>
      <c r="E313" s="129">
        <v>50000</v>
      </c>
      <c r="F313" s="203"/>
      <c r="G313" s="130">
        <v>11000</v>
      </c>
      <c r="H313" s="204"/>
      <c r="I313" s="204"/>
      <c r="J313" s="204"/>
      <c r="K313" s="204"/>
      <c r="L313" s="204"/>
      <c r="M313" s="496" t="s">
        <v>241</v>
      </c>
      <c r="N313" s="205"/>
      <c r="O313" s="206" t="s">
        <v>133</v>
      </c>
      <c r="P313" s="207"/>
      <c r="Q313" s="316"/>
      <c r="R313" s="208"/>
      <c r="S313" s="208"/>
      <c r="T313" s="208"/>
      <c r="U313" s="209"/>
      <c r="V313" s="208"/>
    </row>
    <row r="314" spans="1:22">
      <c r="A314" s="213"/>
      <c r="B314" s="497"/>
      <c r="C314" s="497"/>
      <c r="D314" s="202"/>
      <c r="E314" s="214"/>
      <c r="F314" s="203"/>
      <c r="G314" s="215"/>
      <c r="H314" s="204"/>
      <c r="I314" s="204"/>
      <c r="J314" s="204"/>
      <c r="K314" s="204"/>
      <c r="L314" s="204"/>
      <c r="M314" s="496"/>
      <c r="N314" s="205"/>
      <c r="O314" s="210"/>
      <c r="P314" s="207"/>
      <c r="Q314" s="316"/>
      <c r="R314" s="208"/>
      <c r="S314" s="208"/>
      <c r="T314" s="208"/>
      <c r="U314" s="209"/>
      <c r="V314" s="208"/>
    </row>
    <row r="315" spans="1:22" ht="45">
      <c r="A315" s="213"/>
      <c r="B315" s="497" t="s">
        <v>869</v>
      </c>
      <c r="C315" s="497"/>
      <c r="D315" s="202"/>
      <c r="E315" s="129">
        <v>3600</v>
      </c>
      <c r="F315" s="203"/>
      <c r="G315" s="130">
        <v>792</v>
      </c>
      <c r="H315" s="204"/>
      <c r="I315" s="204"/>
      <c r="J315" s="204"/>
      <c r="K315" s="204"/>
      <c r="L315" s="204"/>
      <c r="M315" s="496" t="s">
        <v>642</v>
      </c>
      <c r="N315" s="316"/>
      <c r="O315" s="206" t="s">
        <v>133</v>
      </c>
      <c r="P315" s="316"/>
      <c r="Q315" s="316"/>
      <c r="R315" s="316"/>
      <c r="S315" s="316"/>
      <c r="T315" s="316"/>
      <c r="U315" s="209">
        <v>1</v>
      </c>
      <c r="V315" s="208"/>
    </row>
    <row r="316" spans="1:22" ht="30">
      <c r="A316" s="213"/>
      <c r="B316" s="497"/>
      <c r="C316" s="497"/>
      <c r="D316" s="202"/>
      <c r="E316" s="129">
        <v>180000</v>
      </c>
      <c r="F316" s="203"/>
      <c r="G316" s="130">
        <v>39600</v>
      </c>
      <c r="H316" s="204"/>
      <c r="I316" s="204"/>
      <c r="J316" s="204"/>
      <c r="K316" s="204"/>
      <c r="L316" s="204"/>
      <c r="M316" s="496" t="s">
        <v>241</v>
      </c>
      <c r="N316" s="205"/>
      <c r="O316" s="210">
        <v>1</v>
      </c>
      <c r="P316" s="207"/>
      <c r="Q316" s="316"/>
      <c r="R316" s="208"/>
      <c r="S316" s="208"/>
      <c r="T316" s="208"/>
      <c r="U316" s="209"/>
      <c r="V316" s="208"/>
    </row>
    <row r="317" spans="1:22">
      <c r="A317" s="213"/>
      <c r="B317" s="497"/>
      <c r="C317" s="497"/>
      <c r="D317" s="202"/>
      <c r="E317" s="214"/>
      <c r="F317" s="203"/>
      <c r="G317" s="215"/>
      <c r="H317" s="204"/>
      <c r="I317" s="204"/>
      <c r="J317" s="204"/>
      <c r="K317" s="204"/>
      <c r="L317" s="204"/>
      <c r="M317" s="496"/>
      <c r="N317" s="205"/>
      <c r="O317" s="210"/>
      <c r="P317" s="207"/>
      <c r="Q317" s="316"/>
      <c r="R317" s="208"/>
      <c r="S317" s="208"/>
      <c r="T317" s="208"/>
      <c r="U317" s="209"/>
      <c r="V317" s="208"/>
    </row>
    <row r="318" spans="1:22" ht="45">
      <c r="A318" s="213"/>
      <c r="B318" s="497" t="s">
        <v>870</v>
      </c>
      <c r="C318" s="497" t="s">
        <v>566</v>
      </c>
      <c r="D318" s="202"/>
      <c r="E318" s="214">
        <v>85</v>
      </c>
      <c r="F318" s="203"/>
      <c r="G318" s="215">
        <v>18.7</v>
      </c>
      <c r="H318" s="204"/>
      <c r="I318" s="204"/>
      <c r="J318" s="204"/>
      <c r="K318" s="204"/>
      <c r="L318" s="204"/>
      <c r="M318" s="496" t="s">
        <v>642</v>
      </c>
      <c r="N318" s="205"/>
      <c r="O318" s="206" t="s">
        <v>133</v>
      </c>
      <c r="P318" s="207"/>
      <c r="Q318" s="316"/>
      <c r="R318" s="208"/>
      <c r="S318" s="208"/>
      <c r="T318" s="208"/>
      <c r="U318" s="209"/>
      <c r="V318" s="208"/>
    </row>
    <row r="319" spans="1:22">
      <c r="A319" s="213"/>
      <c r="B319" s="497"/>
      <c r="C319" s="497"/>
      <c r="D319" s="202"/>
      <c r="E319" s="214"/>
      <c r="F319" s="203"/>
      <c r="G319" s="216"/>
      <c r="H319" s="204"/>
      <c r="I319" s="204"/>
      <c r="J319" s="204"/>
      <c r="K319" s="204"/>
      <c r="L319" s="204"/>
      <c r="M319" s="496"/>
      <c r="N319" s="205"/>
      <c r="O319" s="210"/>
      <c r="P319" s="207"/>
      <c r="Q319" s="316"/>
      <c r="R319" s="208"/>
      <c r="S319" s="208"/>
      <c r="T319" s="208"/>
      <c r="U319" s="209"/>
      <c r="V319" s="208"/>
    </row>
    <row r="320" spans="1:22" ht="30">
      <c r="A320" s="213"/>
      <c r="B320" s="497" t="s">
        <v>871</v>
      </c>
      <c r="C320" s="497" t="s">
        <v>566</v>
      </c>
      <c r="D320" s="202"/>
      <c r="E320" s="214">
        <v>110</v>
      </c>
      <c r="F320" s="203"/>
      <c r="G320" s="215">
        <v>24.2</v>
      </c>
      <c r="H320" s="204"/>
      <c r="I320" s="204"/>
      <c r="J320" s="204"/>
      <c r="K320" s="204"/>
      <c r="L320" s="204"/>
      <c r="M320" s="496" t="s">
        <v>867</v>
      </c>
      <c r="N320" s="205"/>
      <c r="O320" s="206" t="s">
        <v>133</v>
      </c>
      <c r="P320" s="207"/>
      <c r="Q320" s="316"/>
      <c r="R320" s="208"/>
      <c r="S320" s="208"/>
      <c r="T320" s="208"/>
      <c r="U320" s="209"/>
      <c r="V320" s="208"/>
    </row>
    <row r="321" spans="1:22" ht="15" customHeight="1">
      <c r="A321" s="213"/>
      <c r="B321" s="497"/>
      <c r="C321" s="497" t="s">
        <v>566</v>
      </c>
      <c r="D321" s="202" t="s">
        <v>566</v>
      </c>
      <c r="E321" s="214">
        <v>15</v>
      </c>
      <c r="F321" s="203"/>
      <c r="G321" s="215">
        <v>3.3</v>
      </c>
      <c r="H321" s="204"/>
      <c r="I321" s="204"/>
      <c r="J321" s="204"/>
      <c r="K321" s="204"/>
      <c r="L321" s="204"/>
      <c r="M321" s="858" t="s">
        <v>868</v>
      </c>
      <c r="N321" s="205"/>
      <c r="O321" s="206" t="s">
        <v>133</v>
      </c>
      <c r="P321" s="207"/>
      <c r="Q321" s="316"/>
      <c r="R321" s="208"/>
      <c r="S321" s="208"/>
      <c r="T321" s="208"/>
      <c r="U321" s="209"/>
      <c r="V321" s="208"/>
    </row>
    <row r="322" spans="1:22">
      <c r="A322" s="213"/>
      <c r="B322" s="497"/>
      <c r="C322" s="497"/>
      <c r="D322" s="202"/>
      <c r="E322" s="214"/>
      <c r="F322" s="203"/>
      <c r="G322" s="215"/>
      <c r="H322" s="204"/>
      <c r="I322" s="204"/>
      <c r="J322" s="204"/>
      <c r="K322" s="204"/>
      <c r="L322" s="204"/>
      <c r="M322" s="858"/>
      <c r="N322" s="205"/>
      <c r="O322" s="210"/>
      <c r="P322" s="207"/>
      <c r="Q322" s="316"/>
      <c r="R322" s="208"/>
      <c r="S322" s="208"/>
      <c r="T322" s="208"/>
      <c r="U322" s="209"/>
      <c r="V322" s="208"/>
    </row>
    <row r="323" spans="1:22">
      <c r="A323" s="213"/>
      <c r="B323" s="497"/>
      <c r="C323" s="497"/>
      <c r="D323" s="202"/>
      <c r="E323" s="214"/>
      <c r="F323" s="203"/>
      <c r="G323" s="215"/>
      <c r="H323" s="204"/>
      <c r="I323" s="204"/>
      <c r="J323" s="204"/>
      <c r="K323" s="204"/>
      <c r="L323" s="204"/>
      <c r="M323" s="217"/>
      <c r="N323" s="205"/>
      <c r="O323" s="210"/>
      <c r="P323" s="207"/>
      <c r="Q323" s="316"/>
      <c r="R323" s="208"/>
      <c r="S323" s="208"/>
      <c r="T323" s="208"/>
      <c r="U323" s="209"/>
      <c r="V323" s="208"/>
    </row>
    <row r="324" spans="1:22" ht="30">
      <c r="A324" s="213"/>
      <c r="B324" s="497" t="s">
        <v>872</v>
      </c>
      <c r="C324" s="497" t="s">
        <v>566</v>
      </c>
      <c r="D324" s="202"/>
      <c r="E324" s="214">
        <v>25</v>
      </c>
      <c r="F324" s="203"/>
      <c r="G324" s="215">
        <v>5.5</v>
      </c>
      <c r="H324" s="204"/>
      <c r="I324" s="204"/>
      <c r="J324" s="204"/>
      <c r="K324" s="204"/>
      <c r="L324" s="204"/>
      <c r="M324" s="496" t="s">
        <v>867</v>
      </c>
      <c r="N324" s="205"/>
      <c r="O324" s="210">
        <v>2000</v>
      </c>
      <c r="P324" s="207"/>
      <c r="Q324" s="316"/>
      <c r="R324" s="208"/>
      <c r="S324" s="208"/>
      <c r="T324" s="208"/>
      <c r="U324" s="209"/>
      <c r="V324" s="208"/>
    </row>
    <row r="325" spans="1:22" ht="15" customHeight="1">
      <c r="A325" s="213"/>
      <c r="B325" s="497"/>
      <c r="C325" s="497"/>
      <c r="D325" s="202"/>
      <c r="E325" s="214">
        <v>6</v>
      </c>
      <c r="F325" s="203"/>
      <c r="G325" s="215">
        <v>1.32</v>
      </c>
      <c r="H325" s="204"/>
      <c r="I325" s="204"/>
      <c r="J325" s="204"/>
      <c r="K325" s="204"/>
      <c r="L325" s="204"/>
      <c r="M325" s="858" t="s">
        <v>868</v>
      </c>
      <c r="N325" s="205"/>
      <c r="O325" s="210">
        <v>5000</v>
      </c>
      <c r="P325" s="207"/>
      <c r="Q325" s="316"/>
      <c r="R325" s="208"/>
      <c r="S325" s="208"/>
      <c r="T325" s="208"/>
      <c r="U325" s="209"/>
      <c r="V325" s="208"/>
    </row>
    <row r="326" spans="1:22">
      <c r="A326" s="213"/>
      <c r="B326" s="497"/>
      <c r="C326" s="497"/>
      <c r="D326" s="202"/>
      <c r="E326" s="214"/>
      <c r="F326" s="203"/>
      <c r="G326" s="215"/>
      <c r="H326" s="204"/>
      <c r="I326" s="204"/>
      <c r="J326" s="204"/>
      <c r="K326" s="204"/>
      <c r="L326" s="204"/>
      <c r="M326" s="858"/>
      <c r="N326" s="205"/>
      <c r="O326" s="210"/>
      <c r="P326" s="207"/>
      <c r="Q326" s="316"/>
      <c r="R326" s="208"/>
      <c r="S326" s="208"/>
      <c r="T326" s="208"/>
      <c r="U326" s="209"/>
      <c r="V326" s="208"/>
    </row>
    <row r="327" spans="1:22">
      <c r="A327" s="213"/>
      <c r="B327" s="497"/>
      <c r="C327" s="497"/>
      <c r="D327" s="202"/>
      <c r="E327" s="214"/>
      <c r="F327" s="203"/>
      <c r="G327" s="215"/>
      <c r="H327" s="204"/>
      <c r="I327" s="204"/>
      <c r="J327" s="204"/>
      <c r="K327" s="204"/>
      <c r="L327" s="204"/>
      <c r="M327" s="496"/>
      <c r="N327" s="205"/>
      <c r="O327" s="210"/>
      <c r="P327" s="207"/>
      <c r="Q327" s="316"/>
      <c r="R327" s="208"/>
      <c r="S327" s="208"/>
      <c r="T327" s="208"/>
      <c r="U327" s="209"/>
      <c r="V327" s="208"/>
    </row>
    <row r="328" spans="1:22" ht="30">
      <c r="A328" s="213"/>
      <c r="B328" s="497" t="s">
        <v>873</v>
      </c>
      <c r="C328" s="497" t="s">
        <v>566</v>
      </c>
      <c r="D328" s="202"/>
      <c r="E328" s="214">
        <v>35000</v>
      </c>
      <c r="F328" s="203"/>
      <c r="G328" s="215">
        <v>7700</v>
      </c>
      <c r="H328" s="204"/>
      <c r="I328" s="204"/>
      <c r="J328" s="204"/>
      <c r="K328" s="204"/>
      <c r="L328" s="204"/>
      <c r="M328" s="496" t="s">
        <v>241</v>
      </c>
      <c r="N328" s="205"/>
      <c r="O328" s="210">
        <v>1</v>
      </c>
      <c r="P328" s="207"/>
      <c r="Q328" s="316"/>
      <c r="R328" s="208"/>
      <c r="S328" s="208"/>
      <c r="T328" s="208"/>
      <c r="U328" s="209"/>
      <c r="V328" s="208"/>
    </row>
    <row r="329" spans="1:22">
      <c r="A329" s="213"/>
      <c r="B329" s="497"/>
      <c r="C329" s="497"/>
      <c r="D329" s="202"/>
      <c r="E329" s="214"/>
      <c r="F329" s="203"/>
      <c r="G329" s="215"/>
      <c r="H329" s="204"/>
      <c r="I329" s="204"/>
      <c r="J329" s="204"/>
      <c r="K329" s="204"/>
      <c r="L329" s="204"/>
      <c r="M329" s="217"/>
      <c r="N329" s="205"/>
      <c r="O329" s="210"/>
      <c r="P329" s="207"/>
      <c r="Q329" s="316"/>
      <c r="R329" s="208"/>
      <c r="S329" s="208"/>
      <c r="T329" s="208"/>
      <c r="U329" s="209"/>
      <c r="V329" s="208"/>
    </row>
    <row r="330" spans="1:22" ht="45">
      <c r="A330" s="213"/>
      <c r="B330" s="497" t="s">
        <v>874</v>
      </c>
      <c r="C330" s="497"/>
      <c r="D330" s="202" t="s">
        <v>566</v>
      </c>
      <c r="E330" s="214">
        <v>700</v>
      </c>
      <c r="F330" s="203"/>
      <c r="G330" s="215">
        <v>154</v>
      </c>
      <c r="H330" s="204"/>
      <c r="I330" s="204"/>
      <c r="J330" s="204"/>
      <c r="K330" s="204"/>
      <c r="L330" s="204"/>
      <c r="M330" s="496" t="s">
        <v>642</v>
      </c>
      <c r="N330" s="205"/>
      <c r="O330" s="206" t="s">
        <v>133</v>
      </c>
      <c r="P330" s="207"/>
      <c r="Q330" s="316"/>
      <c r="R330" s="208"/>
      <c r="S330" s="208"/>
      <c r="T330" s="208"/>
      <c r="U330" s="209">
        <v>1</v>
      </c>
      <c r="V330" s="208"/>
    </row>
    <row r="331" spans="1:22" ht="30">
      <c r="A331" s="213"/>
      <c r="B331" s="497"/>
      <c r="C331" s="497"/>
      <c r="D331" s="202"/>
      <c r="E331" s="214">
        <v>35000</v>
      </c>
      <c r="F331" s="203"/>
      <c r="G331" s="215">
        <v>7700</v>
      </c>
      <c r="H331" s="204"/>
      <c r="I331" s="204"/>
      <c r="J331" s="204"/>
      <c r="K331" s="204"/>
      <c r="L331" s="204"/>
      <c r="M331" s="496" t="s">
        <v>241</v>
      </c>
      <c r="N331" s="205"/>
      <c r="O331" s="210">
        <v>1</v>
      </c>
      <c r="P331" s="207"/>
      <c r="Q331" s="316"/>
      <c r="R331" s="208"/>
      <c r="S331" s="208"/>
      <c r="T331" s="208"/>
      <c r="U331" s="209"/>
      <c r="V331" s="208"/>
    </row>
    <row r="332" spans="1:22">
      <c r="A332" s="213"/>
      <c r="B332" s="497"/>
      <c r="C332" s="497"/>
      <c r="D332" s="202"/>
      <c r="E332" s="214"/>
      <c r="F332" s="203"/>
      <c r="G332" s="215"/>
      <c r="H332" s="204"/>
      <c r="I332" s="204"/>
      <c r="J332" s="204"/>
      <c r="K332" s="204"/>
      <c r="L332" s="204"/>
      <c r="M332" s="496"/>
      <c r="N332" s="205"/>
      <c r="O332" s="210"/>
      <c r="P332" s="207"/>
      <c r="Q332" s="316"/>
      <c r="R332" s="208"/>
      <c r="S332" s="208"/>
      <c r="T332" s="208"/>
      <c r="U332" s="209"/>
      <c r="V332" s="208"/>
    </row>
    <row r="333" spans="1:22" ht="45">
      <c r="A333" s="213"/>
      <c r="B333" s="497" t="s">
        <v>875</v>
      </c>
      <c r="C333" s="497"/>
      <c r="D333" s="202"/>
      <c r="E333" s="214">
        <v>700</v>
      </c>
      <c r="F333" s="203"/>
      <c r="G333" s="215">
        <v>154</v>
      </c>
      <c r="H333" s="204"/>
      <c r="I333" s="204"/>
      <c r="J333" s="204"/>
      <c r="K333" s="204"/>
      <c r="L333" s="204"/>
      <c r="M333" s="496" t="s">
        <v>642</v>
      </c>
      <c r="N333" s="205"/>
      <c r="O333" s="206" t="s">
        <v>133</v>
      </c>
      <c r="P333" s="207"/>
      <c r="Q333" s="316"/>
      <c r="R333" s="208"/>
      <c r="S333" s="208"/>
      <c r="T333" s="208"/>
      <c r="U333" s="209">
        <v>1</v>
      </c>
      <c r="V333" s="208"/>
    </row>
    <row r="334" spans="1:22" ht="30">
      <c r="A334" s="213"/>
      <c r="B334" s="497"/>
      <c r="C334" s="497"/>
      <c r="D334" s="202"/>
      <c r="E334" s="214">
        <v>35000</v>
      </c>
      <c r="F334" s="203"/>
      <c r="G334" s="215">
        <v>7700</v>
      </c>
      <c r="H334" s="204"/>
      <c r="I334" s="204"/>
      <c r="J334" s="204"/>
      <c r="K334" s="204"/>
      <c r="L334" s="204"/>
      <c r="M334" s="496" t="s">
        <v>241</v>
      </c>
      <c r="N334" s="205"/>
      <c r="O334" s="210">
        <v>1</v>
      </c>
      <c r="P334" s="207"/>
      <c r="Q334" s="316"/>
      <c r="R334" s="208"/>
      <c r="S334" s="208"/>
      <c r="T334" s="208"/>
      <c r="U334" s="209"/>
      <c r="V334" s="208"/>
    </row>
    <row r="335" spans="1:22">
      <c r="A335" s="213"/>
      <c r="B335" s="497"/>
      <c r="C335" s="497"/>
      <c r="D335" s="202"/>
      <c r="E335" s="214"/>
      <c r="F335" s="203"/>
      <c r="G335" s="215"/>
      <c r="H335" s="204"/>
      <c r="I335" s="204"/>
      <c r="J335" s="204"/>
      <c r="K335" s="204"/>
      <c r="L335" s="204"/>
      <c r="M335" s="496"/>
      <c r="N335" s="205"/>
      <c r="O335" s="210"/>
      <c r="P335" s="207"/>
      <c r="Q335" s="316"/>
      <c r="R335" s="208"/>
      <c r="S335" s="208"/>
      <c r="T335" s="208"/>
      <c r="U335" s="209"/>
      <c r="V335" s="208"/>
    </row>
    <row r="336" spans="1:22">
      <c r="A336" s="213"/>
      <c r="B336" s="859" t="s">
        <v>876</v>
      </c>
      <c r="C336" s="859"/>
      <c r="D336" s="202"/>
      <c r="E336" s="214">
        <v>70</v>
      </c>
      <c r="F336" s="203"/>
      <c r="G336" s="215">
        <v>15.4</v>
      </c>
      <c r="H336" s="131"/>
      <c r="I336" s="130"/>
      <c r="J336" s="128"/>
      <c r="K336" s="130"/>
      <c r="L336" s="128"/>
      <c r="M336" s="129" t="s">
        <v>867</v>
      </c>
      <c r="N336" s="123"/>
      <c r="O336" s="210">
        <v>2000</v>
      </c>
      <c r="P336" s="123"/>
      <c r="Q336" s="130"/>
      <c r="R336" s="123"/>
      <c r="S336" s="130"/>
      <c r="T336" s="130"/>
      <c r="U336" s="209"/>
      <c r="V336" s="130"/>
    </row>
    <row r="337" spans="1:22" ht="15" customHeight="1">
      <c r="A337" s="213"/>
      <c r="B337" s="497"/>
      <c r="C337" s="497"/>
      <c r="D337" s="202"/>
      <c r="E337" s="214">
        <v>6</v>
      </c>
      <c r="F337" s="128"/>
      <c r="G337" s="130">
        <v>1.32</v>
      </c>
      <c r="H337" s="131"/>
      <c r="I337" s="130"/>
      <c r="J337" s="128"/>
      <c r="K337" s="130"/>
      <c r="L337" s="128"/>
      <c r="M337" s="858" t="s">
        <v>868</v>
      </c>
      <c r="N337" s="123"/>
      <c r="O337" s="210">
        <v>5000</v>
      </c>
      <c r="P337" s="207"/>
      <c r="Q337" s="316"/>
      <c r="R337" s="208"/>
      <c r="S337" s="208"/>
      <c r="T337" s="208"/>
      <c r="U337" s="209"/>
      <c r="V337" s="208"/>
    </row>
    <row r="338" spans="1:22">
      <c r="A338" s="213"/>
      <c r="B338" s="497"/>
      <c r="C338" s="497"/>
      <c r="D338" s="202"/>
      <c r="E338" s="214"/>
      <c r="F338" s="128"/>
      <c r="G338" s="130"/>
      <c r="H338" s="131"/>
      <c r="I338" s="130"/>
      <c r="J338" s="128"/>
      <c r="K338" s="130"/>
      <c r="L338" s="128"/>
      <c r="M338" s="858"/>
      <c r="N338" s="123"/>
      <c r="O338" s="206"/>
      <c r="P338" s="207"/>
      <c r="Q338" s="316"/>
      <c r="R338" s="208"/>
      <c r="S338" s="208"/>
      <c r="T338" s="208"/>
      <c r="U338" s="209"/>
      <c r="V338" s="208"/>
    </row>
    <row r="339" spans="1:22">
      <c r="A339" s="213"/>
      <c r="B339" s="497"/>
      <c r="C339" s="497"/>
      <c r="D339" s="202"/>
      <c r="E339" s="214"/>
      <c r="F339" s="128"/>
      <c r="G339" s="130"/>
      <c r="H339" s="131"/>
      <c r="I339" s="130"/>
      <c r="J339" s="128"/>
      <c r="K339" s="130"/>
      <c r="L339" s="128"/>
      <c r="M339" s="496"/>
      <c r="N339" s="123"/>
      <c r="O339" s="206"/>
      <c r="P339" s="207"/>
      <c r="Q339" s="316"/>
      <c r="R339" s="208"/>
      <c r="S339" s="208"/>
      <c r="T339" s="208"/>
      <c r="U339" s="209"/>
      <c r="V339" s="208"/>
    </row>
    <row r="340" spans="1:22" ht="30">
      <c r="A340" s="213"/>
      <c r="B340" s="497" t="s">
        <v>877</v>
      </c>
      <c r="C340" s="497"/>
      <c r="D340" s="202"/>
      <c r="E340" s="214">
        <v>100000</v>
      </c>
      <c r="F340" s="203"/>
      <c r="G340" s="215">
        <v>22000</v>
      </c>
      <c r="H340" s="204"/>
      <c r="I340" s="204"/>
      <c r="J340" s="204"/>
      <c r="K340" s="204"/>
      <c r="L340" s="204"/>
      <c r="M340" s="496" t="s">
        <v>663</v>
      </c>
      <c r="N340" s="205"/>
      <c r="O340" s="206">
        <v>1</v>
      </c>
      <c r="P340" s="207"/>
      <c r="Q340" s="316"/>
      <c r="R340" s="208"/>
      <c r="S340" s="208"/>
      <c r="T340" s="208"/>
      <c r="U340" s="209"/>
      <c r="V340" s="208"/>
    </row>
    <row r="341" spans="1:22">
      <c r="A341" s="213"/>
      <c r="B341" s="497"/>
      <c r="C341" s="497"/>
      <c r="D341" s="202"/>
      <c r="E341" s="214"/>
      <c r="F341" s="203"/>
      <c r="G341" s="215"/>
      <c r="H341" s="204"/>
      <c r="I341" s="204"/>
      <c r="J341" s="204"/>
      <c r="K341" s="204"/>
      <c r="L341" s="204"/>
      <c r="M341" s="496"/>
      <c r="N341" s="205"/>
      <c r="O341" s="210"/>
      <c r="P341" s="207"/>
      <c r="Q341" s="316"/>
      <c r="R341" s="208"/>
      <c r="S341" s="208"/>
      <c r="T341" s="208"/>
      <c r="U341" s="209"/>
      <c r="V341" s="208"/>
    </row>
    <row r="342" spans="1:22">
      <c r="A342" s="213"/>
      <c r="B342" s="859" t="s">
        <v>878</v>
      </c>
      <c r="C342" s="859"/>
      <c r="D342" s="202"/>
      <c r="E342" s="214">
        <v>46000</v>
      </c>
      <c r="F342" s="203"/>
      <c r="G342" s="215">
        <v>10120</v>
      </c>
      <c r="H342" s="131"/>
      <c r="I342" s="130"/>
      <c r="J342" s="128"/>
      <c r="K342" s="130"/>
      <c r="L342" s="128"/>
      <c r="M342" s="129" t="s">
        <v>879</v>
      </c>
      <c r="N342" s="123"/>
      <c r="O342" s="206">
        <v>1</v>
      </c>
      <c r="P342" s="123"/>
      <c r="Q342" s="130"/>
      <c r="R342" s="123"/>
      <c r="S342" s="130"/>
      <c r="T342" s="130"/>
      <c r="U342" s="218">
        <v>22</v>
      </c>
      <c r="V342" s="208"/>
    </row>
    <row r="343" spans="1:22">
      <c r="A343" s="213"/>
      <c r="B343" s="497"/>
      <c r="C343" s="497"/>
      <c r="D343" s="202"/>
      <c r="E343" s="214"/>
      <c r="F343" s="203"/>
      <c r="G343" s="215"/>
      <c r="H343" s="131"/>
      <c r="I343" s="130"/>
      <c r="J343" s="128"/>
      <c r="K343" s="130"/>
      <c r="L343" s="128"/>
      <c r="M343" s="129"/>
      <c r="N343" s="123"/>
      <c r="O343" s="206"/>
      <c r="P343" s="123"/>
      <c r="Q343" s="130"/>
      <c r="R343" s="123"/>
      <c r="S343" s="130"/>
      <c r="T343" s="130"/>
      <c r="U343" s="218"/>
      <c r="V343" s="208"/>
    </row>
    <row r="344" spans="1:22">
      <c r="A344" s="213"/>
      <c r="B344" s="860" t="s">
        <v>880</v>
      </c>
      <c r="C344" s="860"/>
      <c r="D344" s="202"/>
      <c r="E344" s="214" t="s">
        <v>566</v>
      </c>
      <c r="F344" s="203" t="s">
        <v>566</v>
      </c>
      <c r="G344" s="215"/>
      <c r="H344" s="204"/>
      <c r="I344" s="204"/>
      <c r="J344" s="204"/>
      <c r="K344" s="204"/>
      <c r="L344" s="204"/>
      <c r="M344" s="496"/>
      <c r="N344" s="205"/>
      <c r="O344" s="210"/>
      <c r="P344" s="207"/>
      <c r="Q344" s="316"/>
      <c r="R344" s="208"/>
      <c r="S344" s="208"/>
      <c r="T344" s="208"/>
      <c r="U344" s="209"/>
      <c r="V344" s="208"/>
    </row>
    <row r="345" spans="1:22" ht="30">
      <c r="A345" s="213"/>
      <c r="B345" s="219" t="s">
        <v>881</v>
      </c>
      <c r="C345" s="497"/>
      <c r="D345" s="202"/>
      <c r="E345" s="129">
        <v>8</v>
      </c>
      <c r="F345" s="128"/>
      <c r="G345" s="130">
        <v>1.76</v>
      </c>
      <c r="H345" s="204"/>
      <c r="I345" s="204"/>
      <c r="J345" s="204"/>
      <c r="K345" s="204"/>
      <c r="L345" s="204"/>
      <c r="M345" s="496" t="s">
        <v>867</v>
      </c>
      <c r="N345" s="220"/>
      <c r="O345" s="206" t="s">
        <v>133</v>
      </c>
      <c r="P345" s="207"/>
      <c r="Q345" s="316"/>
      <c r="R345" s="208"/>
      <c r="S345" s="208"/>
      <c r="T345" s="208"/>
      <c r="U345" s="209">
        <v>82</v>
      </c>
      <c r="V345" s="208"/>
    </row>
    <row r="346" spans="1:22" ht="60">
      <c r="A346" s="213"/>
      <c r="B346" s="219"/>
      <c r="C346" s="497"/>
      <c r="D346" s="202"/>
      <c r="E346" s="214">
        <v>2</v>
      </c>
      <c r="F346" s="221"/>
      <c r="G346" s="216">
        <v>0.44</v>
      </c>
      <c r="H346" s="204"/>
      <c r="I346" s="204"/>
      <c r="J346" s="204"/>
      <c r="K346" s="204"/>
      <c r="L346" s="204"/>
      <c r="M346" s="496" t="s">
        <v>868</v>
      </c>
      <c r="N346" s="220"/>
      <c r="O346" s="222" t="s">
        <v>133</v>
      </c>
      <c r="P346" s="207"/>
      <c r="Q346" s="316"/>
      <c r="R346" s="208"/>
      <c r="S346" s="208"/>
      <c r="T346" s="208"/>
      <c r="U346" s="209">
        <v>82</v>
      </c>
      <c r="V346" s="208"/>
    </row>
    <row r="347" spans="1:22" ht="30">
      <c r="A347" s="213"/>
      <c r="B347" s="219"/>
      <c r="C347" s="497"/>
      <c r="D347" s="202"/>
      <c r="E347" s="129">
        <v>25000</v>
      </c>
      <c r="F347" s="221"/>
      <c r="G347" s="130">
        <v>5500</v>
      </c>
      <c r="H347" s="204"/>
      <c r="I347" s="204"/>
      <c r="J347" s="204"/>
      <c r="K347" s="204"/>
      <c r="L347" s="204"/>
      <c r="M347" s="496" t="s">
        <v>241</v>
      </c>
      <c r="N347" s="220"/>
      <c r="O347" s="206" t="s">
        <v>133</v>
      </c>
      <c r="P347" s="207"/>
      <c r="Q347" s="316"/>
      <c r="R347" s="208"/>
      <c r="S347" s="208"/>
      <c r="T347" s="208"/>
      <c r="U347" s="209">
        <v>82</v>
      </c>
      <c r="V347" s="208"/>
    </row>
    <row r="348" spans="1:22">
      <c r="A348" s="213"/>
      <c r="B348" s="219"/>
      <c r="C348" s="497"/>
      <c r="D348" s="202"/>
      <c r="E348" s="129"/>
      <c r="F348" s="221"/>
      <c r="G348" s="130"/>
      <c r="H348" s="204"/>
      <c r="I348" s="204"/>
      <c r="J348" s="204"/>
      <c r="K348" s="204"/>
      <c r="L348" s="204"/>
      <c r="M348" s="496"/>
      <c r="N348" s="220"/>
      <c r="O348" s="206"/>
      <c r="P348" s="207"/>
      <c r="Q348" s="316"/>
      <c r="R348" s="208"/>
      <c r="S348" s="208"/>
      <c r="T348" s="208"/>
      <c r="U348" s="209"/>
      <c r="V348" s="208"/>
    </row>
    <row r="349" spans="1:22">
      <c r="A349" s="213"/>
      <c r="B349" s="219"/>
      <c r="C349" s="497"/>
      <c r="D349" s="202"/>
      <c r="E349" s="129"/>
      <c r="F349" s="221"/>
      <c r="G349" s="130"/>
      <c r="H349" s="204"/>
      <c r="I349" s="204"/>
      <c r="J349" s="204"/>
      <c r="K349" s="204"/>
      <c r="L349" s="204"/>
      <c r="M349" s="496"/>
      <c r="N349" s="220"/>
      <c r="O349" s="206"/>
      <c r="P349" s="207"/>
      <c r="Q349" s="316"/>
      <c r="R349" s="208"/>
      <c r="S349" s="208"/>
      <c r="T349" s="208"/>
      <c r="U349" s="209"/>
      <c r="V349" s="208"/>
    </row>
    <row r="350" spans="1:22">
      <c r="A350" s="213"/>
      <c r="B350" s="219"/>
      <c r="C350" s="497"/>
      <c r="D350" s="202"/>
      <c r="E350" s="129"/>
      <c r="F350" s="221"/>
      <c r="G350" s="130"/>
      <c r="H350" s="204"/>
      <c r="I350" s="204"/>
      <c r="J350" s="204"/>
      <c r="K350" s="204"/>
      <c r="L350" s="204"/>
      <c r="M350" s="496"/>
      <c r="N350" s="220"/>
      <c r="O350" s="206"/>
      <c r="P350" s="207"/>
      <c r="Q350" s="316"/>
      <c r="R350" s="208"/>
      <c r="S350" s="208"/>
      <c r="T350" s="208"/>
      <c r="U350" s="209"/>
      <c r="V350" s="208"/>
    </row>
    <row r="351" spans="1:22">
      <c r="A351" s="213"/>
      <c r="B351" s="219"/>
      <c r="C351" s="497"/>
      <c r="D351" s="202"/>
      <c r="E351" s="129"/>
      <c r="F351" s="221"/>
      <c r="G351" s="130"/>
      <c r="H351" s="204"/>
      <c r="I351" s="204"/>
      <c r="J351" s="204"/>
      <c r="K351" s="204"/>
      <c r="L351" s="204"/>
      <c r="M351" s="496"/>
      <c r="N351" s="220"/>
      <c r="O351" s="206"/>
      <c r="P351" s="207"/>
      <c r="Q351" s="316"/>
      <c r="R351" s="208"/>
      <c r="S351" s="208"/>
      <c r="T351" s="208"/>
      <c r="U351" s="209"/>
      <c r="V351" s="208"/>
    </row>
    <row r="352" spans="1:22" ht="16">
      <c r="A352" s="176"/>
      <c r="B352" s="109" t="s">
        <v>566</v>
      </c>
      <c r="C352" s="109"/>
      <c r="D352" s="128"/>
      <c r="E352" s="129"/>
      <c r="F352" s="128"/>
      <c r="G352" s="130"/>
      <c r="H352" s="131"/>
      <c r="I352" s="130"/>
      <c r="J352" s="128"/>
      <c r="K352" s="130"/>
      <c r="L352" s="128"/>
      <c r="M352" s="129"/>
      <c r="N352" s="123"/>
      <c r="O352" s="130"/>
      <c r="P352" s="123"/>
      <c r="Q352" s="130"/>
      <c r="R352" s="123"/>
      <c r="S352" s="130"/>
      <c r="T352" s="130"/>
      <c r="U352" s="130"/>
      <c r="V352" s="130"/>
    </row>
    <row r="353" spans="1:22" ht="16">
      <c r="A353" s="176"/>
      <c r="B353" s="109"/>
      <c r="C353" s="109"/>
      <c r="D353" s="128"/>
      <c r="E353" s="129"/>
      <c r="F353" s="128"/>
      <c r="G353" s="130"/>
      <c r="H353" s="131"/>
      <c r="I353" s="130"/>
      <c r="J353" s="128"/>
      <c r="K353" s="130"/>
      <c r="L353" s="128"/>
      <c r="M353" s="129"/>
      <c r="N353" s="123"/>
      <c r="O353" s="130"/>
      <c r="P353" s="123"/>
      <c r="Q353" s="130"/>
      <c r="R353" s="123"/>
      <c r="S353" s="130"/>
      <c r="T353" s="130"/>
      <c r="U353" s="130"/>
      <c r="V353" s="130"/>
    </row>
    <row r="354" spans="1:22" ht="15" customHeight="1">
      <c r="A354" s="176"/>
      <c r="B354" s="109"/>
      <c r="C354" s="109"/>
      <c r="D354" s="128"/>
      <c r="E354" s="129"/>
      <c r="F354" s="128"/>
      <c r="G354" s="130"/>
      <c r="H354" s="131"/>
      <c r="I354" s="130"/>
      <c r="J354" s="128"/>
      <c r="K354" s="130"/>
      <c r="L354" s="128"/>
      <c r="M354" s="129"/>
      <c r="N354" s="123"/>
      <c r="O354" s="130"/>
      <c r="P354" s="123"/>
      <c r="Q354" s="130"/>
      <c r="R354" s="123"/>
      <c r="S354" s="130"/>
      <c r="T354" s="130"/>
      <c r="U354" s="130"/>
      <c r="V354" s="130"/>
    </row>
    <row r="355" spans="1:22" ht="16">
      <c r="A355" s="122"/>
      <c r="B355" s="168" t="s">
        <v>633</v>
      </c>
      <c r="C355" s="337"/>
      <c r="D355" s="337"/>
      <c r="E355" s="337"/>
      <c r="F355" s="337"/>
      <c r="G355" s="337"/>
      <c r="H355" s="337"/>
      <c r="I355" s="337"/>
      <c r="J355" s="337"/>
      <c r="K355" s="337"/>
      <c r="L355" s="337"/>
      <c r="M355" s="337"/>
      <c r="N355" s="337"/>
      <c r="O355" s="337"/>
      <c r="P355" s="129"/>
      <c r="Q355" s="129"/>
      <c r="R355" s="129"/>
      <c r="S355" s="129"/>
      <c r="T355" s="129"/>
      <c r="U355" s="107" t="s">
        <v>683</v>
      </c>
      <c r="V355" s="129"/>
    </row>
    <row r="356" spans="1:22" ht="17" thickBot="1">
      <c r="A356" s="176"/>
      <c r="B356" s="109" t="s">
        <v>566</v>
      </c>
      <c r="C356" s="109"/>
      <c r="D356" s="128"/>
      <c r="E356" s="129"/>
      <c r="F356" s="128"/>
      <c r="G356" s="130"/>
      <c r="H356" s="131"/>
      <c r="I356" s="130"/>
      <c r="J356" s="128"/>
      <c r="K356" s="130"/>
      <c r="L356" s="128"/>
      <c r="M356" s="129"/>
      <c r="N356" s="123"/>
      <c r="O356" s="130"/>
      <c r="P356" s="123"/>
      <c r="Q356" s="130"/>
      <c r="R356" s="123"/>
      <c r="S356" s="130"/>
      <c r="T356" s="130"/>
      <c r="U356" s="130"/>
      <c r="V356" s="130"/>
    </row>
    <row r="357" spans="1:22" ht="57" thickBot="1">
      <c r="A357" s="122"/>
      <c r="B357" s="188"/>
      <c r="C357" s="109"/>
      <c r="D357" s="128"/>
      <c r="E357" s="116" t="s">
        <v>648</v>
      </c>
      <c r="F357" s="115"/>
      <c r="G357" s="117" t="s">
        <v>649</v>
      </c>
      <c r="H357" s="118"/>
      <c r="I357" s="117" t="s">
        <v>650</v>
      </c>
      <c r="J357" s="115"/>
      <c r="K357" s="117" t="s">
        <v>651</v>
      </c>
      <c r="L357" s="115"/>
      <c r="M357" s="116" t="s">
        <v>613</v>
      </c>
      <c r="N357" s="119"/>
      <c r="O357" s="117" t="s">
        <v>649</v>
      </c>
      <c r="P357" s="123"/>
      <c r="Q357" s="130"/>
      <c r="R357" s="123"/>
      <c r="S357" s="130"/>
      <c r="T357" s="130"/>
      <c r="U357" s="117" t="s">
        <v>614</v>
      </c>
      <c r="V357" s="130"/>
    </row>
    <row r="358" spans="1:22">
      <c r="A358" s="213"/>
      <c r="B358" s="200" t="s">
        <v>882</v>
      </c>
      <c r="C358" s="201"/>
      <c r="D358" s="202"/>
      <c r="E358" s="129"/>
      <c r="F358" s="221"/>
      <c r="G358" s="130"/>
      <c r="H358" s="204"/>
      <c r="I358" s="204"/>
      <c r="J358" s="204"/>
      <c r="K358" s="204"/>
      <c r="L358" s="204"/>
      <c r="M358" s="496"/>
      <c r="N358" s="220"/>
      <c r="O358" s="206"/>
      <c r="P358" s="207"/>
      <c r="Q358" s="316"/>
      <c r="R358" s="208"/>
      <c r="S358" s="208"/>
      <c r="T358" s="208"/>
      <c r="U358" s="209"/>
      <c r="V358" s="208"/>
    </row>
    <row r="359" spans="1:22" ht="45">
      <c r="A359" s="213"/>
      <c r="B359" s="861" t="s">
        <v>883</v>
      </c>
      <c r="C359" s="861"/>
      <c r="D359" s="202"/>
      <c r="E359" s="214">
        <v>250</v>
      </c>
      <c r="F359" s="203"/>
      <c r="G359" s="215">
        <v>55</v>
      </c>
      <c r="H359" s="204"/>
      <c r="I359" s="204"/>
      <c r="J359" s="204"/>
      <c r="K359" s="204"/>
      <c r="L359" s="204"/>
      <c r="M359" s="496" t="s">
        <v>642</v>
      </c>
      <c r="N359" s="220"/>
      <c r="O359" s="206" t="s">
        <v>133</v>
      </c>
      <c r="P359" s="207"/>
      <c r="Q359" s="316"/>
      <c r="R359" s="208"/>
      <c r="S359" s="208"/>
      <c r="T359" s="208"/>
      <c r="U359" s="209"/>
      <c r="V359" s="208"/>
    </row>
    <row r="360" spans="1:22">
      <c r="A360" s="213"/>
      <c r="B360" s="861"/>
      <c r="C360" s="861"/>
      <c r="D360" s="202"/>
      <c r="E360" s="129"/>
      <c r="F360" s="221"/>
      <c r="G360" s="130"/>
      <c r="H360" s="204"/>
      <c r="I360" s="204"/>
      <c r="J360" s="204"/>
      <c r="K360" s="204"/>
      <c r="L360" s="204"/>
      <c r="M360" s="496"/>
      <c r="N360" s="220"/>
      <c r="O360" s="206"/>
      <c r="P360" s="207"/>
      <c r="Q360" s="316"/>
      <c r="R360" s="208"/>
      <c r="S360" s="208"/>
      <c r="T360" s="208"/>
      <c r="U360" s="209"/>
      <c r="V360" s="208"/>
    </row>
    <row r="361" spans="1:22" ht="45">
      <c r="A361" s="213"/>
      <c r="B361" s="219" t="s">
        <v>884</v>
      </c>
      <c r="C361" s="497"/>
      <c r="D361" s="202"/>
      <c r="E361" s="214">
        <v>150</v>
      </c>
      <c r="F361" s="221"/>
      <c r="G361" s="215">
        <v>33</v>
      </c>
      <c r="H361" s="204"/>
      <c r="I361" s="204"/>
      <c r="J361" s="204"/>
      <c r="K361" s="204"/>
      <c r="L361" s="204"/>
      <c r="M361" s="496" t="s">
        <v>642</v>
      </c>
      <c r="N361" s="220"/>
      <c r="O361" s="206" t="s">
        <v>133</v>
      </c>
      <c r="P361" s="207"/>
      <c r="Q361" s="316"/>
      <c r="R361" s="208"/>
      <c r="S361" s="208"/>
      <c r="T361" s="208"/>
      <c r="U361" s="209"/>
      <c r="V361" s="208"/>
    </row>
    <row r="362" spans="1:22">
      <c r="A362" s="213"/>
      <c r="B362" s="219"/>
      <c r="C362" s="497"/>
      <c r="D362" s="202"/>
      <c r="E362" s="129"/>
      <c r="F362" s="221"/>
      <c r="G362" s="130"/>
      <c r="H362" s="204"/>
      <c r="I362" s="204"/>
      <c r="J362" s="204"/>
      <c r="K362" s="204"/>
      <c r="L362" s="204"/>
      <c r="M362" s="496"/>
      <c r="N362" s="220"/>
      <c r="O362" s="206"/>
      <c r="P362" s="207"/>
      <c r="Q362" s="316"/>
      <c r="R362" s="208"/>
      <c r="S362" s="208"/>
      <c r="T362" s="208"/>
      <c r="U362" s="209"/>
      <c r="V362" s="208"/>
    </row>
    <row r="363" spans="1:22">
      <c r="A363" s="213"/>
      <c r="B363" s="156" t="s">
        <v>885</v>
      </c>
      <c r="C363" s="223"/>
      <c r="D363" s="202"/>
      <c r="E363" s="214"/>
      <c r="F363" s="203"/>
      <c r="G363" s="215"/>
      <c r="H363" s="204"/>
      <c r="I363" s="204"/>
      <c r="J363" s="204"/>
      <c r="K363" s="204"/>
      <c r="L363" s="204"/>
      <c r="M363" s="217"/>
      <c r="N363" s="205"/>
      <c r="O363" s="210"/>
      <c r="P363" s="207"/>
      <c r="Q363" s="316"/>
      <c r="R363" s="208"/>
      <c r="S363" s="208"/>
      <c r="T363" s="208"/>
      <c r="U363" s="208"/>
      <c r="V363" s="208"/>
    </row>
    <row r="364" spans="1:22" ht="15" customHeight="1">
      <c r="A364" s="213"/>
      <c r="B364" s="109" t="s">
        <v>834</v>
      </c>
      <c r="C364" s="497"/>
      <c r="D364" s="202"/>
      <c r="E364" s="129">
        <v>230</v>
      </c>
      <c r="F364" s="128"/>
      <c r="G364" s="130">
        <v>50.6</v>
      </c>
      <c r="H364" s="131"/>
      <c r="I364" s="130" t="e">
        <v>#REF!</v>
      </c>
      <c r="J364" s="128"/>
      <c r="K364" s="130" t="e">
        <v>#REF!</v>
      </c>
      <c r="L364" s="128"/>
      <c r="M364" s="129">
        <v>11500</v>
      </c>
      <c r="N364" s="123"/>
      <c r="O364" s="130">
        <v>2530</v>
      </c>
      <c r="P364" s="207"/>
      <c r="Q364" s="316"/>
      <c r="R364" s="208"/>
      <c r="S364" s="208"/>
      <c r="T364" s="208"/>
      <c r="U364" s="209">
        <v>26</v>
      </c>
      <c r="V364" s="208"/>
    </row>
    <row r="365" spans="1:22">
      <c r="A365" s="213"/>
      <c r="B365" s="219"/>
      <c r="C365" s="497"/>
      <c r="D365" s="202"/>
      <c r="E365" s="214"/>
      <c r="F365" s="203"/>
      <c r="G365" s="215"/>
      <c r="H365" s="204"/>
      <c r="I365" s="204"/>
      <c r="J365" s="204"/>
      <c r="K365" s="204"/>
      <c r="L365" s="204"/>
      <c r="M365" s="496"/>
      <c r="N365" s="220"/>
      <c r="O365" s="222"/>
      <c r="P365" s="207"/>
      <c r="Q365" s="316"/>
      <c r="R365" s="208"/>
      <c r="S365" s="208"/>
      <c r="T365" s="208"/>
      <c r="U365" s="208"/>
      <c r="V365" s="208"/>
    </row>
    <row r="366" spans="1:22">
      <c r="A366" s="213"/>
      <c r="B366" s="156" t="s">
        <v>886</v>
      </c>
      <c r="C366" s="223"/>
      <c r="D366" s="202"/>
      <c r="E366" s="214"/>
      <c r="F366" s="203"/>
      <c r="G366" s="215"/>
      <c r="H366" s="204"/>
      <c r="I366" s="204"/>
      <c r="J366" s="204"/>
      <c r="K366" s="204"/>
      <c r="L366" s="204"/>
      <c r="M366" s="217"/>
      <c r="N366" s="205"/>
      <c r="O366" s="210"/>
      <c r="P366" s="207"/>
      <c r="Q366" s="316"/>
      <c r="R366" s="208"/>
      <c r="S366" s="208"/>
      <c r="T366" s="208"/>
      <c r="U366" s="208"/>
      <c r="V366" s="208"/>
    </row>
    <row r="367" spans="1:22">
      <c r="A367" s="213"/>
      <c r="B367" s="109" t="s">
        <v>887</v>
      </c>
      <c r="C367" s="497"/>
      <c r="D367" s="202"/>
      <c r="E367" s="129">
        <v>1200</v>
      </c>
      <c r="F367" s="128"/>
      <c r="G367" s="130">
        <v>264</v>
      </c>
      <c r="H367" s="131"/>
      <c r="I367" s="130" t="e">
        <v>#REF!</v>
      </c>
      <c r="J367" s="128"/>
      <c r="K367" s="130" t="e">
        <v>#REF!</v>
      </c>
      <c r="L367" s="128"/>
      <c r="M367" s="129" t="s">
        <v>642</v>
      </c>
      <c r="N367" s="123"/>
      <c r="O367" s="130" t="s">
        <v>133</v>
      </c>
      <c r="P367" s="207"/>
      <c r="Q367" s="316"/>
      <c r="R367" s="208"/>
      <c r="S367" s="208"/>
      <c r="T367" s="208"/>
      <c r="U367" s="208"/>
      <c r="V367" s="208"/>
    </row>
    <row r="368" spans="1:22" ht="15" customHeight="1">
      <c r="A368" s="213"/>
      <c r="B368" s="109" t="s">
        <v>888</v>
      </c>
      <c r="C368" s="497"/>
      <c r="D368" s="202"/>
      <c r="E368" s="129">
        <v>5800</v>
      </c>
      <c r="F368" s="128"/>
      <c r="G368" s="130">
        <v>1276</v>
      </c>
      <c r="H368" s="131"/>
      <c r="I368" s="130" t="e">
        <v>#REF!</v>
      </c>
      <c r="J368" s="128"/>
      <c r="K368" s="130" t="e">
        <v>#REF!</v>
      </c>
      <c r="L368" s="128"/>
      <c r="M368" s="129" t="s">
        <v>642</v>
      </c>
      <c r="N368" s="123"/>
      <c r="O368" s="130" t="s">
        <v>133</v>
      </c>
      <c r="P368" s="207"/>
      <c r="Q368" s="316"/>
      <c r="R368" s="208"/>
      <c r="S368" s="208"/>
      <c r="T368" s="208"/>
      <c r="U368" s="204">
        <v>32</v>
      </c>
      <c r="V368" s="208"/>
    </row>
    <row r="369" spans="1:22">
      <c r="A369" s="213"/>
      <c r="B369" s="109"/>
      <c r="C369" s="497"/>
      <c r="D369" s="202"/>
      <c r="E369" s="129"/>
      <c r="F369" s="128"/>
      <c r="G369" s="130"/>
      <c r="H369" s="131"/>
      <c r="I369" s="130"/>
      <c r="J369" s="128"/>
      <c r="K369" s="130"/>
      <c r="L369" s="128"/>
      <c r="M369" s="129"/>
      <c r="N369" s="123"/>
      <c r="O369" s="158"/>
      <c r="P369" s="207"/>
      <c r="Q369" s="316"/>
      <c r="R369" s="208"/>
      <c r="S369" s="208"/>
      <c r="T369" s="208"/>
      <c r="U369" s="208"/>
      <c r="V369" s="208"/>
    </row>
    <row r="370" spans="1:22">
      <c r="A370" s="213"/>
      <c r="B370" s="109"/>
      <c r="C370" s="497"/>
      <c r="D370" s="202"/>
      <c r="E370" s="129"/>
      <c r="F370" s="128"/>
      <c r="G370" s="130"/>
      <c r="H370" s="131"/>
      <c r="I370" s="130"/>
      <c r="J370" s="128"/>
      <c r="K370" s="130"/>
      <c r="L370" s="128"/>
      <c r="M370" s="129"/>
      <c r="N370" s="123"/>
      <c r="O370" s="158"/>
      <c r="P370" s="207"/>
      <c r="Q370" s="316"/>
      <c r="R370" s="208"/>
      <c r="S370" s="208"/>
      <c r="T370" s="208"/>
      <c r="U370" s="208"/>
      <c r="V370" s="208"/>
    </row>
    <row r="371" spans="1:22">
      <c r="A371" s="213"/>
      <c r="B371" s="109"/>
      <c r="C371" s="497"/>
      <c r="D371" s="202"/>
      <c r="E371" s="129"/>
      <c r="F371" s="128"/>
      <c r="G371" s="130"/>
      <c r="H371" s="131"/>
      <c r="I371" s="130"/>
      <c r="J371" s="128"/>
      <c r="K371" s="130"/>
      <c r="L371" s="128"/>
      <c r="M371" s="129"/>
      <c r="N371" s="123"/>
      <c r="O371" s="158"/>
      <c r="P371" s="207"/>
      <c r="Q371" s="316"/>
      <c r="R371" s="208"/>
      <c r="S371" s="208"/>
      <c r="T371" s="208"/>
      <c r="U371" s="208"/>
      <c r="V371" s="208"/>
    </row>
    <row r="372" spans="1:22">
      <c r="A372" s="213"/>
      <c r="B372" s="109"/>
      <c r="C372" s="497"/>
      <c r="D372" s="202"/>
      <c r="E372" s="129"/>
      <c r="F372" s="128" t="s">
        <v>566</v>
      </c>
      <c r="G372" s="130"/>
      <c r="H372" s="131"/>
      <c r="I372" s="130"/>
      <c r="J372" s="128"/>
      <c r="K372" s="130"/>
      <c r="L372" s="128"/>
      <c r="M372" s="129"/>
      <c r="N372" s="123"/>
      <c r="O372" s="158" t="s">
        <v>566</v>
      </c>
      <c r="P372" s="207"/>
      <c r="Q372" s="316"/>
      <c r="R372" s="208"/>
      <c r="S372" s="208"/>
      <c r="T372" s="208"/>
      <c r="U372" s="208"/>
      <c r="V372" s="208"/>
    </row>
    <row r="373" spans="1:22">
      <c r="A373" s="213"/>
      <c r="B373" s="109"/>
      <c r="C373" s="497"/>
      <c r="D373" s="202"/>
      <c r="E373" s="129"/>
      <c r="F373" s="128"/>
      <c r="G373" s="130"/>
      <c r="H373" s="131"/>
      <c r="I373" s="130"/>
      <c r="J373" s="128"/>
      <c r="K373" s="130"/>
      <c r="L373" s="128"/>
      <c r="M373" s="129"/>
      <c r="N373" s="224"/>
      <c r="O373" s="158"/>
      <c r="P373" s="207"/>
      <c r="Q373" s="316"/>
      <c r="R373" s="208"/>
      <c r="S373" s="208"/>
      <c r="T373" s="208"/>
      <c r="U373" s="208"/>
      <c r="V373" s="208"/>
    </row>
    <row r="374" spans="1:22">
      <c r="A374" s="213"/>
      <c r="B374" s="109"/>
      <c r="C374" s="497"/>
      <c r="D374" s="202"/>
      <c r="E374" s="129" t="s">
        <v>566</v>
      </c>
      <c r="F374" s="128"/>
      <c r="G374" s="130"/>
      <c r="H374" s="131"/>
      <c r="I374" s="130"/>
      <c r="J374" s="128"/>
      <c r="K374" s="130"/>
      <c r="L374" s="128"/>
      <c r="M374" s="129"/>
      <c r="N374" s="224"/>
      <c r="O374" s="158"/>
      <c r="P374" s="207"/>
      <c r="Q374" s="316"/>
      <c r="R374" s="208"/>
      <c r="S374" s="208"/>
      <c r="T374" s="208"/>
      <c r="U374" s="208"/>
      <c r="V374" s="208"/>
    </row>
    <row r="375" spans="1:22">
      <c r="A375" s="213"/>
      <c r="B375" s="109"/>
      <c r="C375" s="497"/>
      <c r="D375" s="202"/>
      <c r="E375" s="129"/>
      <c r="F375" s="128"/>
      <c r="G375" s="130"/>
      <c r="H375" s="131"/>
      <c r="I375" s="130"/>
      <c r="J375" s="128"/>
      <c r="K375" s="130"/>
      <c r="L375" s="128"/>
      <c r="M375" s="129"/>
      <c r="N375" s="224"/>
      <c r="O375" s="158"/>
      <c r="P375" s="207"/>
      <c r="Q375" s="316"/>
      <c r="R375" s="208"/>
      <c r="S375" s="208"/>
      <c r="T375" s="208"/>
      <c r="U375" s="208"/>
      <c r="V375" s="208"/>
    </row>
    <row r="376" spans="1:22" ht="16">
      <c r="A376" s="147"/>
      <c r="B376" s="168" t="s">
        <v>664</v>
      </c>
      <c r="C376" s="336"/>
      <c r="D376" s="336"/>
      <c r="E376" s="336"/>
      <c r="F376" s="336"/>
      <c r="G376" s="336"/>
      <c r="H376" s="336"/>
      <c r="I376" s="336"/>
      <c r="J376" s="336"/>
      <c r="K376" s="336"/>
      <c r="L376" s="336"/>
      <c r="M376" s="336"/>
      <c r="N376" s="336"/>
      <c r="O376" s="336"/>
      <c r="P376" s="178"/>
      <c r="Q376" s="178"/>
      <c r="R376" s="178"/>
      <c r="S376" s="178"/>
      <c r="T376" s="178"/>
      <c r="U376" s="107" t="s">
        <v>683</v>
      </c>
      <c r="V376" s="178"/>
    </row>
    <row r="377" spans="1:22" ht="17" thickBot="1">
      <c r="A377" s="147"/>
      <c r="B377" s="862" t="s">
        <v>665</v>
      </c>
      <c r="C377" s="862"/>
      <c r="D377" s="862"/>
      <c r="E377" s="862"/>
      <c r="F377" s="862"/>
      <c r="G377" s="862"/>
      <c r="H377" s="862"/>
      <c r="I377" s="862"/>
      <c r="J377" s="862"/>
      <c r="K377" s="862"/>
      <c r="L377" s="862"/>
      <c r="M377" s="862"/>
      <c r="N377" s="862"/>
      <c r="O377" s="862"/>
      <c r="P377" s="862"/>
      <c r="Q377" s="862"/>
      <c r="R377" s="862"/>
      <c r="S377" s="862"/>
      <c r="T377" s="862"/>
      <c r="U377" s="862"/>
      <c r="V377" s="315"/>
    </row>
    <row r="378" spans="1:22" ht="57" thickBot="1">
      <c r="A378" s="147"/>
      <c r="B378" s="334"/>
      <c r="C378" s="334"/>
      <c r="D378" s="334"/>
      <c r="E378" s="116" t="s">
        <v>648</v>
      </c>
      <c r="F378" s="115"/>
      <c r="G378" s="117" t="s">
        <v>649</v>
      </c>
      <c r="H378" s="118"/>
      <c r="I378" s="117" t="s">
        <v>650</v>
      </c>
      <c r="J378" s="115"/>
      <c r="K378" s="117" t="s">
        <v>651</v>
      </c>
      <c r="L378" s="115"/>
      <c r="M378" s="116" t="s">
        <v>613</v>
      </c>
      <c r="N378" s="119"/>
      <c r="O378" s="117" t="s">
        <v>649</v>
      </c>
      <c r="P378" s="178"/>
      <c r="Q378" s="178"/>
      <c r="R378" s="178"/>
      <c r="S378" s="178"/>
      <c r="T378" s="178"/>
      <c r="U378" s="117" t="s">
        <v>614</v>
      </c>
      <c r="V378" s="178"/>
    </row>
    <row r="379" spans="1:22" ht="16">
      <c r="A379" s="147"/>
      <c r="B379" s="127" t="s">
        <v>666</v>
      </c>
      <c r="C379" s="109"/>
      <c r="D379" s="128"/>
      <c r="E379" s="129"/>
      <c r="F379" s="128"/>
      <c r="G379" s="130"/>
      <c r="H379" s="131"/>
      <c r="I379" s="130"/>
      <c r="J379" s="128"/>
      <c r="K379" s="130"/>
      <c r="L379" s="128"/>
      <c r="M379" s="129"/>
      <c r="N379" s="123"/>
      <c r="O379" s="130"/>
      <c r="P379" s="178"/>
      <c r="Q379" s="178"/>
      <c r="R379" s="178"/>
      <c r="S379" s="178"/>
      <c r="T379" s="178"/>
      <c r="U379" s="173"/>
      <c r="V379" s="178"/>
    </row>
    <row r="380" spans="1:22" ht="15" customHeight="1">
      <c r="A380" s="147"/>
      <c r="B380" s="109" t="s">
        <v>705</v>
      </c>
      <c r="C380" s="109"/>
      <c r="D380" s="128" t="s">
        <v>566</v>
      </c>
      <c r="E380" s="129">
        <v>150</v>
      </c>
      <c r="F380" s="128"/>
      <c r="G380" s="130">
        <v>33</v>
      </c>
      <c r="H380" s="131"/>
      <c r="I380" s="130" t="e">
        <v>#REF!</v>
      </c>
      <c r="J380" s="128"/>
      <c r="K380" s="130" t="e">
        <v>#REF!</v>
      </c>
      <c r="L380" s="128"/>
      <c r="M380" s="129">
        <v>7500</v>
      </c>
      <c r="N380" s="123"/>
      <c r="O380" s="130">
        <v>1650</v>
      </c>
      <c r="P380" s="178"/>
      <c r="Q380" s="178"/>
      <c r="R380" s="178"/>
      <c r="S380" s="178"/>
      <c r="T380" s="178"/>
      <c r="U380" s="180">
        <v>2</v>
      </c>
      <c r="V380" s="178"/>
    </row>
    <row r="381" spans="1:22" ht="16">
      <c r="A381" s="147"/>
      <c r="B381" s="109" t="s">
        <v>706</v>
      </c>
      <c r="C381" s="109"/>
      <c r="D381" s="128"/>
      <c r="E381" s="129">
        <v>100</v>
      </c>
      <c r="F381" s="128"/>
      <c r="G381" s="130">
        <v>22</v>
      </c>
      <c r="H381" s="131"/>
      <c r="I381" s="130" t="e">
        <v>#REF!</v>
      </c>
      <c r="J381" s="128"/>
      <c r="K381" s="130" t="e">
        <v>#REF!</v>
      </c>
      <c r="L381" s="128"/>
      <c r="M381" s="129">
        <v>5000</v>
      </c>
      <c r="N381" s="123"/>
      <c r="O381" s="130">
        <v>1100</v>
      </c>
      <c r="P381" s="178"/>
      <c r="Q381" s="178"/>
      <c r="R381" s="178"/>
      <c r="S381" s="178"/>
      <c r="T381" s="178"/>
      <c r="U381" s="180">
        <v>2</v>
      </c>
      <c r="V381" s="178"/>
    </row>
    <row r="382" spans="1:22" ht="16">
      <c r="A382" s="147"/>
      <c r="B382" s="109" t="s">
        <v>707</v>
      </c>
      <c r="C382" s="109"/>
      <c r="D382" s="128"/>
      <c r="E382" s="129">
        <v>240</v>
      </c>
      <c r="F382" s="128"/>
      <c r="G382" s="130">
        <v>52.8</v>
      </c>
      <c r="H382" s="131"/>
      <c r="I382" s="130" t="e">
        <v>#REF!</v>
      </c>
      <c r="J382" s="128"/>
      <c r="K382" s="130" t="e">
        <v>#REF!</v>
      </c>
      <c r="L382" s="128"/>
      <c r="M382" s="129">
        <v>12000</v>
      </c>
      <c r="N382" s="123"/>
      <c r="O382" s="130">
        <v>2640</v>
      </c>
      <c r="P382" s="178"/>
      <c r="Q382" s="178"/>
      <c r="R382" s="178"/>
      <c r="S382" s="178"/>
      <c r="T382" s="178"/>
      <c r="U382" s="180">
        <v>2</v>
      </c>
      <c r="V382" s="178"/>
    </row>
    <row r="383" spans="1:22" ht="16">
      <c r="A383" s="147" t="s">
        <v>566</v>
      </c>
      <c r="B383" s="109" t="s">
        <v>708</v>
      </c>
      <c r="C383" s="109"/>
      <c r="D383" s="128"/>
      <c r="E383" s="129">
        <v>230</v>
      </c>
      <c r="F383" s="128"/>
      <c r="G383" s="130">
        <v>50.6</v>
      </c>
      <c r="H383" s="131"/>
      <c r="I383" s="130" t="e">
        <v>#REF!</v>
      </c>
      <c r="J383" s="128"/>
      <c r="K383" s="130" t="e">
        <v>#REF!</v>
      </c>
      <c r="L383" s="128"/>
      <c r="M383" s="129">
        <v>11500</v>
      </c>
      <c r="N383" s="123"/>
      <c r="O383" s="130">
        <v>2530</v>
      </c>
      <c r="P383" s="178"/>
      <c r="Q383" s="178"/>
      <c r="R383" s="178"/>
      <c r="S383" s="178"/>
      <c r="T383" s="178"/>
      <c r="U383" s="180">
        <v>2</v>
      </c>
      <c r="V383" s="178"/>
    </row>
    <row r="384" spans="1:22" ht="16">
      <c r="A384" s="147"/>
      <c r="B384" s="109" t="s">
        <v>709</v>
      </c>
      <c r="C384" s="109"/>
      <c r="D384" s="128"/>
      <c r="E384" s="129">
        <v>150</v>
      </c>
      <c r="F384" s="128"/>
      <c r="G384" s="130">
        <v>33</v>
      </c>
      <c r="H384" s="131"/>
      <c r="I384" s="130" t="e">
        <v>#REF!</v>
      </c>
      <c r="J384" s="128"/>
      <c r="K384" s="130" t="e">
        <v>#REF!</v>
      </c>
      <c r="L384" s="128"/>
      <c r="M384" s="129">
        <v>7500</v>
      </c>
      <c r="N384" s="123"/>
      <c r="O384" s="130">
        <v>1650</v>
      </c>
      <c r="P384" s="178"/>
      <c r="Q384" s="178"/>
      <c r="R384" s="178"/>
      <c r="S384" s="178"/>
      <c r="T384" s="178"/>
      <c r="U384" s="180">
        <v>2</v>
      </c>
      <c r="V384" s="129"/>
    </row>
    <row r="385" spans="1:22" ht="16">
      <c r="A385" s="147"/>
      <c r="B385" s="109"/>
      <c r="C385" s="109"/>
      <c r="D385" s="128"/>
      <c r="E385" s="129"/>
      <c r="F385" s="128"/>
      <c r="G385" s="130"/>
      <c r="H385" s="131"/>
      <c r="I385" s="130"/>
      <c r="J385" s="128"/>
      <c r="K385" s="130"/>
      <c r="L385" s="128"/>
      <c r="M385" s="129"/>
      <c r="N385" s="123"/>
      <c r="O385" s="130"/>
      <c r="P385" s="178"/>
      <c r="Q385" s="178"/>
      <c r="R385" s="178"/>
      <c r="S385" s="178"/>
      <c r="T385" s="178"/>
      <c r="U385" s="180"/>
      <c r="V385" s="129"/>
    </row>
    <row r="386" spans="1:22" ht="16">
      <c r="A386" s="147"/>
      <c r="B386" s="127" t="s">
        <v>794</v>
      </c>
      <c r="C386" s="109"/>
      <c r="D386" s="128"/>
      <c r="E386" s="129" t="s">
        <v>566</v>
      </c>
      <c r="F386" s="128"/>
      <c r="G386" s="130"/>
      <c r="H386" s="131"/>
      <c r="I386" s="130"/>
      <c r="J386" s="128"/>
      <c r="K386" s="130"/>
      <c r="L386" s="128"/>
      <c r="M386" s="129"/>
      <c r="N386" s="123"/>
      <c r="O386" s="130"/>
      <c r="P386" s="129"/>
      <c r="Q386" s="129"/>
      <c r="R386" s="129"/>
      <c r="S386" s="129"/>
      <c r="T386" s="129"/>
      <c r="U386" s="180"/>
      <c r="V386" s="129"/>
    </row>
    <row r="387" spans="1:22" ht="16">
      <c r="A387" s="147" t="s">
        <v>566</v>
      </c>
      <c r="B387" s="109" t="s">
        <v>795</v>
      </c>
      <c r="C387" s="109"/>
      <c r="D387" s="128"/>
      <c r="E387" s="129">
        <v>240</v>
      </c>
      <c r="F387" s="128"/>
      <c r="G387" s="130">
        <v>52.8</v>
      </c>
      <c r="H387" s="131"/>
      <c r="I387" s="130" t="e">
        <v>#REF!</v>
      </c>
      <c r="J387" s="128"/>
      <c r="K387" s="130" t="e">
        <v>#REF!</v>
      </c>
      <c r="L387" s="128"/>
      <c r="M387" s="129">
        <v>12000</v>
      </c>
      <c r="N387" s="123"/>
      <c r="O387" s="130">
        <v>2640</v>
      </c>
      <c r="P387" s="129"/>
      <c r="Q387" s="129"/>
      <c r="R387" s="129"/>
      <c r="S387" s="129"/>
      <c r="T387" s="129"/>
      <c r="U387" s="180">
        <v>9</v>
      </c>
      <c r="V387" s="129"/>
    </row>
    <row r="388" spans="1:22" ht="16">
      <c r="A388" s="147"/>
      <c r="B388" s="109" t="s">
        <v>796</v>
      </c>
      <c r="C388" s="109"/>
      <c r="D388" s="128" t="s">
        <v>566</v>
      </c>
      <c r="E388" s="129">
        <v>500</v>
      </c>
      <c r="F388" s="128"/>
      <c r="G388" s="130">
        <v>110</v>
      </c>
      <c r="H388" s="131"/>
      <c r="I388" s="130" t="e">
        <v>#VALUE!</v>
      </c>
      <c r="J388" s="128"/>
      <c r="K388" s="130" t="e">
        <v>#VALUE!</v>
      </c>
      <c r="L388" s="128"/>
      <c r="M388" s="129">
        <v>25000</v>
      </c>
      <c r="N388" s="123"/>
      <c r="O388" s="130">
        <v>5500</v>
      </c>
      <c r="P388" s="129"/>
      <c r="Q388" s="129"/>
      <c r="R388" s="129"/>
      <c r="S388" s="129"/>
      <c r="T388" s="129"/>
      <c r="U388" s="180">
        <v>9</v>
      </c>
      <c r="V388" s="129"/>
    </row>
    <row r="389" spans="1:22" ht="16">
      <c r="A389" s="147"/>
      <c r="B389" s="109" t="s">
        <v>797</v>
      </c>
      <c r="C389" s="148"/>
      <c r="D389" s="149"/>
      <c r="E389" s="129">
        <v>70</v>
      </c>
      <c r="F389" s="128"/>
      <c r="G389" s="130">
        <v>15.4</v>
      </c>
      <c r="H389" s="131"/>
      <c r="I389" s="130">
        <v>0</v>
      </c>
      <c r="J389" s="128"/>
      <c r="K389" s="130">
        <v>0</v>
      </c>
      <c r="L389" s="128"/>
      <c r="M389" s="129">
        <v>3500</v>
      </c>
      <c r="N389" s="123"/>
      <c r="O389" s="130">
        <v>770</v>
      </c>
      <c r="P389" s="129"/>
      <c r="Q389" s="129"/>
      <c r="R389" s="129"/>
      <c r="S389" s="129"/>
      <c r="T389" s="129"/>
      <c r="U389" s="180">
        <v>9</v>
      </c>
      <c r="V389" s="129"/>
    </row>
    <row r="390" spans="1:22" ht="16">
      <c r="A390" s="147" t="s">
        <v>566</v>
      </c>
      <c r="B390" s="109" t="s">
        <v>798</v>
      </c>
      <c r="C390" s="148"/>
      <c r="D390" s="149"/>
      <c r="E390" s="129">
        <v>70</v>
      </c>
      <c r="F390" s="128"/>
      <c r="G390" s="130">
        <v>15.4</v>
      </c>
      <c r="H390" s="131"/>
      <c r="I390" s="130" t="s">
        <v>133</v>
      </c>
      <c r="J390" s="128"/>
      <c r="K390" s="130" t="s">
        <v>133</v>
      </c>
      <c r="L390" s="128"/>
      <c r="M390" s="129">
        <v>3500</v>
      </c>
      <c r="N390" s="123"/>
      <c r="O390" s="130">
        <v>770</v>
      </c>
      <c r="P390" s="129"/>
      <c r="Q390" s="129"/>
      <c r="R390" s="129"/>
      <c r="S390" s="129"/>
      <c r="T390" s="129"/>
      <c r="U390" s="180">
        <v>9</v>
      </c>
      <c r="V390" s="129"/>
    </row>
    <row r="391" spans="1:22" ht="16">
      <c r="A391" s="147"/>
      <c r="B391" s="109" t="s">
        <v>799</v>
      </c>
      <c r="C391" s="148"/>
      <c r="D391" s="149"/>
      <c r="E391" s="129">
        <v>150</v>
      </c>
      <c r="F391" s="128"/>
      <c r="G391" s="130">
        <v>33</v>
      </c>
      <c r="H391" s="131"/>
      <c r="I391" s="130" t="e">
        <v>#REF!</v>
      </c>
      <c r="J391" s="128"/>
      <c r="K391" s="130" t="e">
        <v>#REF!</v>
      </c>
      <c r="L391" s="128"/>
      <c r="M391" s="129">
        <v>7500</v>
      </c>
      <c r="N391" s="123"/>
      <c r="O391" s="130">
        <v>1650</v>
      </c>
      <c r="P391" s="129"/>
      <c r="Q391" s="129"/>
      <c r="R391" s="129"/>
      <c r="S391" s="129"/>
      <c r="T391" s="129"/>
      <c r="U391" s="180">
        <v>9</v>
      </c>
      <c r="V391" s="129"/>
    </row>
    <row r="392" spans="1:22" ht="16">
      <c r="A392" s="147"/>
      <c r="B392" s="109" t="s">
        <v>800</v>
      </c>
      <c r="C392" s="148"/>
      <c r="D392" s="149"/>
      <c r="E392" s="129">
        <v>205</v>
      </c>
      <c r="F392" s="128"/>
      <c r="G392" s="130">
        <v>45.1</v>
      </c>
      <c r="H392" s="131"/>
      <c r="I392" s="130" t="e">
        <v>#REF!</v>
      </c>
      <c r="J392" s="128"/>
      <c r="K392" s="130" t="e">
        <v>#REF!</v>
      </c>
      <c r="L392" s="128"/>
      <c r="M392" s="129">
        <v>6900</v>
      </c>
      <c r="N392" s="123"/>
      <c r="O392" s="130">
        <v>1518</v>
      </c>
      <c r="P392" s="129"/>
      <c r="Q392" s="129"/>
      <c r="R392" s="129"/>
      <c r="S392" s="129"/>
      <c r="T392" s="129"/>
      <c r="U392" s="180">
        <v>9</v>
      </c>
      <c r="V392" s="129"/>
    </row>
    <row r="393" spans="1:22" ht="16">
      <c r="A393" s="147"/>
      <c r="B393" s="109"/>
      <c r="C393" s="148"/>
      <c r="D393" s="149"/>
      <c r="E393" s="129"/>
      <c r="F393" s="128"/>
      <c r="G393" s="130"/>
      <c r="H393" s="131"/>
      <c r="I393" s="130"/>
      <c r="J393" s="128"/>
      <c r="K393" s="130"/>
      <c r="L393" s="128"/>
      <c r="M393" s="129"/>
      <c r="N393" s="123"/>
      <c r="O393" s="130"/>
      <c r="P393" s="129"/>
      <c r="Q393" s="129"/>
      <c r="R393" s="129"/>
      <c r="S393" s="129"/>
      <c r="T393" s="129"/>
      <c r="U393" s="180"/>
      <c r="V393" s="129"/>
    </row>
    <row r="394" spans="1:22" ht="16">
      <c r="A394" s="147"/>
      <c r="B394" s="127" t="s">
        <v>862</v>
      </c>
      <c r="C394" s="337"/>
      <c r="D394" s="337"/>
      <c r="E394" s="129"/>
      <c r="F394" s="128"/>
      <c r="G394" s="130"/>
      <c r="H394" s="131"/>
      <c r="I394" s="130"/>
      <c r="J394" s="128"/>
      <c r="K394" s="130"/>
      <c r="L394" s="128"/>
      <c r="M394" s="129"/>
      <c r="N394" s="123"/>
      <c r="O394" s="130"/>
      <c r="P394" s="178"/>
      <c r="Q394" s="178"/>
      <c r="R394" s="178"/>
      <c r="S394" s="178"/>
      <c r="T394" s="178"/>
      <c r="U394" s="180"/>
      <c r="V394" s="178"/>
    </row>
    <row r="395" spans="1:22" ht="16">
      <c r="A395" s="147"/>
      <c r="B395" s="109" t="s">
        <v>863</v>
      </c>
      <c r="C395" s="337" t="s">
        <v>566</v>
      </c>
      <c r="D395" s="337"/>
      <c r="E395" s="129">
        <v>240</v>
      </c>
      <c r="F395" s="128"/>
      <c r="G395" s="130">
        <v>52.8</v>
      </c>
      <c r="H395" s="131"/>
      <c r="I395" s="130" t="s">
        <v>133</v>
      </c>
      <c r="J395" s="128"/>
      <c r="K395" s="130" t="s">
        <v>133</v>
      </c>
      <c r="L395" s="128"/>
      <c r="M395" s="129">
        <v>12000</v>
      </c>
      <c r="N395" s="123"/>
      <c r="O395" s="130">
        <v>2640</v>
      </c>
      <c r="P395" s="178"/>
      <c r="Q395" s="178"/>
      <c r="R395" s="178"/>
      <c r="S395" s="178"/>
      <c r="T395" s="178"/>
      <c r="U395" s="180">
        <v>79</v>
      </c>
      <c r="V395" s="178"/>
    </row>
    <row r="396" spans="1:22" ht="17" thickBot="1">
      <c r="A396" s="122"/>
      <c r="B396" s="337"/>
      <c r="C396" s="109"/>
      <c r="D396" s="128"/>
      <c r="E396" s="129"/>
      <c r="F396" s="128"/>
      <c r="G396" s="130"/>
      <c r="H396" s="131"/>
      <c r="I396" s="130"/>
      <c r="J396" s="128"/>
      <c r="K396" s="130"/>
      <c r="L396" s="128"/>
      <c r="M396" s="129"/>
      <c r="N396" s="123"/>
      <c r="O396" s="130"/>
      <c r="P396" s="123"/>
      <c r="Q396" s="130"/>
      <c r="R396" s="123"/>
      <c r="S396" s="130"/>
      <c r="T396" s="130"/>
      <c r="U396" s="132"/>
      <c r="V396" s="130"/>
    </row>
    <row r="397" spans="1:22" ht="57" thickBot="1">
      <c r="A397" s="197"/>
      <c r="B397" s="198"/>
      <c r="C397" s="197" t="s">
        <v>566</v>
      </c>
      <c r="D397" s="115"/>
      <c r="E397" s="116" t="s">
        <v>710</v>
      </c>
      <c r="F397" s="115"/>
      <c r="G397" s="117" t="s">
        <v>649</v>
      </c>
      <c r="H397" s="118"/>
      <c r="I397" s="117" t="e">
        <v>#REF!</v>
      </c>
      <c r="J397" s="119"/>
      <c r="K397" s="117" t="e">
        <v>#REF!</v>
      </c>
      <c r="L397" s="119"/>
      <c r="M397" s="117" t="s">
        <v>711</v>
      </c>
      <c r="N397" s="115"/>
      <c r="O397" s="117" t="s">
        <v>561</v>
      </c>
      <c r="P397" s="115"/>
      <c r="Q397" s="169"/>
      <c r="R397" s="199"/>
      <c r="S397" s="199"/>
      <c r="T397" s="199"/>
      <c r="U397" s="117" t="s">
        <v>614</v>
      </c>
      <c r="V397" s="199"/>
    </row>
    <row r="398" spans="1:22" ht="16">
      <c r="A398" s="147"/>
      <c r="B398" s="168" t="s">
        <v>880</v>
      </c>
      <c r="C398" s="337"/>
      <c r="D398" s="337"/>
      <c r="E398" s="337"/>
      <c r="F398" s="337"/>
      <c r="G398" s="337"/>
      <c r="H398" s="337"/>
      <c r="I398" s="337"/>
      <c r="J398" s="337"/>
      <c r="K398" s="337"/>
      <c r="L398" s="337"/>
      <c r="M398" s="337"/>
      <c r="N398" s="337"/>
      <c r="O398" s="337"/>
      <c r="P398" s="178"/>
      <c r="Q398" s="178"/>
      <c r="R398" s="178"/>
      <c r="S398" s="178"/>
      <c r="T398" s="178"/>
      <c r="U398" s="180"/>
      <c r="V398" s="178"/>
    </row>
    <row r="399" spans="1:22" ht="30">
      <c r="A399" s="147"/>
      <c r="B399" s="336" t="s">
        <v>881</v>
      </c>
      <c r="C399" s="336"/>
      <c r="D399" s="336"/>
      <c r="E399" s="225">
        <v>8</v>
      </c>
      <c r="F399" s="128"/>
      <c r="G399" s="130">
        <v>1.76</v>
      </c>
      <c r="H399" s="336"/>
      <c r="I399" s="336"/>
      <c r="J399" s="336"/>
      <c r="K399" s="336"/>
      <c r="L399" s="336"/>
      <c r="M399" s="496" t="s">
        <v>867</v>
      </c>
      <c r="N399" s="336"/>
      <c r="O399" s="206" t="s">
        <v>133</v>
      </c>
      <c r="P399" s="178"/>
      <c r="Q399" s="178"/>
      <c r="R399" s="178"/>
      <c r="S399" s="178"/>
      <c r="T399" s="178"/>
      <c r="U399" s="180">
        <v>82</v>
      </c>
      <c r="V399" s="178"/>
    </row>
    <row r="400" spans="1:22" ht="60">
      <c r="A400" s="147"/>
      <c r="B400" s="336"/>
      <c r="C400" s="336" t="s">
        <v>566</v>
      </c>
      <c r="D400" s="336"/>
      <c r="E400" s="129">
        <v>2</v>
      </c>
      <c r="F400" s="128"/>
      <c r="G400" s="158">
        <v>0.44</v>
      </c>
      <c r="H400" s="336"/>
      <c r="I400" s="336"/>
      <c r="J400" s="336"/>
      <c r="K400" s="336"/>
      <c r="L400" s="336"/>
      <c r="M400" s="496" t="s">
        <v>868</v>
      </c>
      <c r="N400" s="336"/>
      <c r="O400" s="206" t="s">
        <v>133</v>
      </c>
      <c r="P400" s="178"/>
      <c r="Q400" s="178"/>
      <c r="R400" s="178"/>
      <c r="S400" s="178"/>
      <c r="T400" s="178"/>
      <c r="U400" s="180">
        <v>82</v>
      </c>
      <c r="V400" s="178"/>
    </row>
    <row r="401" spans="1:22" ht="16">
      <c r="A401" s="147"/>
      <c r="B401" s="336" t="s">
        <v>566</v>
      </c>
      <c r="C401" s="336" t="s">
        <v>566</v>
      </c>
      <c r="D401" s="336"/>
      <c r="E401" s="129">
        <v>25000</v>
      </c>
      <c r="F401" s="128"/>
      <c r="G401" s="130">
        <v>5500</v>
      </c>
      <c r="H401" s="336"/>
      <c r="I401" s="336"/>
      <c r="J401" s="336"/>
      <c r="K401" s="336"/>
      <c r="L401" s="336"/>
      <c r="M401" s="102" t="s">
        <v>241</v>
      </c>
      <c r="N401" s="336"/>
      <c r="O401" s="206" t="s">
        <v>133</v>
      </c>
      <c r="P401" s="178"/>
      <c r="Q401" s="178"/>
      <c r="R401" s="178"/>
      <c r="S401" s="178"/>
      <c r="T401" s="178"/>
      <c r="U401" s="180">
        <v>82</v>
      </c>
      <c r="V401" s="178"/>
    </row>
    <row r="402" spans="1:22" ht="17" thickBot="1">
      <c r="A402" s="147"/>
      <c r="B402" s="336"/>
      <c r="C402" s="336"/>
      <c r="D402" s="336"/>
      <c r="E402" s="336"/>
      <c r="F402" s="336"/>
      <c r="G402" s="336"/>
      <c r="H402" s="336"/>
      <c r="I402" s="336"/>
      <c r="J402" s="336"/>
      <c r="K402" s="336"/>
      <c r="L402" s="336"/>
      <c r="M402" s="336"/>
      <c r="N402" s="336"/>
      <c r="O402" s="336"/>
      <c r="P402" s="178"/>
      <c r="Q402" s="178"/>
      <c r="R402" s="178"/>
      <c r="S402" s="178"/>
      <c r="T402" s="178"/>
      <c r="U402" s="180"/>
      <c r="V402" s="178"/>
    </row>
    <row r="403" spans="1:22" ht="57" thickBot="1">
      <c r="A403" s="197"/>
      <c r="B403" s="198"/>
      <c r="C403" s="197" t="s">
        <v>566</v>
      </c>
      <c r="D403" s="115"/>
      <c r="E403" s="116" t="s">
        <v>710</v>
      </c>
      <c r="F403" s="115"/>
      <c r="G403" s="117" t="s">
        <v>649</v>
      </c>
      <c r="H403" s="118"/>
      <c r="I403" s="117" t="e">
        <v>#REF!</v>
      </c>
      <c r="J403" s="119"/>
      <c r="K403" s="117" t="e">
        <v>#REF!</v>
      </c>
      <c r="L403" s="119"/>
      <c r="M403" s="117" t="s">
        <v>711</v>
      </c>
      <c r="N403" s="115"/>
      <c r="O403" s="117" t="s">
        <v>561</v>
      </c>
      <c r="P403" s="115"/>
      <c r="Q403" s="169"/>
      <c r="R403" s="199"/>
      <c r="S403" s="199"/>
      <c r="T403" s="199"/>
      <c r="U403" s="117" t="s">
        <v>614</v>
      </c>
      <c r="V403" s="199"/>
    </row>
    <row r="404" spans="1:22" ht="16">
      <c r="A404" s="122"/>
      <c r="B404" s="127" t="s">
        <v>667</v>
      </c>
      <c r="C404" s="109"/>
      <c r="D404" s="128"/>
      <c r="E404" s="129"/>
      <c r="F404" s="128"/>
      <c r="G404" s="130"/>
      <c r="H404" s="131"/>
      <c r="I404" s="130"/>
      <c r="J404" s="128"/>
      <c r="K404" s="130"/>
      <c r="L404" s="128"/>
      <c r="M404" s="129"/>
      <c r="N404" s="123"/>
      <c r="O404" s="130"/>
      <c r="P404" s="129"/>
      <c r="Q404" s="129"/>
      <c r="R404" s="129"/>
      <c r="S404" s="129"/>
      <c r="T404" s="129"/>
      <c r="U404" s="180"/>
      <c r="V404" s="129"/>
    </row>
    <row r="405" spans="1:22" ht="16">
      <c r="A405" s="147" t="s">
        <v>566</v>
      </c>
      <c r="B405" s="109" t="s">
        <v>889</v>
      </c>
      <c r="C405" s="109"/>
      <c r="D405" s="128" t="s">
        <v>566</v>
      </c>
      <c r="E405" s="129">
        <v>5000</v>
      </c>
      <c r="F405" s="129"/>
      <c r="G405" s="130">
        <v>1100</v>
      </c>
      <c r="H405" s="129"/>
      <c r="I405" s="129" t="e">
        <v>#REF!</v>
      </c>
      <c r="J405" s="129" t="e">
        <v>#REF!</v>
      </c>
      <c r="K405" s="129" t="e">
        <v>#REF!</v>
      </c>
      <c r="L405" s="129" t="e">
        <v>#REF!</v>
      </c>
      <c r="M405" s="129" t="s">
        <v>890</v>
      </c>
      <c r="N405" s="129"/>
      <c r="O405" s="129" t="s">
        <v>713</v>
      </c>
      <c r="P405" s="178"/>
      <c r="Q405" s="178"/>
      <c r="R405" s="178"/>
      <c r="S405" s="178"/>
      <c r="T405" s="178"/>
      <c r="U405" s="180"/>
      <c r="V405" s="178"/>
    </row>
    <row r="406" spans="1:22" ht="16">
      <c r="A406" s="147"/>
      <c r="B406" s="109"/>
      <c r="C406" s="109" t="s">
        <v>566</v>
      </c>
      <c r="D406" s="128"/>
      <c r="E406" s="129">
        <v>100</v>
      </c>
      <c r="F406" s="129"/>
      <c r="G406" s="130">
        <v>22</v>
      </c>
      <c r="H406" s="129"/>
      <c r="I406" s="129">
        <v>7700</v>
      </c>
      <c r="J406" s="129">
        <v>5250</v>
      </c>
      <c r="K406" s="129">
        <v>0</v>
      </c>
      <c r="L406" s="129">
        <v>2450</v>
      </c>
      <c r="M406" s="129" t="s">
        <v>891</v>
      </c>
      <c r="N406" s="129"/>
      <c r="O406" s="129" t="s">
        <v>713</v>
      </c>
      <c r="P406" s="178"/>
      <c r="Q406" s="178"/>
      <c r="R406" s="178"/>
      <c r="S406" s="178"/>
      <c r="T406" s="178"/>
      <c r="U406" s="180"/>
      <c r="V406" s="178"/>
    </row>
    <row r="407" spans="1:22" ht="16">
      <c r="A407" s="147"/>
      <c r="B407" s="104" t="s">
        <v>892</v>
      </c>
      <c r="C407" s="109"/>
      <c r="D407" s="128"/>
      <c r="E407" s="129">
        <v>1800</v>
      </c>
      <c r="F407" s="129"/>
      <c r="G407" s="130">
        <v>396</v>
      </c>
      <c r="H407" s="129"/>
      <c r="I407" s="129" t="e">
        <v>#REF!</v>
      </c>
      <c r="J407" s="129" t="e">
        <v>#REF!</v>
      </c>
      <c r="K407" s="129" t="e">
        <v>#REF!</v>
      </c>
      <c r="L407" s="129" t="e">
        <v>#REF!</v>
      </c>
      <c r="M407" s="129" t="s">
        <v>890</v>
      </c>
      <c r="N407" s="129"/>
      <c r="O407" s="129" t="s">
        <v>713</v>
      </c>
      <c r="P407" s="178"/>
      <c r="Q407" s="178"/>
      <c r="R407" s="178"/>
      <c r="S407" s="178"/>
      <c r="T407" s="178"/>
      <c r="U407" s="180">
        <v>23</v>
      </c>
      <c r="V407" s="178"/>
    </row>
    <row r="408" spans="1:22" ht="16">
      <c r="A408" s="147"/>
      <c r="B408" s="104"/>
      <c r="C408" s="109"/>
      <c r="D408" s="128"/>
      <c r="E408" s="129">
        <v>35</v>
      </c>
      <c r="F408" s="129"/>
      <c r="G408" s="130">
        <v>7.7</v>
      </c>
      <c r="H408" s="129"/>
      <c r="I408" s="129">
        <v>12650</v>
      </c>
      <c r="J408" s="129">
        <v>8625</v>
      </c>
      <c r="K408" s="129">
        <v>0</v>
      </c>
      <c r="L408" s="129">
        <v>4025</v>
      </c>
      <c r="M408" s="129" t="s">
        <v>891</v>
      </c>
      <c r="N408" s="129"/>
      <c r="O408" s="129" t="s">
        <v>713</v>
      </c>
      <c r="P408" s="178"/>
      <c r="Q408" s="178"/>
      <c r="R408" s="178"/>
      <c r="S408" s="178"/>
      <c r="T408" s="178"/>
      <c r="U408" s="180">
        <v>23</v>
      </c>
      <c r="V408" s="178"/>
    </row>
    <row r="409" spans="1:22" ht="16">
      <c r="A409" s="147"/>
      <c r="B409" s="104" t="s">
        <v>893</v>
      </c>
      <c r="C409" s="109"/>
      <c r="D409" s="128"/>
      <c r="E409" s="129">
        <v>1800</v>
      </c>
      <c r="F409" s="129"/>
      <c r="G409" s="130">
        <v>396</v>
      </c>
      <c r="H409" s="129"/>
      <c r="I409" s="129">
        <v>13200</v>
      </c>
      <c r="J409" s="129">
        <v>9000</v>
      </c>
      <c r="K409" s="129">
        <v>0</v>
      </c>
      <c r="L409" s="129">
        <v>4200</v>
      </c>
      <c r="M409" s="129" t="s">
        <v>890</v>
      </c>
      <c r="N409" s="129"/>
      <c r="O409" s="129" t="s">
        <v>713</v>
      </c>
      <c r="P409" s="178"/>
      <c r="Q409" s="178"/>
      <c r="R409" s="178"/>
      <c r="S409" s="178"/>
      <c r="T409" s="178"/>
      <c r="U409" s="180">
        <v>16</v>
      </c>
      <c r="V409" s="178"/>
    </row>
    <row r="410" spans="1:22" ht="16">
      <c r="A410" s="147"/>
      <c r="B410" s="104"/>
      <c r="C410" s="109"/>
      <c r="D410" s="128"/>
      <c r="E410" s="129">
        <v>35</v>
      </c>
      <c r="F410" s="129"/>
      <c r="G410" s="130">
        <v>7.7</v>
      </c>
      <c r="H410" s="129"/>
      <c r="I410" s="129">
        <v>5060</v>
      </c>
      <c r="J410" s="129">
        <v>3450</v>
      </c>
      <c r="K410" s="129">
        <v>0</v>
      </c>
      <c r="L410" s="129">
        <v>1610</v>
      </c>
      <c r="M410" s="129" t="s">
        <v>891</v>
      </c>
      <c r="N410" s="129"/>
      <c r="O410" s="129" t="s">
        <v>713</v>
      </c>
      <c r="P410" s="178"/>
      <c r="Q410" s="178"/>
      <c r="R410" s="178"/>
      <c r="S410" s="178"/>
      <c r="T410" s="178"/>
      <c r="U410" s="180">
        <v>16</v>
      </c>
      <c r="V410" s="178"/>
    </row>
    <row r="411" spans="1:22" ht="16">
      <c r="A411" s="147"/>
      <c r="B411" s="104" t="s">
        <v>894</v>
      </c>
      <c r="C411" s="109"/>
      <c r="D411" s="128"/>
      <c r="E411" s="129">
        <v>9500</v>
      </c>
      <c r="F411" s="129"/>
      <c r="G411" s="130">
        <v>2090</v>
      </c>
      <c r="H411" s="129"/>
      <c r="I411" s="129">
        <v>15400</v>
      </c>
      <c r="J411" s="129">
        <v>10500</v>
      </c>
      <c r="K411" s="129">
        <v>0</v>
      </c>
      <c r="L411" s="129">
        <v>4900</v>
      </c>
      <c r="M411" s="129" t="s">
        <v>890</v>
      </c>
      <c r="N411" s="129"/>
      <c r="O411" s="129" t="s">
        <v>713</v>
      </c>
      <c r="P411" s="129"/>
      <c r="Q411" s="129"/>
      <c r="R411" s="129"/>
      <c r="S411" s="129"/>
      <c r="T411" s="129"/>
      <c r="U411" s="180"/>
      <c r="V411" s="129"/>
    </row>
    <row r="412" spans="1:22" ht="16">
      <c r="A412" s="147"/>
      <c r="B412" s="337"/>
      <c r="C412" s="109"/>
      <c r="D412" s="128"/>
      <c r="E412" s="129">
        <v>190</v>
      </c>
      <c r="F412" s="129"/>
      <c r="G412" s="130">
        <v>41.8</v>
      </c>
      <c r="H412" s="129"/>
      <c r="I412" s="129" t="e">
        <v>#REF!</v>
      </c>
      <c r="J412" s="129" t="e">
        <v>#REF!</v>
      </c>
      <c r="K412" s="129" t="e">
        <v>#REF!</v>
      </c>
      <c r="L412" s="129" t="e">
        <v>#REF!</v>
      </c>
      <c r="M412" s="129" t="s">
        <v>891</v>
      </c>
      <c r="N412" s="129"/>
      <c r="O412" s="133" t="s">
        <v>133</v>
      </c>
      <c r="P412" s="129"/>
      <c r="Q412" s="129"/>
      <c r="R412" s="129"/>
      <c r="S412" s="129"/>
      <c r="T412" s="129"/>
      <c r="U412" s="180"/>
      <c r="V412" s="129"/>
    </row>
    <row r="413" spans="1:22" ht="16">
      <c r="A413" s="147"/>
      <c r="B413" s="104"/>
      <c r="C413" s="148"/>
      <c r="D413" s="149"/>
      <c r="E413" s="129"/>
      <c r="F413" s="129"/>
      <c r="G413" s="130"/>
      <c r="H413" s="129"/>
      <c r="I413" s="129"/>
      <c r="J413" s="129"/>
      <c r="K413" s="129"/>
      <c r="L413" s="129"/>
      <c r="M413" s="129"/>
      <c r="N413" s="129"/>
      <c r="O413" s="133"/>
      <c r="P413" s="129"/>
      <c r="Q413" s="129"/>
      <c r="R413" s="129"/>
      <c r="S413" s="129"/>
      <c r="T413" s="129"/>
      <c r="U413" s="226"/>
      <c r="V413" s="129"/>
    </row>
    <row r="414" spans="1:22" ht="16">
      <c r="A414" s="147"/>
      <c r="B414" s="174" t="s">
        <v>895</v>
      </c>
      <c r="C414" s="109"/>
      <c r="D414" s="128"/>
      <c r="E414" s="129"/>
      <c r="F414" s="129"/>
      <c r="G414" s="130"/>
      <c r="H414" s="129"/>
      <c r="I414" s="129"/>
      <c r="J414" s="129"/>
      <c r="K414" s="129"/>
      <c r="L414" s="129"/>
      <c r="M414" s="129"/>
      <c r="N414" s="129"/>
      <c r="O414" s="129"/>
      <c r="P414" s="178"/>
      <c r="Q414" s="178"/>
      <c r="R414" s="178"/>
      <c r="S414" s="178"/>
      <c r="T414" s="178"/>
      <c r="U414" s="180"/>
      <c r="V414" s="178"/>
    </row>
    <row r="415" spans="1:22" ht="16">
      <c r="A415" s="147"/>
      <c r="B415" s="104" t="s">
        <v>896</v>
      </c>
      <c r="C415" s="109"/>
      <c r="D415" s="128"/>
      <c r="E415" s="129">
        <v>8000</v>
      </c>
      <c r="F415" s="129"/>
      <c r="G415" s="130">
        <v>1760</v>
      </c>
      <c r="H415" s="129"/>
      <c r="I415" s="129">
        <v>12650</v>
      </c>
      <c r="J415" s="129">
        <v>8625</v>
      </c>
      <c r="K415" s="129">
        <v>0</v>
      </c>
      <c r="L415" s="129">
        <v>4025</v>
      </c>
      <c r="M415" s="129" t="s">
        <v>890</v>
      </c>
      <c r="N415" s="129"/>
      <c r="O415" s="133">
        <v>10</v>
      </c>
      <c r="P415" s="129"/>
      <c r="Q415" s="129"/>
      <c r="R415" s="129"/>
      <c r="S415" s="129"/>
      <c r="T415" s="129"/>
      <c r="U415" s="226"/>
      <c r="V415" s="178"/>
    </row>
    <row r="416" spans="1:22" ht="16">
      <c r="A416" s="147"/>
      <c r="B416" s="104"/>
      <c r="C416" s="109"/>
      <c r="D416" s="128"/>
      <c r="E416" s="129">
        <v>160</v>
      </c>
      <c r="F416" s="129"/>
      <c r="G416" s="130">
        <v>35.200000000000003</v>
      </c>
      <c r="H416" s="129"/>
      <c r="I416" s="129">
        <v>12650</v>
      </c>
      <c r="J416" s="129">
        <v>8625</v>
      </c>
      <c r="K416" s="129">
        <v>0</v>
      </c>
      <c r="L416" s="129">
        <v>4025</v>
      </c>
      <c r="M416" s="129" t="s">
        <v>891</v>
      </c>
      <c r="N416" s="129"/>
      <c r="O416" s="133">
        <v>500</v>
      </c>
      <c r="P416" s="129"/>
      <c r="Q416" s="129"/>
      <c r="R416" s="129"/>
      <c r="S416" s="129"/>
      <c r="T416" s="129"/>
      <c r="U416" s="226"/>
      <c r="V416" s="178"/>
    </row>
    <row r="417" spans="1:22" ht="17" thickBot="1">
      <c r="A417" s="147"/>
      <c r="B417" s="104" t="s">
        <v>566</v>
      </c>
      <c r="C417" s="109"/>
      <c r="D417" s="128"/>
      <c r="E417" s="129" t="s">
        <v>566</v>
      </c>
      <c r="F417" s="129"/>
      <c r="G417" s="130"/>
      <c r="H417" s="129"/>
      <c r="I417" s="129"/>
      <c r="J417" s="129"/>
      <c r="K417" s="129"/>
      <c r="L417" s="129"/>
      <c r="M417" s="129"/>
      <c r="N417" s="129"/>
      <c r="O417" s="158"/>
      <c r="P417" s="178"/>
      <c r="Q417" s="178"/>
      <c r="R417" s="178"/>
      <c r="S417" s="178"/>
      <c r="T417" s="178"/>
      <c r="U417" s="180"/>
      <c r="V417" s="178"/>
    </row>
    <row r="418" spans="1:22" ht="57" thickBot="1">
      <c r="A418" s="147"/>
      <c r="B418" s="227"/>
      <c r="C418" s="337" t="s">
        <v>566</v>
      </c>
      <c r="D418" s="337"/>
      <c r="E418" s="116" t="s">
        <v>648</v>
      </c>
      <c r="F418" s="115"/>
      <c r="G418" s="117" t="s">
        <v>649</v>
      </c>
      <c r="H418" s="118"/>
      <c r="I418" s="117" t="s">
        <v>650</v>
      </c>
      <c r="J418" s="115"/>
      <c r="K418" s="117" t="s">
        <v>651</v>
      </c>
      <c r="L418" s="115"/>
      <c r="M418" s="116" t="s">
        <v>613</v>
      </c>
      <c r="N418" s="119"/>
      <c r="O418" s="117" t="s">
        <v>649</v>
      </c>
      <c r="P418" s="178"/>
      <c r="Q418" s="178"/>
      <c r="R418" s="178"/>
      <c r="S418" s="178"/>
      <c r="T418" s="178"/>
      <c r="U418" s="117" t="s">
        <v>614</v>
      </c>
      <c r="V418" s="178"/>
    </row>
    <row r="419" spans="1:22" ht="16">
      <c r="A419" s="147"/>
      <c r="B419" s="168" t="s">
        <v>897</v>
      </c>
      <c r="C419" s="337"/>
      <c r="D419" s="337"/>
      <c r="E419" s="129"/>
      <c r="F419" s="129"/>
      <c r="G419" s="130"/>
      <c r="H419" s="129"/>
      <c r="I419" s="129"/>
      <c r="J419" s="129"/>
      <c r="K419" s="129"/>
      <c r="L419" s="129"/>
      <c r="M419" s="129"/>
      <c r="N419" s="129"/>
      <c r="O419" s="130"/>
      <c r="P419" s="178"/>
      <c r="Q419" s="178"/>
      <c r="R419" s="178"/>
      <c r="S419" s="178"/>
      <c r="T419" s="178"/>
      <c r="U419" s="180"/>
      <c r="V419" s="178"/>
    </row>
    <row r="420" spans="1:22" ht="16">
      <c r="A420" s="147"/>
      <c r="B420" s="336" t="s">
        <v>898</v>
      </c>
      <c r="C420" s="337"/>
      <c r="D420" s="337"/>
      <c r="E420" s="129">
        <v>8000</v>
      </c>
      <c r="F420" s="128"/>
      <c r="G420" s="130">
        <v>1760</v>
      </c>
      <c r="H420" s="131"/>
      <c r="I420" s="130"/>
      <c r="J420" s="128"/>
      <c r="K420" s="130"/>
      <c r="L420" s="128"/>
      <c r="M420" s="129" t="s">
        <v>133</v>
      </c>
      <c r="N420" s="123"/>
      <c r="O420" s="134" t="s">
        <v>133</v>
      </c>
      <c r="P420" s="178"/>
      <c r="Q420" s="178"/>
      <c r="R420" s="178"/>
      <c r="S420" s="178"/>
      <c r="T420" s="178"/>
      <c r="U420" s="180" t="s">
        <v>1294</v>
      </c>
      <c r="V420" s="178"/>
    </row>
    <row r="421" spans="1:22" ht="16">
      <c r="A421" s="147"/>
      <c r="B421" s="336" t="s">
        <v>899</v>
      </c>
      <c r="C421" s="337" t="s">
        <v>566</v>
      </c>
      <c r="D421" s="337"/>
      <c r="E421" s="129" t="s">
        <v>133</v>
      </c>
      <c r="F421" s="128"/>
      <c r="G421" s="130" t="s">
        <v>133</v>
      </c>
      <c r="H421" s="131"/>
      <c r="I421" s="130"/>
      <c r="J421" s="128"/>
      <c r="K421" s="130"/>
      <c r="L421" s="128"/>
      <c r="M421" s="129">
        <v>7000</v>
      </c>
      <c r="N421" s="123"/>
      <c r="O421" s="130">
        <v>1540</v>
      </c>
      <c r="P421" s="178"/>
      <c r="Q421" s="178"/>
      <c r="R421" s="178"/>
      <c r="S421" s="178"/>
      <c r="T421" s="178"/>
      <c r="U421" s="180">
        <v>10</v>
      </c>
      <c r="V421" s="178"/>
    </row>
    <row r="422" spans="1:22" ht="16">
      <c r="A422" s="147"/>
      <c r="B422" s="336"/>
      <c r="C422" s="337"/>
      <c r="D422" s="337"/>
      <c r="E422" s="129"/>
      <c r="F422" s="128"/>
      <c r="G422" s="130"/>
      <c r="H422" s="131"/>
      <c r="I422" s="130"/>
      <c r="J422" s="128"/>
      <c r="K422" s="130"/>
      <c r="L422" s="128"/>
      <c r="M422" s="129"/>
      <c r="N422" s="123"/>
      <c r="O422" s="130"/>
      <c r="P422" s="178"/>
      <c r="Q422" s="178"/>
      <c r="R422" s="178"/>
      <c r="S422" s="178"/>
      <c r="T422" s="178"/>
      <c r="U422" s="180"/>
      <c r="V422" s="178"/>
    </row>
    <row r="423" spans="1:22" ht="16">
      <c r="A423" s="147"/>
      <c r="B423" s="336" t="s">
        <v>900</v>
      </c>
      <c r="C423" s="337"/>
      <c r="D423" s="337" t="s">
        <v>566</v>
      </c>
      <c r="E423" s="129">
        <v>100</v>
      </c>
      <c r="F423" s="128"/>
      <c r="G423" s="130">
        <v>22</v>
      </c>
      <c r="H423" s="131"/>
      <c r="I423" s="130"/>
      <c r="J423" s="128"/>
      <c r="K423" s="130"/>
      <c r="L423" s="128"/>
      <c r="M423" s="129" t="s">
        <v>133</v>
      </c>
      <c r="N423" s="123"/>
      <c r="O423" s="130" t="s">
        <v>133</v>
      </c>
      <c r="P423" s="178"/>
      <c r="Q423" s="178"/>
      <c r="R423" s="178"/>
      <c r="S423" s="178"/>
      <c r="T423" s="178"/>
      <c r="U423" s="180" t="s">
        <v>1295</v>
      </c>
      <c r="V423" s="178"/>
    </row>
    <row r="424" spans="1:22" ht="30">
      <c r="A424" s="147"/>
      <c r="B424" s="336" t="s">
        <v>901</v>
      </c>
      <c r="C424" s="337"/>
      <c r="D424" s="337"/>
      <c r="E424" s="129">
        <v>25</v>
      </c>
      <c r="F424" s="128"/>
      <c r="G424" s="130">
        <v>5.5</v>
      </c>
      <c r="H424" s="131"/>
      <c r="I424" s="130"/>
      <c r="J424" s="128"/>
      <c r="K424" s="130"/>
      <c r="L424" s="128"/>
      <c r="M424" s="129" t="s">
        <v>133</v>
      </c>
      <c r="N424" s="123"/>
      <c r="O424" s="130" t="s">
        <v>133</v>
      </c>
      <c r="P424" s="178"/>
      <c r="Q424" s="178"/>
      <c r="R424" s="178"/>
      <c r="S424" s="178"/>
      <c r="T424" s="178"/>
      <c r="U424" s="180" t="s">
        <v>1296</v>
      </c>
      <c r="V424" s="178"/>
    </row>
    <row r="425" spans="1:22" ht="16">
      <c r="A425" s="147" t="s">
        <v>566</v>
      </c>
      <c r="B425" s="336" t="s">
        <v>902</v>
      </c>
      <c r="C425" s="337"/>
      <c r="D425" s="337"/>
      <c r="E425" s="129">
        <v>100</v>
      </c>
      <c r="F425" s="128"/>
      <c r="G425" s="130">
        <v>22</v>
      </c>
      <c r="H425" s="131"/>
      <c r="I425" s="130"/>
      <c r="J425" s="128"/>
      <c r="K425" s="130"/>
      <c r="L425" s="128"/>
      <c r="M425" s="129">
        <v>5000</v>
      </c>
      <c r="N425" s="123"/>
      <c r="O425" s="130">
        <v>1100</v>
      </c>
      <c r="P425" s="178"/>
      <c r="Q425" s="178"/>
      <c r="R425" s="178"/>
      <c r="S425" s="178"/>
      <c r="T425" s="178"/>
      <c r="U425" s="180"/>
      <c r="V425" s="178"/>
    </row>
    <row r="426" spans="1:22" ht="16">
      <c r="A426" s="147" t="s">
        <v>566</v>
      </c>
      <c r="B426" s="336" t="s">
        <v>903</v>
      </c>
      <c r="C426" s="337"/>
      <c r="D426" s="337"/>
      <c r="E426" s="129">
        <v>25</v>
      </c>
      <c r="F426" s="128"/>
      <c r="G426" s="130">
        <v>5.5</v>
      </c>
      <c r="H426" s="131"/>
      <c r="I426" s="130"/>
      <c r="J426" s="128"/>
      <c r="K426" s="130"/>
      <c r="L426" s="128"/>
      <c r="M426" s="129" t="s">
        <v>133</v>
      </c>
      <c r="N426" s="123"/>
      <c r="O426" s="130" t="s">
        <v>133</v>
      </c>
      <c r="P426" s="178"/>
      <c r="Q426" s="178"/>
      <c r="R426" s="178"/>
      <c r="S426" s="178"/>
      <c r="T426" s="178"/>
      <c r="U426" s="180" t="s">
        <v>1297</v>
      </c>
      <c r="V426" s="178"/>
    </row>
    <row r="427" spans="1:22" ht="16">
      <c r="A427" s="147"/>
      <c r="B427" s="336"/>
      <c r="C427" s="337"/>
      <c r="D427" s="337"/>
      <c r="E427" s="129"/>
      <c r="F427" s="128"/>
      <c r="G427" s="130"/>
      <c r="H427" s="131"/>
      <c r="I427" s="130"/>
      <c r="J427" s="128"/>
      <c r="K427" s="130"/>
      <c r="L427" s="128"/>
      <c r="M427" s="129"/>
      <c r="N427" s="123"/>
      <c r="O427" s="130"/>
      <c r="P427" s="178"/>
      <c r="Q427" s="178"/>
      <c r="R427" s="178"/>
      <c r="S427" s="178"/>
      <c r="T427" s="178"/>
      <c r="U427" s="318"/>
      <c r="V427" s="178"/>
    </row>
    <row r="428" spans="1:22" ht="16">
      <c r="A428" s="147"/>
      <c r="B428" s="336" t="s">
        <v>904</v>
      </c>
      <c r="C428" s="337"/>
      <c r="D428" s="337" t="s">
        <v>566</v>
      </c>
      <c r="E428" s="129">
        <v>8000</v>
      </c>
      <c r="F428" s="128"/>
      <c r="G428" s="130">
        <v>1760</v>
      </c>
      <c r="H428" s="131"/>
      <c r="I428" s="130"/>
      <c r="J428" s="128"/>
      <c r="K428" s="130"/>
      <c r="L428" s="128"/>
      <c r="M428" s="129" t="s">
        <v>133</v>
      </c>
      <c r="N428" s="123"/>
      <c r="O428" s="130" t="s">
        <v>133</v>
      </c>
      <c r="P428" s="178"/>
      <c r="Q428" s="178"/>
      <c r="R428" s="178"/>
      <c r="S428" s="178"/>
      <c r="T428" s="178"/>
      <c r="U428" s="180">
        <v>10</v>
      </c>
      <c r="V428" s="178"/>
    </row>
    <row r="429" spans="1:22" ht="16">
      <c r="A429" s="147"/>
      <c r="B429" s="336" t="s">
        <v>905</v>
      </c>
      <c r="C429" s="337"/>
      <c r="D429" s="337"/>
      <c r="E429" s="129">
        <v>2000</v>
      </c>
      <c r="F429" s="128"/>
      <c r="G429" s="130">
        <v>440</v>
      </c>
      <c r="H429" s="131"/>
      <c r="I429" s="130"/>
      <c r="J429" s="128"/>
      <c r="K429" s="130"/>
      <c r="L429" s="128"/>
      <c r="M429" s="129" t="s">
        <v>133</v>
      </c>
      <c r="N429" s="123"/>
      <c r="O429" s="130" t="s">
        <v>133</v>
      </c>
      <c r="P429" s="178"/>
      <c r="Q429" s="178"/>
      <c r="R429" s="178"/>
      <c r="S429" s="178"/>
      <c r="T429" s="178"/>
      <c r="U429" s="180">
        <v>10</v>
      </c>
      <c r="V429" s="178"/>
    </row>
    <row r="430" spans="1:22" ht="16">
      <c r="A430" s="147"/>
      <c r="B430" s="336"/>
      <c r="C430" s="337"/>
      <c r="D430" s="337"/>
      <c r="E430" s="129"/>
      <c r="F430" s="129"/>
      <c r="G430" s="130"/>
      <c r="H430" s="129"/>
      <c r="I430" s="129"/>
      <c r="J430" s="129"/>
      <c r="K430" s="129"/>
      <c r="L430" s="129"/>
      <c r="M430" s="129"/>
      <c r="N430" s="129"/>
      <c r="O430" s="130"/>
      <c r="P430" s="178"/>
      <c r="Q430" s="178"/>
      <c r="R430" s="178"/>
      <c r="S430" s="178"/>
      <c r="T430" s="178"/>
      <c r="U430" s="180"/>
      <c r="V430" s="178"/>
    </row>
    <row r="431" spans="1:22" ht="16">
      <c r="A431" s="147"/>
      <c r="B431" s="336" t="s">
        <v>906</v>
      </c>
      <c r="C431" s="337"/>
      <c r="D431" s="337"/>
      <c r="E431" s="129">
        <v>2000</v>
      </c>
      <c r="F431" s="128"/>
      <c r="G431" s="130">
        <v>440</v>
      </c>
      <c r="H431" s="131"/>
      <c r="I431" s="130"/>
      <c r="J431" s="128"/>
      <c r="K431" s="130"/>
      <c r="L431" s="128"/>
      <c r="M431" s="129" t="s">
        <v>133</v>
      </c>
      <c r="N431" s="123"/>
      <c r="O431" s="130" t="s">
        <v>133</v>
      </c>
      <c r="P431" s="178"/>
      <c r="Q431" s="178"/>
      <c r="R431" s="178"/>
      <c r="S431" s="178"/>
      <c r="T431" s="178"/>
      <c r="U431" s="180">
        <v>10</v>
      </c>
      <c r="V431" s="178"/>
    </row>
    <row r="432" spans="1:22" ht="16">
      <c r="A432" s="147"/>
      <c r="B432" s="228" t="s">
        <v>907</v>
      </c>
      <c r="C432" s="337"/>
      <c r="D432" s="337" t="s">
        <v>566</v>
      </c>
      <c r="E432" s="129">
        <v>100</v>
      </c>
      <c r="F432" s="128"/>
      <c r="G432" s="130">
        <v>22</v>
      </c>
      <c r="H432" s="131"/>
      <c r="I432" s="130" t="e">
        <v>#REF!</v>
      </c>
      <c r="J432" s="128"/>
      <c r="K432" s="130" t="e">
        <v>#REF!</v>
      </c>
      <c r="L432" s="128"/>
      <c r="M432" s="129">
        <v>5000</v>
      </c>
      <c r="N432" s="123"/>
      <c r="O432" s="130">
        <v>1100</v>
      </c>
      <c r="P432" s="178"/>
      <c r="Q432" s="178"/>
      <c r="R432" s="178"/>
      <c r="S432" s="178"/>
      <c r="T432" s="178"/>
      <c r="U432" s="180">
        <v>10</v>
      </c>
      <c r="V432" s="178"/>
    </row>
    <row r="433" spans="1:22" ht="16">
      <c r="A433" s="147"/>
      <c r="B433" s="336"/>
      <c r="C433" s="337"/>
      <c r="D433" s="337"/>
      <c r="E433" s="129"/>
      <c r="F433" s="128"/>
      <c r="G433" s="130"/>
      <c r="H433" s="131"/>
      <c r="I433" s="130"/>
      <c r="J433" s="128"/>
      <c r="K433" s="130"/>
      <c r="L433" s="128"/>
      <c r="M433" s="129"/>
      <c r="N433" s="123"/>
      <c r="O433" s="130"/>
      <c r="P433" s="178"/>
      <c r="Q433" s="178"/>
      <c r="R433" s="178"/>
      <c r="S433" s="178"/>
      <c r="T433" s="178"/>
      <c r="U433" s="178"/>
      <c r="V433" s="178"/>
    </row>
    <row r="434" spans="1:22" ht="16">
      <c r="A434" s="147"/>
      <c r="B434" s="336" t="s">
        <v>566</v>
      </c>
      <c r="C434" s="337"/>
      <c r="D434" s="337"/>
      <c r="E434" s="129"/>
      <c r="F434" s="128"/>
      <c r="G434" s="130"/>
      <c r="H434" s="131"/>
      <c r="I434" s="130"/>
      <c r="J434" s="128"/>
      <c r="K434" s="130"/>
      <c r="L434" s="128"/>
      <c r="M434" s="129"/>
      <c r="N434" s="123"/>
      <c r="O434" s="130"/>
      <c r="P434" s="178"/>
      <c r="Q434" s="178"/>
      <c r="R434" s="178"/>
      <c r="S434" s="178"/>
      <c r="T434" s="178"/>
      <c r="U434" s="178"/>
      <c r="V434" s="178"/>
    </row>
    <row r="435" spans="1:22" ht="16">
      <c r="A435" s="147"/>
      <c r="B435" s="336"/>
      <c r="C435" s="337"/>
      <c r="D435" s="337"/>
      <c r="E435" s="129" t="s">
        <v>566</v>
      </c>
      <c r="F435" s="129"/>
      <c r="G435" s="130"/>
      <c r="H435" s="129"/>
      <c r="I435" s="129"/>
      <c r="J435" s="129"/>
      <c r="K435" s="129"/>
      <c r="L435" s="129"/>
      <c r="M435" s="129"/>
      <c r="N435" s="129"/>
      <c r="O435" s="130"/>
      <c r="P435" s="178"/>
      <c r="Q435" s="178"/>
      <c r="R435" s="178"/>
      <c r="S435" s="178"/>
      <c r="T435" s="178"/>
      <c r="U435" s="178"/>
      <c r="V435" s="178"/>
    </row>
    <row r="436" spans="1:22" ht="16">
      <c r="A436" s="147"/>
      <c r="B436" s="336"/>
      <c r="C436" s="337"/>
      <c r="D436" s="337"/>
      <c r="E436" s="129"/>
      <c r="F436" s="129"/>
      <c r="G436" s="130"/>
      <c r="H436" s="129"/>
      <c r="I436" s="129"/>
      <c r="J436" s="129"/>
      <c r="K436" s="129"/>
      <c r="L436" s="129"/>
      <c r="M436" s="129"/>
      <c r="N436" s="129"/>
      <c r="O436" s="130"/>
      <c r="P436" s="178"/>
      <c r="Q436" s="178"/>
      <c r="R436" s="178"/>
      <c r="S436" s="178"/>
      <c r="T436" s="178"/>
      <c r="U436" s="178"/>
      <c r="V436" s="178"/>
    </row>
    <row r="437" spans="1:22">
      <c r="A437" s="109"/>
      <c r="B437" s="335"/>
      <c r="C437" s="335"/>
      <c r="D437" s="335"/>
      <c r="E437" s="335"/>
      <c r="F437" s="335"/>
      <c r="G437" s="335"/>
      <c r="H437" s="335"/>
      <c r="I437" s="335"/>
      <c r="J437" s="335"/>
      <c r="K437" s="335"/>
      <c r="L437" s="335"/>
      <c r="M437" s="335"/>
      <c r="N437" s="335"/>
      <c r="O437" s="335"/>
      <c r="P437" s="123"/>
      <c r="Q437" s="102"/>
      <c r="R437" s="123"/>
      <c r="S437" s="125"/>
      <c r="T437" s="125"/>
      <c r="U437" s="125"/>
      <c r="V437" s="125"/>
    </row>
    <row r="438" spans="1:22">
      <c r="A438" s="109"/>
      <c r="B438" s="335"/>
      <c r="C438" s="335"/>
      <c r="D438" s="335"/>
      <c r="E438" s="335"/>
      <c r="F438" s="335"/>
      <c r="G438" s="335"/>
      <c r="H438" s="335"/>
      <c r="I438" s="335"/>
      <c r="J438" s="335"/>
      <c r="K438" s="335"/>
      <c r="L438" s="335"/>
      <c r="M438" s="335"/>
      <c r="N438" s="335"/>
      <c r="O438" s="335"/>
      <c r="P438" s="123"/>
      <c r="Q438" s="102"/>
      <c r="R438" s="123"/>
      <c r="S438" s="125"/>
      <c r="T438" s="125"/>
      <c r="U438" s="125"/>
      <c r="V438" s="125"/>
    </row>
    <row r="439" spans="1:22">
      <c r="A439" s="109"/>
      <c r="B439" s="335"/>
      <c r="C439" s="335"/>
      <c r="D439" s="335"/>
      <c r="E439" s="335"/>
      <c r="F439" s="335"/>
      <c r="G439" s="335"/>
      <c r="H439" s="335"/>
      <c r="I439" s="335"/>
      <c r="J439" s="335"/>
      <c r="K439" s="335"/>
      <c r="L439" s="335"/>
      <c r="M439" s="335"/>
      <c r="N439" s="335"/>
      <c r="O439" s="335"/>
      <c r="P439" s="123"/>
      <c r="Q439" s="102"/>
      <c r="R439" s="123"/>
      <c r="S439" s="125"/>
      <c r="T439" s="125"/>
      <c r="U439" s="125"/>
      <c r="V439" s="125"/>
    </row>
    <row r="440" spans="1:22">
      <c r="A440" s="107"/>
      <c r="B440" s="112" t="s">
        <v>668</v>
      </c>
      <c r="C440" s="107"/>
      <c r="D440" s="107"/>
      <c r="E440" s="107" t="s">
        <v>566</v>
      </c>
      <c r="F440" s="107"/>
      <c r="G440" s="107"/>
      <c r="H440" s="108"/>
      <c r="I440" s="107"/>
      <c r="J440" s="107"/>
      <c r="K440" s="107"/>
      <c r="L440" s="107"/>
      <c r="M440" s="107"/>
      <c r="N440" s="107"/>
      <c r="O440" s="107"/>
      <c r="P440" s="107"/>
      <c r="Q440" s="107"/>
      <c r="R440" s="107"/>
      <c r="S440" s="107"/>
      <c r="T440" s="107"/>
      <c r="U440" s="107" t="s">
        <v>683</v>
      </c>
      <c r="V440" s="107"/>
    </row>
    <row r="441" spans="1:22" ht="15.75" customHeight="1" thickBot="1">
      <c r="A441" s="113"/>
      <c r="B441" s="854" t="s">
        <v>669</v>
      </c>
      <c r="C441" s="854"/>
      <c r="D441" s="854"/>
      <c r="E441" s="854"/>
      <c r="F441" s="854"/>
      <c r="G441" s="854"/>
      <c r="H441" s="854"/>
      <c r="I441" s="854"/>
      <c r="J441" s="854"/>
      <c r="K441" s="854"/>
      <c r="L441" s="854"/>
      <c r="M441" s="854"/>
      <c r="N441" s="854"/>
      <c r="O441" s="854"/>
      <c r="P441" s="854"/>
      <c r="Q441" s="854"/>
      <c r="R441" s="854"/>
      <c r="S441" s="854"/>
      <c r="T441" s="854"/>
      <c r="U441" s="854"/>
      <c r="V441" s="315"/>
    </row>
    <row r="442" spans="1:22" ht="57" thickBot="1">
      <c r="A442" s="114"/>
      <c r="B442" s="114"/>
      <c r="C442" s="114"/>
      <c r="D442" s="115"/>
      <c r="E442" s="116" t="s">
        <v>648</v>
      </c>
      <c r="F442" s="115"/>
      <c r="G442" s="117" t="s">
        <v>649</v>
      </c>
      <c r="H442" s="118"/>
      <c r="I442" s="117" t="s">
        <v>650</v>
      </c>
      <c r="J442" s="115"/>
      <c r="K442" s="117" t="s">
        <v>651</v>
      </c>
      <c r="L442" s="115"/>
      <c r="M442" s="116" t="s">
        <v>613</v>
      </c>
      <c r="N442" s="119"/>
      <c r="O442" s="117" t="s">
        <v>649</v>
      </c>
      <c r="P442" s="119"/>
      <c r="Q442" s="117" t="s">
        <v>650</v>
      </c>
      <c r="R442" s="119"/>
      <c r="S442" s="117" t="s">
        <v>651</v>
      </c>
      <c r="T442" s="120"/>
      <c r="U442" s="117" t="s">
        <v>614</v>
      </c>
      <c r="V442" s="173"/>
    </row>
    <row r="443" spans="1:22">
      <c r="A443" s="109"/>
      <c r="B443" s="864" t="s">
        <v>635</v>
      </c>
      <c r="C443" s="864"/>
      <c r="D443" s="499"/>
      <c r="E443" s="499"/>
      <c r="F443" s="499"/>
      <c r="G443" s="499"/>
      <c r="H443" s="499"/>
      <c r="I443" s="499"/>
      <c r="J443" s="499"/>
      <c r="K443" s="499"/>
      <c r="L443" s="499"/>
      <c r="M443" s="499"/>
      <c r="N443" s="499"/>
      <c r="O443" s="499"/>
      <c r="P443" s="123"/>
      <c r="Q443" s="102"/>
      <c r="R443" s="123"/>
      <c r="S443" s="125"/>
      <c r="T443" s="125"/>
      <c r="U443" s="132"/>
      <c r="V443" s="319"/>
    </row>
    <row r="444" spans="1:22">
      <c r="A444" s="109"/>
      <c r="B444" s="863" t="s">
        <v>909</v>
      </c>
      <c r="C444" s="863"/>
      <c r="D444" s="499"/>
      <c r="E444" s="129">
        <v>180</v>
      </c>
      <c r="F444" s="128"/>
      <c r="G444" s="130">
        <v>39.6</v>
      </c>
      <c r="H444" s="131"/>
      <c r="I444" s="130" t="e">
        <v>#REF!</v>
      </c>
      <c r="J444" s="128"/>
      <c r="K444" s="130" t="e">
        <v>#REF!</v>
      </c>
      <c r="L444" s="128"/>
      <c r="M444" s="129">
        <v>18000</v>
      </c>
      <c r="N444" s="123"/>
      <c r="O444" s="130">
        <v>3960</v>
      </c>
      <c r="P444" s="178"/>
      <c r="Q444" s="178"/>
      <c r="R444" s="178"/>
      <c r="S444" s="178"/>
      <c r="T444" s="178"/>
      <c r="U444" s="132" t="s">
        <v>670</v>
      </c>
      <c r="V444" s="103"/>
    </row>
    <row r="445" spans="1:22">
      <c r="A445" s="109"/>
      <c r="B445" s="863" t="s">
        <v>910</v>
      </c>
      <c r="C445" s="863"/>
      <c r="D445" s="499"/>
      <c r="E445" s="129">
        <v>46</v>
      </c>
      <c r="F445" s="128"/>
      <c r="G445" s="130">
        <v>10.119999999999999</v>
      </c>
      <c r="H445" s="131"/>
      <c r="I445" s="130" t="e">
        <v>#REF!</v>
      </c>
      <c r="J445" s="128"/>
      <c r="K445" s="130" t="e">
        <v>#REF!</v>
      </c>
      <c r="L445" s="128"/>
      <c r="M445" s="129">
        <v>4600</v>
      </c>
      <c r="N445" s="123"/>
      <c r="O445" s="130">
        <v>1012</v>
      </c>
      <c r="P445" s="178"/>
      <c r="Q445" s="178"/>
      <c r="R445" s="178"/>
      <c r="S445" s="178"/>
      <c r="T445" s="178"/>
      <c r="U445" s="132" t="s">
        <v>671</v>
      </c>
      <c r="V445" s="103"/>
    </row>
    <row r="446" spans="1:22">
      <c r="A446" s="109"/>
      <c r="B446" s="865" t="s">
        <v>911</v>
      </c>
      <c r="C446" s="865"/>
      <c r="D446" s="499"/>
      <c r="E446" s="499"/>
      <c r="F446" s="499"/>
      <c r="G446" s="499"/>
      <c r="H446" s="499"/>
      <c r="I446" s="499"/>
      <c r="J446" s="499"/>
      <c r="K446" s="499"/>
      <c r="L446" s="499"/>
      <c r="M446" s="499"/>
      <c r="N446" s="499"/>
      <c r="O446" s="499"/>
      <c r="P446" s="123"/>
      <c r="Q446" s="102"/>
      <c r="R446" s="123"/>
      <c r="S446" s="125"/>
      <c r="T446" s="125"/>
      <c r="U446" s="132"/>
      <c r="V446" s="319"/>
    </row>
    <row r="447" spans="1:22">
      <c r="A447" s="109"/>
      <c r="B447" s="863" t="s">
        <v>912</v>
      </c>
      <c r="C447" s="863"/>
      <c r="D447" s="499"/>
      <c r="E447" s="129">
        <v>92</v>
      </c>
      <c r="F447" s="128"/>
      <c r="G447" s="130">
        <v>20.239999999999998</v>
      </c>
      <c r="H447" s="131"/>
      <c r="I447" s="130" t="e">
        <v>#REF!</v>
      </c>
      <c r="J447" s="128"/>
      <c r="K447" s="130" t="e">
        <v>#REF!</v>
      </c>
      <c r="L447" s="128"/>
      <c r="M447" s="129">
        <v>9200</v>
      </c>
      <c r="N447" s="123"/>
      <c r="O447" s="130">
        <v>2024</v>
      </c>
      <c r="P447" s="123"/>
      <c r="Q447" s="102"/>
      <c r="R447" s="123"/>
      <c r="S447" s="125"/>
      <c r="T447" s="125"/>
      <c r="U447" s="132" t="s">
        <v>672</v>
      </c>
      <c r="V447" s="103"/>
    </row>
    <row r="448" spans="1:22">
      <c r="A448" s="109"/>
      <c r="B448" s="863" t="s">
        <v>913</v>
      </c>
      <c r="C448" s="863"/>
      <c r="D448" s="499"/>
      <c r="E448" s="129">
        <v>240</v>
      </c>
      <c r="F448" s="128"/>
      <c r="G448" s="130">
        <v>52.8</v>
      </c>
      <c r="H448" s="131"/>
      <c r="I448" s="130" t="e">
        <v>#REF!</v>
      </c>
      <c r="J448" s="128"/>
      <c r="K448" s="130" t="e">
        <v>#REF!</v>
      </c>
      <c r="L448" s="128"/>
      <c r="M448" s="129">
        <v>23000</v>
      </c>
      <c r="N448" s="123"/>
      <c r="O448" s="130">
        <v>5060</v>
      </c>
      <c r="P448" s="123"/>
      <c r="Q448" s="102"/>
      <c r="R448" s="123"/>
      <c r="S448" s="125"/>
      <c r="T448" s="125"/>
      <c r="U448" s="132" t="s">
        <v>673</v>
      </c>
      <c r="V448" s="103"/>
    </row>
    <row r="449" spans="1:22">
      <c r="A449" s="109"/>
      <c r="B449" s="866" t="s">
        <v>914</v>
      </c>
      <c r="C449" s="866"/>
      <c r="D449" s="499"/>
      <c r="E449" s="129">
        <v>230</v>
      </c>
      <c r="F449" s="128"/>
      <c r="G449" s="130">
        <v>50.6</v>
      </c>
      <c r="H449" s="131"/>
      <c r="I449" s="130" t="e">
        <v>#REF!</v>
      </c>
      <c r="J449" s="128"/>
      <c r="K449" s="130" t="e">
        <v>#REF!</v>
      </c>
      <c r="L449" s="128"/>
      <c r="M449" s="129">
        <v>23000</v>
      </c>
      <c r="N449" s="123"/>
      <c r="O449" s="130">
        <v>5060</v>
      </c>
      <c r="P449" s="123"/>
      <c r="Q449" s="102"/>
      <c r="R449" s="123"/>
      <c r="S449" s="125"/>
      <c r="T449" s="125"/>
      <c r="U449" s="132" t="s">
        <v>674</v>
      </c>
      <c r="V449" s="103"/>
    </row>
    <row r="450" spans="1:22">
      <c r="A450" s="109"/>
      <c r="B450" s="866"/>
      <c r="C450" s="866"/>
      <c r="D450" s="499"/>
      <c r="E450" s="129"/>
      <c r="F450" s="128"/>
      <c r="G450" s="130"/>
      <c r="H450" s="131"/>
      <c r="I450" s="130"/>
      <c r="J450" s="128"/>
      <c r="K450" s="130"/>
      <c r="L450" s="128"/>
      <c r="M450" s="129"/>
      <c r="N450" s="123"/>
      <c r="O450" s="130"/>
      <c r="P450" s="123"/>
      <c r="Q450" s="102"/>
      <c r="R450" s="123"/>
      <c r="S450" s="125"/>
      <c r="T450" s="125"/>
      <c r="U450" s="132"/>
      <c r="V450" s="103"/>
    </row>
    <row r="451" spans="1:22">
      <c r="A451" s="109"/>
      <c r="B451" s="864" t="s">
        <v>915</v>
      </c>
      <c r="C451" s="864"/>
      <c r="D451" s="499"/>
      <c r="E451" s="499" t="s">
        <v>566</v>
      </c>
      <c r="F451" s="499"/>
      <c r="G451" s="499"/>
      <c r="H451" s="499"/>
      <c r="I451" s="499"/>
      <c r="J451" s="499"/>
      <c r="K451" s="499"/>
      <c r="L451" s="499"/>
      <c r="M451" s="499"/>
      <c r="N451" s="499"/>
      <c r="O451" s="499"/>
      <c r="P451" s="123"/>
      <c r="Q451" s="102"/>
      <c r="R451" s="123"/>
      <c r="S451" s="125"/>
      <c r="T451" s="125"/>
      <c r="U451" s="132"/>
      <c r="V451" s="319"/>
    </row>
    <row r="452" spans="1:22">
      <c r="A452" s="109"/>
      <c r="B452" s="863" t="s">
        <v>916</v>
      </c>
      <c r="C452" s="863"/>
      <c r="D452" s="499"/>
      <c r="E452" s="129">
        <v>50</v>
      </c>
      <c r="F452" s="128"/>
      <c r="G452" s="130">
        <v>11</v>
      </c>
      <c r="H452" s="131"/>
      <c r="I452" s="130" t="e">
        <v>#REF!</v>
      </c>
      <c r="J452" s="128"/>
      <c r="K452" s="130" t="e">
        <v>#REF!</v>
      </c>
      <c r="L452" s="128"/>
      <c r="M452" s="129">
        <v>5000</v>
      </c>
      <c r="N452" s="123"/>
      <c r="O452" s="130">
        <v>1100</v>
      </c>
      <c r="P452" s="123"/>
      <c r="Q452" s="102"/>
      <c r="R452" s="123"/>
      <c r="S452" s="125"/>
      <c r="T452" s="125"/>
      <c r="U452" s="132" t="s">
        <v>675</v>
      </c>
      <c r="V452" s="103"/>
    </row>
    <row r="453" spans="1:22">
      <c r="A453" s="109"/>
      <c r="B453" s="498"/>
      <c r="C453" s="498"/>
      <c r="D453" s="499"/>
      <c r="E453" s="499"/>
      <c r="F453" s="499"/>
      <c r="G453" s="499"/>
      <c r="H453" s="499"/>
      <c r="I453" s="499"/>
      <c r="J453" s="499"/>
      <c r="K453" s="499"/>
      <c r="L453" s="499"/>
      <c r="M453" s="499"/>
      <c r="N453" s="499"/>
      <c r="O453" s="499"/>
      <c r="P453" s="123"/>
      <c r="Q453" s="102"/>
      <c r="R453" s="123"/>
      <c r="S453" s="125"/>
      <c r="T453" s="125"/>
      <c r="U453" s="132"/>
      <c r="V453" s="319"/>
    </row>
    <row r="454" spans="1:22">
      <c r="A454" s="109"/>
      <c r="B454" s="864" t="s">
        <v>844</v>
      </c>
      <c r="C454" s="864"/>
      <c r="D454" s="499"/>
      <c r="E454" s="499"/>
      <c r="F454" s="499"/>
      <c r="G454" s="499"/>
      <c r="H454" s="499"/>
      <c r="I454" s="499"/>
      <c r="J454" s="499"/>
      <c r="K454" s="499"/>
      <c r="L454" s="499"/>
      <c r="M454" s="499"/>
      <c r="N454" s="499"/>
      <c r="O454" s="499"/>
      <c r="P454" s="123"/>
      <c r="Q454" s="102"/>
      <c r="R454" s="123"/>
      <c r="S454" s="125"/>
      <c r="T454" s="125"/>
      <c r="U454" s="132" t="s">
        <v>566</v>
      </c>
      <c r="V454" s="319"/>
    </row>
    <row r="455" spans="1:22">
      <c r="A455" s="109"/>
      <c r="B455" s="863" t="s">
        <v>917</v>
      </c>
      <c r="C455" s="863"/>
      <c r="D455" s="499"/>
      <c r="E455" s="129">
        <v>350</v>
      </c>
      <c r="F455" s="128"/>
      <c r="G455" s="130">
        <v>77</v>
      </c>
      <c r="H455" s="131"/>
      <c r="I455" s="130" t="e">
        <v>#REF!</v>
      </c>
      <c r="J455" s="128"/>
      <c r="K455" s="130" t="e">
        <v>#REF!</v>
      </c>
      <c r="L455" s="128"/>
      <c r="M455" s="129">
        <v>50000</v>
      </c>
      <c r="N455" s="123"/>
      <c r="O455" s="130">
        <v>11000</v>
      </c>
      <c r="P455" s="123"/>
      <c r="Q455" s="102"/>
      <c r="R455" s="123"/>
      <c r="S455" s="125"/>
      <c r="T455" s="125"/>
      <c r="U455" s="132" t="s">
        <v>676</v>
      </c>
      <c r="V455" s="103"/>
    </row>
    <row r="456" spans="1:22">
      <c r="A456" s="109"/>
      <c r="B456" s="863" t="s">
        <v>918</v>
      </c>
      <c r="C456" s="863"/>
      <c r="D456" s="499"/>
      <c r="E456" s="129">
        <v>368</v>
      </c>
      <c r="F456" s="128"/>
      <c r="G456" s="130">
        <v>80.959999999999994</v>
      </c>
      <c r="H456" s="131"/>
      <c r="I456" s="130" t="e">
        <v>#REF!</v>
      </c>
      <c r="J456" s="128"/>
      <c r="K456" s="130" t="e">
        <v>#REF!</v>
      </c>
      <c r="L456" s="128"/>
      <c r="M456" s="129">
        <v>36800</v>
      </c>
      <c r="N456" s="123"/>
      <c r="O456" s="130">
        <v>8096</v>
      </c>
      <c r="P456" s="123"/>
      <c r="Q456" s="102"/>
      <c r="R456" s="123"/>
      <c r="S456" s="125"/>
      <c r="T456" s="125"/>
      <c r="U456" s="132" t="s">
        <v>677</v>
      </c>
      <c r="V456" s="103"/>
    </row>
    <row r="457" spans="1:22">
      <c r="A457" s="109"/>
      <c r="B457" s="498"/>
      <c r="C457" s="498"/>
      <c r="D457" s="499"/>
      <c r="E457" s="499" t="s">
        <v>566</v>
      </c>
      <c r="F457" s="499"/>
      <c r="G457" s="499"/>
      <c r="H457" s="499"/>
      <c r="I457" s="499"/>
      <c r="J457" s="499"/>
      <c r="K457" s="499"/>
      <c r="L457" s="499"/>
      <c r="M457" s="499"/>
      <c r="N457" s="499"/>
      <c r="O457" s="499"/>
      <c r="P457" s="123"/>
      <c r="Q457" s="102"/>
      <c r="R457" s="123"/>
      <c r="S457" s="125"/>
      <c r="T457" s="125"/>
      <c r="U457" s="132"/>
      <c r="V457" s="319"/>
    </row>
    <row r="458" spans="1:22">
      <c r="A458" s="109"/>
      <c r="B458" s="864" t="s">
        <v>919</v>
      </c>
      <c r="C458" s="864"/>
      <c r="D458" s="499"/>
      <c r="E458" s="499"/>
      <c r="F458" s="499"/>
      <c r="G458" s="499"/>
      <c r="H458" s="499"/>
      <c r="I458" s="499"/>
      <c r="J458" s="499"/>
      <c r="K458" s="499"/>
      <c r="L458" s="499"/>
      <c r="M458" s="499"/>
      <c r="N458" s="499"/>
      <c r="O458" s="499"/>
      <c r="P458" s="123"/>
      <c r="Q458" s="102"/>
      <c r="R458" s="123"/>
      <c r="S458" s="125"/>
      <c r="T458" s="125"/>
      <c r="U458" s="132"/>
      <c r="V458" s="319"/>
    </row>
    <row r="459" spans="1:22">
      <c r="A459" s="109"/>
      <c r="B459" s="863" t="s">
        <v>920</v>
      </c>
      <c r="C459" s="863"/>
      <c r="D459" s="499"/>
      <c r="E459" s="129">
        <v>9</v>
      </c>
      <c r="F459" s="128"/>
      <c r="G459" s="130">
        <v>1.98</v>
      </c>
      <c r="H459" s="131"/>
      <c r="I459" s="130" t="e">
        <v>#REF!</v>
      </c>
      <c r="J459" s="128"/>
      <c r="K459" s="130" t="e">
        <v>#REF!</v>
      </c>
      <c r="L459" s="128"/>
      <c r="M459" s="129">
        <v>80000</v>
      </c>
      <c r="N459" s="123"/>
      <c r="O459" s="130">
        <v>17600</v>
      </c>
      <c r="P459" s="123"/>
      <c r="Q459" s="102"/>
      <c r="R459" s="123"/>
      <c r="S459" s="125"/>
      <c r="T459" s="125"/>
      <c r="U459" s="132" t="s">
        <v>678</v>
      </c>
      <c r="V459" s="103"/>
    </row>
    <row r="460" spans="1:22">
      <c r="A460" s="109"/>
      <c r="B460" s="498"/>
      <c r="C460" s="498"/>
      <c r="D460" s="499"/>
      <c r="E460" s="499"/>
      <c r="F460" s="499"/>
      <c r="G460" s="499"/>
      <c r="H460" s="499"/>
      <c r="I460" s="499"/>
      <c r="J460" s="499"/>
      <c r="K460" s="499"/>
      <c r="L460" s="499"/>
      <c r="M460" s="499"/>
      <c r="N460" s="499"/>
      <c r="O460" s="499"/>
      <c r="P460" s="123"/>
      <c r="Q460" s="102"/>
      <c r="R460" s="123"/>
      <c r="S460" s="125"/>
      <c r="T460" s="125"/>
      <c r="U460" s="132"/>
      <c r="V460" s="319"/>
    </row>
    <row r="461" spans="1:22">
      <c r="A461" s="109"/>
      <c r="B461" s="864" t="s">
        <v>2546</v>
      </c>
      <c r="C461" s="864"/>
      <c r="D461" s="499"/>
      <c r="E461" s="499"/>
      <c r="F461" s="499"/>
      <c r="G461" s="499"/>
      <c r="H461" s="499"/>
      <c r="I461" s="499"/>
      <c r="J461" s="499"/>
      <c r="K461" s="499"/>
      <c r="L461" s="499"/>
      <c r="M461" s="499"/>
      <c r="N461" s="499"/>
      <c r="O461" s="499"/>
      <c r="P461" s="123"/>
      <c r="Q461" s="102"/>
      <c r="R461" s="123"/>
      <c r="S461" s="125"/>
      <c r="T461" s="125"/>
      <c r="U461" s="132"/>
      <c r="V461" s="319"/>
    </row>
    <row r="462" spans="1:22">
      <c r="A462" s="109"/>
      <c r="B462" s="863" t="s">
        <v>2554</v>
      </c>
      <c r="C462" s="863"/>
      <c r="D462" s="499"/>
      <c r="E462" s="129">
        <v>60</v>
      </c>
      <c r="F462" s="128"/>
      <c r="G462" s="130">
        <v>13.2</v>
      </c>
      <c r="H462" s="131"/>
      <c r="I462" s="130" t="e">
        <v>#REF!</v>
      </c>
      <c r="J462" s="128"/>
      <c r="K462" s="130" t="e">
        <v>#REF!</v>
      </c>
      <c r="L462" s="128"/>
      <c r="M462" s="129">
        <v>18400</v>
      </c>
      <c r="N462" s="123"/>
      <c r="O462" s="130">
        <v>4048</v>
      </c>
      <c r="P462" s="123"/>
      <c r="Q462" s="102"/>
      <c r="R462" s="123"/>
      <c r="S462" s="125"/>
      <c r="T462" s="125"/>
      <c r="U462" s="132" t="s">
        <v>679</v>
      </c>
      <c r="V462" s="103"/>
    </row>
    <row r="463" spans="1:22">
      <c r="A463" s="109"/>
      <c r="B463" s="863" t="s">
        <v>921</v>
      </c>
      <c r="C463" s="863"/>
      <c r="D463" s="499"/>
      <c r="E463" s="129">
        <v>500</v>
      </c>
      <c r="F463" s="128"/>
      <c r="G463" s="130">
        <v>110</v>
      </c>
      <c r="H463" s="131"/>
      <c r="I463" s="130" t="e">
        <v>#REF!</v>
      </c>
      <c r="J463" s="128"/>
      <c r="K463" s="130" t="e">
        <v>#REF!</v>
      </c>
      <c r="L463" s="128"/>
      <c r="M463" s="129">
        <v>180000</v>
      </c>
      <c r="N463" s="123"/>
      <c r="O463" s="130">
        <v>39600</v>
      </c>
      <c r="P463" s="123"/>
      <c r="Q463" s="102"/>
      <c r="R463" s="123"/>
      <c r="S463" s="125"/>
      <c r="T463" s="125"/>
      <c r="U463" s="132" t="s">
        <v>2555</v>
      </c>
      <c r="V463" s="103"/>
    </row>
    <row r="464" spans="1:22">
      <c r="A464" s="109"/>
      <c r="B464" s="867" t="s">
        <v>2556</v>
      </c>
      <c r="C464" s="867"/>
      <c r="D464" s="499"/>
      <c r="E464" s="129">
        <v>267</v>
      </c>
      <c r="F464" s="128"/>
      <c r="G464" s="130">
        <v>58.74</v>
      </c>
      <c r="H464" s="131"/>
      <c r="I464" s="130" t="e">
        <v>#REF!</v>
      </c>
      <c r="J464" s="128"/>
      <c r="K464" s="130" t="e">
        <v>#REF!</v>
      </c>
      <c r="L464" s="128"/>
      <c r="M464" s="129">
        <v>85000</v>
      </c>
      <c r="N464" s="123"/>
      <c r="O464" s="130">
        <v>18700</v>
      </c>
      <c r="P464" s="123"/>
      <c r="Q464" s="102"/>
      <c r="R464" s="123"/>
      <c r="S464" s="125"/>
      <c r="T464" s="125"/>
      <c r="U464" s="132" t="s">
        <v>680</v>
      </c>
      <c r="V464" s="103"/>
    </row>
    <row r="465" spans="1:22">
      <c r="A465" s="109"/>
      <c r="B465" s="867"/>
      <c r="C465" s="867"/>
      <c r="D465" s="499"/>
      <c r="E465" s="129"/>
      <c r="F465" s="128"/>
      <c r="G465" s="130"/>
      <c r="H465" s="131"/>
      <c r="I465" s="130"/>
      <c r="J465" s="128"/>
      <c r="K465" s="130"/>
      <c r="L465" s="128"/>
      <c r="M465" s="129"/>
      <c r="N465" s="123"/>
      <c r="O465" s="130"/>
      <c r="P465" s="123"/>
      <c r="Q465" s="102"/>
      <c r="R465" s="123"/>
      <c r="S465" s="125"/>
      <c r="T465" s="125"/>
      <c r="U465" s="132"/>
      <c r="V465" s="103"/>
    </row>
    <row r="466" spans="1:22">
      <c r="A466" s="109" t="s">
        <v>566</v>
      </c>
      <c r="B466" s="864" t="s">
        <v>922</v>
      </c>
      <c r="C466" s="864"/>
      <c r="D466" s="499"/>
      <c r="E466" s="129"/>
      <c r="F466" s="128"/>
      <c r="G466" s="130"/>
      <c r="H466" s="131"/>
      <c r="I466" s="130"/>
      <c r="J466" s="128"/>
      <c r="K466" s="130"/>
      <c r="L466" s="128"/>
      <c r="M466" s="129"/>
      <c r="N466" s="123"/>
      <c r="O466" s="130"/>
      <c r="P466" s="123"/>
      <c r="Q466" s="102"/>
      <c r="R466" s="123"/>
      <c r="S466" s="125"/>
      <c r="T466" s="125"/>
      <c r="U466" s="132"/>
      <c r="V466" s="103"/>
    </row>
    <row r="467" spans="1:22">
      <c r="A467" s="109"/>
      <c r="B467" s="863" t="s">
        <v>923</v>
      </c>
      <c r="C467" s="863"/>
      <c r="D467" s="499"/>
      <c r="E467" s="129">
        <v>180</v>
      </c>
      <c r="F467" s="128"/>
      <c r="G467" s="130">
        <v>39.6</v>
      </c>
      <c r="H467" s="131"/>
      <c r="I467" s="130" t="e">
        <v>#REF!</v>
      </c>
      <c r="J467" s="128"/>
      <c r="K467" s="130" t="e">
        <v>#REF!</v>
      </c>
      <c r="L467" s="128"/>
      <c r="M467" s="129">
        <v>12000</v>
      </c>
      <c r="N467" s="123"/>
      <c r="O467" s="130">
        <v>2640</v>
      </c>
      <c r="P467" s="123"/>
      <c r="Q467" s="102"/>
      <c r="R467" s="123"/>
      <c r="S467" s="125"/>
      <c r="T467" s="125"/>
      <c r="U467" s="132" t="s">
        <v>681</v>
      </c>
      <c r="V467" s="103"/>
    </row>
    <row r="468" spans="1:22">
      <c r="A468" s="109"/>
      <c r="B468" s="863" t="s">
        <v>924</v>
      </c>
      <c r="C468" s="863"/>
      <c r="D468" s="499"/>
      <c r="E468" s="129">
        <v>140</v>
      </c>
      <c r="F468" s="128"/>
      <c r="G468" s="130">
        <v>30.8</v>
      </c>
      <c r="H468" s="131"/>
      <c r="I468" s="130" t="e">
        <v>#REF!</v>
      </c>
      <c r="J468" s="128"/>
      <c r="K468" s="130" t="e">
        <v>#REF!</v>
      </c>
      <c r="L468" s="128"/>
      <c r="M468" s="129">
        <v>7000</v>
      </c>
      <c r="N468" s="123"/>
      <c r="O468" s="130">
        <v>1540</v>
      </c>
      <c r="P468" s="123"/>
      <c r="Q468" s="102"/>
      <c r="R468" s="123"/>
      <c r="S468" s="125"/>
      <c r="T468" s="125"/>
      <c r="U468" s="132" t="s">
        <v>682</v>
      </c>
      <c r="V468" s="103"/>
    </row>
    <row r="469" spans="1:22">
      <c r="A469" s="109"/>
      <c r="B469" s="498"/>
      <c r="C469" s="498"/>
      <c r="D469" s="499"/>
      <c r="E469" s="129"/>
      <c r="F469" s="128"/>
      <c r="G469" s="130"/>
      <c r="H469" s="131"/>
      <c r="I469" s="130"/>
      <c r="J469" s="128"/>
      <c r="K469" s="130"/>
      <c r="L469" s="128"/>
      <c r="M469" s="129"/>
      <c r="N469" s="123"/>
      <c r="O469" s="130"/>
      <c r="P469" s="123"/>
      <c r="Q469" s="102"/>
      <c r="R469" s="123"/>
      <c r="S469" s="125"/>
      <c r="T469" s="125"/>
      <c r="U469" s="132"/>
      <c r="V469" s="103"/>
    </row>
    <row r="470" spans="1:22">
      <c r="A470" s="109"/>
      <c r="B470" s="864" t="s">
        <v>716</v>
      </c>
      <c r="C470" s="864"/>
      <c r="D470" s="335"/>
      <c r="E470" s="335"/>
      <c r="F470" s="335"/>
      <c r="G470" s="335"/>
      <c r="H470" s="335"/>
      <c r="I470" s="335"/>
      <c r="J470" s="335"/>
      <c r="K470" s="335"/>
      <c r="L470" s="335"/>
      <c r="M470" s="335"/>
      <c r="N470" s="335"/>
      <c r="O470" s="335"/>
      <c r="P470" s="123"/>
      <c r="Q470" s="102"/>
      <c r="R470" s="123"/>
      <c r="S470" s="125"/>
      <c r="T470" s="125"/>
      <c r="U470" s="132"/>
      <c r="V470" s="319"/>
    </row>
    <row r="471" spans="1:22">
      <c r="A471" s="109"/>
      <c r="B471" s="863" t="s">
        <v>925</v>
      </c>
      <c r="C471" s="863"/>
      <c r="D471" s="335"/>
      <c r="E471" s="229" t="s">
        <v>133</v>
      </c>
      <c r="F471" s="229"/>
      <c r="G471" s="229" t="s">
        <v>133</v>
      </c>
      <c r="H471" s="335"/>
      <c r="I471" s="335"/>
      <c r="J471" s="335"/>
      <c r="K471" s="335"/>
      <c r="L471" s="335"/>
      <c r="M471" s="129">
        <v>3920</v>
      </c>
      <c r="N471" s="123"/>
      <c r="O471" s="130">
        <v>862.4</v>
      </c>
      <c r="P471" s="123"/>
      <c r="Q471" s="102"/>
      <c r="R471" s="123"/>
      <c r="S471" s="125"/>
      <c r="T471" s="125"/>
      <c r="U471" s="132" t="s">
        <v>679</v>
      </c>
      <c r="V471" s="320"/>
    </row>
    <row r="472" spans="1:22">
      <c r="A472" s="109"/>
      <c r="B472" s="863" t="s">
        <v>926</v>
      </c>
      <c r="C472" s="863"/>
      <c r="D472" s="335"/>
      <c r="E472" s="229" t="s">
        <v>133</v>
      </c>
      <c r="F472" s="229"/>
      <c r="G472" s="229" t="s">
        <v>133</v>
      </c>
      <c r="H472" s="335"/>
      <c r="I472" s="335"/>
      <c r="J472" s="335"/>
      <c r="K472" s="335"/>
      <c r="L472" s="335"/>
      <c r="M472" s="129">
        <v>2320</v>
      </c>
      <c r="N472" s="123"/>
      <c r="O472" s="130">
        <v>510.4</v>
      </c>
      <c r="P472" s="123"/>
      <c r="Q472" s="102"/>
      <c r="R472" s="123"/>
      <c r="S472" s="125"/>
      <c r="T472" s="125"/>
      <c r="U472" s="132" t="s">
        <v>679</v>
      </c>
      <c r="V472" s="320"/>
    </row>
    <row r="473" spans="1:22">
      <c r="A473" s="109"/>
      <c r="B473" s="863" t="s">
        <v>927</v>
      </c>
      <c r="C473" s="863"/>
      <c r="D473" s="335"/>
      <c r="E473" s="229" t="s">
        <v>133</v>
      </c>
      <c r="F473" s="229"/>
      <c r="G473" s="229" t="s">
        <v>133</v>
      </c>
      <c r="H473" s="335"/>
      <c r="I473" s="335"/>
      <c r="J473" s="335"/>
      <c r="K473" s="335"/>
      <c r="L473" s="335"/>
      <c r="M473" s="129">
        <v>3920</v>
      </c>
      <c r="N473" s="123"/>
      <c r="O473" s="130">
        <v>862.4</v>
      </c>
      <c r="P473" s="123"/>
      <c r="Q473" s="102"/>
      <c r="R473" s="123"/>
      <c r="S473" s="125"/>
      <c r="T473" s="125"/>
      <c r="U473" s="132" t="s">
        <v>679</v>
      </c>
      <c r="V473" s="320"/>
    </row>
    <row r="474" spans="1:22" ht="15" customHeight="1">
      <c r="A474" s="109"/>
      <c r="B474" s="867" t="s">
        <v>928</v>
      </c>
      <c r="C474" s="867"/>
      <c r="D474" s="335"/>
      <c r="E474" s="229" t="s">
        <v>133</v>
      </c>
      <c r="F474" s="229"/>
      <c r="G474" s="229" t="s">
        <v>133</v>
      </c>
      <c r="H474" s="335"/>
      <c r="I474" s="335"/>
      <c r="J474" s="335"/>
      <c r="K474" s="335"/>
      <c r="L474" s="335"/>
      <c r="M474" s="129">
        <v>2320</v>
      </c>
      <c r="N474" s="123"/>
      <c r="O474" s="130">
        <v>510.4</v>
      </c>
      <c r="P474" s="123"/>
      <c r="Q474" s="102"/>
      <c r="R474" s="123"/>
      <c r="S474" s="125"/>
      <c r="T474" s="125"/>
      <c r="U474" s="132" t="s">
        <v>679</v>
      </c>
      <c r="V474" s="320"/>
    </row>
    <row r="475" spans="1:22">
      <c r="A475" s="109"/>
      <c r="B475" s="867"/>
      <c r="C475" s="867"/>
      <c r="D475" s="335"/>
      <c r="E475" s="335"/>
      <c r="F475" s="335"/>
      <c r="G475" s="335"/>
      <c r="H475" s="335"/>
      <c r="I475" s="335"/>
      <c r="J475" s="335"/>
      <c r="K475" s="335"/>
      <c r="L475" s="335"/>
      <c r="M475" s="335"/>
      <c r="N475" s="335"/>
      <c r="O475" s="335"/>
      <c r="P475" s="123"/>
      <c r="Q475" s="102"/>
      <c r="R475" s="123"/>
      <c r="S475" s="125"/>
      <c r="T475" s="125"/>
      <c r="U475" s="125"/>
      <c r="V475" s="125"/>
    </row>
    <row r="476" spans="1:22" ht="16" thickBot="1">
      <c r="A476" s="109"/>
      <c r="B476" s="499"/>
      <c r="C476" s="335"/>
      <c r="D476" s="335"/>
      <c r="E476" s="335"/>
      <c r="F476" s="335"/>
      <c r="G476" s="335"/>
      <c r="H476" s="335"/>
      <c r="I476" s="335"/>
      <c r="J476" s="335"/>
      <c r="K476" s="335"/>
      <c r="L476" s="335"/>
      <c r="M476" s="335"/>
      <c r="N476" s="335"/>
      <c r="O476" s="335"/>
      <c r="P476" s="123"/>
      <c r="Q476" s="102"/>
      <c r="R476" s="123"/>
      <c r="S476" s="125"/>
      <c r="T476" s="125"/>
      <c r="U476" s="125"/>
      <c r="V476" s="125"/>
    </row>
    <row r="477" spans="1:22" ht="57" thickBot="1">
      <c r="A477" s="114"/>
      <c r="B477" s="114"/>
      <c r="C477" s="114"/>
      <c r="D477" s="115"/>
      <c r="E477" s="116" t="s">
        <v>908</v>
      </c>
      <c r="F477" s="115"/>
      <c r="G477" s="117" t="s">
        <v>649</v>
      </c>
      <c r="H477" s="173"/>
      <c r="I477" s="321" t="s">
        <v>650</v>
      </c>
      <c r="J477" s="119"/>
      <c r="K477" s="321" t="s">
        <v>651</v>
      </c>
      <c r="L477" s="119"/>
      <c r="M477" s="117" t="s">
        <v>614</v>
      </c>
      <c r="N477" s="173"/>
      <c r="O477" s="173"/>
      <c r="P477" s="173"/>
      <c r="Q477" s="173"/>
      <c r="R477" s="173"/>
      <c r="S477" s="173"/>
      <c r="T477" s="173"/>
      <c r="U477" s="184"/>
      <c r="V477" s="173"/>
    </row>
    <row r="478" spans="1:22">
      <c r="A478" s="109"/>
      <c r="B478" s="864" t="s">
        <v>635</v>
      </c>
      <c r="C478" s="864"/>
      <c r="D478" s="499"/>
      <c r="E478" s="499"/>
      <c r="F478" s="499"/>
      <c r="G478" s="499"/>
      <c r="H478" s="499"/>
      <c r="I478" s="499"/>
      <c r="J478" s="499"/>
      <c r="K478" s="499"/>
      <c r="L478" s="499"/>
      <c r="M478" s="132"/>
      <c r="N478" s="494"/>
      <c r="O478" s="494"/>
      <c r="P478" s="103"/>
      <c r="Q478" s="159"/>
      <c r="R478" s="103"/>
      <c r="S478" s="319"/>
      <c r="T478" s="319"/>
      <c r="U478" s="319"/>
      <c r="V478" s="319"/>
    </row>
    <row r="479" spans="1:22">
      <c r="A479" s="109"/>
      <c r="B479" s="863" t="s">
        <v>909</v>
      </c>
      <c r="C479" s="863"/>
      <c r="D479" s="499"/>
      <c r="E479" s="129">
        <v>54</v>
      </c>
      <c r="F479" s="128"/>
      <c r="G479" s="130">
        <v>11.88</v>
      </c>
      <c r="H479" s="131"/>
      <c r="I479" s="130" t="e">
        <v>#REF!</v>
      </c>
      <c r="J479" s="128"/>
      <c r="K479" s="130" t="e">
        <v>#REF!</v>
      </c>
      <c r="L479" s="128"/>
      <c r="M479" s="132" t="s">
        <v>670</v>
      </c>
      <c r="N479" s="103"/>
      <c r="O479" s="131"/>
      <c r="P479" s="322"/>
      <c r="Q479" s="322"/>
      <c r="R479" s="322"/>
      <c r="S479" s="322"/>
      <c r="T479" s="322"/>
      <c r="U479" s="167"/>
      <c r="V479" s="103"/>
    </row>
    <row r="480" spans="1:22">
      <c r="A480" s="109"/>
      <c r="B480" s="863" t="s">
        <v>910</v>
      </c>
      <c r="C480" s="863"/>
      <c r="D480" s="499"/>
      <c r="E480" s="129">
        <v>14</v>
      </c>
      <c r="F480" s="128"/>
      <c r="G480" s="130">
        <v>3.08</v>
      </c>
      <c r="H480" s="131"/>
      <c r="I480" s="130" t="e">
        <v>#REF!</v>
      </c>
      <c r="J480" s="128"/>
      <c r="K480" s="130" t="e">
        <v>#REF!</v>
      </c>
      <c r="L480" s="128"/>
      <c r="M480" s="132" t="s">
        <v>671</v>
      </c>
      <c r="N480" s="103"/>
      <c r="O480" s="131"/>
      <c r="P480" s="322"/>
      <c r="Q480" s="322"/>
      <c r="R480" s="322"/>
      <c r="S480" s="322"/>
      <c r="T480" s="322"/>
      <c r="U480" s="167"/>
      <c r="V480" s="103"/>
    </row>
    <row r="481" spans="1:22">
      <c r="A481" s="109"/>
      <c r="B481" s="865" t="s">
        <v>911</v>
      </c>
      <c r="C481" s="865"/>
      <c r="D481" s="499"/>
      <c r="E481" s="499"/>
      <c r="F481" s="499"/>
      <c r="G481" s="499"/>
      <c r="H481" s="499"/>
      <c r="I481" s="499"/>
      <c r="J481" s="499"/>
      <c r="K481" s="499"/>
      <c r="L481" s="499"/>
      <c r="M481" s="132"/>
      <c r="N481" s="494"/>
      <c r="O481" s="494"/>
      <c r="P481" s="103"/>
      <c r="Q481" s="159"/>
      <c r="R481" s="103"/>
      <c r="S481" s="319"/>
      <c r="T481" s="319"/>
      <c r="U481" s="319"/>
      <c r="V481" s="319"/>
    </row>
    <row r="482" spans="1:22">
      <c r="A482" s="109"/>
      <c r="B482" s="863" t="s">
        <v>912</v>
      </c>
      <c r="C482" s="863"/>
      <c r="D482" s="499"/>
      <c r="E482" s="129">
        <v>27</v>
      </c>
      <c r="F482" s="128"/>
      <c r="G482" s="130">
        <v>5.94</v>
      </c>
      <c r="H482" s="131"/>
      <c r="I482" s="130" t="e">
        <v>#REF!</v>
      </c>
      <c r="J482" s="128"/>
      <c r="K482" s="130" t="e">
        <v>#REF!</v>
      </c>
      <c r="L482" s="128"/>
      <c r="M482" s="132" t="s">
        <v>672</v>
      </c>
      <c r="N482" s="103"/>
      <c r="O482" s="131"/>
      <c r="P482" s="103"/>
      <c r="Q482" s="159"/>
      <c r="R482" s="103"/>
      <c r="S482" s="319"/>
      <c r="T482" s="319"/>
      <c r="U482" s="167"/>
      <c r="V482" s="103"/>
    </row>
    <row r="483" spans="1:22">
      <c r="A483" s="109"/>
      <c r="B483" s="863" t="s">
        <v>913</v>
      </c>
      <c r="C483" s="863"/>
      <c r="D483" s="499"/>
      <c r="E483" s="129">
        <v>72</v>
      </c>
      <c r="F483" s="128"/>
      <c r="G483" s="130">
        <v>15.84</v>
      </c>
      <c r="H483" s="131"/>
      <c r="I483" s="130" t="e">
        <v>#REF!</v>
      </c>
      <c r="J483" s="128"/>
      <c r="K483" s="130" t="e">
        <v>#REF!</v>
      </c>
      <c r="L483" s="128"/>
      <c r="M483" s="132" t="s">
        <v>673</v>
      </c>
      <c r="N483" s="103"/>
      <c r="O483" s="131"/>
      <c r="P483" s="103"/>
      <c r="Q483" s="159"/>
      <c r="R483" s="103"/>
      <c r="S483" s="319"/>
      <c r="T483" s="319"/>
      <c r="U483" s="167"/>
      <c r="V483" s="103"/>
    </row>
    <row r="484" spans="1:22" ht="15.75" customHeight="1">
      <c r="A484" s="109"/>
      <c r="B484" s="866" t="s">
        <v>914</v>
      </c>
      <c r="C484" s="866"/>
      <c r="D484" s="499"/>
      <c r="E484" s="129">
        <v>69</v>
      </c>
      <c r="F484" s="128"/>
      <c r="G484" s="130">
        <v>15.18</v>
      </c>
      <c r="H484" s="131"/>
      <c r="I484" s="130" t="e">
        <v>#REF!</v>
      </c>
      <c r="J484" s="128"/>
      <c r="K484" s="130" t="e">
        <v>#REF!</v>
      </c>
      <c r="L484" s="128"/>
      <c r="M484" s="132" t="s">
        <v>674</v>
      </c>
      <c r="N484" s="103"/>
      <c r="O484" s="131"/>
      <c r="P484" s="103"/>
      <c r="Q484" s="159"/>
      <c r="R484" s="103"/>
      <c r="S484" s="319"/>
      <c r="T484" s="319"/>
      <c r="U484" s="167"/>
      <c r="V484" s="103"/>
    </row>
    <row r="485" spans="1:22">
      <c r="A485" s="109"/>
      <c r="B485" s="866"/>
      <c r="C485" s="866"/>
      <c r="D485" s="499"/>
      <c r="E485" s="129"/>
      <c r="F485" s="128"/>
      <c r="G485" s="130"/>
      <c r="H485" s="131"/>
      <c r="I485" s="130"/>
      <c r="J485" s="128"/>
      <c r="K485" s="130"/>
      <c r="L485" s="128"/>
      <c r="M485" s="132"/>
      <c r="N485" s="103"/>
      <c r="O485" s="131"/>
      <c r="P485" s="103"/>
      <c r="Q485" s="159"/>
      <c r="R485" s="103"/>
      <c r="S485" s="319"/>
      <c r="T485" s="319"/>
      <c r="U485" s="167"/>
      <c r="V485" s="103"/>
    </row>
    <row r="486" spans="1:22">
      <c r="A486" s="109"/>
      <c r="B486" s="864" t="s">
        <v>915</v>
      </c>
      <c r="C486" s="864"/>
      <c r="D486" s="499"/>
      <c r="E486" s="499" t="s">
        <v>566</v>
      </c>
      <c r="F486" s="499"/>
      <c r="G486" s="499"/>
      <c r="H486" s="499"/>
      <c r="I486" s="499"/>
      <c r="J486" s="499"/>
      <c r="K486" s="499"/>
      <c r="L486" s="499"/>
      <c r="M486" s="132"/>
      <c r="N486" s="494"/>
      <c r="O486" s="494"/>
      <c r="P486" s="103"/>
      <c r="Q486" s="159"/>
      <c r="R486" s="103"/>
      <c r="S486" s="319"/>
      <c r="T486" s="319"/>
      <c r="U486" s="319"/>
      <c r="V486" s="319"/>
    </row>
    <row r="487" spans="1:22">
      <c r="A487" s="109"/>
      <c r="B487" s="863" t="s">
        <v>916</v>
      </c>
      <c r="C487" s="863"/>
      <c r="D487" s="499"/>
      <c r="E487" s="129">
        <v>15</v>
      </c>
      <c r="F487" s="128"/>
      <c r="G487" s="130">
        <v>3.3</v>
      </c>
      <c r="H487" s="131"/>
      <c r="I487" s="130" t="e">
        <v>#REF!</v>
      </c>
      <c r="J487" s="128"/>
      <c r="K487" s="130" t="e">
        <v>#REF!</v>
      </c>
      <c r="L487" s="128"/>
      <c r="M487" s="132" t="s">
        <v>675</v>
      </c>
      <c r="N487" s="103"/>
      <c r="O487" s="131"/>
      <c r="P487" s="103"/>
      <c r="Q487" s="159"/>
      <c r="R487" s="103"/>
      <c r="S487" s="319"/>
      <c r="T487" s="319"/>
      <c r="U487" s="167"/>
      <c r="V487" s="103"/>
    </row>
    <row r="488" spans="1:22">
      <c r="A488" s="109"/>
      <c r="B488" s="498"/>
      <c r="C488" s="498"/>
      <c r="D488" s="499"/>
      <c r="E488" s="499"/>
      <c r="F488" s="499"/>
      <c r="G488" s="499"/>
      <c r="H488" s="499"/>
      <c r="I488" s="499"/>
      <c r="J488" s="499"/>
      <c r="K488" s="499"/>
      <c r="L488" s="499"/>
      <c r="M488" s="132"/>
      <c r="N488" s="494"/>
      <c r="O488" s="494"/>
      <c r="P488" s="103"/>
      <c r="Q488" s="159"/>
      <c r="R488" s="103"/>
      <c r="S488" s="319"/>
      <c r="T488" s="319"/>
      <c r="U488" s="319"/>
      <c r="V488" s="319"/>
    </row>
    <row r="489" spans="1:22">
      <c r="A489" s="109"/>
      <c r="B489" s="864" t="s">
        <v>844</v>
      </c>
      <c r="C489" s="864"/>
      <c r="D489" s="499"/>
      <c r="E489" s="499"/>
      <c r="F489" s="499"/>
      <c r="G489" s="499"/>
      <c r="H489" s="499"/>
      <c r="I489" s="499"/>
      <c r="J489" s="499"/>
      <c r="K489" s="499"/>
      <c r="L489" s="499"/>
      <c r="M489" s="132" t="s">
        <v>566</v>
      </c>
      <c r="N489" s="494"/>
      <c r="O489" s="494"/>
      <c r="P489" s="103"/>
      <c r="Q489" s="159"/>
      <c r="R489" s="103"/>
      <c r="S489" s="319"/>
      <c r="T489" s="319"/>
      <c r="U489" s="319"/>
      <c r="V489" s="319"/>
    </row>
    <row r="490" spans="1:22">
      <c r="A490" s="109"/>
      <c r="B490" s="863" t="s">
        <v>917</v>
      </c>
      <c r="C490" s="863"/>
      <c r="D490" s="499"/>
      <c r="E490" s="129">
        <v>105</v>
      </c>
      <c r="F490" s="128"/>
      <c r="G490" s="130">
        <v>23.1</v>
      </c>
      <c r="H490" s="131"/>
      <c r="I490" s="130" t="e">
        <v>#REF!</v>
      </c>
      <c r="J490" s="128"/>
      <c r="K490" s="130" t="e">
        <v>#REF!</v>
      </c>
      <c r="L490" s="128"/>
      <c r="M490" s="132" t="s">
        <v>676</v>
      </c>
      <c r="N490" s="103"/>
      <c r="O490" s="131"/>
      <c r="P490" s="103"/>
      <c r="Q490" s="159"/>
      <c r="R490" s="103"/>
      <c r="S490" s="319"/>
      <c r="T490" s="319"/>
      <c r="U490" s="167"/>
      <c r="V490" s="103"/>
    </row>
    <row r="491" spans="1:22">
      <c r="A491" s="109"/>
      <c r="B491" s="863" t="s">
        <v>918</v>
      </c>
      <c r="C491" s="863"/>
      <c r="D491" s="499"/>
      <c r="E491" s="129">
        <v>110</v>
      </c>
      <c r="F491" s="128"/>
      <c r="G491" s="130">
        <v>24.2</v>
      </c>
      <c r="H491" s="131"/>
      <c r="I491" s="130" t="e">
        <v>#REF!</v>
      </c>
      <c r="J491" s="128"/>
      <c r="K491" s="130" t="e">
        <v>#REF!</v>
      </c>
      <c r="L491" s="128"/>
      <c r="M491" s="132" t="s">
        <v>677</v>
      </c>
      <c r="N491" s="103"/>
      <c r="O491" s="131"/>
      <c r="P491" s="103"/>
      <c r="Q491" s="159"/>
      <c r="R491" s="103"/>
      <c r="S491" s="319"/>
      <c r="T491" s="319"/>
      <c r="U491" s="167"/>
      <c r="V491" s="103"/>
    </row>
    <row r="492" spans="1:22">
      <c r="A492" s="109"/>
      <c r="B492" s="498"/>
      <c r="C492" s="498"/>
      <c r="D492" s="499"/>
      <c r="E492" s="499" t="s">
        <v>566</v>
      </c>
      <c r="F492" s="499"/>
      <c r="G492" s="499"/>
      <c r="H492" s="499"/>
      <c r="I492" s="499"/>
      <c r="J492" s="499"/>
      <c r="K492" s="499"/>
      <c r="L492" s="499"/>
      <c r="M492" s="132"/>
      <c r="N492" s="494"/>
      <c r="O492" s="494"/>
      <c r="P492" s="103"/>
      <c r="Q492" s="159"/>
      <c r="R492" s="103"/>
      <c r="S492" s="319"/>
      <c r="T492" s="319"/>
      <c r="U492" s="319"/>
      <c r="V492" s="319"/>
    </row>
    <row r="493" spans="1:22">
      <c r="A493" s="109"/>
      <c r="B493" s="864" t="s">
        <v>919</v>
      </c>
      <c r="C493" s="864"/>
      <c r="D493" s="499"/>
      <c r="E493" s="499"/>
      <c r="F493" s="499"/>
      <c r="G493" s="499"/>
      <c r="H493" s="499"/>
      <c r="I493" s="499"/>
      <c r="J493" s="499"/>
      <c r="K493" s="499"/>
      <c r="L493" s="499"/>
      <c r="M493" s="132"/>
      <c r="N493" s="494"/>
      <c r="O493" s="494"/>
      <c r="P493" s="103"/>
      <c r="Q493" s="159"/>
      <c r="R493" s="103"/>
      <c r="S493" s="319"/>
      <c r="T493" s="319"/>
      <c r="U493" s="319"/>
      <c r="V493" s="319"/>
    </row>
    <row r="494" spans="1:22">
      <c r="A494" s="109"/>
      <c r="B494" s="863" t="s">
        <v>920</v>
      </c>
      <c r="C494" s="863"/>
      <c r="D494" s="499"/>
      <c r="E494" s="129">
        <v>9</v>
      </c>
      <c r="F494" s="128"/>
      <c r="G494" s="130">
        <v>1.98</v>
      </c>
      <c r="H494" s="131"/>
      <c r="I494" s="130" t="e">
        <v>#REF!</v>
      </c>
      <c r="J494" s="128"/>
      <c r="K494" s="130" t="e">
        <v>#REF!</v>
      </c>
      <c r="L494" s="128"/>
      <c r="M494" s="132" t="s">
        <v>678</v>
      </c>
      <c r="N494" s="103"/>
      <c r="O494" s="131"/>
      <c r="P494" s="103"/>
      <c r="Q494" s="159"/>
      <c r="R494" s="103"/>
      <c r="S494" s="319"/>
      <c r="T494" s="319"/>
      <c r="U494" s="167"/>
      <c r="V494" s="103"/>
    </row>
    <row r="495" spans="1:22">
      <c r="A495" s="109"/>
      <c r="B495" s="498"/>
      <c r="C495" s="498"/>
      <c r="D495" s="499"/>
      <c r="E495" s="499"/>
      <c r="F495" s="499"/>
      <c r="G495" s="499"/>
      <c r="H495" s="499"/>
      <c r="I495" s="499"/>
      <c r="J495" s="499"/>
      <c r="K495" s="499"/>
      <c r="L495" s="499"/>
      <c r="M495" s="132"/>
      <c r="N495" s="494"/>
      <c r="O495" s="494"/>
      <c r="P495" s="103"/>
      <c r="Q495" s="159"/>
      <c r="R495" s="103"/>
      <c r="S495" s="319"/>
      <c r="T495" s="319"/>
      <c r="U495" s="319"/>
      <c r="V495" s="319"/>
    </row>
    <row r="496" spans="1:22">
      <c r="A496" s="109"/>
      <c r="B496" s="864" t="s">
        <v>2546</v>
      </c>
      <c r="C496" s="864"/>
      <c r="D496" s="499"/>
      <c r="E496" s="499"/>
      <c r="F496" s="499"/>
      <c r="G496" s="499"/>
      <c r="H496" s="499"/>
      <c r="I496" s="499"/>
      <c r="J496" s="499"/>
      <c r="K496" s="499"/>
      <c r="L496" s="499"/>
      <c r="M496" s="132"/>
      <c r="N496" s="494"/>
      <c r="O496" s="494"/>
      <c r="P496" s="103"/>
      <c r="Q496" s="159"/>
      <c r="R496" s="103"/>
      <c r="S496" s="319"/>
      <c r="T496" s="319"/>
      <c r="U496" s="319"/>
      <c r="V496" s="319"/>
    </row>
    <row r="497" spans="1:22">
      <c r="A497" s="109"/>
      <c r="B497" s="863" t="s">
        <v>921</v>
      </c>
      <c r="C497" s="863"/>
      <c r="D497" s="499"/>
      <c r="E497" s="129">
        <v>150</v>
      </c>
      <c r="F497" s="128"/>
      <c r="G497" s="130">
        <v>33</v>
      </c>
      <c r="H497" s="131"/>
      <c r="I497" s="130" t="e">
        <v>#REF!</v>
      </c>
      <c r="J497" s="128"/>
      <c r="K497" s="130" t="e">
        <v>#REF!</v>
      </c>
      <c r="L497" s="128"/>
      <c r="M497" s="132" t="s">
        <v>2555</v>
      </c>
      <c r="N497" s="103"/>
      <c r="O497" s="131"/>
      <c r="P497" s="103"/>
      <c r="Q497" s="159"/>
      <c r="R497" s="103"/>
      <c r="S497" s="319"/>
      <c r="T497" s="319"/>
      <c r="U497" s="167"/>
      <c r="V497" s="103"/>
    </row>
    <row r="498" spans="1:22">
      <c r="A498" s="109"/>
      <c r="B498" s="868"/>
      <c r="C498" s="868"/>
      <c r="D498" s="499"/>
      <c r="E498" s="129"/>
      <c r="F498" s="128"/>
      <c r="G498" s="130"/>
      <c r="H498" s="131"/>
      <c r="I498" s="130"/>
      <c r="J498" s="128"/>
      <c r="K498" s="130"/>
      <c r="L498" s="128"/>
      <c r="M498" s="132"/>
      <c r="N498" s="103"/>
      <c r="O498" s="131"/>
      <c r="P498" s="103"/>
      <c r="Q498" s="159"/>
      <c r="R498" s="103"/>
      <c r="S498" s="319"/>
      <c r="T498" s="319"/>
      <c r="U498" s="167"/>
      <c r="V498" s="103"/>
    </row>
    <row r="499" spans="1:22">
      <c r="A499" s="109" t="s">
        <v>566</v>
      </c>
      <c r="B499" s="864" t="s">
        <v>922</v>
      </c>
      <c r="C499" s="864"/>
      <c r="D499" s="499"/>
      <c r="E499" s="129"/>
      <c r="F499" s="128"/>
      <c r="G499" s="130"/>
      <c r="H499" s="131"/>
      <c r="I499" s="130"/>
      <c r="J499" s="128"/>
      <c r="K499" s="130"/>
      <c r="L499" s="128"/>
      <c r="M499" s="132"/>
      <c r="N499" s="103"/>
      <c r="O499" s="131"/>
      <c r="P499" s="103"/>
      <c r="Q499" s="159"/>
      <c r="R499" s="103"/>
      <c r="S499" s="319"/>
      <c r="T499" s="319"/>
      <c r="U499" s="167"/>
      <c r="V499" s="103"/>
    </row>
    <row r="500" spans="1:22">
      <c r="A500" s="109"/>
      <c r="B500" s="863" t="s">
        <v>923</v>
      </c>
      <c r="C500" s="863"/>
      <c r="D500" s="499"/>
      <c r="E500" s="129">
        <v>27</v>
      </c>
      <c r="F500" s="128"/>
      <c r="G500" s="130">
        <v>5.94</v>
      </c>
      <c r="H500" s="131"/>
      <c r="I500" s="130" t="e">
        <v>#REF!</v>
      </c>
      <c r="J500" s="128"/>
      <c r="K500" s="130" t="e">
        <v>#REF!</v>
      </c>
      <c r="L500" s="128"/>
      <c r="M500" s="132" t="s">
        <v>681</v>
      </c>
      <c r="N500" s="103"/>
      <c r="O500" s="131"/>
      <c r="P500" s="103"/>
      <c r="Q500" s="159"/>
      <c r="R500" s="103"/>
      <c r="S500" s="319"/>
      <c r="T500" s="319"/>
      <c r="U500" s="167"/>
      <c r="V500" s="103"/>
    </row>
    <row r="517" ht="15" customHeight="1"/>
    <row r="559" ht="15" customHeight="1"/>
    <row r="565" ht="16.5" customHeight="1"/>
    <row r="567" ht="21" customHeight="1"/>
    <row r="569" ht="21" customHeight="1"/>
    <row r="571" ht="21" customHeight="1"/>
    <row r="573" ht="21" customHeight="1"/>
    <row r="575" ht="21" customHeight="1"/>
    <row r="577" ht="21" customHeight="1"/>
    <row r="579" ht="21" customHeight="1"/>
    <row r="581" ht="21" customHeight="1"/>
    <row r="583" ht="21" customHeight="1"/>
    <row r="585" ht="21" customHeight="1"/>
    <row r="587" ht="21" customHeight="1"/>
    <row r="589" ht="21" customHeight="1"/>
    <row r="591" ht="21" customHeight="1"/>
    <row r="593" ht="21" customHeight="1"/>
    <row r="595" ht="21" customHeight="1"/>
    <row r="599" ht="21" customHeight="1"/>
    <row r="601" ht="21" customHeight="1"/>
    <row r="603" ht="21" customHeight="1"/>
    <row r="605" ht="21" customHeight="1"/>
    <row r="607" ht="21" customHeight="1"/>
    <row r="609" ht="21" customHeight="1"/>
    <row r="618" ht="16.5" customHeight="1"/>
    <row r="620" ht="21" customHeight="1"/>
    <row r="622" ht="21" customHeight="1"/>
    <row r="624" ht="21" customHeight="1"/>
    <row r="626" ht="21" customHeight="1"/>
    <row r="628" ht="21" customHeight="1"/>
    <row r="630" ht="21" customHeight="1"/>
    <row r="632" ht="21" customHeight="1"/>
    <row r="634" ht="21" customHeight="1"/>
    <row r="636" ht="21" customHeight="1"/>
    <row r="638" ht="21" customHeight="1"/>
    <row r="640" ht="21" customHeight="1"/>
    <row r="642" ht="21" customHeight="1"/>
    <row r="644" ht="21" customHeight="1"/>
    <row r="646" ht="21" customHeight="1"/>
    <row r="648" ht="21" customHeight="1"/>
    <row r="652" ht="21" customHeight="1"/>
    <row r="654" ht="21" customHeight="1"/>
    <row r="656" ht="21" customHeight="1"/>
    <row r="658" ht="21" customHeight="1"/>
    <row r="660" ht="21" customHeight="1"/>
    <row r="662" ht="21" customHeight="1"/>
    <row r="664" ht="21" customHeight="1"/>
    <row r="673" ht="16.5" customHeight="1"/>
    <row r="675" ht="21" customHeight="1"/>
    <row r="677" ht="21" customHeight="1"/>
    <row r="679" ht="21" customHeight="1"/>
    <row r="681" ht="21" customHeight="1"/>
    <row r="683" ht="21" customHeight="1"/>
    <row r="685" ht="21" customHeight="1"/>
    <row r="689" ht="21" customHeight="1"/>
    <row r="691" ht="21" customHeight="1"/>
    <row r="693" ht="21" customHeight="1"/>
    <row r="695" ht="21" customHeight="1"/>
    <row r="697" ht="21" customHeight="1"/>
    <row r="705" ht="16.5" customHeight="1"/>
    <row r="707" ht="21" customHeight="1"/>
    <row r="709" ht="21" customHeight="1"/>
    <row r="711" ht="21" customHeight="1"/>
    <row r="713" ht="21" customHeight="1"/>
    <row r="715" ht="21" customHeight="1"/>
    <row r="717" ht="21" customHeight="1"/>
    <row r="719" ht="21" customHeight="1"/>
    <row r="721" ht="21" customHeight="1"/>
    <row r="723" ht="21" customHeight="1"/>
    <row r="725" ht="21" customHeight="1"/>
    <row r="728" ht="21" customHeight="1"/>
    <row r="730" ht="21" customHeight="1"/>
    <row r="732" ht="21" customHeight="1"/>
    <row r="734" ht="21" customHeight="1"/>
    <row r="736" ht="21" customHeight="1"/>
    <row r="738" ht="21" customHeight="1"/>
    <row r="740" ht="21" customHeight="1"/>
    <row r="742" ht="21" customHeight="1"/>
    <row r="744" ht="21" customHeight="1"/>
    <row r="749" ht="16.5" customHeight="1"/>
    <row r="751" ht="21" customHeight="1"/>
    <row r="753" ht="21" customHeight="1"/>
    <row r="755" ht="21" customHeight="1"/>
    <row r="757" ht="21" customHeight="1"/>
    <row r="759" ht="21" customHeight="1"/>
    <row r="761" ht="21" customHeight="1"/>
    <row r="769"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8"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66"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4" ht="15" customHeight="1"/>
    <row r="885" ht="15" customHeight="1"/>
    <row r="887" ht="15" customHeight="1"/>
    <row r="893" ht="15" customHeight="1"/>
    <row r="894" ht="15" customHeight="1"/>
    <row r="895" ht="15" customHeight="1"/>
    <row r="896" ht="15" customHeight="1"/>
    <row r="897" ht="15" customHeight="1"/>
    <row r="901" ht="15" customHeight="1"/>
    <row r="904" ht="15" customHeight="1"/>
    <row r="906" ht="15" customHeight="1"/>
    <row r="910" ht="16.5" customHeight="1"/>
    <row r="914" ht="15" customHeight="1"/>
    <row r="917" ht="15" customHeight="1"/>
    <row r="918" ht="15" customHeight="1"/>
    <row r="921" ht="15" customHeight="1"/>
    <row r="922" ht="15" customHeight="1"/>
    <row r="923" ht="15" customHeight="1"/>
    <row r="924" ht="15" customHeight="1"/>
    <row r="925" ht="15" customHeight="1"/>
    <row r="927" ht="15" customHeight="1"/>
    <row r="930" ht="15" customHeight="1"/>
    <row r="932" ht="15" customHeight="1"/>
    <row r="935" ht="15" customHeight="1"/>
    <row r="937" ht="20.25" customHeight="1"/>
    <row r="939" ht="16.5" customHeight="1"/>
    <row r="941" ht="15" customHeight="1"/>
    <row r="942" ht="15" customHeight="1"/>
    <row r="945" ht="15" customHeight="1"/>
  </sheetData>
  <mergeCells count="87">
    <mergeCell ref="B496:C496"/>
    <mergeCell ref="B500:C500"/>
    <mergeCell ref="B472:C472"/>
    <mergeCell ref="B473:C473"/>
    <mergeCell ref="B474:C475"/>
    <mergeCell ref="B478:C478"/>
    <mergeCell ref="B479:C479"/>
    <mergeCell ref="B480:C480"/>
    <mergeCell ref="B481:C481"/>
    <mergeCell ref="B482:C482"/>
    <mergeCell ref="B483:C483"/>
    <mergeCell ref="B498:C498"/>
    <mergeCell ref="B499:C499"/>
    <mergeCell ref="B486:C486"/>
    <mergeCell ref="B497:C497"/>
    <mergeCell ref="B494:C494"/>
    <mergeCell ref="B463:C463"/>
    <mergeCell ref="B464:C465"/>
    <mergeCell ref="B466:C466"/>
    <mergeCell ref="B484:C485"/>
    <mergeCell ref="B493:C493"/>
    <mergeCell ref="B467:C467"/>
    <mergeCell ref="B468:C468"/>
    <mergeCell ref="B470:C470"/>
    <mergeCell ref="B471:C471"/>
    <mergeCell ref="B100:C100"/>
    <mergeCell ref="B139:C139"/>
    <mergeCell ref="B143:C143"/>
    <mergeCell ref="B153:C153"/>
    <mergeCell ref="B188:C188"/>
    <mergeCell ref="B121:U121"/>
    <mergeCell ref="B154:C154"/>
    <mergeCell ref="B165:C165"/>
    <mergeCell ref="B166:C166"/>
    <mergeCell ref="B167:C167"/>
    <mergeCell ref="B168:C168"/>
    <mergeCell ref="B169:C169"/>
    <mergeCell ref="B155:C155"/>
    <mergeCell ref="B156:C156"/>
    <mergeCell ref="B157:C157"/>
    <mergeCell ref="B158:C158"/>
    <mergeCell ref="A3:V3"/>
    <mergeCell ref="A4:V4"/>
    <mergeCell ref="B11:U11"/>
    <mergeCell ref="B13:C13"/>
    <mergeCell ref="B88:U88"/>
    <mergeCell ref="B159:C159"/>
    <mergeCell ref="B160:C160"/>
    <mergeCell ref="B161:C161"/>
    <mergeCell ref="B162:C162"/>
    <mergeCell ref="B163:C163"/>
    <mergeCell ref="B164:C164"/>
    <mergeCell ref="B190:C190"/>
    <mergeCell ref="B191:C191"/>
    <mergeCell ref="B192:C192"/>
    <mergeCell ref="B193:C193"/>
    <mergeCell ref="B336:C336"/>
    <mergeCell ref="B202:U202"/>
    <mergeCell ref="M311:M312"/>
    <mergeCell ref="M321:M322"/>
    <mergeCell ref="M325:M326"/>
    <mergeCell ref="M337:M338"/>
    <mergeCell ref="B342:C342"/>
    <mergeCell ref="B344:C344"/>
    <mergeCell ref="B359:C360"/>
    <mergeCell ref="B377:U377"/>
    <mergeCell ref="B441:U441"/>
    <mergeCell ref="B443:C443"/>
    <mergeCell ref="B444:C444"/>
    <mergeCell ref="B445:C445"/>
    <mergeCell ref="B446:C446"/>
    <mergeCell ref="B447:C447"/>
    <mergeCell ref="B487:C487"/>
    <mergeCell ref="B489:C489"/>
    <mergeCell ref="B490:C490"/>
    <mergeCell ref="B491:C491"/>
    <mergeCell ref="B448:C448"/>
    <mergeCell ref="B449:C450"/>
    <mergeCell ref="B451:C451"/>
    <mergeCell ref="B452:C452"/>
    <mergeCell ref="B454:C454"/>
    <mergeCell ref="B455:C455"/>
    <mergeCell ref="B456:C456"/>
    <mergeCell ref="B458:C458"/>
    <mergeCell ref="B459:C459"/>
    <mergeCell ref="B461:C461"/>
    <mergeCell ref="B462:C462"/>
  </mergeCells>
  <hyperlinks>
    <hyperlink ref="B1" r:id="rId1" xr:uid="{09AA1C2F-BBFD-4F91-8092-CEEEAB6C518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8">
    <tabColor theme="3"/>
  </sheetPr>
  <dimension ref="A1:O1284"/>
  <sheetViews>
    <sheetView workbookViewId="0"/>
  </sheetViews>
  <sheetFormatPr baseColWidth="10" defaultColWidth="12.6640625" defaultRowHeight="15"/>
  <cols>
    <col min="1" max="1" width="10.6640625" style="661" customWidth="1"/>
    <col min="2" max="2" width="111.5" style="659" customWidth="1"/>
    <col min="3" max="3" width="16.5" style="664" customWidth="1"/>
    <col min="4" max="4" width="9" style="664" customWidth="1"/>
    <col min="5" max="5" width="30" style="664" customWidth="1"/>
    <col min="6" max="6" width="6.6640625" style="664" customWidth="1"/>
    <col min="7" max="7" width="12.1640625" style="664" customWidth="1"/>
    <col min="8" max="8" width="7.5" style="664" customWidth="1"/>
    <col min="9" max="10" width="8.5" style="664" customWidth="1"/>
    <col min="11" max="12" width="11.5" style="660" customWidth="1"/>
    <col min="13" max="14" width="12.6640625" style="660"/>
    <col min="15" max="15" width="8.5" style="659" customWidth="1"/>
    <col min="16" max="16384" width="12.6640625" style="659"/>
  </cols>
  <sheetData>
    <row r="1" spans="1:15">
      <c r="A1" s="549">
        <v>44551</v>
      </c>
      <c r="B1" s="542" t="s">
        <v>2494</v>
      </c>
      <c r="C1" s="769" t="s">
        <v>2920</v>
      </c>
      <c r="D1" s="664" t="s">
        <v>2918</v>
      </c>
      <c r="E1" s="664">
        <f>VLOOKUP(D1,Exchange!A3:C100,3,FALSE)</f>
        <v>1</v>
      </c>
    </row>
    <row r="2" spans="1:15" s="654" customFormat="1" ht="32">
      <c r="A2" s="653" t="s">
        <v>497</v>
      </c>
      <c r="B2" s="654" t="s">
        <v>498</v>
      </c>
      <c r="C2" s="655" t="s">
        <v>567</v>
      </c>
      <c r="D2" s="655" t="s">
        <v>29</v>
      </c>
      <c r="E2" s="655" t="s">
        <v>28</v>
      </c>
      <c r="F2" s="653" t="s">
        <v>2289</v>
      </c>
      <c r="G2" s="654" t="s">
        <v>1638</v>
      </c>
      <c r="H2" s="653" t="s">
        <v>2237</v>
      </c>
      <c r="I2" s="653" t="s">
        <v>2236</v>
      </c>
      <c r="J2" s="654" t="s">
        <v>2043</v>
      </c>
      <c r="K2" s="656" t="s">
        <v>1638</v>
      </c>
      <c r="L2" s="657" t="s">
        <v>2237</v>
      </c>
      <c r="M2" s="657" t="s">
        <v>2236</v>
      </c>
      <c r="N2" s="656" t="s">
        <v>2043</v>
      </c>
      <c r="O2" s="653"/>
    </row>
    <row r="3" spans="1:15" s="654" customFormat="1">
      <c r="A3" s="658" t="s">
        <v>2783</v>
      </c>
      <c r="C3" s="659"/>
      <c r="D3" s="659"/>
      <c r="E3" s="659"/>
      <c r="F3" s="659"/>
      <c r="G3" s="659"/>
      <c r="H3" s="659"/>
      <c r="I3" s="659"/>
      <c r="J3" s="659"/>
      <c r="K3" s="660"/>
      <c r="L3" s="660"/>
      <c r="M3" s="660"/>
      <c r="N3" s="660"/>
      <c r="O3" s="659"/>
    </row>
    <row r="4" spans="1:15" s="654" customFormat="1" ht="16">
      <c r="A4" s="661" t="s">
        <v>1959</v>
      </c>
      <c r="B4" s="659" t="s">
        <v>1965</v>
      </c>
      <c r="C4" s="659"/>
      <c r="D4" s="659">
        <v>0.1275</v>
      </c>
      <c r="E4" s="659" t="s">
        <v>49</v>
      </c>
      <c r="F4" s="659"/>
      <c r="G4" s="659" t="s">
        <v>1835</v>
      </c>
      <c r="H4" s="659" t="s">
        <v>2161</v>
      </c>
      <c r="I4" s="659" t="s">
        <v>1636</v>
      </c>
      <c r="J4" s="659" t="s">
        <v>2158</v>
      </c>
      <c r="K4" s="662" t="str">
        <f t="shared" ref="K4:K67" si="0">_xlfn.IFS(
ISNUMBER(SEARCH("Day",E4)),"Consulting",
ISNUMBER(SEARCH("Starter Pack",B4)),"Consulting",
ISNUMBER(SEARCH("Design",B4)),"Consulting",
ISNUMBER(SEARCH("Deploy",B4)),"Consulting",
ISNUMBER(SEARCH("Expert",B4)),"Consulting",
ISNUMBER(SEARCH("Installation",B4)),"Consulting",
ISNUMBER(SEARCH("Recommendation",B4)),"Consulting",
ISNUMBER(SEARCH("Transition",B4)),"Consulting",
ISNUMBER(SEARCH("Transition",B4)),"Support",
ISNUMBER(SEARCH("Transition",B4)),"Foundation Service",
ISNUMBER(SEARCH("Consulting",B4)),"Consulting",
ISNUMBER(SEARCH("in Advance",B4)),"New",
ISNUMBER(SEARCH("Universal Credits",B4)),"UC",
ISNUMBER(SEARCH("Ravello",B4)),"Deprecated",
ISNUMBER(SEARCH("Cloud Machine",B4)),"Deprecated",
ISNUMBER(SEARCH("Compute",B4)),"Compute",
ISNUMBER(SEARCH("Load Balancer",B4)),"Network",
ISNUMBER(SEARCH("FastConnect",B4)),"Network",
ISNUMBER(SEARCH("Database OCPU",B4)),"CC OCPU",
ISNUMBER(SEARCH("at Customer",B4)),"CC",
ISNUMBER(SEARCH("Cloud@Customer",B4)),"CC",
ISNUMBER(SEARCH("Exadata Storage",B4)),"Exa Storage",
ISNUMBER(SEARCH("Storage",B4)),"Storage",
ISNUMBER(SEARCH("Block ",B4)),"Storage",
ISNUMBER(SEARCH("Autonomous Data Warehouse",B4)),"ADW",
ISNUMBER(SEARCH("Autonomous Transaction Processing",B4)),"ATP",
ISNUMBER(SEARCH("Database Exadata",B4)),"ExaCS",
ISNUMBER(SEARCH("Database",B4)),"DBaaS",
ISNUMBER(SEARCH("Essbase",B4)),"DBaaS",
ISNUMBER(SEARCH("integration",B4)),"Integration",
ISNUMBER(SEARCH("SOA",B4)),"Integration",
ISNUMBER(SEARCH("Management Cloud",B4)),"Management",
ISNUMBER(SEARCH("Analytics",B4)),"Analytics",
ISNUMBER(SEARCH("Storage",B4)),"Storage",
ISNUMBER(SEARCH("Block ",B4)),"Storage",
ISNUMBER(SEARCH("Identity",B4)),"Platform",
ISNUMBER(SEARCH("Content",B4)),"Platform",
ISNUMBER(SEARCH("Weblogic",B4)),"Platform",
ISNUMBER(SEARCH("Digital Assistant",B4)),"Platform",
ISNUMBER(SEARCH("Limited",B4)),"Classic",
ISNUMBER(SEARCH("Classic",B4)),"Classic",
ISNUMBER(SEARCH("Government",B4)),"Government",
ISNUMBER(SEARCH("Metered",B4)),"Deprecated",
VALUE(RIGHT(A4,5))&lt;88206,"Deprecated",
TRUE,"Platform")</f>
        <v>Compute</v>
      </c>
      <c r="L4" s="660" t="str">
        <f t="shared" ref="L4:L9" si="1">_xlfn.IFS(ISNUMBER(SEARCH("Hour",E4)),"HR",ISNUMBER(SEARCH("Gigabyte",E4)),"GB",ISNUMBER(SEARCH("Terabyte",E4)),"TB",ISNUMBER(SEARCH("Requests",E4)),"REQ",ISNUMBER(SEARCH("Each",E4)),"EA",ISNUMBER(SEARCH("Day",E4)),"DAY","TRUE","UNIT")</f>
        <v>HR</v>
      </c>
      <c r="M4" s="660" t="str">
        <f t="shared" ref="M4:M9" si="2">_xlfn.IFS(K4="CC","CC",K4="Consulting","SRV",F4="Y","UC0",TRUE,"UC")</f>
        <v>UC</v>
      </c>
      <c r="N4" s="660" t="str">
        <f t="shared" ref="N4:N9" si="3">_xlfn.IFS(ISNUMBER(SEARCH("BYOL",B4)),"BYOL",K4="Storage","IAAS",K4="Compute","IAAS",K4="Network","IAAS",K4="Service","IAAS",M4="SRV","SRV",M4="CC","CC",L4="REQ","IAAS",TRUE,"PAAS")</f>
        <v>IAAS</v>
      </c>
      <c r="O4" s="659" t="str">
        <f t="shared" ref="O4:O10" si="4">IF(G4=K4,"","error")</f>
        <v/>
      </c>
    </row>
    <row r="5" spans="1:15" s="654" customFormat="1" ht="16">
      <c r="A5" s="661" t="s">
        <v>1851</v>
      </c>
      <c r="B5" s="659" t="s">
        <v>1966</v>
      </c>
      <c r="C5" s="659"/>
      <c r="D5" s="659">
        <v>0.1275</v>
      </c>
      <c r="E5" s="659" t="s">
        <v>49</v>
      </c>
      <c r="F5" s="659"/>
      <c r="G5" s="659" t="s">
        <v>1835</v>
      </c>
      <c r="H5" s="659" t="s">
        <v>2161</v>
      </c>
      <c r="I5" s="659" t="s">
        <v>1636</v>
      </c>
      <c r="J5" s="659" t="s">
        <v>2158</v>
      </c>
      <c r="K5" s="662" t="str">
        <f t="shared" si="0"/>
        <v>Compute</v>
      </c>
      <c r="L5" s="660" t="str">
        <f t="shared" si="1"/>
        <v>HR</v>
      </c>
      <c r="M5" s="660" t="str">
        <f t="shared" si="2"/>
        <v>UC</v>
      </c>
      <c r="N5" s="660" t="str">
        <f t="shared" si="3"/>
        <v>IAAS</v>
      </c>
      <c r="O5" s="659" t="str">
        <f t="shared" si="4"/>
        <v/>
      </c>
    </row>
    <row r="6" spans="1:15" s="654" customFormat="1" ht="16">
      <c r="A6" s="661" t="s">
        <v>1852</v>
      </c>
      <c r="B6" s="659" t="s">
        <v>1964</v>
      </c>
      <c r="C6" s="659"/>
      <c r="D6" s="659">
        <v>2.5499999999999998E-2</v>
      </c>
      <c r="E6" s="659" t="s">
        <v>2166</v>
      </c>
      <c r="F6" s="659"/>
      <c r="G6" s="659" t="s">
        <v>1840</v>
      </c>
      <c r="H6" s="659" t="s">
        <v>2162</v>
      </c>
      <c r="I6" s="659" t="s">
        <v>1636</v>
      </c>
      <c r="J6" s="659" t="s">
        <v>2158</v>
      </c>
      <c r="K6" s="662" t="str">
        <f t="shared" si="0"/>
        <v>Storage</v>
      </c>
      <c r="L6" s="660" t="str">
        <f t="shared" si="1"/>
        <v>GB</v>
      </c>
      <c r="M6" s="660" t="str">
        <f t="shared" si="2"/>
        <v>UC</v>
      </c>
      <c r="N6" s="660" t="str">
        <f t="shared" si="3"/>
        <v>IAAS</v>
      </c>
      <c r="O6" s="659" t="str">
        <f t="shared" si="4"/>
        <v/>
      </c>
    </row>
    <row r="7" spans="1:15">
      <c r="A7" s="659" t="s">
        <v>39</v>
      </c>
      <c r="B7" s="659" t="s">
        <v>50</v>
      </c>
      <c r="C7" s="659">
        <v>2.1299999999999999E-2</v>
      </c>
      <c r="D7" s="659">
        <v>2.1299999999999999E-2</v>
      </c>
      <c r="E7" s="659" t="s">
        <v>2190</v>
      </c>
      <c r="F7" s="659" t="s">
        <v>2290</v>
      </c>
      <c r="G7" s="659" t="s">
        <v>2313</v>
      </c>
      <c r="H7" s="659" t="s">
        <v>2161</v>
      </c>
      <c r="I7" s="659" t="s">
        <v>1636</v>
      </c>
      <c r="J7" s="659" t="s">
        <v>2158</v>
      </c>
      <c r="K7" s="662" t="str">
        <f t="shared" si="0"/>
        <v>Network</v>
      </c>
      <c r="L7" s="660" t="str">
        <f t="shared" si="1"/>
        <v>HR</v>
      </c>
      <c r="M7" s="660" t="str">
        <f t="shared" si="2"/>
        <v>UC</v>
      </c>
      <c r="N7" s="660" t="str">
        <f t="shared" si="3"/>
        <v>IAAS</v>
      </c>
      <c r="O7" s="659" t="str">
        <f t="shared" si="4"/>
        <v/>
      </c>
    </row>
    <row r="8" spans="1:15">
      <c r="A8" s="659" t="s">
        <v>57</v>
      </c>
      <c r="B8" s="659" t="s">
        <v>58</v>
      </c>
      <c r="C8" s="659">
        <v>8.5000000000000006E-2</v>
      </c>
      <c r="D8" s="659">
        <v>8.5000000000000006E-2</v>
      </c>
      <c r="E8" s="659" t="s">
        <v>2190</v>
      </c>
      <c r="F8" s="659" t="s">
        <v>2290</v>
      </c>
      <c r="G8" s="659" t="s">
        <v>2313</v>
      </c>
      <c r="H8" s="659" t="s">
        <v>2161</v>
      </c>
      <c r="I8" s="659" t="s">
        <v>1636</v>
      </c>
      <c r="J8" s="659" t="s">
        <v>2158</v>
      </c>
      <c r="K8" s="662" t="str">
        <f t="shared" si="0"/>
        <v>Network</v>
      </c>
      <c r="L8" s="660" t="str">
        <f t="shared" si="1"/>
        <v>HR</v>
      </c>
      <c r="M8" s="660" t="str">
        <f t="shared" si="2"/>
        <v>UC</v>
      </c>
      <c r="N8" s="660" t="str">
        <f t="shared" si="3"/>
        <v>IAAS</v>
      </c>
      <c r="O8" s="659" t="str">
        <f t="shared" si="4"/>
        <v/>
      </c>
    </row>
    <row r="9" spans="1:15">
      <c r="A9" s="659" t="s">
        <v>107</v>
      </c>
      <c r="B9" s="659" t="s">
        <v>108</v>
      </c>
      <c r="C9" s="659">
        <v>1.7</v>
      </c>
      <c r="D9" s="659">
        <v>1.7</v>
      </c>
      <c r="E9" s="659" t="s">
        <v>2190</v>
      </c>
      <c r="F9" s="659" t="s">
        <v>2290</v>
      </c>
      <c r="G9" s="659" t="s">
        <v>2313</v>
      </c>
      <c r="H9" s="659" t="s">
        <v>2161</v>
      </c>
      <c r="I9" s="659" t="s">
        <v>1636</v>
      </c>
      <c r="J9" s="659" t="s">
        <v>2158</v>
      </c>
      <c r="K9" s="662" t="str">
        <f t="shared" si="0"/>
        <v>Network</v>
      </c>
      <c r="L9" s="660" t="str">
        <f t="shared" si="1"/>
        <v>HR</v>
      </c>
      <c r="M9" s="660" t="str">
        <f t="shared" si="2"/>
        <v>UC</v>
      </c>
      <c r="N9" s="660" t="str">
        <f t="shared" si="3"/>
        <v>IAAS</v>
      </c>
      <c r="O9" s="659" t="str">
        <f t="shared" si="4"/>
        <v/>
      </c>
    </row>
    <row r="10" spans="1:15" s="654" customFormat="1" ht="16">
      <c r="A10" s="663" t="s">
        <v>1226</v>
      </c>
      <c r="C10" s="659"/>
      <c r="D10" s="659"/>
      <c r="E10" s="659"/>
      <c r="F10" s="659"/>
      <c r="G10" s="659"/>
      <c r="H10" s="659"/>
      <c r="I10" s="659"/>
      <c r="J10" s="659"/>
      <c r="K10" s="662"/>
      <c r="L10" s="660"/>
      <c r="M10" s="660"/>
      <c r="N10" s="660"/>
      <c r="O10" s="659" t="str">
        <f t="shared" si="4"/>
        <v/>
      </c>
    </row>
    <row r="11" spans="1:15" ht="16">
      <c r="A11" s="661" t="s">
        <v>131</v>
      </c>
      <c r="B11" s="659" t="s">
        <v>132</v>
      </c>
      <c r="C11" s="659">
        <v>0</v>
      </c>
      <c r="D11" s="659">
        <v>1</v>
      </c>
      <c r="E11" s="659">
        <v>0</v>
      </c>
      <c r="F11" s="659" t="s">
        <v>2290</v>
      </c>
      <c r="G11" s="659" t="s">
        <v>2393</v>
      </c>
      <c r="H11" s="659" t="s">
        <v>2394</v>
      </c>
      <c r="I11" s="659" t="s">
        <v>1636</v>
      </c>
      <c r="J11" s="659" t="s">
        <v>2159</v>
      </c>
      <c r="K11" s="662" t="str">
        <f t="shared" si="0"/>
        <v>Deprecated</v>
      </c>
      <c r="L11" s="660" t="str">
        <f t="shared" ref="L11:L74" si="5">_xlfn.IFS(ISNUMBER(SEARCH("Hour",E11)),"HR",ISNUMBER(SEARCH("Gigabyte",E11)),"GB",ISNUMBER(SEARCH("Terabyte",E11)),"TB",ISNUMBER(SEARCH("Requests",E11)),"REQ",ISNUMBER(SEARCH("Each",E11)),"EA",ISNUMBER(SEARCH("Day",E11)),"DAY","TRUE","UNIT")</f>
        <v>UNIT</v>
      </c>
      <c r="M11" s="660" t="str">
        <f t="shared" ref="M11:M74" si="6">_xlfn.IFS(K11="CC","CC",K11="Consulting","SRV",F11="Y","UC0",TRUE,"UC")</f>
        <v>UC</v>
      </c>
      <c r="N11" s="660" t="str">
        <f t="shared" ref="N11:N74" si="7">_xlfn.IFS(ISNUMBER(SEARCH("BYOL",B11)),"BYOL",K11="Storage","IAAS",K11="Compute","IAAS",K11="Network","IAAS",K11="Service","IAAS",M11="SRV","SRV",M11="CC","CC",L11="REQ","IAAS",TRUE,"PAAS")</f>
        <v>PAAS</v>
      </c>
      <c r="O11" s="659" t="str">
        <f t="shared" ref="O11:O74" si="8">IF(G11=K11,"","error")</f>
        <v/>
      </c>
    </row>
    <row r="12" spans="1:15">
      <c r="A12" s="659" t="s">
        <v>134</v>
      </c>
      <c r="B12" s="659" t="s">
        <v>430</v>
      </c>
      <c r="C12" s="659">
        <v>0</v>
      </c>
      <c r="D12" s="659">
        <v>0</v>
      </c>
      <c r="E12" s="659">
        <v>0</v>
      </c>
      <c r="F12" s="659" t="s">
        <v>2290</v>
      </c>
      <c r="G12" s="659" t="s">
        <v>1840</v>
      </c>
      <c r="H12" s="659" t="s">
        <v>2394</v>
      </c>
      <c r="I12" s="659" t="s">
        <v>1636</v>
      </c>
      <c r="J12" s="659" t="s">
        <v>2158</v>
      </c>
      <c r="K12" s="662" t="str">
        <f t="shared" si="0"/>
        <v>Storage</v>
      </c>
      <c r="L12" s="660" t="str">
        <f t="shared" si="5"/>
        <v>UNIT</v>
      </c>
      <c r="M12" s="660" t="str">
        <f t="shared" si="6"/>
        <v>UC</v>
      </c>
      <c r="N12" s="660" t="str">
        <f t="shared" si="7"/>
        <v>IAAS</v>
      </c>
      <c r="O12" s="659" t="str">
        <f t="shared" si="8"/>
        <v/>
      </c>
    </row>
    <row r="13" spans="1:15">
      <c r="A13" s="659" t="s">
        <v>135</v>
      </c>
      <c r="B13" s="659" t="s">
        <v>136</v>
      </c>
      <c r="C13" s="659">
        <v>0</v>
      </c>
      <c r="D13" s="659">
        <v>0</v>
      </c>
      <c r="E13" s="659">
        <v>0</v>
      </c>
      <c r="F13" s="659" t="s">
        <v>2290</v>
      </c>
      <c r="G13" s="659" t="s">
        <v>1840</v>
      </c>
      <c r="H13" s="659" t="s">
        <v>2394</v>
      </c>
      <c r="I13" s="659" t="s">
        <v>1636</v>
      </c>
      <c r="J13" s="659" t="s">
        <v>2158</v>
      </c>
      <c r="K13" s="662" t="str">
        <f t="shared" si="0"/>
        <v>Storage</v>
      </c>
      <c r="L13" s="660" t="str">
        <f t="shared" si="5"/>
        <v>UNIT</v>
      </c>
      <c r="M13" s="660" t="str">
        <f t="shared" si="6"/>
        <v>UC</v>
      </c>
      <c r="N13" s="660" t="str">
        <f t="shared" si="7"/>
        <v>IAAS</v>
      </c>
      <c r="O13" s="659" t="str">
        <f t="shared" si="8"/>
        <v/>
      </c>
    </row>
    <row r="14" spans="1:15">
      <c r="A14" s="659" t="s">
        <v>137</v>
      </c>
      <c r="B14" s="659" t="s">
        <v>138</v>
      </c>
      <c r="C14" s="659">
        <v>0</v>
      </c>
      <c r="D14" s="659">
        <v>1</v>
      </c>
      <c r="E14" s="659">
        <v>0</v>
      </c>
      <c r="F14" s="659" t="s">
        <v>2290</v>
      </c>
      <c r="G14" s="659" t="s">
        <v>2309</v>
      </c>
      <c r="H14" s="659" t="s">
        <v>2394</v>
      </c>
      <c r="I14" s="659" t="s">
        <v>1636</v>
      </c>
      <c r="J14" s="659" t="s">
        <v>2159</v>
      </c>
      <c r="K14" s="662" t="str">
        <f t="shared" si="0"/>
        <v>DBaaS</v>
      </c>
      <c r="L14" s="660" t="str">
        <f t="shared" si="5"/>
        <v>UNIT</v>
      </c>
      <c r="M14" s="660" t="str">
        <f t="shared" si="6"/>
        <v>UC</v>
      </c>
      <c r="N14" s="660" t="str">
        <f t="shared" si="7"/>
        <v>PAAS</v>
      </c>
      <c r="O14" s="659" t="str">
        <f t="shared" si="8"/>
        <v/>
      </c>
    </row>
    <row r="15" spans="1:15">
      <c r="A15" s="659" t="s">
        <v>139</v>
      </c>
      <c r="B15" s="659" t="s">
        <v>429</v>
      </c>
      <c r="C15" s="659">
        <v>0</v>
      </c>
      <c r="D15" s="659">
        <v>0</v>
      </c>
      <c r="E15" s="659">
        <v>0</v>
      </c>
      <c r="F15" s="659" t="s">
        <v>2290</v>
      </c>
      <c r="G15" s="659" t="s">
        <v>1840</v>
      </c>
      <c r="H15" s="659" t="s">
        <v>2394</v>
      </c>
      <c r="I15" s="659" t="s">
        <v>1636</v>
      </c>
      <c r="J15" s="659" t="s">
        <v>2158</v>
      </c>
      <c r="K15" s="662" t="str">
        <f t="shared" si="0"/>
        <v>Storage</v>
      </c>
      <c r="L15" s="660" t="str">
        <f t="shared" si="5"/>
        <v>UNIT</v>
      </c>
      <c r="M15" s="660" t="str">
        <f t="shared" si="6"/>
        <v>UC</v>
      </c>
      <c r="N15" s="660" t="str">
        <f t="shared" si="7"/>
        <v>IAAS</v>
      </c>
      <c r="O15" s="659" t="str">
        <f t="shared" si="8"/>
        <v/>
      </c>
    </row>
    <row r="16" spans="1:15">
      <c r="A16" s="659" t="s">
        <v>140</v>
      </c>
      <c r="B16" s="659" t="s">
        <v>499</v>
      </c>
      <c r="C16" s="659">
        <v>0</v>
      </c>
      <c r="D16" s="659">
        <v>5.0000000000000001E-3</v>
      </c>
      <c r="E16" s="659" t="s">
        <v>2163</v>
      </c>
      <c r="F16" s="659" t="s">
        <v>2290</v>
      </c>
      <c r="G16" s="659" t="s">
        <v>1840</v>
      </c>
      <c r="H16" s="659" t="s">
        <v>2395</v>
      </c>
      <c r="I16" s="659" t="s">
        <v>1636</v>
      </c>
      <c r="J16" s="659" t="s">
        <v>2158</v>
      </c>
      <c r="K16" s="662" t="str">
        <f t="shared" si="0"/>
        <v>Storage</v>
      </c>
      <c r="L16" s="660" t="str">
        <f t="shared" si="5"/>
        <v>REQ</v>
      </c>
      <c r="M16" s="660" t="str">
        <f t="shared" si="6"/>
        <v>UC</v>
      </c>
      <c r="N16" s="660" t="str">
        <f t="shared" si="7"/>
        <v>IAAS</v>
      </c>
      <c r="O16" s="659" t="str">
        <f t="shared" si="8"/>
        <v/>
      </c>
    </row>
    <row r="17" spans="1:15">
      <c r="A17" s="659" t="s">
        <v>142</v>
      </c>
      <c r="B17" s="659" t="s">
        <v>44</v>
      </c>
      <c r="C17" s="659">
        <v>0</v>
      </c>
      <c r="D17" s="659">
        <v>4.0000000000000001E-3</v>
      </c>
      <c r="E17" s="659" t="s">
        <v>2164</v>
      </c>
      <c r="F17" s="659" t="s">
        <v>2290</v>
      </c>
      <c r="G17" s="659" t="s">
        <v>1840</v>
      </c>
      <c r="H17" s="659" t="s">
        <v>2395</v>
      </c>
      <c r="I17" s="659" t="s">
        <v>1636</v>
      </c>
      <c r="J17" s="659" t="s">
        <v>2158</v>
      </c>
      <c r="K17" s="662" t="str">
        <f t="shared" si="0"/>
        <v>Storage</v>
      </c>
      <c r="L17" s="660" t="str">
        <f t="shared" si="5"/>
        <v>REQ</v>
      </c>
      <c r="M17" s="660" t="str">
        <f t="shared" si="6"/>
        <v>UC</v>
      </c>
      <c r="N17" s="660" t="str">
        <f t="shared" si="7"/>
        <v>IAAS</v>
      </c>
      <c r="O17" s="659" t="str">
        <f t="shared" si="8"/>
        <v/>
      </c>
    </row>
    <row r="18" spans="1:15">
      <c r="A18" s="659" t="s">
        <v>144</v>
      </c>
      <c r="B18" s="659" t="s">
        <v>145</v>
      </c>
      <c r="C18" s="659">
        <v>0</v>
      </c>
      <c r="D18" s="659">
        <v>0</v>
      </c>
      <c r="E18" s="659">
        <v>0</v>
      </c>
      <c r="F18" s="659" t="s">
        <v>2290</v>
      </c>
      <c r="G18" s="659" t="s">
        <v>2309</v>
      </c>
      <c r="H18" s="659" t="s">
        <v>2394</v>
      </c>
      <c r="I18" s="659" t="s">
        <v>1636</v>
      </c>
      <c r="J18" s="659" t="s">
        <v>2159</v>
      </c>
      <c r="K18" s="662" t="str">
        <f t="shared" si="0"/>
        <v>DBaaS</v>
      </c>
      <c r="L18" s="660" t="str">
        <f t="shared" si="5"/>
        <v>UNIT</v>
      </c>
      <c r="M18" s="660" t="str">
        <f t="shared" si="6"/>
        <v>UC</v>
      </c>
      <c r="N18" s="660" t="str">
        <f t="shared" si="7"/>
        <v>PAAS</v>
      </c>
      <c r="O18" s="659" t="str">
        <f t="shared" si="8"/>
        <v/>
      </c>
    </row>
    <row r="19" spans="1:15">
      <c r="A19" s="659" t="s">
        <v>146</v>
      </c>
      <c r="B19" s="659" t="s">
        <v>141</v>
      </c>
      <c r="C19" s="659">
        <v>0</v>
      </c>
      <c r="D19" s="659">
        <v>5.0000000000000001E-3</v>
      </c>
      <c r="E19" s="659" t="s">
        <v>2163</v>
      </c>
      <c r="F19" s="659" t="s">
        <v>2290</v>
      </c>
      <c r="G19" s="659" t="s">
        <v>2393</v>
      </c>
      <c r="H19" s="659" t="s">
        <v>2395</v>
      </c>
      <c r="I19" s="659" t="s">
        <v>1636</v>
      </c>
      <c r="J19" s="659" t="s">
        <v>2158</v>
      </c>
      <c r="K19" s="662" t="str">
        <f t="shared" si="0"/>
        <v>Deprecated</v>
      </c>
      <c r="L19" s="660" t="str">
        <f t="shared" si="5"/>
        <v>REQ</v>
      </c>
      <c r="M19" s="660" t="str">
        <f t="shared" si="6"/>
        <v>UC</v>
      </c>
      <c r="N19" s="660" t="str">
        <f t="shared" si="7"/>
        <v>IAAS</v>
      </c>
      <c r="O19" s="659" t="str">
        <f t="shared" si="8"/>
        <v/>
      </c>
    </row>
    <row r="20" spans="1:15">
      <c r="A20" s="659" t="s">
        <v>147</v>
      </c>
      <c r="B20" s="659" t="s">
        <v>143</v>
      </c>
      <c r="C20" s="659">
        <v>0</v>
      </c>
      <c r="D20" s="659">
        <v>4.0000000000000001E-3</v>
      </c>
      <c r="E20" s="659" t="s">
        <v>2164</v>
      </c>
      <c r="F20" s="659" t="s">
        <v>2290</v>
      </c>
      <c r="G20" s="659" t="s">
        <v>2393</v>
      </c>
      <c r="H20" s="659" t="s">
        <v>2395</v>
      </c>
      <c r="I20" s="659" t="s">
        <v>1636</v>
      </c>
      <c r="J20" s="659" t="s">
        <v>2158</v>
      </c>
      <c r="K20" s="662" t="str">
        <f t="shared" si="0"/>
        <v>Deprecated</v>
      </c>
      <c r="L20" s="660" t="str">
        <f t="shared" si="5"/>
        <v>REQ</v>
      </c>
      <c r="M20" s="660" t="str">
        <f t="shared" si="6"/>
        <v>UC</v>
      </c>
      <c r="N20" s="660" t="str">
        <f t="shared" si="7"/>
        <v>IAAS</v>
      </c>
      <c r="O20" s="659" t="str">
        <f t="shared" si="8"/>
        <v/>
      </c>
    </row>
    <row r="21" spans="1:15">
      <c r="A21" s="659" t="s">
        <v>148</v>
      </c>
      <c r="B21" s="659" t="s">
        <v>500</v>
      </c>
      <c r="C21" s="659">
        <v>0</v>
      </c>
      <c r="D21" s="659">
        <v>1</v>
      </c>
      <c r="E21" s="659">
        <v>0</v>
      </c>
      <c r="F21" s="659" t="s">
        <v>2290</v>
      </c>
      <c r="G21" s="659" t="s">
        <v>2393</v>
      </c>
      <c r="H21" s="659" t="s">
        <v>2394</v>
      </c>
      <c r="I21" s="659" t="s">
        <v>1636</v>
      </c>
      <c r="J21" s="659" t="s">
        <v>2159</v>
      </c>
      <c r="K21" s="662" t="str">
        <f t="shared" si="0"/>
        <v>Deprecated</v>
      </c>
      <c r="L21" s="660" t="str">
        <f t="shared" si="5"/>
        <v>UNIT</v>
      </c>
      <c r="M21" s="660" t="str">
        <f t="shared" si="6"/>
        <v>UC</v>
      </c>
      <c r="N21" s="660" t="str">
        <f t="shared" si="7"/>
        <v>PAAS</v>
      </c>
      <c r="O21" s="659" t="str">
        <f t="shared" si="8"/>
        <v/>
      </c>
    </row>
    <row r="22" spans="1:15">
      <c r="A22" s="659" t="s">
        <v>149</v>
      </c>
      <c r="B22" s="659" t="s">
        <v>501</v>
      </c>
      <c r="C22" s="659">
        <v>0</v>
      </c>
      <c r="D22" s="659">
        <v>0</v>
      </c>
      <c r="E22" s="659">
        <v>0</v>
      </c>
      <c r="F22" s="659" t="s">
        <v>2290</v>
      </c>
      <c r="G22" s="659" t="s">
        <v>1835</v>
      </c>
      <c r="H22" s="659" t="s">
        <v>2394</v>
      </c>
      <c r="I22" s="659" t="s">
        <v>1636</v>
      </c>
      <c r="J22" s="659" t="s">
        <v>2158</v>
      </c>
      <c r="K22" s="662" t="str">
        <f t="shared" si="0"/>
        <v>Compute</v>
      </c>
      <c r="L22" s="660" t="str">
        <f t="shared" si="5"/>
        <v>UNIT</v>
      </c>
      <c r="M22" s="660" t="str">
        <f t="shared" si="6"/>
        <v>UC</v>
      </c>
      <c r="N22" s="660" t="str">
        <f t="shared" si="7"/>
        <v>IAAS</v>
      </c>
      <c r="O22" s="659" t="str">
        <f t="shared" si="8"/>
        <v/>
      </c>
    </row>
    <row r="23" spans="1:15">
      <c r="A23" s="659" t="s">
        <v>150</v>
      </c>
      <c r="B23" s="659" t="s">
        <v>502</v>
      </c>
      <c r="C23" s="659">
        <v>0</v>
      </c>
      <c r="D23" s="659">
        <v>5.0000000000000001E-3</v>
      </c>
      <c r="E23" s="659" t="s">
        <v>2165</v>
      </c>
      <c r="F23" s="659" t="s">
        <v>2290</v>
      </c>
      <c r="G23" s="659" t="s">
        <v>1835</v>
      </c>
      <c r="H23" s="659" t="s">
        <v>2161</v>
      </c>
      <c r="I23" s="659" t="s">
        <v>1636</v>
      </c>
      <c r="J23" s="659" t="s">
        <v>2158</v>
      </c>
      <c r="K23" s="662" t="str">
        <f t="shared" si="0"/>
        <v>Compute</v>
      </c>
      <c r="L23" s="660" t="str">
        <f t="shared" si="5"/>
        <v>HR</v>
      </c>
      <c r="M23" s="660" t="str">
        <f t="shared" si="6"/>
        <v>UC</v>
      </c>
      <c r="N23" s="660" t="str">
        <f t="shared" si="7"/>
        <v>IAAS</v>
      </c>
      <c r="O23" s="659" t="str">
        <f t="shared" si="8"/>
        <v/>
      </c>
    </row>
    <row r="24" spans="1:15">
      <c r="A24" s="659" t="s">
        <v>151</v>
      </c>
      <c r="B24" s="659" t="s">
        <v>503</v>
      </c>
      <c r="C24" s="659">
        <v>0</v>
      </c>
      <c r="D24" s="659">
        <v>5.0000000000000001E-3</v>
      </c>
      <c r="E24" s="659" t="s">
        <v>2165</v>
      </c>
      <c r="F24" s="659" t="s">
        <v>2290</v>
      </c>
      <c r="G24" s="659" t="s">
        <v>1835</v>
      </c>
      <c r="H24" s="659" t="s">
        <v>2161</v>
      </c>
      <c r="I24" s="659" t="s">
        <v>1636</v>
      </c>
      <c r="J24" s="659" t="s">
        <v>2158</v>
      </c>
      <c r="K24" s="662" t="str">
        <f t="shared" si="0"/>
        <v>Compute</v>
      </c>
      <c r="L24" s="660" t="str">
        <f t="shared" si="5"/>
        <v>HR</v>
      </c>
      <c r="M24" s="660" t="str">
        <f t="shared" si="6"/>
        <v>UC</v>
      </c>
      <c r="N24" s="660" t="str">
        <f t="shared" si="7"/>
        <v>IAAS</v>
      </c>
      <c r="O24" s="659" t="str">
        <f t="shared" si="8"/>
        <v/>
      </c>
    </row>
    <row r="25" spans="1:15">
      <c r="A25" s="659" t="s">
        <v>152</v>
      </c>
      <c r="B25" s="659" t="s">
        <v>504</v>
      </c>
      <c r="C25" s="659">
        <v>0</v>
      </c>
      <c r="D25" s="659">
        <v>0.05</v>
      </c>
      <c r="E25" s="659" t="s">
        <v>2166</v>
      </c>
      <c r="F25" s="659" t="s">
        <v>2290</v>
      </c>
      <c r="G25" s="659" t="s">
        <v>1840</v>
      </c>
      <c r="H25" s="659" t="s">
        <v>2162</v>
      </c>
      <c r="I25" s="659" t="s">
        <v>1636</v>
      </c>
      <c r="J25" s="659" t="s">
        <v>2158</v>
      </c>
      <c r="K25" s="662" t="str">
        <f t="shared" si="0"/>
        <v>Storage</v>
      </c>
      <c r="L25" s="660" t="str">
        <f t="shared" si="5"/>
        <v>GB</v>
      </c>
      <c r="M25" s="660" t="str">
        <f t="shared" si="6"/>
        <v>UC</v>
      </c>
      <c r="N25" s="660" t="str">
        <f t="shared" si="7"/>
        <v>IAAS</v>
      </c>
      <c r="O25" s="659" t="str">
        <f t="shared" si="8"/>
        <v/>
      </c>
    </row>
    <row r="26" spans="1:15">
      <c r="A26" s="659" t="s">
        <v>153</v>
      </c>
      <c r="B26" s="659" t="s">
        <v>505</v>
      </c>
      <c r="C26" s="659">
        <v>0</v>
      </c>
      <c r="D26" s="659">
        <v>0.05</v>
      </c>
      <c r="E26" s="659" t="s">
        <v>2167</v>
      </c>
      <c r="F26" s="659" t="s">
        <v>2290</v>
      </c>
      <c r="G26" s="659" t="s">
        <v>1840</v>
      </c>
      <c r="H26" s="659" t="s">
        <v>2395</v>
      </c>
      <c r="I26" s="659" t="s">
        <v>1636</v>
      </c>
      <c r="J26" s="659" t="s">
        <v>2158</v>
      </c>
      <c r="K26" s="662" t="str">
        <f t="shared" si="0"/>
        <v>Storage</v>
      </c>
      <c r="L26" s="660" t="str">
        <f t="shared" si="5"/>
        <v>REQ</v>
      </c>
      <c r="M26" s="660" t="str">
        <f t="shared" si="6"/>
        <v>UC</v>
      </c>
      <c r="N26" s="660" t="str">
        <f t="shared" si="7"/>
        <v>IAAS</v>
      </c>
      <c r="O26" s="659" t="str">
        <f t="shared" si="8"/>
        <v/>
      </c>
    </row>
    <row r="27" spans="1:15">
      <c r="A27" s="659" t="s">
        <v>154</v>
      </c>
      <c r="B27" s="659" t="s">
        <v>155</v>
      </c>
      <c r="C27" s="659">
        <v>0</v>
      </c>
      <c r="D27" s="659">
        <v>400</v>
      </c>
      <c r="E27" s="659" t="s">
        <v>2168</v>
      </c>
      <c r="F27" s="659" t="s">
        <v>2290</v>
      </c>
      <c r="G27" s="659" t="s">
        <v>2309</v>
      </c>
      <c r="H27" s="659" t="s">
        <v>2394</v>
      </c>
      <c r="I27" s="659" t="s">
        <v>1636</v>
      </c>
      <c r="J27" s="659" t="s">
        <v>2159</v>
      </c>
      <c r="K27" s="662" t="str">
        <f t="shared" si="0"/>
        <v>DBaaS</v>
      </c>
      <c r="L27" s="660" t="str">
        <f t="shared" si="5"/>
        <v>UNIT</v>
      </c>
      <c r="M27" s="660" t="str">
        <f t="shared" si="6"/>
        <v>UC</v>
      </c>
      <c r="N27" s="660" t="str">
        <f t="shared" si="7"/>
        <v>PAAS</v>
      </c>
      <c r="O27" s="659" t="str">
        <f t="shared" si="8"/>
        <v/>
      </c>
    </row>
    <row r="28" spans="1:15">
      <c r="A28" s="659" t="s">
        <v>156</v>
      </c>
      <c r="B28" s="659">
        <v>0</v>
      </c>
      <c r="C28" s="659">
        <v>0</v>
      </c>
      <c r="D28" s="659">
        <v>0.67200000000000004</v>
      </c>
      <c r="E28" s="659" t="s">
        <v>49</v>
      </c>
      <c r="F28" s="659" t="s">
        <v>2290</v>
      </c>
      <c r="G28" s="659" t="s">
        <v>2393</v>
      </c>
      <c r="H28" s="659" t="s">
        <v>2161</v>
      </c>
      <c r="I28" s="659" t="s">
        <v>1636</v>
      </c>
      <c r="J28" s="659" t="s">
        <v>2159</v>
      </c>
      <c r="K28" s="662" t="str">
        <f t="shared" si="0"/>
        <v>Deprecated</v>
      </c>
      <c r="L28" s="660" t="str">
        <f t="shared" si="5"/>
        <v>HR</v>
      </c>
      <c r="M28" s="660" t="str">
        <f t="shared" si="6"/>
        <v>UC</v>
      </c>
      <c r="N28" s="660" t="str">
        <f t="shared" si="7"/>
        <v>PAAS</v>
      </c>
      <c r="O28" s="659" t="str">
        <f t="shared" si="8"/>
        <v/>
      </c>
    </row>
    <row r="29" spans="1:15">
      <c r="A29" s="659" t="s">
        <v>157</v>
      </c>
      <c r="B29" s="659" t="s">
        <v>158</v>
      </c>
      <c r="C29" s="659">
        <v>0</v>
      </c>
      <c r="D29" s="659">
        <v>1500</v>
      </c>
      <c r="E29" s="659" t="s">
        <v>2168</v>
      </c>
      <c r="F29" s="659" t="s">
        <v>2290</v>
      </c>
      <c r="G29" s="659" t="s">
        <v>2309</v>
      </c>
      <c r="H29" s="659" t="s">
        <v>2394</v>
      </c>
      <c r="I29" s="659" t="s">
        <v>1636</v>
      </c>
      <c r="J29" s="659" t="s">
        <v>2159</v>
      </c>
      <c r="K29" s="662" t="str">
        <f t="shared" si="0"/>
        <v>DBaaS</v>
      </c>
      <c r="L29" s="660" t="str">
        <f t="shared" si="5"/>
        <v>UNIT</v>
      </c>
      <c r="M29" s="660" t="str">
        <f t="shared" si="6"/>
        <v>UC</v>
      </c>
      <c r="N29" s="660" t="str">
        <f t="shared" si="7"/>
        <v>PAAS</v>
      </c>
      <c r="O29" s="659" t="str">
        <f t="shared" si="8"/>
        <v/>
      </c>
    </row>
    <row r="30" spans="1:15">
      <c r="A30" s="659" t="s">
        <v>159</v>
      </c>
      <c r="B30" s="659">
        <v>0</v>
      </c>
      <c r="C30" s="659">
        <v>0</v>
      </c>
      <c r="D30" s="659">
        <v>2.52</v>
      </c>
      <c r="E30" s="659" t="s">
        <v>49</v>
      </c>
      <c r="F30" s="659" t="s">
        <v>2290</v>
      </c>
      <c r="G30" s="659" t="s">
        <v>2393</v>
      </c>
      <c r="H30" s="659" t="s">
        <v>2161</v>
      </c>
      <c r="I30" s="659" t="s">
        <v>1636</v>
      </c>
      <c r="J30" s="659" t="s">
        <v>2159</v>
      </c>
      <c r="K30" s="662" t="str">
        <f t="shared" si="0"/>
        <v>Deprecated</v>
      </c>
      <c r="L30" s="660" t="str">
        <f t="shared" si="5"/>
        <v>HR</v>
      </c>
      <c r="M30" s="660" t="str">
        <f t="shared" si="6"/>
        <v>UC</v>
      </c>
      <c r="N30" s="660" t="str">
        <f t="shared" si="7"/>
        <v>PAAS</v>
      </c>
      <c r="O30" s="659" t="str">
        <f t="shared" si="8"/>
        <v/>
      </c>
    </row>
    <row r="31" spans="1:15">
      <c r="A31" s="659" t="s">
        <v>160</v>
      </c>
      <c r="B31" s="659" t="s">
        <v>161</v>
      </c>
      <c r="C31" s="659">
        <v>0</v>
      </c>
      <c r="D31" s="659">
        <v>2000</v>
      </c>
      <c r="E31" s="659" t="s">
        <v>2168</v>
      </c>
      <c r="F31" s="659" t="s">
        <v>2290</v>
      </c>
      <c r="G31" s="659" t="s">
        <v>2309</v>
      </c>
      <c r="H31" s="659" t="s">
        <v>2394</v>
      </c>
      <c r="I31" s="659" t="s">
        <v>1636</v>
      </c>
      <c r="J31" s="659" t="s">
        <v>2159</v>
      </c>
      <c r="K31" s="662" t="str">
        <f t="shared" si="0"/>
        <v>DBaaS</v>
      </c>
      <c r="L31" s="660" t="str">
        <f t="shared" si="5"/>
        <v>UNIT</v>
      </c>
      <c r="M31" s="660" t="str">
        <f t="shared" si="6"/>
        <v>UC</v>
      </c>
      <c r="N31" s="660" t="str">
        <f t="shared" si="7"/>
        <v>PAAS</v>
      </c>
      <c r="O31" s="659" t="str">
        <f t="shared" si="8"/>
        <v/>
      </c>
    </row>
    <row r="32" spans="1:15">
      <c r="A32" s="659" t="s">
        <v>162</v>
      </c>
      <c r="B32" s="659">
        <v>0</v>
      </c>
      <c r="C32" s="659">
        <v>0</v>
      </c>
      <c r="D32" s="659">
        <v>3.36</v>
      </c>
      <c r="E32" s="659" t="s">
        <v>49</v>
      </c>
      <c r="F32" s="659" t="s">
        <v>2290</v>
      </c>
      <c r="G32" s="659" t="s">
        <v>2393</v>
      </c>
      <c r="H32" s="659" t="s">
        <v>2161</v>
      </c>
      <c r="I32" s="659" t="s">
        <v>1636</v>
      </c>
      <c r="J32" s="659" t="s">
        <v>2159</v>
      </c>
      <c r="K32" s="662" t="str">
        <f t="shared" si="0"/>
        <v>Deprecated</v>
      </c>
      <c r="L32" s="660" t="str">
        <f t="shared" si="5"/>
        <v>HR</v>
      </c>
      <c r="M32" s="660" t="str">
        <f t="shared" si="6"/>
        <v>UC</v>
      </c>
      <c r="N32" s="660" t="str">
        <f t="shared" si="7"/>
        <v>PAAS</v>
      </c>
      <c r="O32" s="659" t="str">
        <f t="shared" si="8"/>
        <v/>
      </c>
    </row>
    <row r="33" spans="1:15">
      <c r="A33" s="659" t="s">
        <v>163</v>
      </c>
      <c r="B33" s="659" t="s">
        <v>164</v>
      </c>
      <c r="C33" s="659">
        <v>0</v>
      </c>
      <c r="D33" s="659">
        <v>3000</v>
      </c>
      <c r="E33" s="659" t="s">
        <v>2168</v>
      </c>
      <c r="F33" s="659" t="s">
        <v>2290</v>
      </c>
      <c r="G33" s="659" t="s">
        <v>2309</v>
      </c>
      <c r="H33" s="659" t="s">
        <v>2394</v>
      </c>
      <c r="I33" s="659" t="s">
        <v>1636</v>
      </c>
      <c r="J33" s="659" t="s">
        <v>2159</v>
      </c>
      <c r="K33" s="662" t="str">
        <f t="shared" si="0"/>
        <v>DBaaS</v>
      </c>
      <c r="L33" s="660" t="str">
        <f t="shared" si="5"/>
        <v>UNIT</v>
      </c>
      <c r="M33" s="660" t="str">
        <f t="shared" si="6"/>
        <v>UC</v>
      </c>
      <c r="N33" s="660" t="str">
        <f t="shared" si="7"/>
        <v>PAAS</v>
      </c>
      <c r="O33" s="659" t="str">
        <f t="shared" si="8"/>
        <v/>
      </c>
    </row>
    <row r="34" spans="1:15">
      <c r="A34" s="659" t="s">
        <v>165</v>
      </c>
      <c r="B34" s="659">
        <v>0</v>
      </c>
      <c r="C34" s="659">
        <v>0</v>
      </c>
      <c r="D34" s="659">
        <v>5.04</v>
      </c>
      <c r="E34" s="659" t="s">
        <v>49</v>
      </c>
      <c r="F34" s="659" t="s">
        <v>2290</v>
      </c>
      <c r="G34" s="659" t="s">
        <v>2393</v>
      </c>
      <c r="H34" s="659" t="s">
        <v>2161</v>
      </c>
      <c r="I34" s="659" t="s">
        <v>1636</v>
      </c>
      <c r="J34" s="659" t="s">
        <v>2159</v>
      </c>
      <c r="K34" s="662" t="str">
        <f t="shared" si="0"/>
        <v>Deprecated</v>
      </c>
      <c r="L34" s="660" t="str">
        <f t="shared" si="5"/>
        <v>HR</v>
      </c>
      <c r="M34" s="660" t="str">
        <f t="shared" si="6"/>
        <v>UC</v>
      </c>
      <c r="N34" s="660" t="str">
        <f t="shared" si="7"/>
        <v>PAAS</v>
      </c>
      <c r="O34" s="659" t="str">
        <f t="shared" si="8"/>
        <v/>
      </c>
    </row>
    <row r="35" spans="1:15">
      <c r="A35" s="659" t="s">
        <v>166</v>
      </c>
      <c r="B35" s="659" t="s">
        <v>167</v>
      </c>
      <c r="C35" s="659">
        <v>0</v>
      </c>
      <c r="D35" s="659">
        <v>600</v>
      </c>
      <c r="E35" s="659" t="s">
        <v>2168</v>
      </c>
      <c r="F35" s="659" t="s">
        <v>2290</v>
      </c>
      <c r="G35" s="659" t="s">
        <v>2309</v>
      </c>
      <c r="H35" s="659" t="s">
        <v>2394</v>
      </c>
      <c r="I35" s="659" t="s">
        <v>1636</v>
      </c>
      <c r="J35" s="659" t="s">
        <v>2159</v>
      </c>
      <c r="K35" s="662" t="str">
        <f t="shared" si="0"/>
        <v>DBaaS</v>
      </c>
      <c r="L35" s="660" t="str">
        <f t="shared" si="5"/>
        <v>UNIT</v>
      </c>
      <c r="M35" s="660" t="str">
        <f t="shared" si="6"/>
        <v>UC</v>
      </c>
      <c r="N35" s="660" t="str">
        <f t="shared" si="7"/>
        <v>PAAS</v>
      </c>
      <c r="O35" s="659" t="str">
        <f t="shared" si="8"/>
        <v/>
      </c>
    </row>
    <row r="36" spans="1:15">
      <c r="A36" s="659" t="s">
        <v>168</v>
      </c>
      <c r="B36" s="659">
        <v>0</v>
      </c>
      <c r="C36" s="659">
        <v>0</v>
      </c>
      <c r="D36" s="659">
        <v>1.008</v>
      </c>
      <c r="E36" s="659" t="s">
        <v>49</v>
      </c>
      <c r="F36" s="659" t="s">
        <v>2290</v>
      </c>
      <c r="G36" s="659" t="s">
        <v>2393</v>
      </c>
      <c r="H36" s="659" t="s">
        <v>2161</v>
      </c>
      <c r="I36" s="659" t="s">
        <v>1636</v>
      </c>
      <c r="J36" s="659" t="s">
        <v>2159</v>
      </c>
      <c r="K36" s="662" t="str">
        <f t="shared" si="0"/>
        <v>Deprecated</v>
      </c>
      <c r="L36" s="660" t="str">
        <f t="shared" si="5"/>
        <v>HR</v>
      </c>
      <c r="M36" s="660" t="str">
        <f t="shared" si="6"/>
        <v>UC</v>
      </c>
      <c r="N36" s="660" t="str">
        <f t="shared" si="7"/>
        <v>PAAS</v>
      </c>
      <c r="O36" s="659" t="str">
        <f t="shared" si="8"/>
        <v/>
      </c>
    </row>
    <row r="37" spans="1:15">
      <c r="A37" s="659" t="s">
        <v>169</v>
      </c>
      <c r="B37" s="659" t="s">
        <v>170</v>
      </c>
      <c r="C37" s="659">
        <v>0</v>
      </c>
      <c r="D37" s="659">
        <v>3000</v>
      </c>
      <c r="E37" s="659" t="s">
        <v>2168</v>
      </c>
      <c r="F37" s="659" t="s">
        <v>2290</v>
      </c>
      <c r="G37" s="659" t="s">
        <v>2309</v>
      </c>
      <c r="H37" s="659" t="s">
        <v>2394</v>
      </c>
      <c r="I37" s="659" t="s">
        <v>1636</v>
      </c>
      <c r="J37" s="659" t="s">
        <v>2159</v>
      </c>
      <c r="K37" s="662" t="str">
        <f t="shared" si="0"/>
        <v>DBaaS</v>
      </c>
      <c r="L37" s="660" t="str">
        <f t="shared" si="5"/>
        <v>UNIT</v>
      </c>
      <c r="M37" s="660" t="str">
        <f t="shared" si="6"/>
        <v>UC</v>
      </c>
      <c r="N37" s="660" t="str">
        <f t="shared" si="7"/>
        <v>PAAS</v>
      </c>
      <c r="O37" s="659" t="str">
        <f t="shared" si="8"/>
        <v/>
      </c>
    </row>
    <row r="38" spans="1:15">
      <c r="A38" s="659" t="s">
        <v>171</v>
      </c>
      <c r="B38" s="659">
        <v>0</v>
      </c>
      <c r="C38" s="659">
        <v>0</v>
      </c>
      <c r="D38" s="659">
        <v>5.04</v>
      </c>
      <c r="E38" s="659" t="s">
        <v>49</v>
      </c>
      <c r="F38" s="659" t="s">
        <v>2290</v>
      </c>
      <c r="G38" s="659" t="s">
        <v>2393</v>
      </c>
      <c r="H38" s="659" t="s">
        <v>2161</v>
      </c>
      <c r="I38" s="659" t="s">
        <v>1636</v>
      </c>
      <c r="J38" s="659" t="s">
        <v>2159</v>
      </c>
      <c r="K38" s="662" t="str">
        <f t="shared" si="0"/>
        <v>Deprecated</v>
      </c>
      <c r="L38" s="660" t="str">
        <f t="shared" si="5"/>
        <v>HR</v>
      </c>
      <c r="M38" s="660" t="str">
        <f t="shared" si="6"/>
        <v>UC</v>
      </c>
      <c r="N38" s="660" t="str">
        <f t="shared" si="7"/>
        <v>PAAS</v>
      </c>
      <c r="O38" s="659" t="str">
        <f t="shared" si="8"/>
        <v/>
      </c>
    </row>
    <row r="39" spans="1:15">
      <c r="A39" s="659" t="s">
        <v>172</v>
      </c>
      <c r="B39" s="659" t="s">
        <v>173</v>
      </c>
      <c r="C39" s="659">
        <v>0</v>
      </c>
      <c r="D39" s="659">
        <v>4000</v>
      </c>
      <c r="E39" s="659" t="s">
        <v>2168</v>
      </c>
      <c r="F39" s="659" t="s">
        <v>2290</v>
      </c>
      <c r="G39" s="659" t="s">
        <v>2309</v>
      </c>
      <c r="H39" s="659" t="s">
        <v>2394</v>
      </c>
      <c r="I39" s="659" t="s">
        <v>1636</v>
      </c>
      <c r="J39" s="659" t="s">
        <v>2159</v>
      </c>
      <c r="K39" s="662" t="str">
        <f t="shared" si="0"/>
        <v>DBaaS</v>
      </c>
      <c r="L39" s="660" t="str">
        <f t="shared" si="5"/>
        <v>UNIT</v>
      </c>
      <c r="M39" s="660" t="str">
        <f t="shared" si="6"/>
        <v>UC</v>
      </c>
      <c r="N39" s="660" t="str">
        <f t="shared" si="7"/>
        <v>PAAS</v>
      </c>
      <c r="O39" s="659" t="str">
        <f t="shared" si="8"/>
        <v/>
      </c>
    </row>
    <row r="40" spans="1:15">
      <c r="A40" s="659" t="s">
        <v>174</v>
      </c>
      <c r="B40" s="659">
        <v>0</v>
      </c>
      <c r="C40" s="659">
        <v>0</v>
      </c>
      <c r="D40" s="659">
        <v>6.72</v>
      </c>
      <c r="E40" s="659" t="s">
        <v>49</v>
      </c>
      <c r="F40" s="659" t="s">
        <v>2290</v>
      </c>
      <c r="G40" s="659" t="s">
        <v>2393</v>
      </c>
      <c r="H40" s="659" t="s">
        <v>2161</v>
      </c>
      <c r="I40" s="659" t="s">
        <v>1636</v>
      </c>
      <c r="J40" s="659" t="s">
        <v>2159</v>
      </c>
      <c r="K40" s="662" t="str">
        <f t="shared" si="0"/>
        <v>Deprecated</v>
      </c>
      <c r="L40" s="660" t="str">
        <f t="shared" si="5"/>
        <v>HR</v>
      </c>
      <c r="M40" s="660" t="str">
        <f t="shared" si="6"/>
        <v>UC</v>
      </c>
      <c r="N40" s="660" t="str">
        <f t="shared" si="7"/>
        <v>PAAS</v>
      </c>
      <c r="O40" s="659" t="str">
        <f t="shared" si="8"/>
        <v/>
      </c>
    </row>
    <row r="41" spans="1:15">
      <c r="A41" s="659" t="s">
        <v>175</v>
      </c>
      <c r="B41" s="659">
        <v>0</v>
      </c>
      <c r="C41" s="659">
        <v>0</v>
      </c>
      <c r="D41" s="659">
        <v>5000</v>
      </c>
      <c r="E41" s="659" t="s">
        <v>2168</v>
      </c>
      <c r="F41" s="659" t="s">
        <v>2290</v>
      </c>
      <c r="G41" s="659" t="s">
        <v>2393</v>
      </c>
      <c r="H41" s="659" t="s">
        <v>2394</v>
      </c>
      <c r="I41" s="659" t="s">
        <v>1636</v>
      </c>
      <c r="J41" s="659" t="s">
        <v>2159</v>
      </c>
      <c r="K41" s="662" t="str">
        <f t="shared" si="0"/>
        <v>Deprecated</v>
      </c>
      <c r="L41" s="660" t="str">
        <f t="shared" si="5"/>
        <v>UNIT</v>
      </c>
      <c r="M41" s="660" t="str">
        <f t="shared" si="6"/>
        <v>UC</v>
      </c>
      <c r="N41" s="660" t="str">
        <f t="shared" si="7"/>
        <v>PAAS</v>
      </c>
      <c r="O41" s="659" t="str">
        <f t="shared" si="8"/>
        <v/>
      </c>
    </row>
    <row r="42" spans="1:15">
      <c r="A42" s="659" t="s">
        <v>176</v>
      </c>
      <c r="B42" s="659">
        <v>0</v>
      </c>
      <c r="C42" s="659">
        <v>0</v>
      </c>
      <c r="D42" s="659">
        <v>8.4009999999999998</v>
      </c>
      <c r="E42" s="659" t="s">
        <v>49</v>
      </c>
      <c r="F42" s="659" t="s">
        <v>2290</v>
      </c>
      <c r="G42" s="659" t="s">
        <v>2393</v>
      </c>
      <c r="H42" s="659" t="s">
        <v>2161</v>
      </c>
      <c r="I42" s="659" t="s">
        <v>1636</v>
      </c>
      <c r="J42" s="659" t="s">
        <v>2159</v>
      </c>
      <c r="K42" s="662" t="str">
        <f t="shared" si="0"/>
        <v>Deprecated</v>
      </c>
      <c r="L42" s="660" t="str">
        <f t="shared" si="5"/>
        <v>HR</v>
      </c>
      <c r="M42" s="660" t="str">
        <f t="shared" si="6"/>
        <v>UC</v>
      </c>
      <c r="N42" s="660" t="str">
        <f t="shared" si="7"/>
        <v>PAAS</v>
      </c>
      <c r="O42" s="659" t="str">
        <f t="shared" si="8"/>
        <v/>
      </c>
    </row>
    <row r="43" spans="1:15">
      <c r="A43" s="659" t="s">
        <v>177</v>
      </c>
      <c r="B43" s="659" t="s">
        <v>178</v>
      </c>
      <c r="C43" s="659">
        <v>0</v>
      </c>
      <c r="D43" s="659">
        <v>500</v>
      </c>
      <c r="E43" s="659" t="s">
        <v>2168</v>
      </c>
      <c r="F43" s="659" t="s">
        <v>2290</v>
      </c>
      <c r="G43" s="659" t="s">
        <v>2309</v>
      </c>
      <c r="H43" s="659" t="s">
        <v>2394</v>
      </c>
      <c r="I43" s="659" t="s">
        <v>1636</v>
      </c>
      <c r="J43" s="659" t="s">
        <v>2159</v>
      </c>
      <c r="K43" s="662" t="str">
        <f t="shared" si="0"/>
        <v>DBaaS</v>
      </c>
      <c r="L43" s="660" t="str">
        <f t="shared" si="5"/>
        <v>UNIT</v>
      </c>
      <c r="M43" s="660" t="str">
        <f t="shared" si="6"/>
        <v>UC</v>
      </c>
      <c r="N43" s="660" t="str">
        <f t="shared" si="7"/>
        <v>PAAS</v>
      </c>
      <c r="O43" s="659" t="str">
        <f t="shared" si="8"/>
        <v/>
      </c>
    </row>
    <row r="44" spans="1:15">
      <c r="A44" s="659" t="s">
        <v>179</v>
      </c>
      <c r="B44" s="659">
        <v>0</v>
      </c>
      <c r="C44" s="659">
        <v>0</v>
      </c>
      <c r="D44" s="659">
        <v>0.84</v>
      </c>
      <c r="E44" s="659" t="s">
        <v>49</v>
      </c>
      <c r="F44" s="659" t="s">
        <v>2290</v>
      </c>
      <c r="G44" s="659" t="s">
        <v>2393</v>
      </c>
      <c r="H44" s="659" t="s">
        <v>2161</v>
      </c>
      <c r="I44" s="659" t="s">
        <v>1636</v>
      </c>
      <c r="J44" s="659" t="s">
        <v>2159</v>
      </c>
      <c r="K44" s="662" t="str">
        <f t="shared" si="0"/>
        <v>Deprecated</v>
      </c>
      <c r="L44" s="660" t="str">
        <f t="shared" si="5"/>
        <v>HR</v>
      </c>
      <c r="M44" s="660" t="str">
        <f t="shared" si="6"/>
        <v>UC</v>
      </c>
      <c r="N44" s="660" t="str">
        <f t="shared" si="7"/>
        <v>PAAS</v>
      </c>
      <c r="O44" s="659" t="str">
        <f t="shared" si="8"/>
        <v/>
      </c>
    </row>
    <row r="45" spans="1:15">
      <c r="A45" s="659" t="s">
        <v>180</v>
      </c>
      <c r="B45" s="659" t="s">
        <v>181</v>
      </c>
      <c r="C45" s="659">
        <v>0</v>
      </c>
      <c r="D45" s="659">
        <v>1600</v>
      </c>
      <c r="E45" s="659" t="s">
        <v>2168</v>
      </c>
      <c r="F45" s="659" t="s">
        <v>2290</v>
      </c>
      <c r="G45" s="659" t="s">
        <v>2309</v>
      </c>
      <c r="H45" s="659" t="s">
        <v>2394</v>
      </c>
      <c r="I45" s="659" t="s">
        <v>1636</v>
      </c>
      <c r="J45" s="659" t="s">
        <v>2159</v>
      </c>
      <c r="K45" s="662" t="str">
        <f t="shared" si="0"/>
        <v>DBaaS</v>
      </c>
      <c r="L45" s="660" t="str">
        <f t="shared" si="5"/>
        <v>UNIT</v>
      </c>
      <c r="M45" s="660" t="str">
        <f t="shared" si="6"/>
        <v>UC</v>
      </c>
      <c r="N45" s="660" t="str">
        <f t="shared" si="7"/>
        <v>PAAS</v>
      </c>
      <c r="O45" s="659" t="str">
        <f t="shared" si="8"/>
        <v/>
      </c>
    </row>
    <row r="46" spans="1:15">
      <c r="A46" s="659" t="s">
        <v>182</v>
      </c>
      <c r="B46" s="659">
        <v>0</v>
      </c>
      <c r="C46" s="659">
        <v>0</v>
      </c>
      <c r="D46" s="659">
        <v>2.6880000000000002</v>
      </c>
      <c r="E46" s="659" t="s">
        <v>49</v>
      </c>
      <c r="F46" s="659" t="s">
        <v>2290</v>
      </c>
      <c r="G46" s="659" t="s">
        <v>2393</v>
      </c>
      <c r="H46" s="659" t="s">
        <v>2161</v>
      </c>
      <c r="I46" s="659" t="s">
        <v>1636</v>
      </c>
      <c r="J46" s="659" t="s">
        <v>2159</v>
      </c>
      <c r="K46" s="662" t="str">
        <f t="shared" si="0"/>
        <v>Deprecated</v>
      </c>
      <c r="L46" s="660" t="str">
        <f t="shared" si="5"/>
        <v>HR</v>
      </c>
      <c r="M46" s="660" t="str">
        <f t="shared" si="6"/>
        <v>UC</v>
      </c>
      <c r="N46" s="660" t="str">
        <f t="shared" si="7"/>
        <v>PAAS</v>
      </c>
      <c r="O46" s="659" t="str">
        <f t="shared" si="8"/>
        <v/>
      </c>
    </row>
    <row r="47" spans="1:15">
      <c r="A47" s="659" t="s">
        <v>183</v>
      </c>
      <c r="B47" s="659">
        <v>0</v>
      </c>
      <c r="C47" s="659">
        <v>0</v>
      </c>
      <c r="D47" s="659">
        <v>2100</v>
      </c>
      <c r="E47" s="659" t="s">
        <v>2168</v>
      </c>
      <c r="F47" s="659" t="s">
        <v>2290</v>
      </c>
      <c r="G47" s="659" t="s">
        <v>2393</v>
      </c>
      <c r="H47" s="659" t="s">
        <v>2394</v>
      </c>
      <c r="I47" s="659" t="s">
        <v>1636</v>
      </c>
      <c r="J47" s="659" t="s">
        <v>2159</v>
      </c>
      <c r="K47" s="662" t="str">
        <f t="shared" si="0"/>
        <v>Deprecated</v>
      </c>
      <c r="L47" s="660" t="str">
        <f t="shared" si="5"/>
        <v>UNIT</v>
      </c>
      <c r="M47" s="660" t="str">
        <f t="shared" si="6"/>
        <v>UC</v>
      </c>
      <c r="N47" s="660" t="str">
        <f t="shared" si="7"/>
        <v>PAAS</v>
      </c>
      <c r="O47" s="659" t="str">
        <f t="shared" si="8"/>
        <v/>
      </c>
    </row>
    <row r="48" spans="1:15">
      <c r="A48" s="659" t="s">
        <v>184</v>
      </c>
      <c r="B48" s="659">
        <v>0</v>
      </c>
      <c r="C48" s="659">
        <v>0</v>
      </c>
      <c r="D48" s="659">
        <v>3.528</v>
      </c>
      <c r="E48" s="659" t="s">
        <v>49</v>
      </c>
      <c r="F48" s="659" t="s">
        <v>2290</v>
      </c>
      <c r="G48" s="659" t="s">
        <v>2393</v>
      </c>
      <c r="H48" s="659" t="s">
        <v>2161</v>
      </c>
      <c r="I48" s="659" t="s">
        <v>1636</v>
      </c>
      <c r="J48" s="659" t="s">
        <v>2159</v>
      </c>
      <c r="K48" s="662" t="str">
        <f t="shared" si="0"/>
        <v>Deprecated</v>
      </c>
      <c r="L48" s="660" t="str">
        <f t="shared" si="5"/>
        <v>HR</v>
      </c>
      <c r="M48" s="660" t="str">
        <f t="shared" si="6"/>
        <v>UC</v>
      </c>
      <c r="N48" s="660" t="str">
        <f t="shared" si="7"/>
        <v>PAAS</v>
      </c>
      <c r="O48" s="659" t="str">
        <f t="shared" si="8"/>
        <v/>
      </c>
    </row>
    <row r="49" spans="1:15">
      <c r="A49" s="659" t="s">
        <v>185</v>
      </c>
      <c r="B49" s="659" t="s">
        <v>186</v>
      </c>
      <c r="C49" s="659">
        <v>0</v>
      </c>
      <c r="D49" s="659">
        <v>3100</v>
      </c>
      <c r="E49" s="659" t="s">
        <v>2168</v>
      </c>
      <c r="F49" s="659" t="s">
        <v>2290</v>
      </c>
      <c r="G49" s="659" t="s">
        <v>2309</v>
      </c>
      <c r="H49" s="659" t="s">
        <v>2394</v>
      </c>
      <c r="I49" s="659" t="s">
        <v>1636</v>
      </c>
      <c r="J49" s="659" t="s">
        <v>2159</v>
      </c>
      <c r="K49" s="662" t="str">
        <f t="shared" si="0"/>
        <v>DBaaS</v>
      </c>
      <c r="L49" s="660" t="str">
        <f t="shared" si="5"/>
        <v>UNIT</v>
      </c>
      <c r="M49" s="660" t="str">
        <f t="shared" si="6"/>
        <v>UC</v>
      </c>
      <c r="N49" s="660" t="str">
        <f t="shared" si="7"/>
        <v>PAAS</v>
      </c>
      <c r="O49" s="659" t="str">
        <f t="shared" si="8"/>
        <v/>
      </c>
    </row>
    <row r="50" spans="1:15">
      <c r="A50" s="659" t="s">
        <v>187</v>
      </c>
      <c r="B50" s="659">
        <v>0</v>
      </c>
      <c r="C50" s="659">
        <v>0</v>
      </c>
      <c r="D50" s="659">
        <v>5.2080000000000002</v>
      </c>
      <c r="E50" s="659" t="s">
        <v>49</v>
      </c>
      <c r="F50" s="659" t="s">
        <v>2290</v>
      </c>
      <c r="G50" s="659" t="s">
        <v>2393</v>
      </c>
      <c r="H50" s="659" t="s">
        <v>2161</v>
      </c>
      <c r="I50" s="659" t="s">
        <v>1636</v>
      </c>
      <c r="J50" s="659" t="s">
        <v>2159</v>
      </c>
      <c r="K50" s="662" t="str">
        <f t="shared" si="0"/>
        <v>Deprecated</v>
      </c>
      <c r="L50" s="660" t="str">
        <f t="shared" si="5"/>
        <v>HR</v>
      </c>
      <c r="M50" s="660" t="str">
        <f t="shared" si="6"/>
        <v>UC</v>
      </c>
      <c r="N50" s="660" t="str">
        <f t="shared" si="7"/>
        <v>PAAS</v>
      </c>
      <c r="O50" s="659" t="str">
        <f t="shared" si="8"/>
        <v/>
      </c>
    </row>
    <row r="51" spans="1:15">
      <c r="A51" s="659" t="s">
        <v>188</v>
      </c>
      <c r="B51" s="659" t="s">
        <v>189</v>
      </c>
      <c r="C51" s="659">
        <v>0</v>
      </c>
      <c r="D51" s="659">
        <v>700</v>
      </c>
      <c r="E51" s="659" t="s">
        <v>2168</v>
      </c>
      <c r="F51" s="659" t="s">
        <v>2290</v>
      </c>
      <c r="G51" s="659" t="s">
        <v>2309</v>
      </c>
      <c r="H51" s="659" t="s">
        <v>2394</v>
      </c>
      <c r="I51" s="659" t="s">
        <v>1636</v>
      </c>
      <c r="J51" s="659" t="s">
        <v>2159</v>
      </c>
      <c r="K51" s="662" t="str">
        <f t="shared" si="0"/>
        <v>DBaaS</v>
      </c>
      <c r="L51" s="660" t="str">
        <f t="shared" si="5"/>
        <v>UNIT</v>
      </c>
      <c r="M51" s="660" t="str">
        <f t="shared" si="6"/>
        <v>UC</v>
      </c>
      <c r="N51" s="660" t="str">
        <f t="shared" si="7"/>
        <v>PAAS</v>
      </c>
      <c r="O51" s="659" t="str">
        <f t="shared" si="8"/>
        <v/>
      </c>
    </row>
    <row r="52" spans="1:15">
      <c r="A52" s="659" t="s">
        <v>190</v>
      </c>
      <c r="B52" s="659">
        <v>0</v>
      </c>
      <c r="C52" s="659">
        <v>0</v>
      </c>
      <c r="D52" s="659">
        <v>1.1759999999999999</v>
      </c>
      <c r="E52" s="659" t="s">
        <v>49</v>
      </c>
      <c r="F52" s="659" t="s">
        <v>2290</v>
      </c>
      <c r="G52" s="659" t="s">
        <v>2393</v>
      </c>
      <c r="H52" s="659" t="s">
        <v>2161</v>
      </c>
      <c r="I52" s="659" t="s">
        <v>1636</v>
      </c>
      <c r="J52" s="659" t="s">
        <v>2159</v>
      </c>
      <c r="K52" s="662" t="str">
        <f t="shared" si="0"/>
        <v>Deprecated</v>
      </c>
      <c r="L52" s="660" t="str">
        <f t="shared" si="5"/>
        <v>HR</v>
      </c>
      <c r="M52" s="660" t="str">
        <f t="shared" si="6"/>
        <v>UC</v>
      </c>
      <c r="N52" s="660" t="str">
        <f t="shared" si="7"/>
        <v>PAAS</v>
      </c>
      <c r="O52" s="659" t="str">
        <f t="shared" si="8"/>
        <v/>
      </c>
    </row>
    <row r="53" spans="1:15">
      <c r="A53" s="659" t="s">
        <v>191</v>
      </c>
      <c r="B53" s="659" t="s">
        <v>192</v>
      </c>
      <c r="C53" s="659">
        <v>0</v>
      </c>
      <c r="D53" s="659">
        <v>3100</v>
      </c>
      <c r="E53" s="659" t="s">
        <v>2168</v>
      </c>
      <c r="F53" s="659" t="s">
        <v>2290</v>
      </c>
      <c r="G53" s="659" t="s">
        <v>2309</v>
      </c>
      <c r="H53" s="659" t="s">
        <v>2394</v>
      </c>
      <c r="I53" s="659" t="s">
        <v>1636</v>
      </c>
      <c r="J53" s="659" t="s">
        <v>2159</v>
      </c>
      <c r="K53" s="662" t="str">
        <f t="shared" si="0"/>
        <v>DBaaS</v>
      </c>
      <c r="L53" s="660" t="str">
        <f t="shared" si="5"/>
        <v>UNIT</v>
      </c>
      <c r="M53" s="660" t="str">
        <f t="shared" si="6"/>
        <v>UC</v>
      </c>
      <c r="N53" s="660" t="str">
        <f t="shared" si="7"/>
        <v>PAAS</v>
      </c>
      <c r="O53" s="659" t="str">
        <f t="shared" si="8"/>
        <v/>
      </c>
    </row>
    <row r="54" spans="1:15">
      <c r="A54" s="659" t="s">
        <v>193</v>
      </c>
      <c r="B54" s="659">
        <v>0</v>
      </c>
      <c r="C54" s="659">
        <v>0</v>
      </c>
      <c r="D54" s="659">
        <v>5.2080000000000002</v>
      </c>
      <c r="E54" s="659" t="s">
        <v>49</v>
      </c>
      <c r="F54" s="659" t="s">
        <v>2290</v>
      </c>
      <c r="G54" s="659" t="s">
        <v>2393</v>
      </c>
      <c r="H54" s="659" t="s">
        <v>2161</v>
      </c>
      <c r="I54" s="659" t="s">
        <v>1636</v>
      </c>
      <c r="J54" s="659" t="s">
        <v>2159</v>
      </c>
      <c r="K54" s="662" t="str">
        <f t="shared" si="0"/>
        <v>Deprecated</v>
      </c>
      <c r="L54" s="660" t="str">
        <f t="shared" si="5"/>
        <v>HR</v>
      </c>
      <c r="M54" s="660" t="str">
        <f t="shared" si="6"/>
        <v>UC</v>
      </c>
      <c r="N54" s="660" t="str">
        <f t="shared" si="7"/>
        <v>PAAS</v>
      </c>
      <c r="O54" s="659" t="str">
        <f t="shared" si="8"/>
        <v/>
      </c>
    </row>
    <row r="55" spans="1:15">
      <c r="A55" s="659" t="s">
        <v>194</v>
      </c>
      <c r="B55" s="659" t="s">
        <v>195</v>
      </c>
      <c r="C55" s="659">
        <v>0</v>
      </c>
      <c r="D55" s="659">
        <v>4100</v>
      </c>
      <c r="E55" s="659" t="s">
        <v>2168</v>
      </c>
      <c r="F55" s="659" t="s">
        <v>2290</v>
      </c>
      <c r="G55" s="659" t="s">
        <v>2309</v>
      </c>
      <c r="H55" s="659" t="s">
        <v>2394</v>
      </c>
      <c r="I55" s="659" t="s">
        <v>1636</v>
      </c>
      <c r="J55" s="659" t="s">
        <v>2159</v>
      </c>
      <c r="K55" s="662" t="str">
        <f t="shared" si="0"/>
        <v>DBaaS</v>
      </c>
      <c r="L55" s="660" t="str">
        <f t="shared" si="5"/>
        <v>UNIT</v>
      </c>
      <c r="M55" s="660" t="str">
        <f t="shared" si="6"/>
        <v>UC</v>
      </c>
      <c r="N55" s="660" t="str">
        <f t="shared" si="7"/>
        <v>PAAS</v>
      </c>
      <c r="O55" s="659" t="str">
        <f t="shared" si="8"/>
        <v/>
      </c>
    </row>
    <row r="56" spans="1:15">
      <c r="A56" s="659" t="s">
        <v>196</v>
      </c>
      <c r="B56" s="659">
        <v>0</v>
      </c>
      <c r="C56" s="659">
        <v>0</v>
      </c>
      <c r="D56" s="659">
        <v>6.8879999999999999</v>
      </c>
      <c r="E56" s="659" t="s">
        <v>49</v>
      </c>
      <c r="F56" s="659" t="s">
        <v>2290</v>
      </c>
      <c r="G56" s="659" t="s">
        <v>2393</v>
      </c>
      <c r="H56" s="659" t="s">
        <v>2161</v>
      </c>
      <c r="I56" s="659" t="s">
        <v>1636</v>
      </c>
      <c r="J56" s="659" t="s">
        <v>2159</v>
      </c>
      <c r="K56" s="662" t="str">
        <f t="shared" si="0"/>
        <v>Deprecated</v>
      </c>
      <c r="L56" s="660" t="str">
        <f t="shared" si="5"/>
        <v>HR</v>
      </c>
      <c r="M56" s="660" t="str">
        <f t="shared" si="6"/>
        <v>UC</v>
      </c>
      <c r="N56" s="660" t="str">
        <f t="shared" si="7"/>
        <v>PAAS</v>
      </c>
      <c r="O56" s="659" t="str">
        <f t="shared" si="8"/>
        <v/>
      </c>
    </row>
    <row r="57" spans="1:15">
      <c r="A57" s="659" t="s">
        <v>197</v>
      </c>
      <c r="B57" s="659" t="s">
        <v>198</v>
      </c>
      <c r="C57" s="659">
        <v>0</v>
      </c>
      <c r="D57" s="659">
        <v>5100</v>
      </c>
      <c r="E57" s="659" t="s">
        <v>2168</v>
      </c>
      <c r="F57" s="659" t="s">
        <v>2290</v>
      </c>
      <c r="G57" s="659" t="s">
        <v>2309</v>
      </c>
      <c r="H57" s="659" t="s">
        <v>2394</v>
      </c>
      <c r="I57" s="659" t="s">
        <v>1636</v>
      </c>
      <c r="J57" s="659" t="s">
        <v>2159</v>
      </c>
      <c r="K57" s="662" t="str">
        <f t="shared" si="0"/>
        <v>DBaaS</v>
      </c>
      <c r="L57" s="660" t="str">
        <f t="shared" si="5"/>
        <v>UNIT</v>
      </c>
      <c r="M57" s="660" t="str">
        <f t="shared" si="6"/>
        <v>UC</v>
      </c>
      <c r="N57" s="660" t="str">
        <f t="shared" si="7"/>
        <v>PAAS</v>
      </c>
      <c r="O57" s="659" t="str">
        <f t="shared" si="8"/>
        <v/>
      </c>
    </row>
    <row r="58" spans="1:15">
      <c r="A58" s="659" t="s">
        <v>199</v>
      </c>
      <c r="B58" s="659">
        <v>0</v>
      </c>
      <c r="C58" s="659">
        <v>0</v>
      </c>
      <c r="D58" s="659">
        <v>8.5690000000000008</v>
      </c>
      <c r="E58" s="659" t="s">
        <v>49</v>
      </c>
      <c r="F58" s="659" t="s">
        <v>2290</v>
      </c>
      <c r="G58" s="659" t="s">
        <v>2393</v>
      </c>
      <c r="H58" s="659" t="s">
        <v>2161</v>
      </c>
      <c r="I58" s="659" t="s">
        <v>1636</v>
      </c>
      <c r="J58" s="659" t="s">
        <v>2159</v>
      </c>
      <c r="K58" s="662" t="str">
        <f t="shared" si="0"/>
        <v>Deprecated</v>
      </c>
      <c r="L58" s="660" t="str">
        <f t="shared" si="5"/>
        <v>HR</v>
      </c>
      <c r="M58" s="660" t="str">
        <f t="shared" si="6"/>
        <v>UC</v>
      </c>
      <c r="N58" s="660" t="str">
        <f t="shared" si="7"/>
        <v>PAAS</v>
      </c>
      <c r="O58" s="659" t="str">
        <f t="shared" si="8"/>
        <v/>
      </c>
    </row>
    <row r="59" spans="1:15">
      <c r="A59" s="659" t="s">
        <v>200</v>
      </c>
      <c r="B59" s="659" t="s">
        <v>201</v>
      </c>
      <c r="C59" s="659">
        <v>0</v>
      </c>
      <c r="D59" s="659">
        <v>300</v>
      </c>
      <c r="E59" s="659" t="s">
        <v>2168</v>
      </c>
      <c r="F59" s="659" t="s">
        <v>2290</v>
      </c>
      <c r="G59" s="659" t="s">
        <v>2393</v>
      </c>
      <c r="H59" s="659" t="s">
        <v>2394</v>
      </c>
      <c r="I59" s="659" t="s">
        <v>1636</v>
      </c>
      <c r="J59" s="659" t="s">
        <v>2159</v>
      </c>
      <c r="K59" s="662" t="str">
        <f t="shared" si="0"/>
        <v>Deprecated</v>
      </c>
      <c r="L59" s="660" t="str">
        <f t="shared" si="5"/>
        <v>UNIT</v>
      </c>
      <c r="M59" s="660" t="str">
        <f t="shared" si="6"/>
        <v>UC</v>
      </c>
      <c r="N59" s="660" t="str">
        <f t="shared" si="7"/>
        <v>PAAS</v>
      </c>
      <c r="O59" s="659" t="str">
        <f t="shared" si="8"/>
        <v/>
      </c>
    </row>
    <row r="60" spans="1:15">
      <c r="A60" s="659" t="s">
        <v>202</v>
      </c>
      <c r="B60" s="659">
        <v>0</v>
      </c>
      <c r="C60" s="659">
        <v>0</v>
      </c>
      <c r="D60" s="659">
        <v>0.5</v>
      </c>
      <c r="E60" s="659" t="s">
        <v>49</v>
      </c>
      <c r="F60" s="659" t="s">
        <v>2290</v>
      </c>
      <c r="G60" s="659" t="s">
        <v>2393</v>
      </c>
      <c r="H60" s="659" t="s">
        <v>2161</v>
      </c>
      <c r="I60" s="659" t="s">
        <v>1636</v>
      </c>
      <c r="J60" s="659" t="s">
        <v>2159</v>
      </c>
      <c r="K60" s="662" t="str">
        <f t="shared" si="0"/>
        <v>Deprecated</v>
      </c>
      <c r="L60" s="660" t="str">
        <f t="shared" si="5"/>
        <v>HR</v>
      </c>
      <c r="M60" s="660" t="str">
        <f t="shared" si="6"/>
        <v>UC</v>
      </c>
      <c r="N60" s="660" t="str">
        <f t="shared" si="7"/>
        <v>PAAS</v>
      </c>
      <c r="O60" s="659" t="str">
        <f t="shared" si="8"/>
        <v/>
      </c>
    </row>
    <row r="61" spans="1:15">
      <c r="A61" s="659" t="s">
        <v>203</v>
      </c>
      <c r="B61" s="659" t="s">
        <v>204</v>
      </c>
      <c r="C61" s="659">
        <v>0</v>
      </c>
      <c r="D61" s="659">
        <v>800</v>
      </c>
      <c r="E61" s="659" t="s">
        <v>2168</v>
      </c>
      <c r="F61" s="659" t="s">
        <v>2290</v>
      </c>
      <c r="G61" s="659" t="s">
        <v>2393</v>
      </c>
      <c r="H61" s="659" t="s">
        <v>2394</v>
      </c>
      <c r="I61" s="659" t="s">
        <v>1636</v>
      </c>
      <c r="J61" s="659" t="s">
        <v>2159</v>
      </c>
      <c r="K61" s="662" t="str">
        <f t="shared" si="0"/>
        <v>Deprecated</v>
      </c>
      <c r="L61" s="660" t="str">
        <f t="shared" si="5"/>
        <v>UNIT</v>
      </c>
      <c r="M61" s="660" t="str">
        <f t="shared" si="6"/>
        <v>UC</v>
      </c>
      <c r="N61" s="660" t="str">
        <f t="shared" si="7"/>
        <v>PAAS</v>
      </c>
      <c r="O61" s="659" t="str">
        <f t="shared" si="8"/>
        <v/>
      </c>
    </row>
    <row r="62" spans="1:15">
      <c r="A62" s="659" t="s">
        <v>205</v>
      </c>
      <c r="B62" s="659">
        <v>0</v>
      </c>
      <c r="C62" s="659">
        <v>0</v>
      </c>
      <c r="D62" s="659">
        <v>1.34</v>
      </c>
      <c r="E62" s="659" t="s">
        <v>49</v>
      </c>
      <c r="F62" s="659" t="s">
        <v>2290</v>
      </c>
      <c r="G62" s="659" t="s">
        <v>2393</v>
      </c>
      <c r="H62" s="659" t="s">
        <v>2161</v>
      </c>
      <c r="I62" s="659" t="s">
        <v>1636</v>
      </c>
      <c r="J62" s="659" t="s">
        <v>2159</v>
      </c>
      <c r="K62" s="662" t="str">
        <f t="shared" si="0"/>
        <v>Deprecated</v>
      </c>
      <c r="L62" s="660" t="str">
        <f t="shared" si="5"/>
        <v>HR</v>
      </c>
      <c r="M62" s="660" t="str">
        <f t="shared" si="6"/>
        <v>UC</v>
      </c>
      <c r="N62" s="660" t="str">
        <f t="shared" si="7"/>
        <v>PAAS</v>
      </c>
      <c r="O62" s="659" t="str">
        <f t="shared" si="8"/>
        <v/>
      </c>
    </row>
    <row r="63" spans="1:15">
      <c r="A63" s="659" t="s">
        <v>206</v>
      </c>
      <c r="B63" s="659" t="s">
        <v>207</v>
      </c>
      <c r="C63" s="659">
        <v>0</v>
      </c>
      <c r="D63" s="659">
        <v>1400</v>
      </c>
      <c r="E63" s="659" t="s">
        <v>2168</v>
      </c>
      <c r="F63" s="659" t="s">
        <v>2290</v>
      </c>
      <c r="G63" s="659" t="s">
        <v>2393</v>
      </c>
      <c r="H63" s="659" t="s">
        <v>2394</v>
      </c>
      <c r="I63" s="659" t="s">
        <v>1636</v>
      </c>
      <c r="J63" s="659" t="s">
        <v>2159</v>
      </c>
      <c r="K63" s="662" t="str">
        <f t="shared" si="0"/>
        <v>Deprecated</v>
      </c>
      <c r="L63" s="660" t="str">
        <f t="shared" si="5"/>
        <v>UNIT</v>
      </c>
      <c r="M63" s="660" t="str">
        <f t="shared" si="6"/>
        <v>UC</v>
      </c>
      <c r="N63" s="660" t="str">
        <f t="shared" si="7"/>
        <v>PAAS</v>
      </c>
      <c r="O63" s="659" t="str">
        <f t="shared" si="8"/>
        <v/>
      </c>
    </row>
    <row r="64" spans="1:15">
      <c r="A64" s="659" t="s">
        <v>208</v>
      </c>
      <c r="B64" s="659">
        <v>0</v>
      </c>
      <c r="C64" s="659">
        <v>0</v>
      </c>
      <c r="D64" s="659">
        <v>2.35</v>
      </c>
      <c r="E64" s="659" t="s">
        <v>49</v>
      </c>
      <c r="F64" s="659" t="s">
        <v>2290</v>
      </c>
      <c r="G64" s="659" t="s">
        <v>2393</v>
      </c>
      <c r="H64" s="659" t="s">
        <v>2161</v>
      </c>
      <c r="I64" s="659" t="s">
        <v>1636</v>
      </c>
      <c r="J64" s="659" t="s">
        <v>2159</v>
      </c>
      <c r="K64" s="662" t="str">
        <f t="shared" si="0"/>
        <v>Deprecated</v>
      </c>
      <c r="L64" s="660" t="str">
        <f t="shared" si="5"/>
        <v>HR</v>
      </c>
      <c r="M64" s="660" t="str">
        <f t="shared" si="6"/>
        <v>UC</v>
      </c>
      <c r="N64" s="660" t="str">
        <f t="shared" si="7"/>
        <v>PAAS</v>
      </c>
      <c r="O64" s="659" t="str">
        <f t="shared" si="8"/>
        <v/>
      </c>
    </row>
    <row r="65" spans="1:15">
      <c r="A65" s="659" t="s">
        <v>209</v>
      </c>
      <c r="B65" s="659" t="s">
        <v>210</v>
      </c>
      <c r="C65" s="659">
        <v>0</v>
      </c>
      <c r="D65" s="659">
        <v>450</v>
      </c>
      <c r="E65" s="659" t="s">
        <v>2168</v>
      </c>
      <c r="F65" s="659" t="s">
        <v>2290</v>
      </c>
      <c r="G65" s="659" t="s">
        <v>2393</v>
      </c>
      <c r="H65" s="659" t="s">
        <v>2394</v>
      </c>
      <c r="I65" s="659" t="s">
        <v>1636</v>
      </c>
      <c r="J65" s="659" t="s">
        <v>2159</v>
      </c>
      <c r="K65" s="662" t="str">
        <f t="shared" si="0"/>
        <v>Deprecated</v>
      </c>
      <c r="L65" s="660" t="str">
        <f t="shared" si="5"/>
        <v>UNIT</v>
      </c>
      <c r="M65" s="660" t="str">
        <f t="shared" si="6"/>
        <v>UC</v>
      </c>
      <c r="N65" s="660" t="str">
        <f t="shared" si="7"/>
        <v>PAAS</v>
      </c>
      <c r="O65" s="659" t="str">
        <f t="shared" si="8"/>
        <v/>
      </c>
    </row>
    <row r="66" spans="1:15">
      <c r="A66" s="659" t="s">
        <v>211</v>
      </c>
      <c r="B66" s="659">
        <v>0</v>
      </c>
      <c r="C66" s="659">
        <v>0</v>
      </c>
      <c r="D66" s="659">
        <v>0.75</v>
      </c>
      <c r="E66" s="659" t="s">
        <v>49</v>
      </c>
      <c r="F66" s="659" t="s">
        <v>2290</v>
      </c>
      <c r="G66" s="659" t="s">
        <v>2393</v>
      </c>
      <c r="H66" s="659" t="s">
        <v>2161</v>
      </c>
      <c r="I66" s="659" t="s">
        <v>1636</v>
      </c>
      <c r="J66" s="659" t="s">
        <v>2159</v>
      </c>
      <c r="K66" s="662" t="str">
        <f t="shared" si="0"/>
        <v>Deprecated</v>
      </c>
      <c r="L66" s="660" t="str">
        <f t="shared" si="5"/>
        <v>HR</v>
      </c>
      <c r="M66" s="660" t="str">
        <f t="shared" si="6"/>
        <v>UC</v>
      </c>
      <c r="N66" s="660" t="str">
        <f t="shared" si="7"/>
        <v>PAAS</v>
      </c>
      <c r="O66" s="659" t="str">
        <f t="shared" si="8"/>
        <v/>
      </c>
    </row>
    <row r="67" spans="1:15">
      <c r="A67" s="659" t="s">
        <v>212</v>
      </c>
      <c r="B67" s="659" t="s">
        <v>213</v>
      </c>
      <c r="C67" s="659">
        <v>0</v>
      </c>
      <c r="D67" s="659">
        <v>1200</v>
      </c>
      <c r="E67" s="659" t="s">
        <v>2168</v>
      </c>
      <c r="F67" s="659" t="s">
        <v>2290</v>
      </c>
      <c r="G67" s="659" t="s">
        <v>2393</v>
      </c>
      <c r="H67" s="659" t="s">
        <v>2394</v>
      </c>
      <c r="I67" s="659" t="s">
        <v>1636</v>
      </c>
      <c r="J67" s="659" t="s">
        <v>2159</v>
      </c>
      <c r="K67" s="662" t="str">
        <f t="shared" si="0"/>
        <v>Deprecated</v>
      </c>
      <c r="L67" s="660" t="str">
        <f t="shared" si="5"/>
        <v>UNIT</v>
      </c>
      <c r="M67" s="660" t="str">
        <f t="shared" si="6"/>
        <v>UC</v>
      </c>
      <c r="N67" s="660" t="str">
        <f t="shared" si="7"/>
        <v>PAAS</v>
      </c>
      <c r="O67" s="659" t="str">
        <f t="shared" si="8"/>
        <v/>
      </c>
    </row>
    <row r="68" spans="1:15">
      <c r="A68" s="659" t="s">
        <v>214</v>
      </c>
      <c r="B68" s="659">
        <v>0</v>
      </c>
      <c r="C68" s="659">
        <v>0</v>
      </c>
      <c r="D68" s="659">
        <v>2.02</v>
      </c>
      <c r="E68" s="659" t="s">
        <v>49</v>
      </c>
      <c r="F68" s="659" t="s">
        <v>2290</v>
      </c>
      <c r="G68" s="659" t="s">
        <v>2393</v>
      </c>
      <c r="H68" s="659" t="s">
        <v>2161</v>
      </c>
      <c r="I68" s="659" t="s">
        <v>1636</v>
      </c>
      <c r="J68" s="659" t="s">
        <v>2159</v>
      </c>
      <c r="K68" s="662" t="str">
        <f t="shared" ref="K68:K131" si="9">_xlfn.IFS(
ISNUMBER(SEARCH("Day",E68)),"Consulting",
ISNUMBER(SEARCH("Starter Pack",B68)),"Consulting",
ISNUMBER(SEARCH("Design",B68)),"Consulting",
ISNUMBER(SEARCH("Deploy",B68)),"Consulting",
ISNUMBER(SEARCH("Expert",B68)),"Consulting",
ISNUMBER(SEARCH("Installation",B68)),"Consulting",
ISNUMBER(SEARCH("Recommendation",B68)),"Consulting",
ISNUMBER(SEARCH("Transition",B68)),"Consulting",
ISNUMBER(SEARCH("Transition",B68)),"Support",
ISNUMBER(SEARCH("Transition",B68)),"Foundation Service",
ISNUMBER(SEARCH("Consulting",B68)),"Consulting",
ISNUMBER(SEARCH("in Advance",B68)),"New",
ISNUMBER(SEARCH("Universal Credits",B68)),"UC",
ISNUMBER(SEARCH("Ravello",B68)),"Deprecated",
ISNUMBER(SEARCH("Cloud Machine",B68)),"Deprecated",
ISNUMBER(SEARCH("Compute",B68)),"Compute",
ISNUMBER(SEARCH("Load Balancer",B68)),"Network",
ISNUMBER(SEARCH("FastConnect",B68)),"Network",
ISNUMBER(SEARCH("Database OCPU",B68)),"CC OCPU",
ISNUMBER(SEARCH("at Customer",B68)),"CC",
ISNUMBER(SEARCH("Cloud@Customer",B68)),"CC",
ISNUMBER(SEARCH("Exadata Storage",B68)),"Exa Storage",
ISNUMBER(SEARCH("Storage",B68)),"Storage",
ISNUMBER(SEARCH("Block ",B68)),"Storage",
ISNUMBER(SEARCH("Autonomous Data Warehouse",B68)),"ADW",
ISNUMBER(SEARCH("Autonomous Transaction Processing",B68)),"ATP",
ISNUMBER(SEARCH("Database Exadata",B68)),"ExaCS",
ISNUMBER(SEARCH("Database",B68)),"DBaaS",
ISNUMBER(SEARCH("Essbase",B68)),"DBaaS",
ISNUMBER(SEARCH("integration",B68)),"Integration",
ISNUMBER(SEARCH("SOA",B68)),"Integration",
ISNUMBER(SEARCH("Management Cloud",B68)),"Management",
ISNUMBER(SEARCH("Analytics",B68)),"Analytics",
ISNUMBER(SEARCH("Storage",B68)),"Storage",
ISNUMBER(SEARCH("Block ",B68)),"Storage",
ISNUMBER(SEARCH("Identity",B68)),"Platform",
ISNUMBER(SEARCH("Content",B68)),"Platform",
ISNUMBER(SEARCH("Weblogic",B68)),"Platform",
ISNUMBER(SEARCH("Digital Assistant",B68)),"Platform",
ISNUMBER(SEARCH("Limited",B68)),"Classic",
ISNUMBER(SEARCH("Classic",B68)),"Classic",
ISNUMBER(SEARCH("Government",B68)),"Government",
ISNUMBER(SEARCH("Metered",B68)),"Deprecated",
VALUE(RIGHT(A68,5))&lt;88206,"Deprecated",
TRUE,"Platform")</f>
        <v>Deprecated</v>
      </c>
      <c r="L68" s="660" t="str">
        <f t="shared" si="5"/>
        <v>HR</v>
      </c>
      <c r="M68" s="660" t="str">
        <f t="shared" si="6"/>
        <v>UC</v>
      </c>
      <c r="N68" s="660" t="str">
        <f t="shared" si="7"/>
        <v>PAAS</v>
      </c>
      <c r="O68" s="659" t="str">
        <f t="shared" si="8"/>
        <v/>
      </c>
    </row>
    <row r="69" spans="1:15">
      <c r="A69" s="659" t="s">
        <v>215</v>
      </c>
      <c r="B69" s="659" t="s">
        <v>216</v>
      </c>
      <c r="C69" s="659">
        <v>0</v>
      </c>
      <c r="D69" s="659">
        <v>2800</v>
      </c>
      <c r="E69" s="659" t="s">
        <v>2168</v>
      </c>
      <c r="F69" s="659" t="s">
        <v>2290</v>
      </c>
      <c r="G69" s="659" t="s">
        <v>2393</v>
      </c>
      <c r="H69" s="659" t="s">
        <v>2394</v>
      </c>
      <c r="I69" s="659" t="s">
        <v>1636</v>
      </c>
      <c r="J69" s="659" t="s">
        <v>2159</v>
      </c>
      <c r="K69" s="662" t="str">
        <f t="shared" si="9"/>
        <v>Deprecated</v>
      </c>
      <c r="L69" s="660" t="str">
        <f t="shared" si="5"/>
        <v>UNIT</v>
      </c>
      <c r="M69" s="660" t="str">
        <f t="shared" si="6"/>
        <v>UC</v>
      </c>
      <c r="N69" s="660" t="str">
        <f t="shared" si="7"/>
        <v>PAAS</v>
      </c>
      <c r="O69" s="659" t="str">
        <f t="shared" si="8"/>
        <v/>
      </c>
    </row>
    <row r="70" spans="1:15">
      <c r="A70" s="659" t="s">
        <v>217</v>
      </c>
      <c r="B70" s="659">
        <v>0</v>
      </c>
      <c r="C70" s="659">
        <v>0</v>
      </c>
      <c r="D70" s="659">
        <v>4.7</v>
      </c>
      <c r="E70" s="659" t="s">
        <v>49</v>
      </c>
      <c r="F70" s="659" t="s">
        <v>2290</v>
      </c>
      <c r="G70" s="659" t="s">
        <v>2393</v>
      </c>
      <c r="H70" s="659" t="s">
        <v>2161</v>
      </c>
      <c r="I70" s="659" t="s">
        <v>1636</v>
      </c>
      <c r="J70" s="659" t="s">
        <v>2159</v>
      </c>
      <c r="K70" s="662" t="str">
        <f t="shared" si="9"/>
        <v>Deprecated</v>
      </c>
      <c r="L70" s="660" t="str">
        <f t="shared" si="5"/>
        <v>HR</v>
      </c>
      <c r="M70" s="660" t="str">
        <f t="shared" si="6"/>
        <v>UC</v>
      </c>
      <c r="N70" s="660" t="str">
        <f t="shared" si="7"/>
        <v>PAAS</v>
      </c>
      <c r="O70" s="659" t="str">
        <f t="shared" si="8"/>
        <v/>
      </c>
    </row>
    <row r="71" spans="1:15">
      <c r="A71" s="659" t="s">
        <v>218</v>
      </c>
      <c r="B71" s="659" t="s">
        <v>219</v>
      </c>
      <c r="C71" s="659">
        <v>0</v>
      </c>
      <c r="D71" s="659">
        <v>400</v>
      </c>
      <c r="E71" s="659" t="s">
        <v>2168</v>
      </c>
      <c r="F71" s="659" t="s">
        <v>2290</v>
      </c>
      <c r="G71" s="659" t="s">
        <v>2393</v>
      </c>
      <c r="H71" s="659" t="s">
        <v>2394</v>
      </c>
      <c r="I71" s="659" t="s">
        <v>1636</v>
      </c>
      <c r="J71" s="659" t="s">
        <v>2159</v>
      </c>
      <c r="K71" s="662" t="str">
        <f t="shared" si="9"/>
        <v>Deprecated</v>
      </c>
      <c r="L71" s="660" t="str">
        <f t="shared" si="5"/>
        <v>UNIT</v>
      </c>
      <c r="M71" s="660" t="str">
        <f t="shared" si="6"/>
        <v>UC</v>
      </c>
      <c r="N71" s="660" t="str">
        <f t="shared" si="7"/>
        <v>PAAS</v>
      </c>
      <c r="O71" s="659" t="str">
        <f t="shared" si="8"/>
        <v/>
      </c>
    </row>
    <row r="72" spans="1:15">
      <c r="A72" s="659" t="s">
        <v>220</v>
      </c>
      <c r="B72" s="659">
        <v>0</v>
      </c>
      <c r="C72" s="659">
        <v>0</v>
      </c>
      <c r="D72" s="659">
        <v>0.67200000000000004</v>
      </c>
      <c r="E72" s="659" t="s">
        <v>49</v>
      </c>
      <c r="F72" s="659" t="s">
        <v>2290</v>
      </c>
      <c r="G72" s="659" t="s">
        <v>2393</v>
      </c>
      <c r="H72" s="659" t="s">
        <v>2161</v>
      </c>
      <c r="I72" s="659" t="s">
        <v>1636</v>
      </c>
      <c r="J72" s="659" t="s">
        <v>2159</v>
      </c>
      <c r="K72" s="662" t="str">
        <f t="shared" si="9"/>
        <v>Deprecated</v>
      </c>
      <c r="L72" s="660" t="str">
        <f t="shared" si="5"/>
        <v>HR</v>
      </c>
      <c r="M72" s="660" t="str">
        <f t="shared" si="6"/>
        <v>UC</v>
      </c>
      <c r="N72" s="660" t="str">
        <f t="shared" si="7"/>
        <v>PAAS</v>
      </c>
      <c r="O72" s="659" t="str">
        <f t="shared" si="8"/>
        <v/>
      </c>
    </row>
    <row r="73" spans="1:15">
      <c r="A73" s="659" t="s">
        <v>221</v>
      </c>
      <c r="B73" s="659" t="s">
        <v>222</v>
      </c>
      <c r="C73" s="659">
        <v>0</v>
      </c>
      <c r="D73" s="659">
        <v>900</v>
      </c>
      <c r="E73" s="659" t="s">
        <v>2168</v>
      </c>
      <c r="F73" s="659" t="s">
        <v>2290</v>
      </c>
      <c r="G73" s="659" t="s">
        <v>2393</v>
      </c>
      <c r="H73" s="659" t="s">
        <v>2394</v>
      </c>
      <c r="I73" s="659" t="s">
        <v>1636</v>
      </c>
      <c r="J73" s="659" t="s">
        <v>2159</v>
      </c>
      <c r="K73" s="662" t="str">
        <f t="shared" si="9"/>
        <v>Deprecated</v>
      </c>
      <c r="L73" s="660" t="str">
        <f t="shared" si="5"/>
        <v>UNIT</v>
      </c>
      <c r="M73" s="660" t="str">
        <f t="shared" si="6"/>
        <v>UC</v>
      </c>
      <c r="N73" s="660" t="str">
        <f t="shared" si="7"/>
        <v>PAAS</v>
      </c>
      <c r="O73" s="659" t="str">
        <f t="shared" si="8"/>
        <v/>
      </c>
    </row>
    <row r="74" spans="1:15">
      <c r="A74" s="659" t="s">
        <v>223</v>
      </c>
      <c r="B74" s="659">
        <v>0</v>
      </c>
      <c r="C74" s="659">
        <v>0</v>
      </c>
      <c r="D74" s="659">
        <v>1.512</v>
      </c>
      <c r="E74" s="659" t="s">
        <v>49</v>
      </c>
      <c r="F74" s="659" t="s">
        <v>2290</v>
      </c>
      <c r="G74" s="659" t="s">
        <v>2393</v>
      </c>
      <c r="H74" s="659" t="s">
        <v>2161</v>
      </c>
      <c r="I74" s="659" t="s">
        <v>1636</v>
      </c>
      <c r="J74" s="659" t="s">
        <v>2159</v>
      </c>
      <c r="K74" s="662" t="str">
        <f t="shared" si="9"/>
        <v>Deprecated</v>
      </c>
      <c r="L74" s="660" t="str">
        <f t="shared" si="5"/>
        <v>HR</v>
      </c>
      <c r="M74" s="660" t="str">
        <f t="shared" si="6"/>
        <v>UC</v>
      </c>
      <c r="N74" s="660" t="str">
        <f t="shared" si="7"/>
        <v>PAAS</v>
      </c>
      <c r="O74" s="659" t="str">
        <f t="shared" si="8"/>
        <v/>
      </c>
    </row>
    <row r="75" spans="1:15">
      <c r="A75" s="659" t="s">
        <v>224</v>
      </c>
      <c r="B75" s="659" t="s">
        <v>225</v>
      </c>
      <c r="C75" s="659">
        <v>0</v>
      </c>
      <c r="D75" s="659">
        <v>1500</v>
      </c>
      <c r="E75" s="659" t="s">
        <v>2168</v>
      </c>
      <c r="F75" s="659" t="s">
        <v>2290</v>
      </c>
      <c r="G75" s="659" t="s">
        <v>2393</v>
      </c>
      <c r="H75" s="659" t="s">
        <v>2394</v>
      </c>
      <c r="I75" s="659" t="s">
        <v>1636</v>
      </c>
      <c r="J75" s="659" t="s">
        <v>2159</v>
      </c>
      <c r="K75" s="662" t="str">
        <f t="shared" si="9"/>
        <v>Deprecated</v>
      </c>
      <c r="L75" s="660" t="str">
        <f t="shared" ref="L75:L138" si="10">_xlfn.IFS(ISNUMBER(SEARCH("Hour",E75)),"HR",ISNUMBER(SEARCH("Gigabyte",E75)),"GB",ISNUMBER(SEARCH("Terabyte",E75)),"TB",ISNUMBER(SEARCH("Requests",E75)),"REQ",ISNUMBER(SEARCH("Each",E75)),"EA",ISNUMBER(SEARCH("Day",E75)),"DAY","TRUE","UNIT")</f>
        <v>UNIT</v>
      </c>
      <c r="M75" s="660" t="str">
        <f t="shared" ref="M75:M138" si="11">_xlfn.IFS(K75="CC","CC",K75="Consulting","SRV",F75="Y","UC0",TRUE,"UC")</f>
        <v>UC</v>
      </c>
      <c r="N75" s="660" t="str">
        <f t="shared" ref="N75:N138" si="12">_xlfn.IFS(ISNUMBER(SEARCH("BYOL",B75)),"BYOL",K75="Storage","IAAS",K75="Compute","IAAS",K75="Network","IAAS",K75="Service","IAAS",M75="SRV","SRV",M75="CC","CC",L75="REQ","IAAS",TRUE,"PAAS")</f>
        <v>PAAS</v>
      </c>
      <c r="O75" s="659" t="str">
        <f t="shared" ref="O75:O138" si="13">IF(G75=K75,"","error")</f>
        <v/>
      </c>
    </row>
    <row r="76" spans="1:15">
      <c r="A76" s="659" t="s">
        <v>226</v>
      </c>
      <c r="B76" s="659">
        <v>0</v>
      </c>
      <c r="C76" s="659">
        <v>0</v>
      </c>
      <c r="D76" s="659">
        <v>2.52</v>
      </c>
      <c r="E76" s="659" t="s">
        <v>49</v>
      </c>
      <c r="F76" s="659" t="s">
        <v>2290</v>
      </c>
      <c r="G76" s="659" t="s">
        <v>2393</v>
      </c>
      <c r="H76" s="659" t="s">
        <v>2161</v>
      </c>
      <c r="I76" s="659" t="s">
        <v>1636</v>
      </c>
      <c r="J76" s="659" t="s">
        <v>2159</v>
      </c>
      <c r="K76" s="662" t="str">
        <f t="shared" si="9"/>
        <v>Deprecated</v>
      </c>
      <c r="L76" s="660" t="str">
        <f t="shared" si="10"/>
        <v>HR</v>
      </c>
      <c r="M76" s="660" t="str">
        <f t="shared" si="11"/>
        <v>UC</v>
      </c>
      <c r="N76" s="660" t="str">
        <f t="shared" si="12"/>
        <v>PAAS</v>
      </c>
      <c r="O76" s="659" t="str">
        <f t="shared" si="13"/>
        <v/>
      </c>
    </row>
    <row r="77" spans="1:15">
      <c r="A77" s="659" t="s">
        <v>227</v>
      </c>
      <c r="B77" s="659" t="s">
        <v>228</v>
      </c>
      <c r="C77" s="659">
        <v>0</v>
      </c>
      <c r="D77" s="659">
        <v>550</v>
      </c>
      <c r="E77" s="659" t="s">
        <v>2168</v>
      </c>
      <c r="F77" s="659" t="s">
        <v>2290</v>
      </c>
      <c r="G77" s="659" t="s">
        <v>2393</v>
      </c>
      <c r="H77" s="659" t="s">
        <v>2394</v>
      </c>
      <c r="I77" s="659" t="s">
        <v>1636</v>
      </c>
      <c r="J77" s="659" t="s">
        <v>2159</v>
      </c>
      <c r="K77" s="662" t="str">
        <f t="shared" si="9"/>
        <v>Deprecated</v>
      </c>
      <c r="L77" s="660" t="str">
        <f t="shared" si="10"/>
        <v>UNIT</v>
      </c>
      <c r="M77" s="660" t="str">
        <f t="shared" si="11"/>
        <v>UC</v>
      </c>
      <c r="N77" s="660" t="str">
        <f t="shared" si="12"/>
        <v>PAAS</v>
      </c>
      <c r="O77" s="659" t="str">
        <f t="shared" si="13"/>
        <v/>
      </c>
    </row>
    <row r="78" spans="1:15">
      <c r="A78" s="659" t="s">
        <v>229</v>
      </c>
      <c r="B78" s="659">
        <v>0</v>
      </c>
      <c r="C78" s="659">
        <v>0</v>
      </c>
      <c r="D78" s="659">
        <v>0.92400000000000004</v>
      </c>
      <c r="E78" s="659" t="s">
        <v>49</v>
      </c>
      <c r="F78" s="659" t="s">
        <v>2290</v>
      </c>
      <c r="G78" s="659" t="s">
        <v>2393</v>
      </c>
      <c r="H78" s="659" t="s">
        <v>2161</v>
      </c>
      <c r="I78" s="659" t="s">
        <v>1636</v>
      </c>
      <c r="J78" s="659" t="s">
        <v>2159</v>
      </c>
      <c r="K78" s="662" t="str">
        <f t="shared" si="9"/>
        <v>Deprecated</v>
      </c>
      <c r="L78" s="660" t="str">
        <f t="shared" si="10"/>
        <v>HR</v>
      </c>
      <c r="M78" s="660" t="str">
        <f t="shared" si="11"/>
        <v>UC</v>
      </c>
      <c r="N78" s="660" t="str">
        <f t="shared" si="12"/>
        <v>PAAS</v>
      </c>
      <c r="O78" s="659" t="str">
        <f t="shared" si="13"/>
        <v/>
      </c>
    </row>
    <row r="79" spans="1:15">
      <c r="A79" s="659" t="s">
        <v>230</v>
      </c>
      <c r="B79" s="659" t="s">
        <v>231</v>
      </c>
      <c r="C79" s="659">
        <v>0</v>
      </c>
      <c r="D79" s="659">
        <v>1300</v>
      </c>
      <c r="E79" s="659" t="s">
        <v>2168</v>
      </c>
      <c r="F79" s="659" t="s">
        <v>2290</v>
      </c>
      <c r="G79" s="659" t="s">
        <v>2393</v>
      </c>
      <c r="H79" s="659" t="s">
        <v>2394</v>
      </c>
      <c r="I79" s="659" t="s">
        <v>1636</v>
      </c>
      <c r="J79" s="659" t="s">
        <v>2159</v>
      </c>
      <c r="K79" s="662" t="str">
        <f t="shared" si="9"/>
        <v>Deprecated</v>
      </c>
      <c r="L79" s="660" t="str">
        <f t="shared" si="10"/>
        <v>UNIT</v>
      </c>
      <c r="M79" s="660" t="str">
        <f t="shared" si="11"/>
        <v>UC</v>
      </c>
      <c r="N79" s="660" t="str">
        <f t="shared" si="12"/>
        <v>PAAS</v>
      </c>
      <c r="O79" s="659" t="str">
        <f t="shared" si="13"/>
        <v/>
      </c>
    </row>
    <row r="80" spans="1:15" ht="16">
      <c r="A80" s="661" t="s">
        <v>232</v>
      </c>
      <c r="B80" s="659">
        <v>0</v>
      </c>
      <c r="C80" s="659">
        <v>0</v>
      </c>
      <c r="D80" s="659">
        <v>2.1840000000000002</v>
      </c>
      <c r="E80" s="659" t="s">
        <v>49</v>
      </c>
      <c r="F80" s="659" t="s">
        <v>2290</v>
      </c>
      <c r="G80" s="659" t="s">
        <v>2393</v>
      </c>
      <c r="H80" s="659" t="s">
        <v>2161</v>
      </c>
      <c r="I80" s="659" t="s">
        <v>1636</v>
      </c>
      <c r="J80" s="659" t="s">
        <v>2159</v>
      </c>
      <c r="K80" s="662" t="str">
        <f t="shared" si="9"/>
        <v>Deprecated</v>
      </c>
      <c r="L80" s="660" t="str">
        <f t="shared" si="10"/>
        <v>HR</v>
      </c>
      <c r="M80" s="660" t="str">
        <f t="shared" si="11"/>
        <v>UC</v>
      </c>
      <c r="N80" s="660" t="str">
        <f t="shared" si="12"/>
        <v>PAAS</v>
      </c>
      <c r="O80" s="659" t="str">
        <f t="shared" si="13"/>
        <v/>
      </c>
    </row>
    <row r="81" spans="1:15" ht="16">
      <c r="A81" s="661" t="s">
        <v>233</v>
      </c>
      <c r="B81" s="659" t="s">
        <v>234</v>
      </c>
      <c r="C81" s="659">
        <v>0</v>
      </c>
      <c r="D81" s="659">
        <v>2900</v>
      </c>
      <c r="E81" s="659" t="s">
        <v>2168</v>
      </c>
      <c r="F81" s="659" t="s">
        <v>2290</v>
      </c>
      <c r="G81" s="659" t="s">
        <v>2393</v>
      </c>
      <c r="H81" s="659" t="s">
        <v>2394</v>
      </c>
      <c r="I81" s="659" t="s">
        <v>1636</v>
      </c>
      <c r="J81" s="659" t="s">
        <v>2159</v>
      </c>
      <c r="K81" s="662" t="str">
        <f t="shared" si="9"/>
        <v>Deprecated</v>
      </c>
      <c r="L81" s="660" t="str">
        <f t="shared" si="10"/>
        <v>UNIT</v>
      </c>
      <c r="M81" s="660" t="str">
        <f t="shared" si="11"/>
        <v>UC</v>
      </c>
      <c r="N81" s="660" t="str">
        <f t="shared" si="12"/>
        <v>PAAS</v>
      </c>
      <c r="O81" s="659" t="str">
        <f t="shared" si="13"/>
        <v/>
      </c>
    </row>
    <row r="82" spans="1:15" ht="16">
      <c r="A82" s="661" t="s">
        <v>235</v>
      </c>
      <c r="B82" s="659">
        <v>0</v>
      </c>
      <c r="C82" s="659">
        <v>0</v>
      </c>
      <c r="D82" s="659">
        <v>4.8719999999999999</v>
      </c>
      <c r="E82" s="659" t="s">
        <v>49</v>
      </c>
      <c r="F82" s="659" t="s">
        <v>2290</v>
      </c>
      <c r="G82" s="659" t="s">
        <v>2393</v>
      </c>
      <c r="H82" s="659" t="s">
        <v>2161</v>
      </c>
      <c r="I82" s="659" t="s">
        <v>1636</v>
      </c>
      <c r="J82" s="659" t="s">
        <v>2159</v>
      </c>
      <c r="K82" s="662" t="str">
        <f t="shared" si="9"/>
        <v>Deprecated</v>
      </c>
      <c r="L82" s="660" t="str">
        <f t="shared" si="10"/>
        <v>HR</v>
      </c>
      <c r="M82" s="660" t="str">
        <f t="shared" si="11"/>
        <v>UC</v>
      </c>
      <c r="N82" s="660" t="str">
        <f t="shared" si="12"/>
        <v>PAAS</v>
      </c>
      <c r="O82" s="659" t="str">
        <f t="shared" si="13"/>
        <v/>
      </c>
    </row>
    <row r="83" spans="1:15" ht="16">
      <c r="A83" s="661" t="s">
        <v>236</v>
      </c>
      <c r="B83" s="659" t="s">
        <v>506</v>
      </c>
      <c r="C83" s="659">
        <v>0</v>
      </c>
      <c r="D83" s="659">
        <v>1E-3</v>
      </c>
      <c r="E83" s="659" t="s">
        <v>2166</v>
      </c>
      <c r="F83" s="659" t="s">
        <v>2290</v>
      </c>
      <c r="G83" s="659" t="s">
        <v>1840</v>
      </c>
      <c r="H83" s="659" t="s">
        <v>2162</v>
      </c>
      <c r="I83" s="659" t="s">
        <v>1636</v>
      </c>
      <c r="J83" s="659" t="s">
        <v>2158</v>
      </c>
      <c r="K83" s="662" t="str">
        <f t="shared" si="9"/>
        <v>Storage</v>
      </c>
      <c r="L83" s="660" t="str">
        <f t="shared" si="10"/>
        <v>GB</v>
      </c>
      <c r="M83" s="660" t="str">
        <f t="shared" si="11"/>
        <v>UC</v>
      </c>
      <c r="N83" s="660" t="str">
        <f t="shared" si="12"/>
        <v>IAAS</v>
      </c>
      <c r="O83" s="659" t="str">
        <f t="shared" si="13"/>
        <v/>
      </c>
    </row>
    <row r="84" spans="1:15">
      <c r="A84" s="659" t="s">
        <v>237</v>
      </c>
      <c r="B84" s="659" t="s">
        <v>507</v>
      </c>
      <c r="C84" s="659">
        <v>0</v>
      </c>
      <c r="D84" s="659">
        <v>5.0000000000000001E-3</v>
      </c>
      <c r="E84" s="659" t="s">
        <v>2166</v>
      </c>
      <c r="F84" s="659" t="s">
        <v>2290</v>
      </c>
      <c r="G84" s="659" t="s">
        <v>1840</v>
      </c>
      <c r="H84" s="659" t="s">
        <v>2162</v>
      </c>
      <c r="I84" s="659" t="s">
        <v>1636</v>
      </c>
      <c r="J84" s="659" t="s">
        <v>2158</v>
      </c>
      <c r="K84" s="662" t="str">
        <f t="shared" si="9"/>
        <v>Storage</v>
      </c>
      <c r="L84" s="660" t="str">
        <f t="shared" si="10"/>
        <v>GB</v>
      </c>
      <c r="M84" s="660" t="str">
        <f t="shared" si="11"/>
        <v>UC</v>
      </c>
      <c r="N84" s="660" t="str">
        <f t="shared" si="12"/>
        <v>IAAS</v>
      </c>
      <c r="O84" s="659" t="str">
        <f t="shared" si="13"/>
        <v/>
      </c>
    </row>
    <row r="85" spans="1:15">
      <c r="A85" s="659" t="s">
        <v>238</v>
      </c>
      <c r="B85" s="659" t="s">
        <v>508</v>
      </c>
      <c r="C85" s="659">
        <v>0</v>
      </c>
      <c r="D85" s="659">
        <v>0.02</v>
      </c>
      <c r="E85" s="659" t="s">
        <v>2169</v>
      </c>
      <c r="F85" s="659" t="s">
        <v>2290</v>
      </c>
      <c r="G85" s="659" t="s">
        <v>1840</v>
      </c>
      <c r="H85" s="659" t="s">
        <v>2162</v>
      </c>
      <c r="I85" s="659" t="s">
        <v>1636</v>
      </c>
      <c r="J85" s="659" t="s">
        <v>2158</v>
      </c>
      <c r="K85" s="662" t="str">
        <f t="shared" si="9"/>
        <v>Storage</v>
      </c>
      <c r="L85" s="660" t="str">
        <f t="shared" si="10"/>
        <v>GB</v>
      </c>
      <c r="M85" s="660" t="str">
        <f t="shared" si="11"/>
        <v>UC</v>
      </c>
      <c r="N85" s="660" t="str">
        <f t="shared" si="12"/>
        <v>IAAS</v>
      </c>
      <c r="O85" s="659" t="str">
        <f t="shared" si="13"/>
        <v/>
      </c>
    </row>
    <row r="86" spans="1:15">
      <c r="A86" s="659" t="s">
        <v>239</v>
      </c>
      <c r="B86" s="659" t="s">
        <v>509</v>
      </c>
      <c r="C86" s="659">
        <v>0</v>
      </c>
      <c r="D86" s="659">
        <v>3.0000000000000001E-3</v>
      </c>
      <c r="E86" s="659" t="s">
        <v>2166</v>
      </c>
      <c r="F86" s="659" t="s">
        <v>2290</v>
      </c>
      <c r="G86" s="659" t="s">
        <v>1840</v>
      </c>
      <c r="H86" s="659" t="s">
        <v>2162</v>
      </c>
      <c r="I86" s="659" t="s">
        <v>1636</v>
      </c>
      <c r="J86" s="659" t="s">
        <v>2158</v>
      </c>
      <c r="K86" s="662" t="str">
        <f t="shared" si="9"/>
        <v>Storage</v>
      </c>
      <c r="L86" s="660" t="str">
        <f t="shared" si="10"/>
        <v>GB</v>
      </c>
      <c r="M86" s="660" t="str">
        <f t="shared" si="11"/>
        <v>UC</v>
      </c>
      <c r="N86" s="660" t="str">
        <f t="shared" si="12"/>
        <v>IAAS</v>
      </c>
      <c r="O86" s="659" t="str">
        <f t="shared" si="13"/>
        <v/>
      </c>
    </row>
    <row r="87" spans="1:15">
      <c r="A87" s="659" t="s">
        <v>240</v>
      </c>
      <c r="B87" s="659" t="s">
        <v>510</v>
      </c>
      <c r="C87" s="659">
        <v>0</v>
      </c>
      <c r="D87" s="659">
        <v>0.05</v>
      </c>
      <c r="E87" s="659" t="s">
        <v>2163</v>
      </c>
      <c r="F87" s="659" t="s">
        <v>2290</v>
      </c>
      <c r="G87" s="659" t="s">
        <v>1840</v>
      </c>
      <c r="H87" s="659" t="s">
        <v>2395</v>
      </c>
      <c r="I87" s="659" t="s">
        <v>1636</v>
      </c>
      <c r="J87" s="659" t="s">
        <v>2158</v>
      </c>
      <c r="K87" s="662" t="str">
        <f t="shared" si="9"/>
        <v>Storage</v>
      </c>
      <c r="L87" s="660" t="str">
        <f t="shared" si="10"/>
        <v>REQ</v>
      </c>
      <c r="M87" s="660" t="str">
        <f t="shared" si="11"/>
        <v>UC</v>
      </c>
      <c r="N87" s="660" t="str">
        <f t="shared" si="12"/>
        <v>IAAS</v>
      </c>
      <c r="O87" s="659" t="str">
        <f t="shared" si="13"/>
        <v/>
      </c>
    </row>
    <row r="88" spans="1:15">
      <c r="A88" s="659" t="s">
        <v>3</v>
      </c>
      <c r="B88" s="659" t="s">
        <v>511</v>
      </c>
      <c r="C88" s="659">
        <v>0</v>
      </c>
      <c r="D88" s="659">
        <v>50</v>
      </c>
      <c r="E88" s="659" t="s">
        <v>2170</v>
      </c>
      <c r="F88" s="659" t="s">
        <v>2290</v>
      </c>
      <c r="G88" s="659" t="s">
        <v>1840</v>
      </c>
      <c r="H88" s="659" t="s">
        <v>2394</v>
      </c>
      <c r="I88" s="659" t="s">
        <v>1636</v>
      </c>
      <c r="J88" s="659" t="s">
        <v>2158</v>
      </c>
      <c r="K88" s="662" t="str">
        <f t="shared" si="9"/>
        <v>Storage</v>
      </c>
      <c r="L88" s="660" t="str">
        <f t="shared" si="10"/>
        <v>UNIT</v>
      </c>
      <c r="M88" s="660" t="str">
        <f t="shared" si="11"/>
        <v>UC</v>
      </c>
      <c r="N88" s="660" t="str">
        <f t="shared" si="12"/>
        <v>IAAS</v>
      </c>
      <c r="O88" s="659" t="str">
        <f t="shared" si="13"/>
        <v/>
      </c>
    </row>
    <row r="89" spans="1:15">
      <c r="A89" s="659" t="s">
        <v>4</v>
      </c>
      <c r="B89" s="659" t="s">
        <v>512</v>
      </c>
      <c r="C89" s="659">
        <v>0</v>
      </c>
      <c r="D89" s="659">
        <v>30</v>
      </c>
      <c r="E89" s="659" t="s">
        <v>2170</v>
      </c>
      <c r="F89" s="659" t="s">
        <v>2290</v>
      </c>
      <c r="G89" s="659" t="s">
        <v>1840</v>
      </c>
      <c r="H89" s="659" t="s">
        <v>2394</v>
      </c>
      <c r="I89" s="659" t="s">
        <v>1636</v>
      </c>
      <c r="J89" s="659" t="s">
        <v>2158</v>
      </c>
      <c r="K89" s="662" t="str">
        <f t="shared" si="9"/>
        <v>Storage</v>
      </c>
      <c r="L89" s="660" t="str">
        <f t="shared" si="10"/>
        <v>UNIT</v>
      </c>
      <c r="M89" s="660" t="str">
        <f t="shared" si="11"/>
        <v>UC</v>
      </c>
      <c r="N89" s="660" t="str">
        <f t="shared" si="12"/>
        <v>IAAS</v>
      </c>
      <c r="O89" s="659" t="str">
        <f t="shared" si="13"/>
        <v/>
      </c>
    </row>
    <row r="90" spans="1:15">
      <c r="A90" s="659" t="s">
        <v>242</v>
      </c>
      <c r="B90" s="659" t="s">
        <v>95</v>
      </c>
      <c r="C90" s="659">
        <v>0</v>
      </c>
      <c r="D90" s="659">
        <v>5500</v>
      </c>
      <c r="E90" s="659" t="s">
        <v>2168</v>
      </c>
      <c r="F90" s="659" t="s">
        <v>2290</v>
      </c>
      <c r="G90" s="659" t="s">
        <v>2391</v>
      </c>
      <c r="H90" s="659" t="s">
        <v>2394</v>
      </c>
      <c r="I90" s="659" t="s">
        <v>1636</v>
      </c>
      <c r="J90" s="659" t="s">
        <v>2159</v>
      </c>
      <c r="K90" s="662" t="str">
        <f t="shared" si="9"/>
        <v>Integration</v>
      </c>
      <c r="L90" s="660" t="str">
        <f t="shared" si="10"/>
        <v>UNIT</v>
      </c>
      <c r="M90" s="660" t="str">
        <f t="shared" si="11"/>
        <v>UC</v>
      </c>
      <c r="N90" s="660" t="str">
        <f t="shared" si="12"/>
        <v>PAAS</v>
      </c>
      <c r="O90" s="659" t="str">
        <f t="shared" si="13"/>
        <v/>
      </c>
    </row>
    <row r="91" spans="1:15">
      <c r="A91" s="659" t="s">
        <v>243</v>
      </c>
      <c r="B91" s="659" t="s">
        <v>244</v>
      </c>
      <c r="C91" s="659">
        <v>0</v>
      </c>
      <c r="D91" s="659">
        <v>3500</v>
      </c>
      <c r="E91" s="659" t="s">
        <v>2168</v>
      </c>
      <c r="F91" s="659" t="s">
        <v>2290</v>
      </c>
      <c r="G91" s="659" t="s">
        <v>2393</v>
      </c>
      <c r="H91" s="659" t="s">
        <v>2394</v>
      </c>
      <c r="I91" s="659" t="s">
        <v>1636</v>
      </c>
      <c r="J91" s="659" t="s">
        <v>2159</v>
      </c>
      <c r="K91" s="662" t="str">
        <f t="shared" si="9"/>
        <v>Deprecated</v>
      </c>
      <c r="L91" s="660" t="str">
        <f t="shared" si="10"/>
        <v>UNIT</v>
      </c>
      <c r="M91" s="660" t="str">
        <f t="shared" si="11"/>
        <v>UC</v>
      </c>
      <c r="N91" s="660" t="str">
        <f t="shared" si="12"/>
        <v>PAAS</v>
      </c>
      <c r="O91" s="659" t="str">
        <f t="shared" si="13"/>
        <v/>
      </c>
    </row>
    <row r="92" spans="1:15">
      <c r="A92" s="659" t="s">
        <v>245</v>
      </c>
      <c r="B92" s="659" t="s">
        <v>246</v>
      </c>
      <c r="C92" s="659">
        <v>0</v>
      </c>
      <c r="D92" s="659">
        <v>4500</v>
      </c>
      <c r="E92" s="659" t="s">
        <v>2168</v>
      </c>
      <c r="F92" s="659" t="s">
        <v>2290</v>
      </c>
      <c r="G92" s="659" t="s">
        <v>2393</v>
      </c>
      <c r="H92" s="659" t="s">
        <v>2394</v>
      </c>
      <c r="I92" s="659" t="s">
        <v>1636</v>
      </c>
      <c r="J92" s="659" t="s">
        <v>2159</v>
      </c>
      <c r="K92" s="662" t="str">
        <f t="shared" si="9"/>
        <v>Deprecated</v>
      </c>
      <c r="L92" s="660" t="str">
        <f t="shared" si="10"/>
        <v>UNIT</v>
      </c>
      <c r="M92" s="660" t="str">
        <f t="shared" si="11"/>
        <v>UC</v>
      </c>
      <c r="N92" s="660" t="str">
        <f t="shared" si="12"/>
        <v>PAAS</v>
      </c>
      <c r="O92" s="659" t="str">
        <f t="shared" si="13"/>
        <v/>
      </c>
    </row>
    <row r="93" spans="1:15">
      <c r="A93" s="659" t="s">
        <v>247</v>
      </c>
      <c r="B93" s="659" t="s">
        <v>248</v>
      </c>
      <c r="C93" s="659">
        <v>0</v>
      </c>
      <c r="D93" s="659">
        <v>300</v>
      </c>
      <c r="E93" s="659" t="s">
        <v>2171</v>
      </c>
      <c r="F93" s="659" t="s">
        <v>2290</v>
      </c>
      <c r="G93" s="659" t="s">
        <v>2309</v>
      </c>
      <c r="H93" s="659" t="s">
        <v>2394</v>
      </c>
      <c r="I93" s="659" t="s">
        <v>1636</v>
      </c>
      <c r="J93" s="659" t="s">
        <v>2159</v>
      </c>
      <c r="K93" s="662" t="str">
        <f t="shared" si="9"/>
        <v>DBaaS</v>
      </c>
      <c r="L93" s="660" t="str">
        <f t="shared" si="10"/>
        <v>UNIT</v>
      </c>
      <c r="M93" s="660" t="str">
        <f t="shared" si="11"/>
        <v>UC</v>
      </c>
      <c r="N93" s="660" t="str">
        <f t="shared" si="12"/>
        <v>PAAS</v>
      </c>
      <c r="O93" s="659" t="str">
        <f t="shared" si="13"/>
        <v/>
      </c>
    </row>
    <row r="94" spans="1:15">
      <c r="A94" s="659" t="s">
        <v>249</v>
      </c>
      <c r="B94" s="659" t="s">
        <v>250</v>
      </c>
      <c r="C94" s="659">
        <v>0</v>
      </c>
      <c r="D94" s="659">
        <v>1125</v>
      </c>
      <c r="E94" s="659" t="s">
        <v>2171</v>
      </c>
      <c r="F94" s="659" t="s">
        <v>2290</v>
      </c>
      <c r="G94" s="659" t="s">
        <v>2309</v>
      </c>
      <c r="H94" s="659" t="s">
        <v>2394</v>
      </c>
      <c r="I94" s="659" t="s">
        <v>1636</v>
      </c>
      <c r="J94" s="659" t="s">
        <v>2159</v>
      </c>
      <c r="K94" s="662" t="str">
        <f t="shared" si="9"/>
        <v>DBaaS</v>
      </c>
      <c r="L94" s="660" t="str">
        <f t="shared" si="10"/>
        <v>UNIT</v>
      </c>
      <c r="M94" s="660" t="str">
        <f t="shared" si="11"/>
        <v>UC</v>
      </c>
      <c r="N94" s="660" t="str">
        <f t="shared" si="12"/>
        <v>PAAS</v>
      </c>
      <c r="O94" s="659" t="str">
        <f t="shared" si="13"/>
        <v/>
      </c>
    </row>
    <row r="95" spans="1:15">
      <c r="A95" s="659" t="s">
        <v>251</v>
      </c>
      <c r="B95" s="659" t="s">
        <v>252</v>
      </c>
      <c r="C95" s="659">
        <v>0</v>
      </c>
      <c r="D95" s="659">
        <v>225</v>
      </c>
      <c r="E95" s="659" t="s">
        <v>2171</v>
      </c>
      <c r="F95" s="659" t="s">
        <v>2290</v>
      </c>
      <c r="G95" s="659" t="s">
        <v>2393</v>
      </c>
      <c r="H95" s="659" t="s">
        <v>2394</v>
      </c>
      <c r="I95" s="659" t="s">
        <v>1636</v>
      </c>
      <c r="J95" s="659" t="s">
        <v>2159</v>
      </c>
      <c r="K95" s="662" t="str">
        <f t="shared" si="9"/>
        <v>Deprecated</v>
      </c>
      <c r="L95" s="660" t="str">
        <f t="shared" si="10"/>
        <v>UNIT</v>
      </c>
      <c r="M95" s="660" t="str">
        <f t="shared" si="11"/>
        <v>UC</v>
      </c>
      <c r="N95" s="660" t="str">
        <f t="shared" si="12"/>
        <v>PAAS</v>
      </c>
      <c r="O95" s="659" t="str">
        <f t="shared" si="13"/>
        <v/>
      </c>
    </row>
    <row r="96" spans="1:15">
      <c r="A96" s="659" t="s">
        <v>6</v>
      </c>
      <c r="B96" s="659" t="s">
        <v>253</v>
      </c>
      <c r="C96" s="659">
        <v>0</v>
      </c>
      <c r="D96" s="659">
        <v>600</v>
      </c>
      <c r="E96" s="659" t="s">
        <v>2171</v>
      </c>
      <c r="F96" s="659" t="s">
        <v>2290</v>
      </c>
      <c r="G96" s="659" t="s">
        <v>2393</v>
      </c>
      <c r="H96" s="659" t="s">
        <v>2394</v>
      </c>
      <c r="I96" s="659" t="s">
        <v>1636</v>
      </c>
      <c r="J96" s="659" t="s">
        <v>2159</v>
      </c>
      <c r="K96" s="662" t="str">
        <f t="shared" si="9"/>
        <v>Deprecated</v>
      </c>
      <c r="L96" s="660" t="str">
        <f t="shared" si="10"/>
        <v>UNIT</v>
      </c>
      <c r="M96" s="660" t="str">
        <f t="shared" si="11"/>
        <v>UC</v>
      </c>
      <c r="N96" s="660" t="str">
        <f t="shared" si="12"/>
        <v>PAAS</v>
      </c>
      <c r="O96" s="659" t="str">
        <f t="shared" si="13"/>
        <v/>
      </c>
    </row>
    <row r="97" spans="1:15">
      <c r="A97" s="659" t="s">
        <v>254</v>
      </c>
      <c r="B97" s="659" t="s">
        <v>255</v>
      </c>
      <c r="C97" s="659">
        <v>0</v>
      </c>
      <c r="D97" s="659">
        <v>1500</v>
      </c>
      <c r="E97" s="659" t="s">
        <v>2171</v>
      </c>
      <c r="F97" s="659" t="s">
        <v>2290</v>
      </c>
      <c r="G97" s="659" t="s">
        <v>2309</v>
      </c>
      <c r="H97" s="659" t="s">
        <v>2394</v>
      </c>
      <c r="I97" s="659" t="s">
        <v>1636</v>
      </c>
      <c r="J97" s="659" t="s">
        <v>2159</v>
      </c>
      <c r="K97" s="662" t="str">
        <f t="shared" si="9"/>
        <v>DBaaS</v>
      </c>
      <c r="L97" s="660" t="str">
        <f t="shared" si="10"/>
        <v>UNIT</v>
      </c>
      <c r="M97" s="660" t="str">
        <f t="shared" si="11"/>
        <v>UC</v>
      </c>
      <c r="N97" s="660" t="str">
        <f t="shared" si="12"/>
        <v>PAAS</v>
      </c>
      <c r="O97" s="659" t="str">
        <f t="shared" si="13"/>
        <v/>
      </c>
    </row>
    <row r="98" spans="1:15">
      <c r="A98" s="659" t="s">
        <v>256</v>
      </c>
      <c r="B98" s="659" t="s">
        <v>257</v>
      </c>
      <c r="C98" s="659">
        <v>0</v>
      </c>
      <c r="D98" s="659">
        <v>2250</v>
      </c>
      <c r="E98" s="659" t="s">
        <v>2171</v>
      </c>
      <c r="F98" s="659" t="s">
        <v>2290</v>
      </c>
      <c r="G98" s="659" t="s">
        <v>2309</v>
      </c>
      <c r="H98" s="659" t="s">
        <v>2394</v>
      </c>
      <c r="I98" s="659" t="s">
        <v>1636</v>
      </c>
      <c r="J98" s="659" t="s">
        <v>2159</v>
      </c>
      <c r="K98" s="662" t="str">
        <f t="shared" si="9"/>
        <v>DBaaS</v>
      </c>
      <c r="L98" s="660" t="str">
        <f t="shared" si="10"/>
        <v>UNIT</v>
      </c>
      <c r="M98" s="660" t="str">
        <f t="shared" si="11"/>
        <v>UC</v>
      </c>
      <c r="N98" s="660" t="str">
        <f t="shared" si="12"/>
        <v>PAAS</v>
      </c>
      <c r="O98" s="659" t="str">
        <f t="shared" si="13"/>
        <v/>
      </c>
    </row>
    <row r="99" spans="1:15">
      <c r="A99" s="659" t="s">
        <v>258</v>
      </c>
      <c r="B99" s="659" t="s">
        <v>259</v>
      </c>
      <c r="C99" s="659">
        <v>0</v>
      </c>
      <c r="D99" s="659">
        <v>300</v>
      </c>
      <c r="E99" s="659" t="s">
        <v>2171</v>
      </c>
      <c r="F99" s="659" t="s">
        <v>2290</v>
      </c>
      <c r="G99" s="659" t="s">
        <v>2309</v>
      </c>
      <c r="H99" s="659" t="s">
        <v>2394</v>
      </c>
      <c r="I99" s="659" t="s">
        <v>1636</v>
      </c>
      <c r="J99" s="659" t="s">
        <v>2159</v>
      </c>
      <c r="K99" s="662" t="str">
        <f t="shared" si="9"/>
        <v>DBaaS</v>
      </c>
      <c r="L99" s="660" t="str">
        <f t="shared" si="10"/>
        <v>UNIT</v>
      </c>
      <c r="M99" s="660" t="str">
        <f t="shared" si="11"/>
        <v>UC</v>
      </c>
      <c r="N99" s="660" t="str">
        <f t="shared" si="12"/>
        <v>PAAS</v>
      </c>
      <c r="O99" s="659" t="str">
        <f t="shared" si="13"/>
        <v/>
      </c>
    </row>
    <row r="100" spans="1:15">
      <c r="A100" s="659" t="s">
        <v>260</v>
      </c>
      <c r="B100" s="659" t="s">
        <v>261</v>
      </c>
      <c r="C100" s="659">
        <v>0</v>
      </c>
      <c r="D100" s="659">
        <v>1500</v>
      </c>
      <c r="E100" s="659" t="s">
        <v>2171</v>
      </c>
      <c r="F100" s="659" t="s">
        <v>2290</v>
      </c>
      <c r="G100" s="659" t="s">
        <v>2309</v>
      </c>
      <c r="H100" s="659" t="s">
        <v>2394</v>
      </c>
      <c r="I100" s="659" t="s">
        <v>1636</v>
      </c>
      <c r="J100" s="659" t="s">
        <v>2159</v>
      </c>
      <c r="K100" s="662" t="str">
        <f t="shared" si="9"/>
        <v>DBaaS</v>
      </c>
      <c r="L100" s="660" t="str">
        <f t="shared" si="10"/>
        <v>UNIT</v>
      </c>
      <c r="M100" s="660" t="str">
        <f t="shared" si="11"/>
        <v>UC</v>
      </c>
      <c r="N100" s="660" t="str">
        <f t="shared" si="12"/>
        <v>PAAS</v>
      </c>
      <c r="O100" s="659" t="str">
        <f t="shared" si="13"/>
        <v/>
      </c>
    </row>
    <row r="101" spans="1:15">
      <c r="A101" s="659" t="s">
        <v>262</v>
      </c>
      <c r="B101" s="659" t="s">
        <v>263</v>
      </c>
      <c r="C101" s="659">
        <v>0</v>
      </c>
      <c r="D101" s="659">
        <v>2000</v>
      </c>
      <c r="E101" s="659" t="s">
        <v>2171</v>
      </c>
      <c r="F101" s="659" t="s">
        <v>2290</v>
      </c>
      <c r="G101" s="659" t="s">
        <v>2309</v>
      </c>
      <c r="H101" s="659" t="s">
        <v>2394</v>
      </c>
      <c r="I101" s="659" t="s">
        <v>1636</v>
      </c>
      <c r="J101" s="659" t="s">
        <v>2159</v>
      </c>
      <c r="K101" s="662" t="str">
        <f t="shared" si="9"/>
        <v>DBaaS</v>
      </c>
      <c r="L101" s="660" t="str">
        <f t="shared" si="10"/>
        <v>UNIT</v>
      </c>
      <c r="M101" s="660" t="str">
        <f t="shared" si="11"/>
        <v>UC</v>
      </c>
      <c r="N101" s="660" t="str">
        <f t="shared" si="12"/>
        <v>PAAS</v>
      </c>
      <c r="O101" s="659" t="str">
        <f t="shared" si="13"/>
        <v/>
      </c>
    </row>
    <row r="102" spans="1:15">
      <c r="A102" s="659" t="s">
        <v>5</v>
      </c>
      <c r="B102" s="659" t="s">
        <v>1872</v>
      </c>
      <c r="C102" s="659">
        <v>0</v>
      </c>
      <c r="D102" s="659">
        <v>2500</v>
      </c>
      <c r="E102" s="659" t="s">
        <v>2171</v>
      </c>
      <c r="F102" s="659" t="s">
        <v>2290</v>
      </c>
      <c r="G102" s="659" t="s">
        <v>2309</v>
      </c>
      <c r="H102" s="659" t="s">
        <v>2394</v>
      </c>
      <c r="I102" s="659" t="s">
        <v>1636</v>
      </c>
      <c r="J102" s="659" t="s">
        <v>2159</v>
      </c>
      <c r="K102" s="662" t="str">
        <f t="shared" si="9"/>
        <v>DBaaS</v>
      </c>
      <c r="L102" s="660" t="str">
        <f t="shared" si="10"/>
        <v>UNIT</v>
      </c>
      <c r="M102" s="660" t="str">
        <f t="shared" si="11"/>
        <v>UC</v>
      </c>
      <c r="N102" s="660" t="str">
        <f t="shared" si="12"/>
        <v>PAAS</v>
      </c>
      <c r="O102" s="659" t="str">
        <f t="shared" si="13"/>
        <v/>
      </c>
    </row>
    <row r="103" spans="1:15">
      <c r="A103" s="659" t="s">
        <v>264</v>
      </c>
      <c r="B103" s="659" t="s">
        <v>265</v>
      </c>
      <c r="C103" s="659">
        <v>0</v>
      </c>
      <c r="D103" s="659">
        <v>375</v>
      </c>
      <c r="E103" s="659" t="s">
        <v>2171</v>
      </c>
      <c r="F103" s="659" t="s">
        <v>2290</v>
      </c>
      <c r="G103" s="659" t="s">
        <v>2309</v>
      </c>
      <c r="H103" s="659" t="s">
        <v>2394</v>
      </c>
      <c r="I103" s="659" t="s">
        <v>1636</v>
      </c>
      <c r="J103" s="659" t="s">
        <v>2159</v>
      </c>
      <c r="K103" s="662" t="str">
        <f t="shared" si="9"/>
        <v>DBaaS</v>
      </c>
      <c r="L103" s="660" t="str">
        <f t="shared" si="10"/>
        <v>UNIT</v>
      </c>
      <c r="M103" s="660" t="str">
        <f t="shared" si="11"/>
        <v>UC</v>
      </c>
      <c r="N103" s="660" t="str">
        <f t="shared" si="12"/>
        <v>PAAS</v>
      </c>
      <c r="O103" s="659" t="str">
        <f t="shared" si="13"/>
        <v/>
      </c>
    </row>
    <row r="104" spans="1:15">
      <c r="A104" s="659" t="s">
        <v>266</v>
      </c>
      <c r="B104" s="659" t="s">
        <v>267</v>
      </c>
      <c r="C104" s="659">
        <v>0</v>
      </c>
      <c r="D104" s="659">
        <v>1200</v>
      </c>
      <c r="E104" s="659" t="s">
        <v>2171</v>
      </c>
      <c r="F104" s="659" t="s">
        <v>2290</v>
      </c>
      <c r="G104" s="659" t="s">
        <v>2309</v>
      </c>
      <c r="H104" s="659" t="s">
        <v>2394</v>
      </c>
      <c r="I104" s="659" t="s">
        <v>1636</v>
      </c>
      <c r="J104" s="659" t="s">
        <v>2159</v>
      </c>
      <c r="K104" s="662" t="str">
        <f t="shared" si="9"/>
        <v>DBaaS</v>
      </c>
      <c r="L104" s="660" t="str">
        <f t="shared" si="10"/>
        <v>UNIT</v>
      </c>
      <c r="M104" s="660" t="str">
        <f t="shared" si="11"/>
        <v>UC</v>
      </c>
      <c r="N104" s="660" t="str">
        <f t="shared" si="12"/>
        <v>PAAS</v>
      </c>
      <c r="O104" s="659" t="str">
        <f t="shared" si="13"/>
        <v/>
      </c>
    </row>
    <row r="105" spans="1:15">
      <c r="A105" s="659" t="s">
        <v>268</v>
      </c>
      <c r="B105" s="659" t="s">
        <v>269</v>
      </c>
      <c r="C105" s="659">
        <v>0</v>
      </c>
      <c r="D105" s="659">
        <v>1575</v>
      </c>
      <c r="E105" s="659" t="s">
        <v>2171</v>
      </c>
      <c r="F105" s="659" t="s">
        <v>2290</v>
      </c>
      <c r="G105" s="659" t="s">
        <v>2309</v>
      </c>
      <c r="H105" s="659" t="s">
        <v>2394</v>
      </c>
      <c r="I105" s="659" t="s">
        <v>1636</v>
      </c>
      <c r="J105" s="659" t="s">
        <v>2159</v>
      </c>
      <c r="K105" s="662" t="str">
        <f t="shared" si="9"/>
        <v>DBaaS</v>
      </c>
      <c r="L105" s="660" t="str">
        <f t="shared" si="10"/>
        <v>UNIT</v>
      </c>
      <c r="M105" s="660" t="str">
        <f t="shared" si="11"/>
        <v>UC</v>
      </c>
      <c r="N105" s="660" t="str">
        <f t="shared" si="12"/>
        <v>PAAS</v>
      </c>
      <c r="O105" s="659" t="str">
        <f t="shared" si="13"/>
        <v/>
      </c>
    </row>
    <row r="106" spans="1:15">
      <c r="A106" s="659" t="s">
        <v>270</v>
      </c>
      <c r="B106" s="659" t="s">
        <v>271</v>
      </c>
      <c r="C106" s="659">
        <v>0</v>
      </c>
      <c r="D106" s="659">
        <v>2325</v>
      </c>
      <c r="E106" s="659" t="s">
        <v>2171</v>
      </c>
      <c r="F106" s="659" t="s">
        <v>2290</v>
      </c>
      <c r="G106" s="659" t="s">
        <v>2309</v>
      </c>
      <c r="H106" s="659" t="s">
        <v>2394</v>
      </c>
      <c r="I106" s="659" t="s">
        <v>1636</v>
      </c>
      <c r="J106" s="659" t="s">
        <v>2159</v>
      </c>
      <c r="K106" s="662" t="str">
        <f t="shared" si="9"/>
        <v>DBaaS</v>
      </c>
      <c r="L106" s="660" t="str">
        <f t="shared" si="10"/>
        <v>UNIT</v>
      </c>
      <c r="M106" s="660" t="str">
        <f t="shared" si="11"/>
        <v>UC</v>
      </c>
      <c r="N106" s="660" t="str">
        <f t="shared" si="12"/>
        <v>PAAS</v>
      </c>
      <c r="O106" s="659" t="str">
        <f t="shared" si="13"/>
        <v/>
      </c>
    </row>
    <row r="107" spans="1:15">
      <c r="A107" s="659" t="s">
        <v>272</v>
      </c>
      <c r="B107" s="659" t="s">
        <v>273</v>
      </c>
      <c r="C107" s="659">
        <v>0</v>
      </c>
      <c r="D107" s="659">
        <v>525</v>
      </c>
      <c r="E107" s="659" t="s">
        <v>2171</v>
      </c>
      <c r="F107" s="659" t="s">
        <v>2290</v>
      </c>
      <c r="G107" s="659" t="s">
        <v>2309</v>
      </c>
      <c r="H107" s="659" t="s">
        <v>2394</v>
      </c>
      <c r="I107" s="659" t="s">
        <v>1636</v>
      </c>
      <c r="J107" s="659" t="s">
        <v>2159</v>
      </c>
      <c r="K107" s="662" t="str">
        <f t="shared" si="9"/>
        <v>DBaaS</v>
      </c>
      <c r="L107" s="660" t="str">
        <f t="shared" si="10"/>
        <v>UNIT</v>
      </c>
      <c r="M107" s="660" t="str">
        <f t="shared" si="11"/>
        <v>UC</v>
      </c>
      <c r="N107" s="660" t="str">
        <f t="shared" si="12"/>
        <v>PAAS</v>
      </c>
      <c r="O107" s="659" t="str">
        <f t="shared" si="13"/>
        <v/>
      </c>
    </row>
    <row r="108" spans="1:15">
      <c r="A108" s="659" t="s">
        <v>274</v>
      </c>
      <c r="B108" s="659" t="s">
        <v>275</v>
      </c>
      <c r="C108" s="659">
        <v>0</v>
      </c>
      <c r="D108" s="659">
        <v>2325</v>
      </c>
      <c r="E108" s="659" t="s">
        <v>2171</v>
      </c>
      <c r="F108" s="659" t="s">
        <v>2290</v>
      </c>
      <c r="G108" s="659" t="s">
        <v>2309</v>
      </c>
      <c r="H108" s="659" t="s">
        <v>2394</v>
      </c>
      <c r="I108" s="659" t="s">
        <v>1636</v>
      </c>
      <c r="J108" s="659" t="s">
        <v>2159</v>
      </c>
      <c r="K108" s="662" t="str">
        <f t="shared" si="9"/>
        <v>DBaaS</v>
      </c>
      <c r="L108" s="660" t="str">
        <f t="shared" si="10"/>
        <v>UNIT</v>
      </c>
      <c r="M108" s="660" t="str">
        <f t="shared" si="11"/>
        <v>UC</v>
      </c>
      <c r="N108" s="660" t="str">
        <f t="shared" si="12"/>
        <v>PAAS</v>
      </c>
      <c r="O108" s="659" t="str">
        <f t="shared" si="13"/>
        <v/>
      </c>
    </row>
    <row r="109" spans="1:15">
      <c r="A109" s="659" t="s">
        <v>276</v>
      </c>
      <c r="B109" s="659" t="s">
        <v>277</v>
      </c>
      <c r="C109" s="659">
        <v>0</v>
      </c>
      <c r="D109" s="659">
        <v>3075</v>
      </c>
      <c r="E109" s="659" t="s">
        <v>2171</v>
      </c>
      <c r="F109" s="659" t="s">
        <v>2290</v>
      </c>
      <c r="G109" s="659" t="s">
        <v>2309</v>
      </c>
      <c r="H109" s="659" t="s">
        <v>2394</v>
      </c>
      <c r="I109" s="659" t="s">
        <v>1636</v>
      </c>
      <c r="J109" s="659" t="s">
        <v>2159</v>
      </c>
      <c r="K109" s="662" t="str">
        <f t="shared" si="9"/>
        <v>DBaaS</v>
      </c>
      <c r="L109" s="660" t="str">
        <f t="shared" si="10"/>
        <v>UNIT</v>
      </c>
      <c r="M109" s="660" t="str">
        <f t="shared" si="11"/>
        <v>UC</v>
      </c>
      <c r="N109" s="660" t="str">
        <f t="shared" si="12"/>
        <v>PAAS</v>
      </c>
      <c r="O109" s="659" t="str">
        <f t="shared" si="13"/>
        <v/>
      </c>
    </row>
    <row r="110" spans="1:15">
      <c r="A110" s="659" t="s">
        <v>10</v>
      </c>
      <c r="B110" s="659" t="s">
        <v>9</v>
      </c>
      <c r="C110" s="659">
        <v>0</v>
      </c>
      <c r="D110" s="659">
        <v>3825</v>
      </c>
      <c r="E110" s="659" t="s">
        <v>2171</v>
      </c>
      <c r="F110" s="659" t="s">
        <v>2290</v>
      </c>
      <c r="G110" s="659" t="s">
        <v>2309</v>
      </c>
      <c r="H110" s="659" t="s">
        <v>2394</v>
      </c>
      <c r="I110" s="659" t="s">
        <v>1636</v>
      </c>
      <c r="J110" s="659" t="s">
        <v>2159</v>
      </c>
      <c r="K110" s="662" t="str">
        <f t="shared" si="9"/>
        <v>DBaaS</v>
      </c>
      <c r="L110" s="660" t="str">
        <f t="shared" si="10"/>
        <v>UNIT</v>
      </c>
      <c r="M110" s="660" t="str">
        <f t="shared" si="11"/>
        <v>UC</v>
      </c>
      <c r="N110" s="660" t="str">
        <f t="shared" si="12"/>
        <v>PAAS</v>
      </c>
      <c r="O110" s="659" t="str">
        <f t="shared" si="13"/>
        <v/>
      </c>
    </row>
    <row r="111" spans="1:15">
      <c r="A111" s="659" t="s">
        <v>278</v>
      </c>
      <c r="B111" s="659" t="s">
        <v>279</v>
      </c>
      <c r="C111" s="659">
        <v>0</v>
      </c>
      <c r="D111" s="659">
        <v>33</v>
      </c>
      <c r="E111" s="659" t="s">
        <v>2170</v>
      </c>
      <c r="F111" s="659" t="s">
        <v>2290</v>
      </c>
      <c r="G111" s="659" t="s">
        <v>2309</v>
      </c>
      <c r="H111" s="659" t="s">
        <v>2394</v>
      </c>
      <c r="I111" s="659" t="s">
        <v>1636</v>
      </c>
      <c r="J111" s="659" t="s">
        <v>2159</v>
      </c>
      <c r="K111" s="662" t="str">
        <f t="shared" si="9"/>
        <v>DBaaS</v>
      </c>
      <c r="L111" s="660" t="str">
        <f t="shared" si="10"/>
        <v>UNIT</v>
      </c>
      <c r="M111" s="660" t="str">
        <f t="shared" si="11"/>
        <v>UC</v>
      </c>
      <c r="N111" s="660" t="str">
        <f t="shared" si="12"/>
        <v>PAAS</v>
      </c>
      <c r="O111" s="659" t="str">
        <f t="shared" si="13"/>
        <v/>
      </c>
    </row>
    <row r="112" spans="1:15">
      <c r="A112" s="659" t="s">
        <v>280</v>
      </c>
      <c r="B112" s="659" t="s">
        <v>281</v>
      </c>
      <c r="C112" s="659">
        <v>0</v>
      </c>
      <c r="D112" s="659">
        <v>225</v>
      </c>
      <c r="E112" s="659" t="s">
        <v>2171</v>
      </c>
      <c r="F112" s="659" t="s">
        <v>2290</v>
      </c>
      <c r="G112" s="659" t="s">
        <v>2393</v>
      </c>
      <c r="H112" s="659" t="s">
        <v>2394</v>
      </c>
      <c r="I112" s="659" t="s">
        <v>1636</v>
      </c>
      <c r="J112" s="659" t="s">
        <v>2159</v>
      </c>
      <c r="K112" s="662" t="str">
        <f t="shared" si="9"/>
        <v>Deprecated</v>
      </c>
      <c r="L112" s="660" t="str">
        <f t="shared" si="10"/>
        <v>UNIT</v>
      </c>
      <c r="M112" s="660" t="str">
        <f t="shared" si="11"/>
        <v>UC</v>
      </c>
      <c r="N112" s="660" t="str">
        <f t="shared" si="12"/>
        <v>PAAS</v>
      </c>
      <c r="O112" s="659" t="str">
        <f t="shared" si="13"/>
        <v/>
      </c>
    </row>
    <row r="113" spans="1:15">
      <c r="A113" s="659" t="s">
        <v>282</v>
      </c>
      <c r="B113" s="659" t="s">
        <v>283</v>
      </c>
      <c r="C113" s="659">
        <v>0</v>
      </c>
      <c r="D113" s="659">
        <v>600</v>
      </c>
      <c r="E113" s="659" t="s">
        <v>2171</v>
      </c>
      <c r="F113" s="659" t="s">
        <v>2290</v>
      </c>
      <c r="G113" s="659" t="s">
        <v>2393</v>
      </c>
      <c r="H113" s="659" t="s">
        <v>2394</v>
      </c>
      <c r="I113" s="659" t="s">
        <v>1636</v>
      </c>
      <c r="J113" s="659" t="s">
        <v>2159</v>
      </c>
      <c r="K113" s="662" t="str">
        <f t="shared" si="9"/>
        <v>Deprecated</v>
      </c>
      <c r="L113" s="660" t="str">
        <f t="shared" si="10"/>
        <v>UNIT</v>
      </c>
      <c r="M113" s="660" t="str">
        <f t="shared" si="11"/>
        <v>UC</v>
      </c>
      <c r="N113" s="660" t="str">
        <f t="shared" si="12"/>
        <v>PAAS</v>
      </c>
      <c r="O113" s="659" t="str">
        <f t="shared" si="13"/>
        <v/>
      </c>
    </row>
    <row r="114" spans="1:15">
      <c r="A114" s="659" t="s">
        <v>284</v>
      </c>
      <c r="B114" s="659" t="s">
        <v>285</v>
      </c>
      <c r="C114" s="659">
        <v>0</v>
      </c>
      <c r="D114" s="659">
        <v>1050</v>
      </c>
      <c r="E114" s="659" t="s">
        <v>2171</v>
      </c>
      <c r="F114" s="659" t="s">
        <v>2290</v>
      </c>
      <c r="G114" s="659" t="s">
        <v>2393</v>
      </c>
      <c r="H114" s="659" t="s">
        <v>2394</v>
      </c>
      <c r="I114" s="659" t="s">
        <v>1636</v>
      </c>
      <c r="J114" s="659" t="s">
        <v>2159</v>
      </c>
      <c r="K114" s="662" t="str">
        <f t="shared" si="9"/>
        <v>Deprecated</v>
      </c>
      <c r="L114" s="660" t="str">
        <f t="shared" si="10"/>
        <v>UNIT</v>
      </c>
      <c r="M114" s="660" t="str">
        <f t="shared" si="11"/>
        <v>UC</v>
      </c>
      <c r="N114" s="660" t="str">
        <f t="shared" si="12"/>
        <v>PAAS</v>
      </c>
      <c r="O114" s="659" t="str">
        <f t="shared" si="13"/>
        <v/>
      </c>
    </row>
    <row r="115" spans="1:15">
      <c r="A115" s="659" t="s">
        <v>286</v>
      </c>
      <c r="B115" s="659" t="s">
        <v>287</v>
      </c>
      <c r="C115" s="659">
        <v>0</v>
      </c>
      <c r="D115" s="659">
        <v>1400</v>
      </c>
      <c r="E115" s="659" t="s">
        <v>2171</v>
      </c>
      <c r="F115" s="659" t="s">
        <v>2290</v>
      </c>
      <c r="G115" s="659" t="s">
        <v>2393</v>
      </c>
      <c r="H115" s="659" t="s">
        <v>2394</v>
      </c>
      <c r="I115" s="659" t="s">
        <v>1636</v>
      </c>
      <c r="J115" s="659" t="s">
        <v>2159</v>
      </c>
      <c r="K115" s="662" t="str">
        <f t="shared" si="9"/>
        <v>Deprecated</v>
      </c>
      <c r="L115" s="660" t="str">
        <f t="shared" si="10"/>
        <v>UNIT</v>
      </c>
      <c r="M115" s="660" t="str">
        <f t="shared" si="11"/>
        <v>UC</v>
      </c>
      <c r="N115" s="660" t="str">
        <f t="shared" si="12"/>
        <v>PAAS</v>
      </c>
      <c r="O115" s="659" t="str">
        <f t="shared" si="13"/>
        <v/>
      </c>
    </row>
    <row r="116" spans="1:15">
      <c r="A116" s="659" t="s">
        <v>288</v>
      </c>
      <c r="B116" s="659" t="s">
        <v>289</v>
      </c>
      <c r="C116" s="659">
        <v>0</v>
      </c>
      <c r="D116" s="659">
        <v>300</v>
      </c>
      <c r="E116" s="659" t="s">
        <v>2171</v>
      </c>
      <c r="F116" s="659" t="s">
        <v>2290</v>
      </c>
      <c r="G116" s="659" t="s">
        <v>2393</v>
      </c>
      <c r="H116" s="659" t="s">
        <v>2394</v>
      </c>
      <c r="I116" s="659" t="s">
        <v>1636</v>
      </c>
      <c r="J116" s="659" t="s">
        <v>2159</v>
      </c>
      <c r="K116" s="662" t="str">
        <f t="shared" si="9"/>
        <v>Deprecated</v>
      </c>
      <c r="L116" s="660" t="str">
        <f t="shared" si="10"/>
        <v>UNIT</v>
      </c>
      <c r="M116" s="660" t="str">
        <f t="shared" si="11"/>
        <v>UC</v>
      </c>
      <c r="N116" s="660" t="str">
        <f t="shared" si="12"/>
        <v>PAAS</v>
      </c>
      <c r="O116" s="659" t="str">
        <f t="shared" si="13"/>
        <v/>
      </c>
    </row>
    <row r="117" spans="1:15">
      <c r="A117" s="659" t="s">
        <v>290</v>
      </c>
      <c r="B117" s="659" t="s">
        <v>291</v>
      </c>
      <c r="C117" s="659">
        <v>0</v>
      </c>
      <c r="D117" s="659">
        <v>675</v>
      </c>
      <c r="E117" s="659" t="s">
        <v>2171</v>
      </c>
      <c r="F117" s="659" t="s">
        <v>2290</v>
      </c>
      <c r="G117" s="659" t="s">
        <v>2393</v>
      </c>
      <c r="H117" s="659" t="s">
        <v>2394</v>
      </c>
      <c r="I117" s="659" t="s">
        <v>1636</v>
      </c>
      <c r="J117" s="659" t="s">
        <v>2159</v>
      </c>
      <c r="K117" s="662" t="str">
        <f t="shared" si="9"/>
        <v>Deprecated</v>
      </c>
      <c r="L117" s="660" t="str">
        <f t="shared" si="10"/>
        <v>UNIT</v>
      </c>
      <c r="M117" s="660" t="str">
        <f t="shared" si="11"/>
        <v>UC</v>
      </c>
      <c r="N117" s="660" t="str">
        <f t="shared" si="12"/>
        <v>PAAS</v>
      </c>
      <c r="O117" s="659" t="str">
        <f t="shared" si="13"/>
        <v/>
      </c>
    </row>
    <row r="118" spans="1:15">
      <c r="A118" s="659" t="s">
        <v>292</v>
      </c>
      <c r="B118" s="659" t="s">
        <v>293</v>
      </c>
      <c r="C118" s="659">
        <v>0</v>
      </c>
      <c r="D118" s="659">
        <v>1125</v>
      </c>
      <c r="E118" s="659" t="s">
        <v>2171</v>
      </c>
      <c r="F118" s="659" t="s">
        <v>2290</v>
      </c>
      <c r="G118" s="659" t="s">
        <v>2393</v>
      </c>
      <c r="H118" s="659" t="s">
        <v>2394</v>
      </c>
      <c r="I118" s="659" t="s">
        <v>1636</v>
      </c>
      <c r="J118" s="659" t="s">
        <v>2159</v>
      </c>
      <c r="K118" s="662" t="str">
        <f t="shared" si="9"/>
        <v>Deprecated</v>
      </c>
      <c r="L118" s="660" t="str">
        <f t="shared" si="10"/>
        <v>UNIT</v>
      </c>
      <c r="M118" s="660" t="str">
        <f t="shared" si="11"/>
        <v>UC</v>
      </c>
      <c r="N118" s="660" t="str">
        <f t="shared" si="12"/>
        <v>PAAS</v>
      </c>
      <c r="O118" s="659" t="str">
        <f t="shared" si="13"/>
        <v/>
      </c>
    </row>
    <row r="119" spans="1:15">
      <c r="A119" s="659" t="s">
        <v>294</v>
      </c>
      <c r="B119" s="659" t="s">
        <v>295</v>
      </c>
      <c r="C119" s="659">
        <v>0</v>
      </c>
      <c r="D119" s="659">
        <v>413</v>
      </c>
      <c r="E119" s="659" t="s">
        <v>2171</v>
      </c>
      <c r="F119" s="659" t="s">
        <v>2290</v>
      </c>
      <c r="G119" s="659" t="s">
        <v>2393</v>
      </c>
      <c r="H119" s="659" t="s">
        <v>2394</v>
      </c>
      <c r="I119" s="659" t="s">
        <v>1636</v>
      </c>
      <c r="J119" s="659" t="s">
        <v>2159</v>
      </c>
      <c r="K119" s="662" t="str">
        <f t="shared" si="9"/>
        <v>Deprecated</v>
      </c>
      <c r="L119" s="660" t="str">
        <f t="shared" si="10"/>
        <v>UNIT</v>
      </c>
      <c r="M119" s="660" t="str">
        <f t="shared" si="11"/>
        <v>UC</v>
      </c>
      <c r="N119" s="660" t="str">
        <f t="shared" si="12"/>
        <v>PAAS</v>
      </c>
      <c r="O119" s="659" t="str">
        <f t="shared" si="13"/>
        <v/>
      </c>
    </row>
    <row r="120" spans="1:15">
      <c r="A120" s="659" t="s">
        <v>296</v>
      </c>
      <c r="B120" s="659" t="s">
        <v>297</v>
      </c>
      <c r="C120" s="659">
        <v>0</v>
      </c>
      <c r="D120" s="659">
        <v>975</v>
      </c>
      <c r="E120" s="659" t="s">
        <v>2171</v>
      </c>
      <c r="F120" s="659" t="s">
        <v>2290</v>
      </c>
      <c r="G120" s="659" t="s">
        <v>2393</v>
      </c>
      <c r="H120" s="659" t="s">
        <v>2394</v>
      </c>
      <c r="I120" s="659" t="s">
        <v>1636</v>
      </c>
      <c r="J120" s="659" t="s">
        <v>2159</v>
      </c>
      <c r="K120" s="662" t="str">
        <f t="shared" si="9"/>
        <v>Deprecated</v>
      </c>
      <c r="L120" s="660" t="str">
        <f t="shared" si="10"/>
        <v>UNIT</v>
      </c>
      <c r="M120" s="660" t="str">
        <f t="shared" si="11"/>
        <v>UC</v>
      </c>
      <c r="N120" s="660" t="str">
        <f t="shared" si="12"/>
        <v>PAAS</v>
      </c>
      <c r="O120" s="659" t="str">
        <f t="shared" si="13"/>
        <v/>
      </c>
    </row>
    <row r="121" spans="1:15">
      <c r="A121" s="659" t="s">
        <v>298</v>
      </c>
      <c r="B121" s="659" t="s">
        <v>299</v>
      </c>
      <c r="C121" s="659">
        <v>0</v>
      </c>
      <c r="D121" s="659">
        <v>2175</v>
      </c>
      <c r="E121" s="659" t="s">
        <v>2171</v>
      </c>
      <c r="F121" s="659" t="s">
        <v>2290</v>
      </c>
      <c r="G121" s="659" t="s">
        <v>2393</v>
      </c>
      <c r="H121" s="659" t="s">
        <v>2394</v>
      </c>
      <c r="I121" s="659" t="s">
        <v>1636</v>
      </c>
      <c r="J121" s="659" t="s">
        <v>2159</v>
      </c>
      <c r="K121" s="662" t="str">
        <f t="shared" si="9"/>
        <v>Deprecated</v>
      </c>
      <c r="L121" s="660" t="str">
        <f t="shared" si="10"/>
        <v>UNIT</v>
      </c>
      <c r="M121" s="660" t="str">
        <f t="shared" si="11"/>
        <v>UC</v>
      </c>
      <c r="N121" s="660" t="str">
        <f t="shared" si="12"/>
        <v>PAAS</v>
      </c>
      <c r="O121" s="659" t="str">
        <f t="shared" si="13"/>
        <v/>
      </c>
    </row>
    <row r="122" spans="1:15">
      <c r="A122" s="659" t="s">
        <v>300</v>
      </c>
      <c r="B122" s="659">
        <v>0</v>
      </c>
      <c r="C122" s="659">
        <v>0</v>
      </c>
      <c r="D122" s="659">
        <v>0.1</v>
      </c>
      <c r="E122" s="659" t="s">
        <v>2172</v>
      </c>
      <c r="F122" s="659" t="s">
        <v>2290</v>
      </c>
      <c r="G122" s="659" t="s">
        <v>2393</v>
      </c>
      <c r="H122" s="659" t="s">
        <v>2161</v>
      </c>
      <c r="I122" s="659" t="s">
        <v>1636</v>
      </c>
      <c r="J122" s="659" t="s">
        <v>2159</v>
      </c>
      <c r="K122" s="662" t="str">
        <f t="shared" si="9"/>
        <v>Deprecated</v>
      </c>
      <c r="L122" s="660" t="str">
        <f t="shared" si="10"/>
        <v>HR</v>
      </c>
      <c r="M122" s="660" t="str">
        <f t="shared" si="11"/>
        <v>UC</v>
      </c>
      <c r="N122" s="660" t="str">
        <f t="shared" si="12"/>
        <v>PAAS</v>
      </c>
      <c r="O122" s="659" t="str">
        <f t="shared" si="13"/>
        <v/>
      </c>
    </row>
    <row r="123" spans="1:15">
      <c r="A123" s="659" t="s">
        <v>301</v>
      </c>
      <c r="B123" s="659" t="s">
        <v>302</v>
      </c>
      <c r="C123" s="659">
        <v>0</v>
      </c>
      <c r="D123" s="659">
        <v>60</v>
      </c>
      <c r="E123" s="659" t="s">
        <v>2173</v>
      </c>
      <c r="F123" s="659" t="s">
        <v>2290</v>
      </c>
      <c r="G123" s="659" t="s">
        <v>2393</v>
      </c>
      <c r="H123" s="659" t="s">
        <v>2162</v>
      </c>
      <c r="I123" s="659" t="s">
        <v>1636</v>
      </c>
      <c r="J123" s="659" t="s">
        <v>2159</v>
      </c>
      <c r="K123" s="662" t="str">
        <f t="shared" si="9"/>
        <v>Deprecated</v>
      </c>
      <c r="L123" s="660" t="str">
        <f t="shared" si="10"/>
        <v>GB</v>
      </c>
      <c r="M123" s="660" t="str">
        <f t="shared" si="11"/>
        <v>UC</v>
      </c>
      <c r="N123" s="660" t="str">
        <f t="shared" si="12"/>
        <v>PAAS</v>
      </c>
      <c r="O123" s="659" t="str">
        <f t="shared" si="13"/>
        <v/>
      </c>
    </row>
    <row r="124" spans="1:15">
      <c r="A124" s="659" t="s">
        <v>1639</v>
      </c>
      <c r="B124" s="659" t="s">
        <v>1640</v>
      </c>
      <c r="C124" s="659">
        <v>18400</v>
      </c>
      <c r="D124" s="659">
        <v>23920</v>
      </c>
      <c r="E124" s="659">
        <v>0</v>
      </c>
      <c r="F124" s="659" t="s">
        <v>2290</v>
      </c>
      <c r="G124" s="659" t="s">
        <v>2393</v>
      </c>
      <c r="H124" s="659" t="s">
        <v>2394</v>
      </c>
      <c r="I124" s="659" t="s">
        <v>1636</v>
      </c>
      <c r="J124" s="659" t="s">
        <v>2159</v>
      </c>
      <c r="K124" s="662" t="str">
        <f t="shared" si="9"/>
        <v>Deprecated</v>
      </c>
      <c r="L124" s="660" t="str">
        <f t="shared" si="10"/>
        <v>UNIT</v>
      </c>
      <c r="M124" s="660" t="str">
        <f t="shared" si="11"/>
        <v>UC</v>
      </c>
      <c r="N124" s="660" t="str">
        <f t="shared" si="12"/>
        <v>PAAS</v>
      </c>
      <c r="O124" s="659" t="str">
        <f t="shared" si="13"/>
        <v/>
      </c>
    </row>
    <row r="125" spans="1:15">
      <c r="A125" s="659" t="s">
        <v>303</v>
      </c>
      <c r="B125" s="659" t="s">
        <v>304</v>
      </c>
      <c r="C125" s="659">
        <v>0</v>
      </c>
      <c r="D125" s="659">
        <v>130</v>
      </c>
      <c r="E125" s="659" t="s">
        <v>2174</v>
      </c>
      <c r="F125" s="659" t="s">
        <v>2290</v>
      </c>
      <c r="G125" s="659" t="s">
        <v>2393</v>
      </c>
      <c r="H125" s="659" t="s">
        <v>2394</v>
      </c>
      <c r="I125" s="659" t="s">
        <v>1636</v>
      </c>
      <c r="J125" s="659" t="s">
        <v>2159</v>
      </c>
      <c r="K125" s="662" t="str">
        <f t="shared" si="9"/>
        <v>Deprecated</v>
      </c>
      <c r="L125" s="660" t="str">
        <f t="shared" si="10"/>
        <v>UNIT</v>
      </c>
      <c r="M125" s="660" t="str">
        <f t="shared" si="11"/>
        <v>UC</v>
      </c>
      <c r="N125" s="660" t="str">
        <f t="shared" si="12"/>
        <v>PAAS</v>
      </c>
      <c r="O125" s="659" t="str">
        <f t="shared" si="13"/>
        <v/>
      </c>
    </row>
    <row r="126" spans="1:15">
      <c r="A126" s="659" t="s">
        <v>305</v>
      </c>
      <c r="B126" s="659" t="s">
        <v>306</v>
      </c>
      <c r="C126" s="659">
        <v>0</v>
      </c>
      <c r="D126" s="659">
        <v>100</v>
      </c>
      <c r="E126" s="659" t="s">
        <v>2174</v>
      </c>
      <c r="F126" s="659" t="s">
        <v>2290</v>
      </c>
      <c r="G126" s="659" t="s">
        <v>2393</v>
      </c>
      <c r="H126" s="659" t="s">
        <v>2394</v>
      </c>
      <c r="I126" s="659" t="s">
        <v>1636</v>
      </c>
      <c r="J126" s="659" t="s">
        <v>2159</v>
      </c>
      <c r="K126" s="662" t="str">
        <f t="shared" si="9"/>
        <v>Deprecated</v>
      </c>
      <c r="L126" s="660" t="str">
        <f t="shared" si="10"/>
        <v>UNIT</v>
      </c>
      <c r="M126" s="660" t="str">
        <f t="shared" si="11"/>
        <v>UC</v>
      </c>
      <c r="N126" s="660" t="str">
        <f t="shared" si="12"/>
        <v>PAAS</v>
      </c>
      <c r="O126" s="659" t="str">
        <f t="shared" si="13"/>
        <v/>
      </c>
    </row>
    <row r="127" spans="1:15">
      <c r="A127" s="659" t="s">
        <v>307</v>
      </c>
      <c r="B127" s="659" t="s">
        <v>308</v>
      </c>
      <c r="C127" s="659">
        <v>0</v>
      </c>
      <c r="D127" s="659">
        <v>0.1</v>
      </c>
      <c r="E127" s="659" t="s">
        <v>2175</v>
      </c>
      <c r="F127" s="659" t="s">
        <v>2290</v>
      </c>
      <c r="G127" s="659" t="s">
        <v>1840</v>
      </c>
      <c r="H127" s="659" t="s">
        <v>2162</v>
      </c>
      <c r="I127" s="659" t="s">
        <v>1636</v>
      </c>
      <c r="J127" s="659" t="s">
        <v>2158</v>
      </c>
      <c r="K127" s="662" t="str">
        <f t="shared" si="9"/>
        <v>Storage</v>
      </c>
      <c r="L127" s="660" t="str">
        <f t="shared" si="10"/>
        <v>GB</v>
      </c>
      <c r="M127" s="660" t="str">
        <f t="shared" si="11"/>
        <v>UC</v>
      </c>
      <c r="N127" s="660" t="str">
        <f t="shared" si="12"/>
        <v>IAAS</v>
      </c>
      <c r="O127" s="659" t="str">
        <f t="shared" si="13"/>
        <v/>
      </c>
    </row>
    <row r="128" spans="1:15">
      <c r="A128" s="659" t="s">
        <v>31</v>
      </c>
      <c r="B128" s="659" t="s">
        <v>309</v>
      </c>
      <c r="C128" s="659">
        <v>0</v>
      </c>
      <c r="D128" s="659">
        <v>200</v>
      </c>
      <c r="E128" s="659" t="s">
        <v>2176</v>
      </c>
      <c r="F128" s="659" t="s">
        <v>2290</v>
      </c>
      <c r="G128" s="659" t="s">
        <v>2393</v>
      </c>
      <c r="H128" s="659" t="s">
        <v>2394</v>
      </c>
      <c r="I128" s="659" t="s">
        <v>1636</v>
      </c>
      <c r="J128" s="659" t="s">
        <v>2159</v>
      </c>
      <c r="K128" s="662" t="str">
        <f t="shared" si="9"/>
        <v>Deprecated</v>
      </c>
      <c r="L128" s="660" t="str">
        <f t="shared" si="10"/>
        <v>UNIT</v>
      </c>
      <c r="M128" s="660" t="str">
        <f t="shared" si="11"/>
        <v>UC</v>
      </c>
      <c r="N128" s="660" t="str">
        <f t="shared" si="12"/>
        <v>PAAS</v>
      </c>
      <c r="O128" s="659" t="str">
        <f t="shared" si="13"/>
        <v/>
      </c>
    </row>
    <row r="129" spans="1:15">
      <c r="A129" s="659" t="s">
        <v>30</v>
      </c>
      <c r="B129" s="659" t="s">
        <v>310</v>
      </c>
      <c r="C129" s="659">
        <v>0</v>
      </c>
      <c r="D129" s="659">
        <v>1300</v>
      </c>
      <c r="E129" s="659" t="s">
        <v>2177</v>
      </c>
      <c r="F129" s="659" t="s">
        <v>2290</v>
      </c>
      <c r="G129" s="659" t="s">
        <v>2391</v>
      </c>
      <c r="H129" s="659" t="s">
        <v>2394</v>
      </c>
      <c r="I129" s="659" t="s">
        <v>1636</v>
      </c>
      <c r="J129" s="659" t="s">
        <v>2159</v>
      </c>
      <c r="K129" s="662" t="str">
        <f t="shared" si="9"/>
        <v>Integration</v>
      </c>
      <c r="L129" s="660" t="str">
        <f t="shared" si="10"/>
        <v>UNIT</v>
      </c>
      <c r="M129" s="660" t="str">
        <f t="shared" si="11"/>
        <v>UC</v>
      </c>
      <c r="N129" s="660" t="str">
        <f t="shared" si="12"/>
        <v>PAAS</v>
      </c>
      <c r="O129" s="659" t="str">
        <f t="shared" si="13"/>
        <v/>
      </c>
    </row>
    <row r="130" spans="1:15">
      <c r="A130" s="659" t="s">
        <v>311</v>
      </c>
      <c r="B130" s="659" t="s">
        <v>312</v>
      </c>
      <c r="C130" s="659">
        <v>0</v>
      </c>
      <c r="D130" s="659">
        <v>80000</v>
      </c>
      <c r="E130" s="659" t="s">
        <v>2178</v>
      </c>
      <c r="F130" s="659" t="s">
        <v>2290</v>
      </c>
      <c r="G130" s="659" t="s">
        <v>1838</v>
      </c>
      <c r="H130" s="659" t="s">
        <v>2394</v>
      </c>
      <c r="I130" s="659" t="s">
        <v>1636</v>
      </c>
      <c r="J130" s="659" t="s">
        <v>2159</v>
      </c>
      <c r="K130" s="662" t="str">
        <f t="shared" si="9"/>
        <v>ExaCS</v>
      </c>
      <c r="L130" s="660" t="str">
        <f t="shared" si="10"/>
        <v>UNIT</v>
      </c>
      <c r="M130" s="660" t="str">
        <f t="shared" si="11"/>
        <v>UC</v>
      </c>
      <c r="N130" s="660" t="str">
        <f t="shared" si="12"/>
        <v>PAAS</v>
      </c>
      <c r="O130" s="659" t="str">
        <f t="shared" si="13"/>
        <v/>
      </c>
    </row>
    <row r="131" spans="1:15">
      <c r="A131" s="659" t="s">
        <v>313</v>
      </c>
      <c r="B131" s="659" t="s">
        <v>314</v>
      </c>
      <c r="C131" s="659">
        <v>0</v>
      </c>
      <c r="D131" s="659">
        <v>280000</v>
      </c>
      <c r="E131" s="659" t="s">
        <v>2178</v>
      </c>
      <c r="F131" s="659" t="s">
        <v>2290</v>
      </c>
      <c r="G131" s="659" t="s">
        <v>1838</v>
      </c>
      <c r="H131" s="659" t="s">
        <v>2394</v>
      </c>
      <c r="I131" s="659" t="s">
        <v>1636</v>
      </c>
      <c r="J131" s="659" t="s">
        <v>2159</v>
      </c>
      <c r="K131" s="662" t="str">
        <f t="shared" si="9"/>
        <v>ExaCS</v>
      </c>
      <c r="L131" s="660" t="str">
        <f t="shared" si="10"/>
        <v>UNIT</v>
      </c>
      <c r="M131" s="660" t="str">
        <f t="shared" si="11"/>
        <v>UC</v>
      </c>
      <c r="N131" s="660" t="str">
        <f t="shared" si="12"/>
        <v>PAAS</v>
      </c>
      <c r="O131" s="659" t="str">
        <f t="shared" si="13"/>
        <v/>
      </c>
    </row>
    <row r="132" spans="1:15">
      <c r="A132" s="659" t="s">
        <v>315</v>
      </c>
      <c r="B132" s="659" t="s">
        <v>316</v>
      </c>
      <c r="C132" s="659">
        <v>0</v>
      </c>
      <c r="D132" s="659">
        <v>560000</v>
      </c>
      <c r="E132" s="659" t="s">
        <v>2178</v>
      </c>
      <c r="F132" s="659" t="s">
        <v>2290</v>
      </c>
      <c r="G132" s="659" t="s">
        <v>1838</v>
      </c>
      <c r="H132" s="659" t="s">
        <v>2394</v>
      </c>
      <c r="I132" s="659" t="s">
        <v>1636</v>
      </c>
      <c r="J132" s="659" t="s">
        <v>2159</v>
      </c>
      <c r="K132" s="662" t="str">
        <f t="shared" ref="K132:K195" si="14">_xlfn.IFS(
ISNUMBER(SEARCH("Day",E132)),"Consulting",
ISNUMBER(SEARCH("Starter Pack",B132)),"Consulting",
ISNUMBER(SEARCH("Design",B132)),"Consulting",
ISNUMBER(SEARCH("Deploy",B132)),"Consulting",
ISNUMBER(SEARCH("Expert",B132)),"Consulting",
ISNUMBER(SEARCH("Installation",B132)),"Consulting",
ISNUMBER(SEARCH("Recommendation",B132)),"Consulting",
ISNUMBER(SEARCH("Transition",B132)),"Consulting",
ISNUMBER(SEARCH("Transition",B132)),"Support",
ISNUMBER(SEARCH("Transition",B132)),"Foundation Service",
ISNUMBER(SEARCH("Consulting",B132)),"Consulting",
ISNUMBER(SEARCH("in Advance",B132)),"New",
ISNUMBER(SEARCH("Universal Credits",B132)),"UC",
ISNUMBER(SEARCH("Ravello",B132)),"Deprecated",
ISNUMBER(SEARCH("Cloud Machine",B132)),"Deprecated",
ISNUMBER(SEARCH("Compute",B132)),"Compute",
ISNUMBER(SEARCH("Load Balancer",B132)),"Network",
ISNUMBER(SEARCH("FastConnect",B132)),"Network",
ISNUMBER(SEARCH("Database OCPU",B132)),"CC OCPU",
ISNUMBER(SEARCH("at Customer",B132)),"CC",
ISNUMBER(SEARCH("Cloud@Customer",B132)),"CC",
ISNUMBER(SEARCH("Exadata Storage",B132)),"Exa Storage",
ISNUMBER(SEARCH("Storage",B132)),"Storage",
ISNUMBER(SEARCH("Block ",B132)),"Storage",
ISNUMBER(SEARCH("Autonomous Data Warehouse",B132)),"ADW",
ISNUMBER(SEARCH("Autonomous Transaction Processing",B132)),"ATP",
ISNUMBER(SEARCH("Database Exadata",B132)),"ExaCS",
ISNUMBER(SEARCH("Database",B132)),"DBaaS",
ISNUMBER(SEARCH("Essbase",B132)),"DBaaS",
ISNUMBER(SEARCH("integration",B132)),"Integration",
ISNUMBER(SEARCH("SOA",B132)),"Integration",
ISNUMBER(SEARCH("Management Cloud",B132)),"Management",
ISNUMBER(SEARCH("Analytics",B132)),"Analytics",
ISNUMBER(SEARCH("Storage",B132)),"Storage",
ISNUMBER(SEARCH("Block ",B132)),"Storage",
ISNUMBER(SEARCH("Identity",B132)),"Platform",
ISNUMBER(SEARCH("Content",B132)),"Platform",
ISNUMBER(SEARCH("Weblogic",B132)),"Platform",
ISNUMBER(SEARCH("Digital Assistant",B132)),"Platform",
ISNUMBER(SEARCH("Limited",B132)),"Classic",
ISNUMBER(SEARCH("Classic",B132)),"Classic",
ISNUMBER(SEARCH("Government",B132)),"Government",
ISNUMBER(SEARCH("Metered",B132)),"Deprecated",
VALUE(RIGHT(A132,5))&lt;88206,"Deprecated",
TRUE,"Platform")</f>
        <v>ExaCS</v>
      </c>
      <c r="L132" s="660" t="str">
        <f t="shared" si="10"/>
        <v>UNIT</v>
      </c>
      <c r="M132" s="660" t="str">
        <f t="shared" si="11"/>
        <v>UC</v>
      </c>
      <c r="N132" s="660" t="str">
        <f t="shared" si="12"/>
        <v>PAAS</v>
      </c>
      <c r="O132" s="659" t="str">
        <f t="shared" si="13"/>
        <v/>
      </c>
    </row>
    <row r="133" spans="1:15">
      <c r="A133" s="659" t="s">
        <v>317</v>
      </c>
      <c r="B133" s="659" t="s">
        <v>318</v>
      </c>
      <c r="C133" s="659">
        <v>0</v>
      </c>
      <c r="D133" s="659">
        <v>5000</v>
      </c>
      <c r="E133" s="659" t="s">
        <v>2168</v>
      </c>
      <c r="F133" s="659" t="s">
        <v>2290</v>
      </c>
      <c r="G133" s="659" t="s">
        <v>1838</v>
      </c>
      <c r="H133" s="659" t="s">
        <v>2394</v>
      </c>
      <c r="I133" s="659" t="s">
        <v>1636</v>
      </c>
      <c r="J133" s="659" t="s">
        <v>2159</v>
      </c>
      <c r="K133" s="662" t="str">
        <f t="shared" si="14"/>
        <v>ExaCS</v>
      </c>
      <c r="L133" s="660" t="str">
        <f t="shared" si="10"/>
        <v>UNIT</v>
      </c>
      <c r="M133" s="660" t="str">
        <f t="shared" si="11"/>
        <v>UC</v>
      </c>
      <c r="N133" s="660" t="str">
        <f t="shared" si="12"/>
        <v>PAAS</v>
      </c>
      <c r="O133" s="659" t="str">
        <f t="shared" si="13"/>
        <v/>
      </c>
    </row>
    <row r="134" spans="1:15">
      <c r="A134" s="659" t="s">
        <v>329</v>
      </c>
      <c r="B134" s="659" t="s">
        <v>330</v>
      </c>
      <c r="C134" s="659">
        <v>0</v>
      </c>
      <c r="D134" s="659">
        <v>5000</v>
      </c>
      <c r="E134" s="659" t="s">
        <v>2181</v>
      </c>
      <c r="F134" s="659" t="s">
        <v>2290</v>
      </c>
      <c r="G134" s="659" t="s">
        <v>2393</v>
      </c>
      <c r="H134" s="659" t="s">
        <v>2394</v>
      </c>
      <c r="I134" s="659" t="s">
        <v>1636</v>
      </c>
      <c r="J134" s="659" t="s">
        <v>2159</v>
      </c>
      <c r="K134" s="662" t="str">
        <f t="shared" si="14"/>
        <v>Deprecated</v>
      </c>
      <c r="L134" s="660" t="str">
        <f t="shared" si="10"/>
        <v>UNIT</v>
      </c>
      <c r="M134" s="660" t="str">
        <f t="shared" si="11"/>
        <v>UC</v>
      </c>
      <c r="N134" s="660" t="str">
        <f t="shared" si="12"/>
        <v>PAAS</v>
      </c>
      <c r="O134" s="659" t="str">
        <f t="shared" si="13"/>
        <v/>
      </c>
    </row>
    <row r="135" spans="1:15">
      <c r="A135" s="659" t="s">
        <v>331</v>
      </c>
      <c r="B135" s="659" t="s">
        <v>332</v>
      </c>
      <c r="C135" s="659">
        <v>0</v>
      </c>
      <c r="D135" s="659">
        <v>30</v>
      </c>
      <c r="E135" s="659" t="s">
        <v>2176</v>
      </c>
      <c r="F135" s="659" t="s">
        <v>2290</v>
      </c>
      <c r="G135" s="659" t="s">
        <v>2393</v>
      </c>
      <c r="H135" s="659" t="s">
        <v>2394</v>
      </c>
      <c r="I135" s="659" t="s">
        <v>1636</v>
      </c>
      <c r="J135" s="659" t="s">
        <v>2159</v>
      </c>
      <c r="K135" s="662" t="str">
        <f t="shared" si="14"/>
        <v>Deprecated</v>
      </c>
      <c r="L135" s="660" t="str">
        <f t="shared" si="10"/>
        <v>UNIT</v>
      </c>
      <c r="M135" s="660" t="str">
        <f t="shared" si="11"/>
        <v>UC</v>
      </c>
      <c r="N135" s="660" t="str">
        <f t="shared" si="12"/>
        <v>PAAS</v>
      </c>
      <c r="O135" s="659" t="str">
        <f t="shared" si="13"/>
        <v/>
      </c>
    </row>
    <row r="136" spans="1:15">
      <c r="A136" s="659" t="s">
        <v>333</v>
      </c>
      <c r="B136" s="659" t="s">
        <v>334</v>
      </c>
      <c r="C136" s="659">
        <v>0</v>
      </c>
      <c r="D136" s="659">
        <v>20</v>
      </c>
      <c r="E136" s="659" t="s">
        <v>2182</v>
      </c>
      <c r="F136" s="659" t="s">
        <v>2290</v>
      </c>
      <c r="G136" s="659" t="s">
        <v>1840</v>
      </c>
      <c r="H136" s="659" t="s">
        <v>2394</v>
      </c>
      <c r="I136" s="659" t="s">
        <v>1636</v>
      </c>
      <c r="J136" s="659" t="s">
        <v>2158</v>
      </c>
      <c r="K136" s="662" t="str">
        <f t="shared" si="14"/>
        <v>Storage</v>
      </c>
      <c r="L136" s="660" t="str">
        <f t="shared" si="10"/>
        <v>UNIT</v>
      </c>
      <c r="M136" s="660" t="str">
        <f t="shared" si="11"/>
        <v>UC</v>
      </c>
      <c r="N136" s="660" t="str">
        <f t="shared" si="12"/>
        <v>IAAS</v>
      </c>
      <c r="O136" s="659" t="str">
        <f t="shared" si="13"/>
        <v/>
      </c>
    </row>
    <row r="137" spans="1:15">
      <c r="A137" s="659" t="s">
        <v>335</v>
      </c>
      <c r="B137" s="659" t="s">
        <v>336</v>
      </c>
      <c r="C137" s="659">
        <v>0</v>
      </c>
      <c r="D137" s="659">
        <v>0.5</v>
      </c>
      <c r="E137" s="659" t="s">
        <v>2183</v>
      </c>
      <c r="F137" s="659" t="s">
        <v>2290</v>
      </c>
      <c r="G137" s="659" t="s">
        <v>2393</v>
      </c>
      <c r="H137" s="659" t="s">
        <v>2394</v>
      </c>
      <c r="I137" s="659" t="s">
        <v>1636</v>
      </c>
      <c r="J137" s="659" t="s">
        <v>2159</v>
      </c>
      <c r="K137" s="662" t="str">
        <f t="shared" si="14"/>
        <v>Deprecated</v>
      </c>
      <c r="L137" s="660" t="str">
        <f t="shared" si="10"/>
        <v>UNIT</v>
      </c>
      <c r="M137" s="660" t="str">
        <f t="shared" si="11"/>
        <v>UC</v>
      </c>
      <c r="N137" s="660" t="str">
        <f t="shared" si="12"/>
        <v>PAAS</v>
      </c>
      <c r="O137" s="659" t="str">
        <f t="shared" si="13"/>
        <v/>
      </c>
    </row>
    <row r="138" spans="1:15">
      <c r="A138" s="659" t="s">
        <v>337</v>
      </c>
      <c r="B138" s="659" t="s">
        <v>338</v>
      </c>
      <c r="C138" s="659">
        <v>0</v>
      </c>
      <c r="D138" s="659">
        <v>2250</v>
      </c>
      <c r="E138" s="659" t="s">
        <v>2171</v>
      </c>
      <c r="F138" s="659" t="s">
        <v>2290</v>
      </c>
      <c r="G138" s="659" t="s">
        <v>2393</v>
      </c>
      <c r="H138" s="659" t="s">
        <v>2394</v>
      </c>
      <c r="I138" s="659" t="s">
        <v>1636</v>
      </c>
      <c r="J138" s="659" t="s">
        <v>2159</v>
      </c>
      <c r="K138" s="662" t="str">
        <f t="shared" si="14"/>
        <v>Deprecated</v>
      </c>
      <c r="L138" s="660" t="str">
        <f t="shared" si="10"/>
        <v>UNIT</v>
      </c>
      <c r="M138" s="660" t="str">
        <f t="shared" si="11"/>
        <v>UC</v>
      </c>
      <c r="N138" s="660" t="str">
        <f t="shared" si="12"/>
        <v>PAAS</v>
      </c>
      <c r="O138" s="659" t="str">
        <f t="shared" si="13"/>
        <v/>
      </c>
    </row>
    <row r="139" spans="1:15">
      <c r="A139" s="659" t="s">
        <v>339</v>
      </c>
      <c r="B139" s="659" t="s">
        <v>340</v>
      </c>
      <c r="C139" s="659">
        <v>0</v>
      </c>
      <c r="D139" s="659">
        <v>2750</v>
      </c>
      <c r="E139" s="659" t="s">
        <v>2171</v>
      </c>
      <c r="F139" s="659" t="s">
        <v>2290</v>
      </c>
      <c r="G139" s="659" t="s">
        <v>2391</v>
      </c>
      <c r="H139" s="659" t="s">
        <v>2394</v>
      </c>
      <c r="I139" s="659" t="s">
        <v>1636</v>
      </c>
      <c r="J139" s="659" t="s">
        <v>2159</v>
      </c>
      <c r="K139" s="662" t="str">
        <f t="shared" si="14"/>
        <v>Integration</v>
      </c>
      <c r="L139" s="660" t="str">
        <f t="shared" ref="L139:L202" si="15">_xlfn.IFS(ISNUMBER(SEARCH("Hour",E139)),"HR",ISNUMBER(SEARCH("Gigabyte",E139)),"GB",ISNUMBER(SEARCH("Terabyte",E139)),"TB",ISNUMBER(SEARCH("Requests",E139)),"REQ",ISNUMBER(SEARCH("Each",E139)),"EA",ISNUMBER(SEARCH("Day",E139)),"DAY","TRUE","UNIT")</f>
        <v>UNIT</v>
      </c>
      <c r="M139" s="660" t="str">
        <f t="shared" ref="M139:M202" si="16">_xlfn.IFS(K139="CC","CC",K139="Consulting","SRV",F139="Y","UC0",TRUE,"UC")</f>
        <v>UC</v>
      </c>
      <c r="N139" s="660" t="str">
        <f t="shared" ref="N139:N202" si="17">_xlfn.IFS(ISNUMBER(SEARCH("BYOL",B139)),"BYOL",K139="Storage","IAAS",K139="Compute","IAAS",K139="Network","IAAS",K139="Service","IAAS",M139="SRV","SRV",M139="CC","CC",L139="REQ","IAAS",TRUE,"PAAS")</f>
        <v>PAAS</v>
      </c>
      <c r="O139" s="659" t="str">
        <f t="shared" ref="O139:O202" si="18">IF(G139=K139,"","error")</f>
        <v/>
      </c>
    </row>
    <row r="140" spans="1:15">
      <c r="A140" s="659" t="s">
        <v>341</v>
      </c>
      <c r="B140" s="659" t="s">
        <v>342</v>
      </c>
      <c r="C140" s="659">
        <v>0</v>
      </c>
      <c r="D140" s="659">
        <v>1</v>
      </c>
      <c r="E140" s="659">
        <v>0</v>
      </c>
      <c r="F140" s="659" t="s">
        <v>2290</v>
      </c>
      <c r="G140" s="659" t="s">
        <v>2393</v>
      </c>
      <c r="H140" s="659" t="s">
        <v>2394</v>
      </c>
      <c r="I140" s="659" t="s">
        <v>1636</v>
      </c>
      <c r="J140" s="659" t="s">
        <v>2159</v>
      </c>
      <c r="K140" s="662" t="str">
        <f t="shared" si="14"/>
        <v>Deprecated</v>
      </c>
      <c r="L140" s="660" t="str">
        <f t="shared" si="15"/>
        <v>UNIT</v>
      </c>
      <c r="M140" s="660" t="str">
        <f t="shared" si="16"/>
        <v>UC</v>
      </c>
      <c r="N140" s="660" t="str">
        <f t="shared" si="17"/>
        <v>PAAS</v>
      </c>
      <c r="O140" s="659" t="str">
        <f t="shared" si="18"/>
        <v/>
      </c>
    </row>
    <row r="141" spans="1:15">
      <c r="A141" s="659" t="s">
        <v>343</v>
      </c>
      <c r="B141" s="659" t="s">
        <v>344</v>
      </c>
      <c r="C141" s="659">
        <v>0</v>
      </c>
      <c r="D141" s="659">
        <v>1200</v>
      </c>
      <c r="E141" s="659" t="s">
        <v>2176</v>
      </c>
      <c r="F141" s="659" t="s">
        <v>2290</v>
      </c>
      <c r="G141" s="659" t="s">
        <v>2393</v>
      </c>
      <c r="H141" s="659" t="s">
        <v>2394</v>
      </c>
      <c r="I141" s="659" t="s">
        <v>1636</v>
      </c>
      <c r="J141" s="659" t="s">
        <v>2159</v>
      </c>
      <c r="K141" s="662" t="str">
        <f t="shared" si="14"/>
        <v>Deprecated</v>
      </c>
      <c r="L141" s="660" t="str">
        <f t="shared" si="15"/>
        <v>UNIT</v>
      </c>
      <c r="M141" s="660" t="str">
        <f t="shared" si="16"/>
        <v>UC</v>
      </c>
      <c r="N141" s="660" t="str">
        <f t="shared" si="17"/>
        <v>PAAS</v>
      </c>
      <c r="O141" s="659" t="str">
        <f t="shared" si="18"/>
        <v/>
      </c>
    </row>
    <row r="142" spans="1:15">
      <c r="A142" s="659" t="s">
        <v>32</v>
      </c>
      <c r="B142" s="659" t="s">
        <v>345</v>
      </c>
      <c r="C142" s="659">
        <v>0</v>
      </c>
      <c r="D142" s="659">
        <v>60</v>
      </c>
      <c r="E142" s="659" t="s">
        <v>2176</v>
      </c>
      <c r="F142" s="659" t="s">
        <v>2290</v>
      </c>
      <c r="G142" s="659" t="s">
        <v>2393</v>
      </c>
      <c r="H142" s="659" t="s">
        <v>2394</v>
      </c>
      <c r="I142" s="659" t="s">
        <v>1636</v>
      </c>
      <c r="J142" s="659" t="s">
        <v>2159</v>
      </c>
      <c r="K142" s="662" t="str">
        <f t="shared" si="14"/>
        <v>Deprecated</v>
      </c>
      <c r="L142" s="660" t="str">
        <f t="shared" si="15"/>
        <v>UNIT</v>
      </c>
      <c r="M142" s="660" t="str">
        <f t="shared" si="16"/>
        <v>UC</v>
      </c>
      <c r="N142" s="660" t="str">
        <f t="shared" si="17"/>
        <v>PAAS</v>
      </c>
      <c r="O142" s="659" t="str">
        <f t="shared" si="18"/>
        <v/>
      </c>
    </row>
    <row r="143" spans="1:15">
      <c r="A143" s="659" t="s">
        <v>33</v>
      </c>
      <c r="B143" s="659" t="s">
        <v>346</v>
      </c>
      <c r="C143" s="659">
        <v>0</v>
      </c>
      <c r="D143" s="659">
        <v>6</v>
      </c>
      <c r="E143" s="659" t="s">
        <v>2176</v>
      </c>
      <c r="F143" s="659" t="s">
        <v>2290</v>
      </c>
      <c r="G143" s="659" t="s">
        <v>2393</v>
      </c>
      <c r="H143" s="659" t="s">
        <v>2394</v>
      </c>
      <c r="I143" s="659" t="s">
        <v>1636</v>
      </c>
      <c r="J143" s="659" t="s">
        <v>2159</v>
      </c>
      <c r="K143" s="662" t="str">
        <f t="shared" si="14"/>
        <v>Deprecated</v>
      </c>
      <c r="L143" s="660" t="str">
        <f t="shared" si="15"/>
        <v>UNIT</v>
      </c>
      <c r="M143" s="660" t="str">
        <f t="shared" si="16"/>
        <v>UC</v>
      </c>
      <c r="N143" s="660" t="str">
        <f t="shared" si="17"/>
        <v>PAAS</v>
      </c>
      <c r="O143" s="659" t="str">
        <f t="shared" si="18"/>
        <v/>
      </c>
    </row>
    <row r="144" spans="1:15">
      <c r="A144" s="659" t="s">
        <v>1641</v>
      </c>
      <c r="B144" s="659" t="s">
        <v>1642</v>
      </c>
      <c r="C144" s="659">
        <v>7135</v>
      </c>
      <c r="D144" s="659">
        <v>9275.5</v>
      </c>
      <c r="E144" s="659">
        <v>0</v>
      </c>
      <c r="F144" s="659" t="s">
        <v>2290</v>
      </c>
      <c r="G144" s="659" t="s">
        <v>2558</v>
      </c>
      <c r="H144" s="659" t="s">
        <v>2394</v>
      </c>
      <c r="I144" s="659" t="s">
        <v>1637</v>
      </c>
      <c r="J144" s="659" t="s">
        <v>1637</v>
      </c>
      <c r="K144" s="662" t="str">
        <f t="shared" si="14"/>
        <v>Consulting</v>
      </c>
      <c r="L144" s="660" t="str">
        <f t="shared" si="15"/>
        <v>UNIT</v>
      </c>
      <c r="M144" s="660" t="str">
        <f t="shared" si="16"/>
        <v>SRV</v>
      </c>
      <c r="N144" s="660" t="str">
        <f t="shared" si="17"/>
        <v>SRV</v>
      </c>
      <c r="O144" s="659" t="str">
        <f t="shared" si="18"/>
        <v/>
      </c>
    </row>
    <row r="145" spans="1:15">
      <c r="A145" s="659" t="s">
        <v>2</v>
      </c>
      <c r="B145" s="659" t="s">
        <v>562</v>
      </c>
      <c r="C145" s="659">
        <v>0</v>
      </c>
      <c r="D145" s="659">
        <v>75</v>
      </c>
      <c r="E145" s="659" t="s">
        <v>2168</v>
      </c>
      <c r="F145" s="659" t="s">
        <v>2290</v>
      </c>
      <c r="G145" s="659" t="s">
        <v>1835</v>
      </c>
      <c r="H145" s="659" t="s">
        <v>2394</v>
      </c>
      <c r="I145" s="659" t="s">
        <v>1636</v>
      </c>
      <c r="J145" s="659" t="s">
        <v>2158</v>
      </c>
      <c r="K145" s="662" t="str">
        <f t="shared" si="14"/>
        <v>Compute</v>
      </c>
      <c r="L145" s="660" t="str">
        <f t="shared" si="15"/>
        <v>UNIT</v>
      </c>
      <c r="M145" s="660" t="str">
        <f t="shared" si="16"/>
        <v>UC</v>
      </c>
      <c r="N145" s="660" t="str">
        <f t="shared" si="17"/>
        <v>IAAS</v>
      </c>
      <c r="O145" s="659" t="str">
        <f t="shared" si="18"/>
        <v/>
      </c>
    </row>
    <row r="146" spans="1:15">
      <c r="A146" s="659" t="s">
        <v>347</v>
      </c>
      <c r="B146" s="659" t="s">
        <v>513</v>
      </c>
      <c r="C146" s="659">
        <v>0</v>
      </c>
      <c r="D146" s="659">
        <v>0.1</v>
      </c>
      <c r="E146" s="659" t="s">
        <v>49</v>
      </c>
      <c r="F146" s="659" t="s">
        <v>2290</v>
      </c>
      <c r="G146" s="659" t="s">
        <v>1835</v>
      </c>
      <c r="H146" s="659" t="s">
        <v>2161</v>
      </c>
      <c r="I146" s="659" t="s">
        <v>1636</v>
      </c>
      <c r="J146" s="659" t="s">
        <v>2158</v>
      </c>
      <c r="K146" s="662" t="str">
        <f t="shared" si="14"/>
        <v>Compute</v>
      </c>
      <c r="L146" s="660" t="str">
        <f t="shared" si="15"/>
        <v>HR</v>
      </c>
      <c r="M146" s="660" t="str">
        <f t="shared" si="16"/>
        <v>UC</v>
      </c>
      <c r="N146" s="660" t="str">
        <f t="shared" si="17"/>
        <v>IAAS</v>
      </c>
      <c r="O146" s="659" t="str">
        <f t="shared" si="18"/>
        <v/>
      </c>
    </row>
    <row r="147" spans="1:15">
      <c r="A147" s="659" t="s">
        <v>8</v>
      </c>
      <c r="B147" s="659" t="s">
        <v>7</v>
      </c>
      <c r="C147" s="659">
        <v>0</v>
      </c>
      <c r="D147" s="659">
        <v>500</v>
      </c>
      <c r="E147" s="659" t="s">
        <v>2184</v>
      </c>
      <c r="F147" s="659" t="s">
        <v>2290</v>
      </c>
      <c r="G147" s="659" t="s">
        <v>2393</v>
      </c>
      <c r="H147" s="659" t="s">
        <v>2394</v>
      </c>
      <c r="I147" s="659" t="s">
        <v>1636</v>
      </c>
      <c r="J147" s="659" t="s">
        <v>2159</v>
      </c>
      <c r="K147" s="662" t="str">
        <f t="shared" si="14"/>
        <v>Deprecated</v>
      </c>
      <c r="L147" s="660" t="str">
        <f t="shared" si="15"/>
        <v>UNIT</v>
      </c>
      <c r="M147" s="660" t="str">
        <f t="shared" si="16"/>
        <v>UC</v>
      </c>
      <c r="N147" s="660" t="str">
        <f t="shared" si="17"/>
        <v>PAAS</v>
      </c>
      <c r="O147" s="659" t="str">
        <f t="shared" si="18"/>
        <v/>
      </c>
    </row>
    <row r="148" spans="1:15">
      <c r="A148" s="659" t="s">
        <v>1401</v>
      </c>
      <c r="B148" s="659" t="s">
        <v>2515</v>
      </c>
      <c r="C148" s="659">
        <v>0</v>
      </c>
      <c r="D148" s="659">
        <v>1250</v>
      </c>
      <c r="E148" s="659" t="s">
        <v>1154</v>
      </c>
      <c r="F148" s="659" t="s">
        <v>2290</v>
      </c>
      <c r="G148" s="659" t="s">
        <v>2393</v>
      </c>
      <c r="H148" s="659" t="s">
        <v>2397</v>
      </c>
      <c r="I148" s="659" t="s">
        <v>1636</v>
      </c>
      <c r="J148" s="659" t="s">
        <v>2159</v>
      </c>
      <c r="K148" s="662" t="str">
        <f t="shared" si="14"/>
        <v>Deprecated</v>
      </c>
      <c r="L148" s="660" t="str">
        <f t="shared" si="15"/>
        <v>EA</v>
      </c>
      <c r="M148" s="660" t="str">
        <f t="shared" si="16"/>
        <v>UC</v>
      </c>
      <c r="N148" s="660" t="str">
        <f t="shared" si="17"/>
        <v>PAAS</v>
      </c>
      <c r="O148" s="659" t="str">
        <f t="shared" si="18"/>
        <v/>
      </c>
    </row>
    <row r="149" spans="1:15">
      <c r="A149" s="659" t="s">
        <v>1402</v>
      </c>
      <c r="B149" s="659" t="s">
        <v>2516</v>
      </c>
      <c r="C149" s="659">
        <v>0</v>
      </c>
      <c r="D149" s="659">
        <v>0</v>
      </c>
      <c r="E149" s="659">
        <v>0</v>
      </c>
      <c r="F149" s="659" t="s">
        <v>2290</v>
      </c>
      <c r="G149" s="659" t="s">
        <v>2393</v>
      </c>
      <c r="H149" s="659" t="s">
        <v>2394</v>
      </c>
      <c r="I149" s="659" t="s">
        <v>1636</v>
      </c>
      <c r="J149" s="659" t="s">
        <v>2159</v>
      </c>
      <c r="K149" s="662" t="str">
        <f t="shared" si="14"/>
        <v>Deprecated</v>
      </c>
      <c r="L149" s="660" t="str">
        <f t="shared" si="15"/>
        <v>UNIT</v>
      </c>
      <c r="M149" s="660" t="str">
        <f t="shared" si="16"/>
        <v>UC</v>
      </c>
      <c r="N149" s="660" t="str">
        <f t="shared" si="17"/>
        <v>PAAS</v>
      </c>
      <c r="O149" s="659" t="str">
        <f t="shared" si="18"/>
        <v/>
      </c>
    </row>
    <row r="150" spans="1:15">
      <c r="A150" s="659" t="s">
        <v>17</v>
      </c>
      <c r="B150" s="659" t="s">
        <v>514</v>
      </c>
      <c r="C150" s="659">
        <v>0</v>
      </c>
      <c r="D150" s="659">
        <v>7.4999999999999997E-2</v>
      </c>
      <c r="E150" s="659" t="s">
        <v>49</v>
      </c>
      <c r="F150" s="659" t="s">
        <v>2290</v>
      </c>
      <c r="G150" s="659" t="s">
        <v>1835</v>
      </c>
      <c r="H150" s="659" t="s">
        <v>2161</v>
      </c>
      <c r="I150" s="659" t="s">
        <v>1636</v>
      </c>
      <c r="J150" s="659" t="s">
        <v>2158</v>
      </c>
      <c r="K150" s="662" t="str">
        <f t="shared" si="14"/>
        <v>Compute</v>
      </c>
      <c r="L150" s="660" t="str">
        <f t="shared" si="15"/>
        <v>HR</v>
      </c>
      <c r="M150" s="660" t="str">
        <f t="shared" si="16"/>
        <v>UC</v>
      </c>
      <c r="N150" s="660" t="str">
        <f t="shared" si="17"/>
        <v>IAAS</v>
      </c>
      <c r="O150" s="659" t="str">
        <f t="shared" si="18"/>
        <v/>
      </c>
    </row>
    <row r="151" spans="1:15">
      <c r="A151" s="659" t="s">
        <v>18</v>
      </c>
      <c r="B151" s="659" t="s">
        <v>515</v>
      </c>
      <c r="C151" s="659">
        <v>0</v>
      </c>
      <c r="D151" s="659">
        <v>0.15</v>
      </c>
      <c r="E151" s="659" t="s">
        <v>49</v>
      </c>
      <c r="F151" s="659" t="s">
        <v>2290</v>
      </c>
      <c r="G151" s="659" t="s">
        <v>1835</v>
      </c>
      <c r="H151" s="659" t="s">
        <v>2161</v>
      </c>
      <c r="I151" s="659" t="s">
        <v>1636</v>
      </c>
      <c r="J151" s="659" t="s">
        <v>2158</v>
      </c>
      <c r="K151" s="662" t="str">
        <f t="shared" si="14"/>
        <v>Compute</v>
      </c>
      <c r="L151" s="660" t="str">
        <f t="shared" si="15"/>
        <v>HR</v>
      </c>
      <c r="M151" s="660" t="str">
        <f t="shared" si="16"/>
        <v>UC</v>
      </c>
      <c r="N151" s="660" t="str">
        <f t="shared" si="17"/>
        <v>IAAS</v>
      </c>
      <c r="O151" s="659" t="str">
        <f t="shared" si="18"/>
        <v/>
      </c>
    </row>
    <row r="152" spans="1:15" ht="16">
      <c r="A152" s="661" t="s">
        <v>26</v>
      </c>
      <c r="B152" s="659" t="s">
        <v>516</v>
      </c>
      <c r="C152" s="659">
        <v>0</v>
      </c>
      <c r="D152" s="659">
        <v>7.4999999999999997E-2</v>
      </c>
      <c r="E152" s="659" t="s">
        <v>49</v>
      </c>
      <c r="F152" s="659" t="s">
        <v>2290</v>
      </c>
      <c r="G152" s="659" t="s">
        <v>1835</v>
      </c>
      <c r="H152" s="659" t="s">
        <v>2161</v>
      </c>
      <c r="I152" s="659" t="s">
        <v>1636</v>
      </c>
      <c r="J152" s="659" t="s">
        <v>2158</v>
      </c>
      <c r="K152" s="662" t="str">
        <f t="shared" si="14"/>
        <v>Compute</v>
      </c>
      <c r="L152" s="660" t="str">
        <f t="shared" si="15"/>
        <v>HR</v>
      </c>
      <c r="M152" s="660" t="str">
        <f t="shared" si="16"/>
        <v>UC</v>
      </c>
      <c r="N152" s="660" t="str">
        <f t="shared" si="17"/>
        <v>IAAS</v>
      </c>
      <c r="O152" s="659" t="str">
        <f t="shared" si="18"/>
        <v/>
      </c>
    </row>
    <row r="153" spans="1:15">
      <c r="A153" s="659" t="s">
        <v>20</v>
      </c>
      <c r="B153" s="659" t="s">
        <v>517</v>
      </c>
      <c r="C153" s="659">
        <v>0</v>
      </c>
      <c r="D153" s="659">
        <v>0.03</v>
      </c>
      <c r="E153" s="659" t="s">
        <v>2175</v>
      </c>
      <c r="F153" s="659" t="s">
        <v>2290</v>
      </c>
      <c r="G153" s="659" t="s">
        <v>1840</v>
      </c>
      <c r="H153" s="659" t="s">
        <v>2162</v>
      </c>
      <c r="I153" s="659" t="s">
        <v>1636</v>
      </c>
      <c r="J153" s="659" t="s">
        <v>2158</v>
      </c>
      <c r="K153" s="662" t="str">
        <f t="shared" si="14"/>
        <v>Storage</v>
      </c>
      <c r="L153" s="660" t="str">
        <f t="shared" si="15"/>
        <v>GB</v>
      </c>
      <c r="M153" s="660" t="str">
        <f t="shared" si="16"/>
        <v>UC</v>
      </c>
      <c r="N153" s="660" t="str">
        <f t="shared" si="17"/>
        <v>IAAS</v>
      </c>
      <c r="O153" s="659" t="str">
        <f t="shared" si="18"/>
        <v/>
      </c>
    </row>
    <row r="154" spans="1:15">
      <c r="A154" s="659" t="s">
        <v>1403</v>
      </c>
      <c r="B154" s="659" t="s">
        <v>2517</v>
      </c>
      <c r="C154" s="659">
        <v>0</v>
      </c>
      <c r="D154" s="659">
        <v>1250</v>
      </c>
      <c r="E154" s="659" t="s">
        <v>1154</v>
      </c>
      <c r="F154" s="659" t="s">
        <v>2290</v>
      </c>
      <c r="G154" s="659" t="s">
        <v>2393</v>
      </c>
      <c r="H154" s="659" t="s">
        <v>2397</v>
      </c>
      <c r="I154" s="659" t="s">
        <v>1636</v>
      </c>
      <c r="J154" s="659" t="s">
        <v>2159</v>
      </c>
      <c r="K154" s="662" t="str">
        <f t="shared" si="14"/>
        <v>Deprecated</v>
      </c>
      <c r="L154" s="660" t="str">
        <f t="shared" si="15"/>
        <v>EA</v>
      </c>
      <c r="M154" s="660" t="str">
        <f t="shared" si="16"/>
        <v>UC</v>
      </c>
      <c r="N154" s="660" t="str">
        <f t="shared" si="17"/>
        <v>PAAS</v>
      </c>
      <c r="O154" s="659" t="str">
        <f t="shared" si="18"/>
        <v/>
      </c>
    </row>
    <row r="155" spans="1:15">
      <c r="A155" s="659" t="s">
        <v>1404</v>
      </c>
      <c r="B155" s="659" t="s">
        <v>2518</v>
      </c>
      <c r="C155" s="659">
        <v>0</v>
      </c>
      <c r="D155" s="659">
        <v>0</v>
      </c>
      <c r="E155" s="659">
        <v>0</v>
      </c>
      <c r="F155" s="659" t="s">
        <v>2290</v>
      </c>
      <c r="G155" s="659" t="s">
        <v>2393</v>
      </c>
      <c r="H155" s="659" t="s">
        <v>2394</v>
      </c>
      <c r="I155" s="659" t="s">
        <v>1636</v>
      </c>
      <c r="J155" s="659" t="s">
        <v>2159</v>
      </c>
      <c r="K155" s="662" t="str">
        <f t="shared" si="14"/>
        <v>Deprecated</v>
      </c>
      <c r="L155" s="660" t="str">
        <f t="shared" si="15"/>
        <v>UNIT</v>
      </c>
      <c r="M155" s="660" t="str">
        <f t="shared" si="16"/>
        <v>UC</v>
      </c>
      <c r="N155" s="660" t="str">
        <f t="shared" si="17"/>
        <v>PAAS</v>
      </c>
      <c r="O155" s="659" t="str">
        <f t="shared" si="18"/>
        <v/>
      </c>
    </row>
    <row r="156" spans="1:15">
      <c r="A156" s="659" t="s">
        <v>348</v>
      </c>
      <c r="B156" s="659" t="s">
        <v>349</v>
      </c>
      <c r="C156" s="659">
        <v>0</v>
      </c>
      <c r="D156" s="659">
        <v>0.23300000000000001</v>
      </c>
      <c r="E156" s="659" t="s">
        <v>49</v>
      </c>
      <c r="F156" s="659" t="s">
        <v>2290</v>
      </c>
      <c r="G156" s="659" t="s">
        <v>2393</v>
      </c>
      <c r="H156" s="659" t="s">
        <v>2161</v>
      </c>
      <c r="I156" s="659" t="s">
        <v>1636</v>
      </c>
      <c r="J156" s="659" t="s">
        <v>2159</v>
      </c>
      <c r="K156" s="662" t="str">
        <f t="shared" si="14"/>
        <v>Deprecated</v>
      </c>
      <c r="L156" s="660" t="str">
        <f t="shared" si="15"/>
        <v>HR</v>
      </c>
      <c r="M156" s="660" t="str">
        <f t="shared" si="16"/>
        <v>UC</v>
      </c>
      <c r="N156" s="660" t="str">
        <f t="shared" si="17"/>
        <v>PAAS</v>
      </c>
      <c r="O156" s="659" t="str">
        <f t="shared" si="18"/>
        <v/>
      </c>
    </row>
    <row r="157" spans="1:15">
      <c r="A157" s="659" t="s">
        <v>350</v>
      </c>
      <c r="B157" s="659" t="s">
        <v>351</v>
      </c>
      <c r="C157" s="659">
        <v>0</v>
      </c>
      <c r="D157" s="659">
        <v>45</v>
      </c>
      <c r="E157" s="659" t="s">
        <v>2185</v>
      </c>
      <c r="F157" s="659" t="s">
        <v>2290</v>
      </c>
      <c r="G157" s="659" t="s">
        <v>2393</v>
      </c>
      <c r="H157" s="659" t="s">
        <v>2162</v>
      </c>
      <c r="I157" s="659" t="s">
        <v>1636</v>
      </c>
      <c r="J157" s="659" t="s">
        <v>2159</v>
      </c>
      <c r="K157" s="662" t="str">
        <f t="shared" si="14"/>
        <v>Deprecated</v>
      </c>
      <c r="L157" s="660" t="str">
        <f t="shared" si="15"/>
        <v>GB</v>
      </c>
      <c r="M157" s="660" t="str">
        <f t="shared" si="16"/>
        <v>UC</v>
      </c>
      <c r="N157" s="660" t="str">
        <f t="shared" si="17"/>
        <v>PAAS</v>
      </c>
      <c r="O157" s="659" t="str">
        <f t="shared" si="18"/>
        <v/>
      </c>
    </row>
    <row r="158" spans="1:15">
      <c r="A158" s="659" t="s">
        <v>352</v>
      </c>
      <c r="B158" s="659" t="s">
        <v>318</v>
      </c>
      <c r="C158" s="659">
        <v>0</v>
      </c>
      <c r="D158" s="659">
        <v>8.4009999999999998</v>
      </c>
      <c r="E158" s="659" t="s">
        <v>49</v>
      </c>
      <c r="F158" s="659" t="s">
        <v>2290</v>
      </c>
      <c r="G158" s="659" t="s">
        <v>1838</v>
      </c>
      <c r="H158" s="659" t="s">
        <v>2161</v>
      </c>
      <c r="I158" s="659" t="s">
        <v>1636</v>
      </c>
      <c r="J158" s="659" t="s">
        <v>2159</v>
      </c>
      <c r="K158" s="662" t="str">
        <f t="shared" si="14"/>
        <v>ExaCS</v>
      </c>
      <c r="L158" s="660" t="str">
        <f t="shared" si="15"/>
        <v>HR</v>
      </c>
      <c r="M158" s="660" t="str">
        <f t="shared" si="16"/>
        <v>UC</v>
      </c>
      <c r="N158" s="660" t="str">
        <f t="shared" si="17"/>
        <v>PAAS</v>
      </c>
      <c r="O158" s="659" t="str">
        <f t="shared" si="18"/>
        <v/>
      </c>
    </row>
    <row r="159" spans="1:15">
      <c r="A159" s="659" t="s">
        <v>353</v>
      </c>
      <c r="B159" s="659" t="s">
        <v>354</v>
      </c>
      <c r="C159" s="659">
        <v>0</v>
      </c>
      <c r="D159" s="659">
        <v>0.4</v>
      </c>
      <c r="E159" s="659" t="s">
        <v>49</v>
      </c>
      <c r="F159" s="659" t="s">
        <v>2290</v>
      </c>
      <c r="G159" s="659" t="s">
        <v>2393</v>
      </c>
      <c r="H159" s="659" t="s">
        <v>2161</v>
      </c>
      <c r="I159" s="659" t="s">
        <v>1636</v>
      </c>
      <c r="J159" s="659" t="s">
        <v>2159</v>
      </c>
      <c r="K159" s="662" t="str">
        <f t="shared" si="14"/>
        <v>Deprecated</v>
      </c>
      <c r="L159" s="660" t="str">
        <f t="shared" si="15"/>
        <v>HR</v>
      </c>
      <c r="M159" s="660" t="str">
        <f t="shared" si="16"/>
        <v>UC</v>
      </c>
      <c r="N159" s="660" t="str">
        <f t="shared" si="17"/>
        <v>PAAS</v>
      </c>
      <c r="O159" s="659" t="str">
        <f t="shared" si="18"/>
        <v/>
      </c>
    </row>
    <row r="160" spans="1:15">
      <c r="A160" s="659" t="s">
        <v>355</v>
      </c>
      <c r="B160" s="659" t="s">
        <v>518</v>
      </c>
      <c r="C160" s="659">
        <v>0</v>
      </c>
      <c r="D160" s="659">
        <v>0.14000000000000001</v>
      </c>
      <c r="E160" s="659" t="s">
        <v>2186</v>
      </c>
      <c r="F160" s="659" t="s">
        <v>2290</v>
      </c>
      <c r="G160" s="659" t="s">
        <v>2393</v>
      </c>
      <c r="H160" s="659" t="s">
        <v>2161</v>
      </c>
      <c r="I160" s="659" t="s">
        <v>1636</v>
      </c>
      <c r="J160" s="659" t="s">
        <v>2159</v>
      </c>
      <c r="K160" s="662" t="str">
        <f t="shared" si="14"/>
        <v>Deprecated</v>
      </c>
      <c r="L160" s="660" t="str">
        <f t="shared" si="15"/>
        <v>HR</v>
      </c>
      <c r="M160" s="660" t="str">
        <f t="shared" si="16"/>
        <v>UC</v>
      </c>
      <c r="N160" s="660" t="str">
        <f t="shared" si="17"/>
        <v>PAAS</v>
      </c>
      <c r="O160" s="659" t="str">
        <f t="shared" si="18"/>
        <v/>
      </c>
    </row>
    <row r="161" spans="1:15">
      <c r="A161" s="659" t="s">
        <v>356</v>
      </c>
      <c r="B161" s="659" t="s">
        <v>519</v>
      </c>
      <c r="C161" s="659">
        <v>0</v>
      </c>
      <c r="D161" s="659">
        <v>0.27</v>
      </c>
      <c r="E161" s="659" t="s">
        <v>2186</v>
      </c>
      <c r="F161" s="659" t="s">
        <v>2290</v>
      </c>
      <c r="G161" s="659" t="s">
        <v>2393</v>
      </c>
      <c r="H161" s="659" t="s">
        <v>2161</v>
      </c>
      <c r="I161" s="659" t="s">
        <v>1636</v>
      </c>
      <c r="J161" s="659" t="s">
        <v>2159</v>
      </c>
      <c r="K161" s="662" t="str">
        <f t="shared" si="14"/>
        <v>Deprecated</v>
      </c>
      <c r="L161" s="660" t="str">
        <f t="shared" si="15"/>
        <v>HR</v>
      </c>
      <c r="M161" s="660" t="str">
        <f t="shared" si="16"/>
        <v>UC</v>
      </c>
      <c r="N161" s="660" t="str">
        <f t="shared" si="17"/>
        <v>PAAS</v>
      </c>
      <c r="O161" s="659" t="str">
        <f t="shared" si="18"/>
        <v/>
      </c>
    </row>
    <row r="162" spans="1:15">
      <c r="A162" s="659" t="s">
        <v>357</v>
      </c>
      <c r="B162" s="659" t="s">
        <v>520</v>
      </c>
      <c r="C162" s="659">
        <v>0</v>
      </c>
      <c r="D162" s="659">
        <v>0.3</v>
      </c>
      <c r="E162" s="659" t="s">
        <v>2186</v>
      </c>
      <c r="F162" s="659" t="s">
        <v>2290</v>
      </c>
      <c r="G162" s="659" t="s">
        <v>2393</v>
      </c>
      <c r="H162" s="659" t="s">
        <v>2161</v>
      </c>
      <c r="I162" s="659" t="s">
        <v>1636</v>
      </c>
      <c r="J162" s="659" t="s">
        <v>2159</v>
      </c>
      <c r="K162" s="662" t="str">
        <f t="shared" si="14"/>
        <v>Deprecated</v>
      </c>
      <c r="L162" s="660" t="str">
        <f t="shared" si="15"/>
        <v>HR</v>
      </c>
      <c r="M162" s="660" t="str">
        <f t="shared" si="16"/>
        <v>UC</v>
      </c>
      <c r="N162" s="660" t="str">
        <f t="shared" si="17"/>
        <v>PAAS</v>
      </c>
      <c r="O162" s="659" t="str">
        <f t="shared" si="18"/>
        <v/>
      </c>
    </row>
    <row r="163" spans="1:15">
      <c r="A163" s="659" t="s">
        <v>358</v>
      </c>
      <c r="B163" s="659" t="s">
        <v>521</v>
      </c>
      <c r="C163" s="659">
        <v>0</v>
      </c>
      <c r="D163" s="659">
        <v>0.21</v>
      </c>
      <c r="E163" s="659" t="s">
        <v>2186</v>
      </c>
      <c r="F163" s="659" t="s">
        <v>2290</v>
      </c>
      <c r="G163" s="659" t="s">
        <v>2393</v>
      </c>
      <c r="H163" s="659" t="s">
        <v>2161</v>
      </c>
      <c r="I163" s="659" t="s">
        <v>1636</v>
      </c>
      <c r="J163" s="659" t="s">
        <v>2159</v>
      </c>
      <c r="K163" s="662" t="str">
        <f t="shared" si="14"/>
        <v>Deprecated</v>
      </c>
      <c r="L163" s="660" t="str">
        <f t="shared" si="15"/>
        <v>HR</v>
      </c>
      <c r="M163" s="660" t="str">
        <f t="shared" si="16"/>
        <v>UC</v>
      </c>
      <c r="N163" s="660" t="str">
        <f t="shared" si="17"/>
        <v>PAAS</v>
      </c>
      <c r="O163" s="659" t="str">
        <f t="shared" si="18"/>
        <v/>
      </c>
    </row>
    <row r="164" spans="1:15">
      <c r="A164" s="659" t="s">
        <v>359</v>
      </c>
      <c r="B164" s="659" t="s">
        <v>522</v>
      </c>
      <c r="C164" s="659">
        <v>0</v>
      </c>
      <c r="D164" s="659">
        <v>0.4</v>
      </c>
      <c r="E164" s="659" t="s">
        <v>2186</v>
      </c>
      <c r="F164" s="659" t="s">
        <v>2290</v>
      </c>
      <c r="G164" s="659" t="s">
        <v>2393</v>
      </c>
      <c r="H164" s="659" t="s">
        <v>2161</v>
      </c>
      <c r="I164" s="659" t="s">
        <v>1636</v>
      </c>
      <c r="J164" s="659" t="s">
        <v>2159</v>
      </c>
      <c r="K164" s="662" t="str">
        <f t="shared" si="14"/>
        <v>Deprecated</v>
      </c>
      <c r="L164" s="660" t="str">
        <f t="shared" si="15"/>
        <v>HR</v>
      </c>
      <c r="M164" s="660" t="str">
        <f t="shared" si="16"/>
        <v>UC</v>
      </c>
      <c r="N164" s="660" t="str">
        <f t="shared" si="17"/>
        <v>PAAS</v>
      </c>
      <c r="O164" s="659" t="str">
        <f t="shared" si="18"/>
        <v/>
      </c>
    </row>
    <row r="165" spans="1:15">
      <c r="A165" s="659" t="s">
        <v>360</v>
      </c>
      <c r="B165" s="659" t="s">
        <v>523</v>
      </c>
      <c r="C165" s="659">
        <v>0</v>
      </c>
      <c r="D165" s="659">
        <v>0.3</v>
      </c>
      <c r="E165" s="659" t="s">
        <v>2186</v>
      </c>
      <c r="F165" s="659" t="s">
        <v>2290</v>
      </c>
      <c r="G165" s="659" t="s">
        <v>2393</v>
      </c>
      <c r="H165" s="659" t="s">
        <v>2161</v>
      </c>
      <c r="I165" s="659" t="s">
        <v>1636</v>
      </c>
      <c r="J165" s="659" t="s">
        <v>2159</v>
      </c>
      <c r="K165" s="662" t="str">
        <f t="shared" si="14"/>
        <v>Deprecated</v>
      </c>
      <c r="L165" s="660" t="str">
        <f t="shared" si="15"/>
        <v>HR</v>
      </c>
      <c r="M165" s="660" t="str">
        <f t="shared" si="16"/>
        <v>UC</v>
      </c>
      <c r="N165" s="660" t="str">
        <f t="shared" si="17"/>
        <v>PAAS</v>
      </c>
      <c r="O165" s="659" t="str">
        <f t="shared" si="18"/>
        <v/>
      </c>
    </row>
    <row r="166" spans="1:15">
      <c r="A166" s="659" t="s">
        <v>361</v>
      </c>
      <c r="B166" s="659" t="s">
        <v>524</v>
      </c>
      <c r="C166" s="659">
        <v>0</v>
      </c>
      <c r="D166" s="659">
        <v>0.18</v>
      </c>
      <c r="E166" s="659" t="s">
        <v>2186</v>
      </c>
      <c r="F166" s="659" t="s">
        <v>2290</v>
      </c>
      <c r="G166" s="659" t="s">
        <v>2393</v>
      </c>
      <c r="H166" s="659" t="s">
        <v>2161</v>
      </c>
      <c r="I166" s="659" t="s">
        <v>1636</v>
      </c>
      <c r="J166" s="659" t="s">
        <v>2159</v>
      </c>
      <c r="K166" s="662" t="str">
        <f t="shared" si="14"/>
        <v>Deprecated</v>
      </c>
      <c r="L166" s="660" t="str">
        <f t="shared" si="15"/>
        <v>HR</v>
      </c>
      <c r="M166" s="660" t="str">
        <f t="shared" si="16"/>
        <v>UC</v>
      </c>
      <c r="N166" s="660" t="str">
        <f t="shared" si="17"/>
        <v>PAAS</v>
      </c>
      <c r="O166" s="659" t="str">
        <f t="shared" si="18"/>
        <v/>
      </c>
    </row>
    <row r="167" spans="1:15">
      <c r="A167" s="659" t="s">
        <v>362</v>
      </c>
      <c r="B167" s="659" t="s">
        <v>525</v>
      </c>
      <c r="C167" s="659">
        <v>0</v>
      </c>
      <c r="D167" s="659">
        <v>0.34</v>
      </c>
      <c r="E167" s="659" t="s">
        <v>2186</v>
      </c>
      <c r="F167" s="659" t="s">
        <v>2290</v>
      </c>
      <c r="G167" s="659" t="s">
        <v>2393</v>
      </c>
      <c r="H167" s="659" t="s">
        <v>2161</v>
      </c>
      <c r="I167" s="659" t="s">
        <v>1636</v>
      </c>
      <c r="J167" s="659" t="s">
        <v>2159</v>
      </c>
      <c r="K167" s="662" t="str">
        <f t="shared" si="14"/>
        <v>Deprecated</v>
      </c>
      <c r="L167" s="660" t="str">
        <f t="shared" si="15"/>
        <v>HR</v>
      </c>
      <c r="M167" s="660" t="str">
        <f t="shared" si="16"/>
        <v>UC</v>
      </c>
      <c r="N167" s="660" t="str">
        <f t="shared" si="17"/>
        <v>PAAS</v>
      </c>
      <c r="O167" s="659" t="str">
        <f t="shared" si="18"/>
        <v/>
      </c>
    </row>
    <row r="168" spans="1:15">
      <c r="A168" s="659" t="s">
        <v>363</v>
      </c>
      <c r="B168" s="659" t="s">
        <v>526</v>
      </c>
      <c r="C168" s="659">
        <v>0</v>
      </c>
      <c r="D168" s="659">
        <v>0.5</v>
      </c>
      <c r="E168" s="659" t="s">
        <v>2186</v>
      </c>
      <c r="F168" s="659" t="s">
        <v>2290</v>
      </c>
      <c r="G168" s="659" t="s">
        <v>2393</v>
      </c>
      <c r="H168" s="659" t="s">
        <v>2161</v>
      </c>
      <c r="I168" s="659" t="s">
        <v>1636</v>
      </c>
      <c r="J168" s="659" t="s">
        <v>2159</v>
      </c>
      <c r="K168" s="662" t="str">
        <f t="shared" si="14"/>
        <v>Deprecated</v>
      </c>
      <c r="L168" s="660" t="str">
        <f t="shared" si="15"/>
        <v>HR</v>
      </c>
      <c r="M168" s="660" t="str">
        <f t="shared" si="16"/>
        <v>UC</v>
      </c>
      <c r="N168" s="660" t="str">
        <f t="shared" si="17"/>
        <v>PAAS</v>
      </c>
      <c r="O168" s="659" t="str">
        <f t="shared" si="18"/>
        <v/>
      </c>
    </row>
    <row r="169" spans="1:15">
      <c r="A169" s="659" t="s">
        <v>364</v>
      </c>
      <c r="B169" s="659" t="s">
        <v>527</v>
      </c>
      <c r="C169" s="659">
        <v>0</v>
      </c>
      <c r="D169" s="659">
        <v>0.24</v>
      </c>
      <c r="E169" s="659" t="s">
        <v>2186</v>
      </c>
      <c r="F169" s="659" t="s">
        <v>2290</v>
      </c>
      <c r="G169" s="659" t="s">
        <v>2393</v>
      </c>
      <c r="H169" s="659" t="s">
        <v>2161</v>
      </c>
      <c r="I169" s="659" t="s">
        <v>1636</v>
      </c>
      <c r="J169" s="659" t="s">
        <v>2159</v>
      </c>
      <c r="K169" s="662" t="str">
        <f t="shared" si="14"/>
        <v>Deprecated</v>
      </c>
      <c r="L169" s="660" t="str">
        <f t="shared" si="15"/>
        <v>HR</v>
      </c>
      <c r="M169" s="660" t="str">
        <f t="shared" si="16"/>
        <v>UC</v>
      </c>
      <c r="N169" s="660" t="str">
        <f t="shared" si="17"/>
        <v>PAAS</v>
      </c>
      <c r="O169" s="659" t="str">
        <f t="shared" si="18"/>
        <v/>
      </c>
    </row>
    <row r="170" spans="1:15">
      <c r="A170" s="659" t="s">
        <v>365</v>
      </c>
      <c r="B170" s="659" t="s">
        <v>528</v>
      </c>
      <c r="C170" s="659">
        <v>0</v>
      </c>
      <c r="D170" s="659">
        <v>0.45</v>
      </c>
      <c r="E170" s="659" t="s">
        <v>2186</v>
      </c>
      <c r="F170" s="659" t="s">
        <v>2290</v>
      </c>
      <c r="G170" s="659" t="s">
        <v>2393</v>
      </c>
      <c r="H170" s="659" t="s">
        <v>2161</v>
      </c>
      <c r="I170" s="659" t="s">
        <v>1636</v>
      </c>
      <c r="J170" s="659" t="s">
        <v>2159</v>
      </c>
      <c r="K170" s="662" t="str">
        <f t="shared" si="14"/>
        <v>Deprecated</v>
      </c>
      <c r="L170" s="660" t="str">
        <f t="shared" si="15"/>
        <v>HR</v>
      </c>
      <c r="M170" s="660" t="str">
        <f t="shared" si="16"/>
        <v>UC</v>
      </c>
      <c r="N170" s="660" t="str">
        <f t="shared" si="17"/>
        <v>PAAS</v>
      </c>
      <c r="O170" s="659" t="str">
        <f t="shared" si="18"/>
        <v/>
      </c>
    </row>
    <row r="171" spans="1:15">
      <c r="A171" s="659" t="s">
        <v>366</v>
      </c>
      <c r="B171" s="659" t="s">
        <v>529</v>
      </c>
      <c r="C171" s="659">
        <v>0</v>
      </c>
      <c r="D171" s="659">
        <v>0.5</v>
      </c>
      <c r="E171" s="659" t="s">
        <v>2186</v>
      </c>
      <c r="F171" s="659" t="s">
        <v>2290</v>
      </c>
      <c r="G171" s="659" t="s">
        <v>2393</v>
      </c>
      <c r="H171" s="659" t="s">
        <v>2161</v>
      </c>
      <c r="I171" s="659" t="s">
        <v>1636</v>
      </c>
      <c r="J171" s="659" t="s">
        <v>2159</v>
      </c>
      <c r="K171" s="662" t="str">
        <f t="shared" si="14"/>
        <v>Deprecated</v>
      </c>
      <c r="L171" s="660" t="str">
        <f t="shared" si="15"/>
        <v>HR</v>
      </c>
      <c r="M171" s="660" t="str">
        <f t="shared" si="16"/>
        <v>UC</v>
      </c>
      <c r="N171" s="660" t="str">
        <f t="shared" si="17"/>
        <v>PAAS</v>
      </c>
      <c r="O171" s="659" t="str">
        <f t="shared" si="18"/>
        <v/>
      </c>
    </row>
    <row r="172" spans="1:15">
      <c r="A172" s="659" t="s">
        <v>367</v>
      </c>
      <c r="B172" s="659" t="s">
        <v>530</v>
      </c>
      <c r="C172" s="659">
        <v>0</v>
      </c>
      <c r="D172" s="659">
        <v>0.12</v>
      </c>
      <c r="E172" s="659" t="s">
        <v>2175</v>
      </c>
      <c r="F172" s="659" t="s">
        <v>2290</v>
      </c>
      <c r="G172" s="659" t="s">
        <v>2393</v>
      </c>
      <c r="H172" s="659" t="s">
        <v>2162</v>
      </c>
      <c r="I172" s="659" t="s">
        <v>1636</v>
      </c>
      <c r="J172" s="659" t="s">
        <v>2159</v>
      </c>
      <c r="K172" s="662" t="str">
        <f t="shared" si="14"/>
        <v>Deprecated</v>
      </c>
      <c r="L172" s="660" t="str">
        <f t="shared" si="15"/>
        <v>GB</v>
      </c>
      <c r="M172" s="660" t="str">
        <f t="shared" si="16"/>
        <v>UC</v>
      </c>
      <c r="N172" s="660" t="str">
        <f t="shared" si="17"/>
        <v>PAAS</v>
      </c>
      <c r="O172" s="659" t="str">
        <f t="shared" si="18"/>
        <v/>
      </c>
    </row>
    <row r="173" spans="1:15">
      <c r="A173" s="659" t="s">
        <v>368</v>
      </c>
      <c r="B173" s="659" t="s">
        <v>531</v>
      </c>
      <c r="C173" s="659">
        <v>0</v>
      </c>
      <c r="D173" s="659">
        <v>0.12</v>
      </c>
      <c r="E173" s="659" t="s">
        <v>2175</v>
      </c>
      <c r="F173" s="659" t="s">
        <v>2290</v>
      </c>
      <c r="G173" s="659" t="s">
        <v>2393</v>
      </c>
      <c r="H173" s="659" t="s">
        <v>2162</v>
      </c>
      <c r="I173" s="659" t="s">
        <v>1636</v>
      </c>
      <c r="J173" s="659" t="s">
        <v>2159</v>
      </c>
      <c r="K173" s="662" t="str">
        <f t="shared" si="14"/>
        <v>Deprecated</v>
      </c>
      <c r="L173" s="660" t="str">
        <f t="shared" si="15"/>
        <v>GB</v>
      </c>
      <c r="M173" s="660" t="str">
        <f t="shared" si="16"/>
        <v>UC</v>
      </c>
      <c r="N173" s="660" t="str">
        <f t="shared" si="17"/>
        <v>PAAS</v>
      </c>
      <c r="O173" s="659" t="str">
        <f t="shared" si="18"/>
        <v/>
      </c>
    </row>
    <row r="174" spans="1:15">
      <c r="A174" s="659" t="s">
        <v>369</v>
      </c>
      <c r="B174" s="659" t="s">
        <v>532</v>
      </c>
      <c r="C174" s="659">
        <v>0</v>
      </c>
      <c r="D174" s="659">
        <v>0.15</v>
      </c>
      <c r="E174" s="659" t="s">
        <v>2187</v>
      </c>
      <c r="F174" s="659" t="s">
        <v>2290</v>
      </c>
      <c r="G174" s="659" t="s">
        <v>2393</v>
      </c>
      <c r="H174" s="659" t="s">
        <v>2162</v>
      </c>
      <c r="I174" s="659" t="s">
        <v>1636</v>
      </c>
      <c r="J174" s="659" t="s">
        <v>2159</v>
      </c>
      <c r="K174" s="662" t="str">
        <f t="shared" si="14"/>
        <v>Deprecated</v>
      </c>
      <c r="L174" s="660" t="str">
        <f t="shared" si="15"/>
        <v>GB</v>
      </c>
      <c r="M174" s="660" t="str">
        <f t="shared" si="16"/>
        <v>UC</v>
      </c>
      <c r="N174" s="660" t="str">
        <f t="shared" si="17"/>
        <v>PAAS</v>
      </c>
      <c r="O174" s="659" t="str">
        <f t="shared" si="18"/>
        <v/>
      </c>
    </row>
    <row r="175" spans="1:15">
      <c r="A175" s="659" t="s">
        <v>370</v>
      </c>
      <c r="B175" s="659" t="s">
        <v>533</v>
      </c>
      <c r="C175" s="659">
        <v>0</v>
      </c>
      <c r="D175" s="659">
        <v>0.01</v>
      </c>
      <c r="E175" s="659" t="s">
        <v>2188</v>
      </c>
      <c r="F175" s="659" t="s">
        <v>2290</v>
      </c>
      <c r="G175" s="659" t="s">
        <v>2393</v>
      </c>
      <c r="H175" s="659" t="s">
        <v>2161</v>
      </c>
      <c r="I175" s="659" t="s">
        <v>1636</v>
      </c>
      <c r="J175" s="659" t="s">
        <v>2159</v>
      </c>
      <c r="K175" s="662" t="str">
        <f t="shared" si="14"/>
        <v>Deprecated</v>
      </c>
      <c r="L175" s="660" t="str">
        <f t="shared" si="15"/>
        <v>HR</v>
      </c>
      <c r="M175" s="660" t="str">
        <f t="shared" si="16"/>
        <v>UC</v>
      </c>
      <c r="N175" s="660" t="str">
        <f t="shared" si="17"/>
        <v>PAAS</v>
      </c>
      <c r="O175" s="659" t="str">
        <f t="shared" si="18"/>
        <v/>
      </c>
    </row>
    <row r="176" spans="1:15">
      <c r="A176" s="659" t="s">
        <v>371</v>
      </c>
      <c r="B176" s="659" t="s">
        <v>534</v>
      </c>
      <c r="C176" s="659">
        <v>0</v>
      </c>
      <c r="D176" s="659">
        <v>0.13439999999999999</v>
      </c>
      <c r="E176" s="659" t="s">
        <v>49</v>
      </c>
      <c r="F176" s="659" t="s">
        <v>2290</v>
      </c>
      <c r="G176" s="659" t="s">
        <v>2396</v>
      </c>
      <c r="H176" s="659" t="s">
        <v>2161</v>
      </c>
      <c r="I176" s="659" t="s">
        <v>1636</v>
      </c>
      <c r="J176" s="659" t="s">
        <v>2159</v>
      </c>
      <c r="K176" s="662" t="str">
        <f t="shared" si="14"/>
        <v>Classic</v>
      </c>
      <c r="L176" s="660" t="str">
        <f t="shared" si="15"/>
        <v>HR</v>
      </c>
      <c r="M176" s="660" t="str">
        <f t="shared" si="16"/>
        <v>UC</v>
      </c>
      <c r="N176" s="660" t="str">
        <f t="shared" si="17"/>
        <v>PAAS</v>
      </c>
      <c r="O176" s="659" t="str">
        <f t="shared" si="18"/>
        <v/>
      </c>
    </row>
    <row r="177" spans="1:15">
      <c r="A177" s="659" t="s">
        <v>372</v>
      </c>
      <c r="B177" s="659">
        <v>0</v>
      </c>
      <c r="C177" s="659">
        <v>0</v>
      </c>
      <c r="D177" s="659">
        <v>6.72</v>
      </c>
      <c r="E177" s="659" t="s">
        <v>49</v>
      </c>
      <c r="F177" s="659" t="s">
        <v>2290</v>
      </c>
      <c r="G177" s="659" t="s">
        <v>2393</v>
      </c>
      <c r="H177" s="659" t="s">
        <v>2161</v>
      </c>
      <c r="I177" s="659" t="s">
        <v>1636</v>
      </c>
      <c r="J177" s="659" t="s">
        <v>2159</v>
      </c>
      <c r="K177" s="662" t="str">
        <f t="shared" si="14"/>
        <v>Deprecated</v>
      </c>
      <c r="L177" s="660" t="str">
        <f t="shared" si="15"/>
        <v>HR</v>
      </c>
      <c r="M177" s="660" t="str">
        <f t="shared" si="16"/>
        <v>UC</v>
      </c>
      <c r="N177" s="660" t="str">
        <f t="shared" si="17"/>
        <v>PAAS</v>
      </c>
      <c r="O177" s="659" t="str">
        <f t="shared" si="18"/>
        <v/>
      </c>
    </row>
    <row r="178" spans="1:15">
      <c r="A178" s="659" t="s">
        <v>2258</v>
      </c>
      <c r="B178" s="659">
        <v>0</v>
      </c>
      <c r="C178" s="659" t="s">
        <v>566</v>
      </c>
      <c r="D178" s="659">
        <v>9.7449999999999992</v>
      </c>
      <c r="E178" s="659" t="s">
        <v>49</v>
      </c>
      <c r="F178" s="659" t="s">
        <v>2290</v>
      </c>
      <c r="G178" s="659" t="s">
        <v>2393</v>
      </c>
      <c r="H178" s="659" t="s">
        <v>2161</v>
      </c>
      <c r="I178" s="659" t="s">
        <v>1636</v>
      </c>
      <c r="J178" s="659" t="s">
        <v>2159</v>
      </c>
      <c r="K178" s="662" t="str">
        <f t="shared" si="14"/>
        <v>Deprecated</v>
      </c>
      <c r="L178" s="660" t="str">
        <f t="shared" si="15"/>
        <v>HR</v>
      </c>
      <c r="M178" s="660" t="str">
        <f t="shared" si="16"/>
        <v>UC</v>
      </c>
      <c r="N178" s="660" t="str">
        <f t="shared" si="17"/>
        <v>PAAS</v>
      </c>
      <c r="O178" s="659" t="str">
        <f t="shared" si="18"/>
        <v/>
      </c>
    </row>
    <row r="179" spans="1:15">
      <c r="A179" s="659" t="s">
        <v>373</v>
      </c>
      <c r="B179" s="659" t="s">
        <v>374</v>
      </c>
      <c r="C179" s="659">
        <v>0</v>
      </c>
      <c r="D179" s="659">
        <v>4000</v>
      </c>
      <c r="E179" s="659" t="s">
        <v>2168</v>
      </c>
      <c r="F179" s="659" t="s">
        <v>2290</v>
      </c>
      <c r="G179" s="659" t="s">
        <v>2393</v>
      </c>
      <c r="H179" s="659" t="s">
        <v>2394</v>
      </c>
      <c r="I179" s="659" t="s">
        <v>1636</v>
      </c>
      <c r="J179" s="659" t="s">
        <v>2159</v>
      </c>
      <c r="K179" s="662" t="str">
        <f t="shared" si="14"/>
        <v>Deprecated</v>
      </c>
      <c r="L179" s="660" t="str">
        <f t="shared" si="15"/>
        <v>UNIT</v>
      </c>
      <c r="M179" s="660" t="str">
        <f t="shared" si="16"/>
        <v>UC</v>
      </c>
      <c r="N179" s="660" t="str">
        <f t="shared" si="17"/>
        <v>PAAS</v>
      </c>
      <c r="O179" s="659" t="str">
        <f t="shared" si="18"/>
        <v/>
      </c>
    </row>
    <row r="180" spans="1:15">
      <c r="A180" s="659" t="s">
        <v>2259</v>
      </c>
      <c r="B180" s="659" t="s">
        <v>375</v>
      </c>
      <c r="C180" s="659">
        <v>0</v>
      </c>
      <c r="D180" s="659">
        <v>5800</v>
      </c>
      <c r="E180" s="659" t="s">
        <v>2168</v>
      </c>
      <c r="F180" s="659" t="s">
        <v>2290</v>
      </c>
      <c r="G180" s="659" t="s">
        <v>2393</v>
      </c>
      <c r="H180" s="659" t="s">
        <v>2394</v>
      </c>
      <c r="I180" s="659" t="s">
        <v>1636</v>
      </c>
      <c r="J180" s="659" t="s">
        <v>2159</v>
      </c>
      <c r="K180" s="662" t="str">
        <f t="shared" si="14"/>
        <v>Deprecated</v>
      </c>
      <c r="L180" s="660" t="str">
        <f t="shared" si="15"/>
        <v>UNIT</v>
      </c>
      <c r="M180" s="660" t="str">
        <f t="shared" si="16"/>
        <v>UC</v>
      </c>
      <c r="N180" s="660" t="str">
        <f t="shared" si="17"/>
        <v>PAAS</v>
      </c>
      <c r="O180" s="659" t="str">
        <f t="shared" si="18"/>
        <v/>
      </c>
    </row>
    <row r="181" spans="1:15">
      <c r="A181" s="659" t="s">
        <v>21</v>
      </c>
      <c r="B181" s="659" t="s">
        <v>535</v>
      </c>
      <c r="C181" s="659">
        <v>0</v>
      </c>
      <c r="D181" s="659">
        <v>4.0000000000000001E-3</v>
      </c>
      <c r="E181" s="659" t="s">
        <v>2189</v>
      </c>
      <c r="F181" s="659" t="s">
        <v>2290</v>
      </c>
      <c r="G181" s="659" t="s">
        <v>1840</v>
      </c>
      <c r="H181" s="659" t="s">
        <v>2395</v>
      </c>
      <c r="I181" s="659" t="s">
        <v>1636</v>
      </c>
      <c r="J181" s="659" t="s">
        <v>2158</v>
      </c>
      <c r="K181" s="662" t="str">
        <f t="shared" si="14"/>
        <v>Storage</v>
      </c>
      <c r="L181" s="660" t="str">
        <f t="shared" si="15"/>
        <v>REQ</v>
      </c>
      <c r="M181" s="660" t="str">
        <f t="shared" si="16"/>
        <v>UC</v>
      </c>
      <c r="N181" s="660" t="str">
        <f t="shared" si="17"/>
        <v>IAAS</v>
      </c>
      <c r="O181" s="659" t="str">
        <f t="shared" si="18"/>
        <v/>
      </c>
    </row>
    <row r="182" spans="1:15">
      <c r="A182" s="659" t="s">
        <v>22</v>
      </c>
      <c r="B182" s="659" t="s">
        <v>536</v>
      </c>
      <c r="C182" s="659">
        <v>0</v>
      </c>
      <c r="D182" s="659">
        <v>0.05</v>
      </c>
      <c r="E182" s="659" t="s">
        <v>2175</v>
      </c>
      <c r="F182" s="659" t="s">
        <v>2290</v>
      </c>
      <c r="G182" s="659" t="s">
        <v>1840</v>
      </c>
      <c r="H182" s="659" t="s">
        <v>2162</v>
      </c>
      <c r="I182" s="659" t="s">
        <v>1636</v>
      </c>
      <c r="J182" s="659" t="s">
        <v>2158</v>
      </c>
      <c r="K182" s="662" t="str">
        <f t="shared" si="14"/>
        <v>Storage</v>
      </c>
      <c r="L182" s="660" t="str">
        <f t="shared" si="15"/>
        <v>GB</v>
      </c>
      <c r="M182" s="660" t="str">
        <f t="shared" si="16"/>
        <v>UC</v>
      </c>
      <c r="N182" s="660" t="str">
        <f t="shared" si="17"/>
        <v>IAAS</v>
      </c>
      <c r="O182" s="659" t="str">
        <f t="shared" si="18"/>
        <v/>
      </c>
    </row>
    <row r="183" spans="1:15">
      <c r="A183" s="659" t="s">
        <v>376</v>
      </c>
      <c r="B183" s="659" t="s">
        <v>537</v>
      </c>
      <c r="C183" s="659">
        <v>0</v>
      </c>
      <c r="D183" s="659">
        <v>0.01</v>
      </c>
      <c r="E183" s="659" t="s">
        <v>2187</v>
      </c>
      <c r="F183" s="659" t="s">
        <v>2290</v>
      </c>
      <c r="G183" s="659" t="s">
        <v>2393</v>
      </c>
      <c r="H183" s="659" t="s">
        <v>2162</v>
      </c>
      <c r="I183" s="659" t="s">
        <v>1636</v>
      </c>
      <c r="J183" s="659" t="s">
        <v>2159</v>
      </c>
      <c r="K183" s="662" t="str">
        <f t="shared" si="14"/>
        <v>Deprecated</v>
      </c>
      <c r="L183" s="660" t="str">
        <f t="shared" si="15"/>
        <v>GB</v>
      </c>
      <c r="M183" s="660" t="str">
        <f t="shared" si="16"/>
        <v>UC</v>
      </c>
      <c r="N183" s="660" t="str">
        <f t="shared" si="17"/>
        <v>PAAS</v>
      </c>
      <c r="O183" s="659" t="str">
        <f t="shared" si="18"/>
        <v/>
      </c>
    </row>
    <row r="184" spans="1:15" ht="16">
      <c r="A184" s="661" t="s">
        <v>378</v>
      </c>
      <c r="B184" s="659" t="s">
        <v>379</v>
      </c>
      <c r="C184" s="659">
        <v>0</v>
      </c>
      <c r="D184" s="659">
        <v>0.3226</v>
      </c>
      <c r="E184" s="659" t="s">
        <v>49</v>
      </c>
      <c r="F184" s="659" t="s">
        <v>2290</v>
      </c>
      <c r="G184" s="659" t="s">
        <v>1835</v>
      </c>
      <c r="H184" s="659" t="s">
        <v>2161</v>
      </c>
      <c r="I184" s="659" t="s">
        <v>1636</v>
      </c>
      <c r="J184" s="659" t="s">
        <v>2158</v>
      </c>
      <c r="K184" s="662" t="str">
        <f t="shared" si="14"/>
        <v>Compute</v>
      </c>
      <c r="L184" s="660" t="str">
        <f t="shared" si="15"/>
        <v>HR</v>
      </c>
      <c r="M184" s="660" t="str">
        <f t="shared" si="16"/>
        <v>UC</v>
      </c>
      <c r="N184" s="660" t="str">
        <f t="shared" si="17"/>
        <v>IAAS</v>
      </c>
      <c r="O184" s="659" t="str">
        <f t="shared" si="18"/>
        <v/>
      </c>
    </row>
    <row r="185" spans="1:15" ht="16">
      <c r="A185" s="661" t="s">
        <v>382</v>
      </c>
      <c r="B185" s="659" t="s">
        <v>541</v>
      </c>
      <c r="C185" s="659">
        <v>0</v>
      </c>
      <c r="D185" s="659">
        <v>0.65</v>
      </c>
      <c r="E185" s="659" t="s">
        <v>2191</v>
      </c>
      <c r="F185" s="659" t="s">
        <v>2290</v>
      </c>
      <c r="G185" s="659" t="s">
        <v>1835</v>
      </c>
      <c r="H185" s="659" t="s">
        <v>2161</v>
      </c>
      <c r="I185" s="659" t="s">
        <v>1636</v>
      </c>
      <c r="J185" s="659" t="s">
        <v>2158</v>
      </c>
      <c r="K185" s="662" t="str">
        <f t="shared" si="14"/>
        <v>Compute</v>
      </c>
      <c r="L185" s="660" t="str">
        <f t="shared" si="15"/>
        <v>HR</v>
      </c>
      <c r="M185" s="660" t="str">
        <f t="shared" si="16"/>
        <v>UC</v>
      </c>
      <c r="N185" s="660" t="str">
        <f t="shared" si="17"/>
        <v>IAAS</v>
      </c>
      <c r="O185" s="659" t="str">
        <f t="shared" si="18"/>
        <v/>
      </c>
    </row>
    <row r="186" spans="1:15">
      <c r="A186" s="659" t="s">
        <v>383</v>
      </c>
      <c r="B186" s="659" t="s">
        <v>542</v>
      </c>
      <c r="C186" s="659">
        <v>0</v>
      </c>
      <c r="D186" s="659">
        <v>0.15</v>
      </c>
      <c r="E186" s="659" t="s">
        <v>49</v>
      </c>
      <c r="F186" s="659" t="s">
        <v>2290</v>
      </c>
      <c r="G186" s="659" t="s">
        <v>1835</v>
      </c>
      <c r="H186" s="659" t="s">
        <v>2161</v>
      </c>
      <c r="I186" s="659" t="s">
        <v>1636</v>
      </c>
      <c r="J186" s="659" t="s">
        <v>2158</v>
      </c>
      <c r="K186" s="662" t="str">
        <f t="shared" si="14"/>
        <v>Compute</v>
      </c>
      <c r="L186" s="660" t="str">
        <f t="shared" si="15"/>
        <v>HR</v>
      </c>
      <c r="M186" s="660" t="str">
        <f t="shared" si="16"/>
        <v>UC</v>
      </c>
      <c r="N186" s="660" t="str">
        <f t="shared" si="17"/>
        <v>IAAS</v>
      </c>
      <c r="O186" s="659" t="str">
        <f t="shared" si="18"/>
        <v/>
      </c>
    </row>
    <row r="187" spans="1:15">
      <c r="A187" s="659" t="s">
        <v>387</v>
      </c>
      <c r="B187" s="659" t="s">
        <v>543</v>
      </c>
      <c r="C187" s="659">
        <v>0</v>
      </c>
      <c r="D187" s="659">
        <v>6.34</v>
      </c>
      <c r="E187" s="659" t="s">
        <v>2192</v>
      </c>
      <c r="F187" s="659" t="s">
        <v>2290</v>
      </c>
      <c r="G187" s="659" t="s">
        <v>2309</v>
      </c>
      <c r="H187" s="659" t="s">
        <v>2161</v>
      </c>
      <c r="I187" s="659" t="s">
        <v>1636</v>
      </c>
      <c r="J187" s="659" t="s">
        <v>2159</v>
      </c>
      <c r="K187" s="662" t="str">
        <f t="shared" si="14"/>
        <v>DBaaS</v>
      </c>
      <c r="L187" s="660" t="str">
        <f t="shared" si="15"/>
        <v>HR</v>
      </c>
      <c r="M187" s="660" t="str">
        <f t="shared" si="16"/>
        <v>UC</v>
      </c>
      <c r="N187" s="660" t="str">
        <f t="shared" si="17"/>
        <v>PAAS</v>
      </c>
      <c r="O187" s="659" t="str">
        <f t="shared" si="18"/>
        <v/>
      </c>
    </row>
    <row r="188" spans="1:15">
      <c r="A188" s="659" t="s">
        <v>388</v>
      </c>
      <c r="B188" s="659" t="s">
        <v>978</v>
      </c>
      <c r="C188" s="659">
        <v>0</v>
      </c>
      <c r="D188" s="659">
        <v>14.4</v>
      </c>
      <c r="E188" s="659" t="s">
        <v>2192</v>
      </c>
      <c r="F188" s="659" t="s">
        <v>2290</v>
      </c>
      <c r="G188" s="659" t="s">
        <v>2309</v>
      </c>
      <c r="H188" s="659" t="s">
        <v>2161</v>
      </c>
      <c r="I188" s="659" t="s">
        <v>1636</v>
      </c>
      <c r="J188" s="659" t="s">
        <v>2159</v>
      </c>
      <c r="K188" s="662" t="str">
        <f t="shared" si="14"/>
        <v>DBaaS</v>
      </c>
      <c r="L188" s="660" t="str">
        <f t="shared" si="15"/>
        <v>HR</v>
      </c>
      <c r="M188" s="660" t="str">
        <f t="shared" si="16"/>
        <v>UC</v>
      </c>
      <c r="N188" s="660" t="str">
        <f t="shared" si="17"/>
        <v>PAAS</v>
      </c>
      <c r="O188" s="659" t="str">
        <f t="shared" si="18"/>
        <v/>
      </c>
    </row>
    <row r="189" spans="1:15">
      <c r="A189" s="659" t="s">
        <v>389</v>
      </c>
      <c r="B189" s="659" t="s">
        <v>544</v>
      </c>
      <c r="C189" s="659">
        <v>0</v>
      </c>
      <c r="D189" s="659">
        <v>17.760000000000002</v>
      </c>
      <c r="E189" s="659" t="s">
        <v>2192</v>
      </c>
      <c r="F189" s="659" t="s">
        <v>2290</v>
      </c>
      <c r="G189" s="659" t="s">
        <v>2309</v>
      </c>
      <c r="H189" s="659" t="s">
        <v>2161</v>
      </c>
      <c r="I189" s="659" t="s">
        <v>1636</v>
      </c>
      <c r="J189" s="659" t="s">
        <v>2159</v>
      </c>
      <c r="K189" s="662" t="str">
        <f t="shared" si="14"/>
        <v>DBaaS</v>
      </c>
      <c r="L189" s="660" t="str">
        <f t="shared" si="15"/>
        <v>HR</v>
      </c>
      <c r="M189" s="660" t="str">
        <f t="shared" si="16"/>
        <v>UC</v>
      </c>
      <c r="N189" s="660" t="str">
        <f t="shared" si="17"/>
        <v>PAAS</v>
      </c>
      <c r="O189" s="659" t="str">
        <f t="shared" si="18"/>
        <v/>
      </c>
    </row>
    <row r="190" spans="1:15">
      <c r="A190" s="659" t="s">
        <v>27</v>
      </c>
      <c r="B190" s="659" t="s">
        <v>545</v>
      </c>
      <c r="C190" s="659">
        <v>0</v>
      </c>
      <c r="D190" s="659">
        <v>21.12</v>
      </c>
      <c r="E190" s="659" t="s">
        <v>2192</v>
      </c>
      <c r="F190" s="659" t="s">
        <v>2290</v>
      </c>
      <c r="G190" s="659" t="s">
        <v>2309</v>
      </c>
      <c r="H190" s="659" t="s">
        <v>2161</v>
      </c>
      <c r="I190" s="659" t="s">
        <v>1636</v>
      </c>
      <c r="J190" s="659" t="s">
        <v>2159</v>
      </c>
      <c r="K190" s="662" t="str">
        <f t="shared" si="14"/>
        <v>DBaaS</v>
      </c>
      <c r="L190" s="660" t="str">
        <f t="shared" si="15"/>
        <v>HR</v>
      </c>
      <c r="M190" s="660" t="str">
        <f t="shared" si="16"/>
        <v>UC</v>
      </c>
      <c r="N190" s="660" t="str">
        <f t="shared" si="17"/>
        <v>PAAS</v>
      </c>
      <c r="O190" s="659" t="str">
        <f t="shared" si="18"/>
        <v/>
      </c>
    </row>
    <row r="191" spans="1:15">
      <c r="A191" s="659" t="s">
        <v>390</v>
      </c>
      <c r="B191" s="659" t="s">
        <v>546</v>
      </c>
      <c r="C191" s="659">
        <v>0</v>
      </c>
      <c r="D191" s="659">
        <v>1.01</v>
      </c>
      <c r="E191" s="659" t="s">
        <v>49</v>
      </c>
      <c r="F191" s="659" t="s">
        <v>2290</v>
      </c>
      <c r="G191" s="659" t="s">
        <v>2309</v>
      </c>
      <c r="H191" s="659" t="s">
        <v>2161</v>
      </c>
      <c r="I191" s="659" t="s">
        <v>1636</v>
      </c>
      <c r="J191" s="659" t="s">
        <v>2159</v>
      </c>
      <c r="K191" s="662" t="str">
        <f t="shared" si="14"/>
        <v>DBaaS</v>
      </c>
      <c r="L191" s="660" t="str">
        <f t="shared" si="15"/>
        <v>HR</v>
      </c>
      <c r="M191" s="660" t="str">
        <f t="shared" si="16"/>
        <v>UC</v>
      </c>
      <c r="N191" s="660" t="str">
        <f t="shared" si="17"/>
        <v>PAAS</v>
      </c>
      <c r="O191" s="659" t="str">
        <f t="shared" si="18"/>
        <v/>
      </c>
    </row>
    <row r="192" spans="1:15">
      <c r="A192" s="659" t="s">
        <v>391</v>
      </c>
      <c r="B192" s="659" t="s">
        <v>547</v>
      </c>
      <c r="C192" s="659">
        <v>0</v>
      </c>
      <c r="D192" s="659">
        <v>5.04</v>
      </c>
      <c r="E192" s="659" t="s">
        <v>49</v>
      </c>
      <c r="F192" s="659" t="s">
        <v>2290</v>
      </c>
      <c r="G192" s="659" t="s">
        <v>2309</v>
      </c>
      <c r="H192" s="659" t="s">
        <v>2161</v>
      </c>
      <c r="I192" s="659" t="s">
        <v>1636</v>
      </c>
      <c r="J192" s="659" t="s">
        <v>2159</v>
      </c>
      <c r="K192" s="662" t="str">
        <f t="shared" si="14"/>
        <v>DBaaS</v>
      </c>
      <c r="L192" s="660" t="str">
        <f t="shared" si="15"/>
        <v>HR</v>
      </c>
      <c r="M192" s="660" t="str">
        <f t="shared" si="16"/>
        <v>UC</v>
      </c>
      <c r="N192" s="660" t="str">
        <f t="shared" si="17"/>
        <v>PAAS</v>
      </c>
      <c r="O192" s="659" t="str">
        <f t="shared" si="18"/>
        <v/>
      </c>
    </row>
    <row r="193" spans="1:15">
      <c r="A193" s="659" t="s">
        <v>392</v>
      </c>
      <c r="B193" s="659" t="s">
        <v>548</v>
      </c>
      <c r="C193" s="659">
        <v>0</v>
      </c>
      <c r="D193" s="659">
        <v>6.72</v>
      </c>
      <c r="E193" s="659" t="s">
        <v>49</v>
      </c>
      <c r="F193" s="659" t="s">
        <v>2290</v>
      </c>
      <c r="G193" s="659" t="s">
        <v>2309</v>
      </c>
      <c r="H193" s="659" t="s">
        <v>2161</v>
      </c>
      <c r="I193" s="659" t="s">
        <v>1636</v>
      </c>
      <c r="J193" s="659" t="s">
        <v>2159</v>
      </c>
      <c r="K193" s="662" t="str">
        <f t="shared" si="14"/>
        <v>DBaaS</v>
      </c>
      <c r="L193" s="660" t="str">
        <f t="shared" si="15"/>
        <v>HR</v>
      </c>
      <c r="M193" s="660" t="str">
        <f t="shared" si="16"/>
        <v>UC</v>
      </c>
      <c r="N193" s="660" t="str">
        <f t="shared" si="17"/>
        <v>PAAS</v>
      </c>
      <c r="O193" s="659" t="str">
        <f t="shared" si="18"/>
        <v/>
      </c>
    </row>
    <row r="194" spans="1:15">
      <c r="A194" s="659" t="s">
        <v>25</v>
      </c>
      <c r="B194" s="659" t="s">
        <v>549</v>
      </c>
      <c r="C194" s="659">
        <v>0</v>
      </c>
      <c r="D194" s="659">
        <v>8.4</v>
      </c>
      <c r="E194" s="659" t="s">
        <v>49</v>
      </c>
      <c r="F194" s="659" t="s">
        <v>2290</v>
      </c>
      <c r="G194" s="659" t="s">
        <v>2309</v>
      </c>
      <c r="H194" s="659" t="s">
        <v>2161</v>
      </c>
      <c r="I194" s="659" t="s">
        <v>1636</v>
      </c>
      <c r="J194" s="659" t="s">
        <v>2159</v>
      </c>
      <c r="K194" s="662" t="str">
        <f t="shared" si="14"/>
        <v>DBaaS</v>
      </c>
      <c r="L194" s="660" t="str">
        <f t="shared" si="15"/>
        <v>HR</v>
      </c>
      <c r="M194" s="660" t="str">
        <f t="shared" si="16"/>
        <v>UC</v>
      </c>
      <c r="N194" s="660" t="str">
        <f t="shared" si="17"/>
        <v>PAAS</v>
      </c>
      <c r="O194" s="659" t="str">
        <f t="shared" si="18"/>
        <v/>
      </c>
    </row>
    <row r="195" spans="1:15">
      <c r="A195" s="659" t="s">
        <v>2260</v>
      </c>
      <c r="B195" s="659" t="s">
        <v>393</v>
      </c>
      <c r="C195" s="659">
        <v>0</v>
      </c>
      <c r="D195" s="659">
        <v>18000</v>
      </c>
      <c r="E195" s="659" t="s">
        <v>2178</v>
      </c>
      <c r="F195" s="659" t="s">
        <v>2290</v>
      </c>
      <c r="G195" s="659" t="s">
        <v>2558</v>
      </c>
      <c r="H195" s="659" t="s">
        <v>2394</v>
      </c>
      <c r="I195" s="659" t="s">
        <v>1637</v>
      </c>
      <c r="J195" s="659" t="s">
        <v>1637</v>
      </c>
      <c r="K195" s="662" t="str">
        <f t="shared" si="14"/>
        <v>Consulting</v>
      </c>
      <c r="L195" s="660" t="str">
        <f t="shared" si="15"/>
        <v>UNIT</v>
      </c>
      <c r="M195" s="660" t="str">
        <f t="shared" si="16"/>
        <v>SRV</v>
      </c>
      <c r="N195" s="660" t="str">
        <f t="shared" si="17"/>
        <v>SRV</v>
      </c>
      <c r="O195" s="659" t="str">
        <f t="shared" si="18"/>
        <v/>
      </c>
    </row>
    <row r="196" spans="1:15">
      <c r="A196" s="659" t="s">
        <v>394</v>
      </c>
      <c r="B196" s="659" t="s">
        <v>395</v>
      </c>
      <c r="C196" s="659">
        <v>0</v>
      </c>
      <c r="D196" s="659">
        <v>0.3584</v>
      </c>
      <c r="E196" s="659" t="s">
        <v>49</v>
      </c>
      <c r="F196" s="659" t="s">
        <v>2290</v>
      </c>
      <c r="G196" s="659" t="s">
        <v>1835</v>
      </c>
      <c r="H196" s="659" t="s">
        <v>2161</v>
      </c>
      <c r="I196" s="659" t="s">
        <v>1636</v>
      </c>
      <c r="J196" s="659" t="s">
        <v>2158</v>
      </c>
      <c r="K196" s="662" t="str">
        <f t="shared" ref="K196:K259" si="19">_xlfn.IFS(
ISNUMBER(SEARCH("Day",E196)),"Consulting",
ISNUMBER(SEARCH("Starter Pack",B196)),"Consulting",
ISNUMBER(SEARCH("Design",B196)),"Consulting",
ISNUMBER(SEARCH("Deploy",B196)),"Consulting",
ISNUMBER(SEARCH("Expert",B196)),"Consulting",
ISNUMBER(SEARCH("Installation",B196)),"Consulting",
ISNUMBER(SEARCH("Recommendation",B196)),"Consulting",
ISNUMBER(SEARCH("Transition",B196)),"Consulting",
ISNUMBER(SEARCH("Transition",B196)),"Support",
ISNUMBER(SEARCH("Transition",B196)),"Foundation Service",
ISNUMBER(SEARCH("Consulting",B196)),"Consulting",
ISNUMBER(SEARCH("in Advance",B196)),"New",
ISNUMBER(SEARCH("Universal Credits",B196)),"UC",
ISNUMBER(SEARCH("Ravello",B196)),"Deprecated",
ISNUMBER(SEARCH("Cloud Machine",B196)),"Deprecated",
ISNUMBER(SEARCH("Compute",B196)),"Compute",
ISNUMBER(SEARCH("Load Balancer",B196)),"Network",
ISNUMBER(SEARCH("FastConnect",B196)),"Network",
ISNUMBER(SEARCH("Database OCPU",B196)),"CC OCPU",
ISNUMBER(SEARCH("at Customer",B196)),"CC",
ISNUMBER(SEARCH("Cloud@Customer",B196)),"CC",
ISNUMBER(SEARCH("Exadata Storage",B196)),"Exa Storage",
ISNUMBER(SEARCH("Storage",B196)),"Storage",
ISNUMBER(SEARCH("Block ",B196)),"Storage",
ISNUMBER(SEARCH("Autonomous Data Warehouse",B196)),"ADW",
ISNUMBER(SEARCH("Autonomous Transaction Processing",B196)),"ATP",
ISNUMBER(SEARCH("Database Exadata",B196)),"ExaCS",
ISNUMBER(SEARCH("Database",B196)),"DBaaS",
ISNUMBER(SEARCH("Essbase",B196)),"DBaaS",
ISNUMBER(SEARCH("integration",B196)),"Integration",
ISNUMBER(SEARCH("SOA",B196)),"Integration",
ISNUMBER(SEARCH("Management Cloud",B196)),"Management",
ISNUMBER(SEARCH("Analytics",B196)),"Analytics",
ISNUMBER(SEARCH("Storage",B196)),"Storage",
ISNUMBER(SEARCH("Block ",B196)),"Storage",
ISNUMBER(SEARCH("Identity",B196)),"Platform",
ISNUMBER(SEARCH("Content",B196)),"Platform",
ISNUMBER(SEARCH("Weblogic",B196)),"Platform",
ISNUMBER(SEARCH("Digital Assistant",B196)),"Platform",
ISNUMBER(SEARCH("Limited",B196)),"Classic",
ISNUMBER(SEARCH("Classic",B196)),"Classic",
ISNUMBER(SEARCH("Government",B196)),"Government",
ISNUMBER(SEARCH("Metered",B196)),"Deprecated",
VALUE(RIGHT(A196,5))&lt;88206,"Deprecated",
TRUE,"Platform")</f>
        <v>Compute</v>
      </c>
      <c r="L196" s="660" t="str">
        <f t="shared" si="15"/>
        <v>HR</v>
      </c>
      <c r="M196" s="660" t="str">
        <f t="shared" si="16"/>
        <v>UC</v>
      </c>
      <c r="N196" s="660" t="str">
        <f t="shared" si="17"/>
        <v>IAAS</v>
      </c>
      <c r="O196" s="659" t="str">
        <f t="shared" si="18"/>
        <v/>
      </c>
    </row>
    <row r="197" spans="1:15">
      <c r="A197" s="659" t="s">
        <v>396</v>
      </c>
      <c r="B197" s="659" t="s">
        <v>397</v>
      </c>
      <c r="C197" s="659">
        <v>0</v>
      </c>
      <c r="D197" s="659">
        <v>6000</v>
      </c>
      <c r="E197" s="659" t="s">
        <v>2168</v>
      </c>
      <c r="F197" s="659" t="s">
        <v>2290</v>
      </c>
      <c r="G197" s="659" t="s">
        <v>1839</v>
      </c>
      <c r="H197" s="659" t="s">
        <v>2394</v>
      </c>
      <c r="I197" s="659" t="s">
        <v>1636</v>
      </c>
      <c r="J197" s="659" t="s">
        <v>2159</v>
      </c>
      <c r="K197" s="662" t="str">
        <f t="shared" si="19"/>
        <v>Analytics</v>
      </c>
      <c r="L197" s="660" t="str">
        <f t="shared" si="15"/>
        <v>UNIT</v>
      </c>
      <c r="M197" s="660" t="str">
        <f t="shared" si="16"/>
        <v>UC</v>
      </c>
      <c r="N197" s="660" t="str">
        <f t="shared" si="17"/>
        <v>PAAS</v>
      </c>
      <c r="O197" s="659" t="str">
        <f t="shared" si="18"/>
        <v/>
      </c>
    </row>
    <row r="198" spans="1:15">
      <c r="A198" s="659" t="s">
        <v>398</v>
      </c>
      <c r="B198" s="659">
        <v>0</v>
      </c>
      <c r="C198" s="659">
        <v>0</v>
      </c>
      <c r="D198" s="659">
        <v>10.081</v>
      </c>
      <c r="E198" s="659" t="s">
        <v>49</v>
      </c>
      <c r="F198" s="659" t="s">
        <v>2290</v>
      </c>
      <c r="G198" s="659" t="s">
        <v>2393</v>
      </c>
      <c r="H198" s="659" t="s">
        <v>2161</v>
      </c>
      <c r="I198" s="659" t="s">
        <v>1636</v>
      </c>
      <c r="J198" s="659" t="s">
        <v>2159</v>
      </c>
      <c r="K198" s="662" t="str">
        <f t="shared" si="19"/>
        <v>Deprecated</v>
      </c>
      <c r="L198" s="660" t="str">
        <f t="shared" si="15"/>
        <v>HR</v>
      </c>
      <c r="M198" s="660" t="str">
        <f t="shared" si="16"/>
        <v>UC</v>
      </c>
      <c r="N198" s="660" t="str">
        <f t="shared" si="17"/>
        <v>PAAS</v>
      </c>
      <c r="O198" s="659" t="str">
        <f t="shared" si="18"/>
        <v/>
      </c>
    </row>
    <row r="199" spans="1:15">
      <c r="A199" s="659" t="s">
        <v>399</v>
      </c>
      <c r="B199" s="659" t="s">
        <v>400</v>
      </c>
      <c r="C199" s="659">
        <v>0</v>
      </c>
      <c r="D199" s="659">
        <v>12000</v>
      </c>
      <c r="E199" s="659" t="s">
        <v>2168</v>
      </c>
      <c r="F199" s="659" t="s">
        <v>2290</v>
      </c>
      <c r="G199" s="659" t="s">
        <v>1839</v>
      </c>
      <c r="H199" s="659" t="s">
        <v>2394</v>
      </c>
      <c r="I199" s="659" t="s">
        <v>1636</v>
      </c>
      <c r="J199" s="659" t="s">
        <v>2159</v>
      </c>
      <c r="K199" s="662" t="str">
        <f t="shared" si="19"/>
        <v>Analytics</v>
      </c>
      <c r="L199" s="660" t="str">
        <f t="shared" si="15"/>
        <v>UNIT</v>
      </c>
      <c r="M199" s="660" t="str">
        <f t="shared" si="16"/>
        <v>UC</v>
      </c>
      <c r="N199" s="660" t="str">
        <f t="shared" si="17"/>
        <v>PAAS</v>
      </c>
      <c r="O199" s="659" t="str">
        <f t="shared" si="18"/>
        <v/>
      </c>
    </row>
    <row r="200" spans="1:15">
      <c r="A200" s="659" t="s">
        <v>401</v>
      </c>
      <c r="B200" s="659">
        <v>0</v>
      </c>
      <c r="C200" s="659">
        <v>0</v>
      </c>
      <c r="D200" s="659">
        <v>20.161000000000001</v>
      </c>
      <c r="E200" s="659" t="s">
        <v>49</v>
      </c>
      <c r="F200" s="659" t="s">
        <v>2290</v>
      </c>
      <c r="G200" s="659" t="s">
        <v>2393</v>
      </c>
      <c r="H200" s="659" t="s">
        <v>2161</v>
      </c>
      <c r="I200" s="659" t="s">
        <v>1636</v>
      </c>
      <c r="J200" s="659" t="s">
        <v>2159</v>
      </c>
      <c r="K200" s="662" t="str">
        <f t="shared" si="19"/>
        <v>Deprecated</v>
      </c>
      <c r="L200" s="660" t="str">
        <f t="shared" si="15"/>
        <v>HR</v>
      </c>
      <c r="M200" s="660" t="str">
        <f t="shared" si="16"/>
        <v>UC</v>
      </c>
      <c r="N200" s="660" t="str">
        <f t="shared" si="17"/>
        <v>PAAS</v>
      </c>
      <c r="O200" s="659" t="str">
        <f t="shared" si="18"/>
        <v/>
      </c>
    </row>
    <row r="201" spans="1:15">
      <c r="A201" s="659" t="s">
        <v>402</v>
      </c>
      <c r="B201" s="659" t="s">
        <v>403</v>
      </c>
      <c r="C201" s="659">
        <v>0</v>
      </c>
      <c r="D201" s="659">
        <v>1</v>
      </c>
      <c r="E201" s="659">
        <v>0</v>
      </c>
      <c r="F201" s="659" t="s">
        <v>2290</v>
      </c>
      <c r="G201" s="659" t="s">
        <v>1839</v>
      </c>
      <c r="H201" s="659" t="s">
        <v>2394</v>
      </c>
      <c r="I201" s="659" t="s">
        <v>1636</v>
      </c>
      <c r="J201" s="659" t="s">
        <v>2159</v>
      </c>
      <c r="K201" s="662" t="str">
        <f t="shared" si="19"/>
        <v>Analytics</v>
      </c>
      <c r="L201" s="660" t="str">
        <f t="shared" si="15"/>
        <v>UNIT</v>
      </c>
      <c r="M201" s="660" t="str">
        <f t="shared" si="16"/>
        <v>UC</v>
      </c>
      <c r="N201" s="660" t="str">
        <f t="shared" si="17"/>
        <v>PAAS</v>
      </c>
      <c r="O201" s="659" t="str">
        <f t="shared" si="18"/>
        <v/>
      </c>
    </row>
    <row r="202" spans="1:15">
      <c r="A202" s="659" t="s">
        <v>404</v>
      </c>
      <c r="B202" s="659" t="s">
        <v>405</v>
      </c>
      <c r="C202" s="659">
        <v>0</v>
      </c>
      <c r="D202" s="659">
        <v>6000</v>
      </c>
      <c r="E202" s="659" t="s">
        <v>2168</v>
      </c>
      <c r="F202" s="659" t="s">
        <v>2290</v>
      </c>
      <c r="G202" s="659" t="s">
        <v>2393</v>
      </c>
      <c r="H202" s="659" t="s">
        <v>2394</v>
      </c>
      <c r="I202" s="659" t="s">
        <v>1636</v>
      </c>
      <c r="J202" s="659" t="s">
        <v>2159</v>
      </c>
      <c r="K202" s="662" t="str">
        <f t="shared" si="19"/>
        <v>Deprecated</v>
      </c>
      <c r="L202" s="660" t="str">
        <f t="shared" si="15"/>
        <v>UNIT</v>
      </c>
      <c r="M202" s="660" t="str">
        <f t="shared" si="16"/>
        <v>UC</v>
      </c>
      <c r="N202" s="660" t="str">
        <f t="shared" si="17"/>
        <v>PAAS</v>
      </c>
      <c r="O202" s="659" t="str">
        <f t="shared" si="18"/>
        <v/>
      </c>
    </row>
    <row r="203" spans="1:15">
      <c r="A203" s="659" t="s">
        <v>130</v>
      </c>
      <c r="B203" s="659">
        <v>0</v>
      </c>
      <c r="C203" s="659" t="s">
        <v>566</v>
      </c>
      <c r="D203" s="659">
        <v>10.081</v>
      </c>
      <c r="E203" s="659" t="s">
        <v>49</v>
      </c>
      <c r="F203" s="659" t="s">
        <v>2290</v>
      </c>
      <c r="G203" s="659" t="s">
        <v>2393</v>
      </c>
      <c r="H203" s="659" t="s">
        <v>2161</v>
      </c>
      <c r="I203" s="659" t="s">
        <v>1636</v>
      </c>
      <c r="J203" s="659" t="s">
        <v>2159</v>
      </c>
      <c r="K203" s="662" t="str">
        <f t="shared" si="19"/>
        <v>Deprecated</v>
      </c>
      <c r="L203" s="660" t="str">
        <f t="shared" ref="L203:L266" si="20">_xlfn.IFS(ISNUMBER(SEARCH("Hour",E203)),"HR",ISNUMBER(SEARCH("Gigabyte",E203)),"GB",ISNUMBER(SEARCH("Terabyte",E203)),"TB",ISNUMBER(SEARCH("Requests",E203)),"REQ",ISNUMBER(SEARCH("Each",E203)),"EA",ISNUMBER(SEARCH("Day",E203)),"DAY","TRUE","UNIT")</f>
        <v>HR</v>
      </c>
      <c r="M203" s="660" t="str">
        <f t="shared" ref="M203:M266" si="21">_xlfn.IFS(K203="CC","CC",K203="Consulting","SRV",F203="Y","UC0",TRUE,"UC")</f>
        <v>UC</v>
      </c>
      <c r="N203" s="660" t="str">
        <f t="shared" ref="N203:N266" si="22">_xlfn.IFS(ISNUMBER(SEARCH("BYOL",B203)),"BYOL",K203="Storage","IAAS",K203="Compute","IAAS",K203="Network","IAAS",K203="Service","IAAS",M203="SRV","SRV",M203="CC","CC",L203="REQ","IAAS",TRUE,"PAAS")</f>
        <v>PAAS</v>
      </c>
      <c r="O203" s="659" t="str">
        <f t="shared" ref="O203:O266" si="23">IF(G203=K203,"","error")</f>
        <v/>
      </c>
    </row>
    <row r="204" spans="1:15">
      <c r="A204" s="659" t="s">
        <v>1405</v>
      </c>
      <c r="B204" s="659" t="s">
        <v>2519</v>
      </c>
      <c r="C204" s="659">
        <v>0</v>
      </c>
      <c r="D204" s="659">
        <v>1250</v>
      </c>
      <c r="E204" s="659" t="s">
        <v>2520</v>
      </c>
      <c r="F204" s="659" t="s">
        <v>2290</v>
      </c>
      <c r="G204" s="659" t="s">
        <v>2558</v>
      </c>
      <c r="H204" s="659" t="s">
        <v>2574</v>
      </c>
      <c r="I204" s="659" t="s">
        <v>1637</v>
      </c>
      <c r="J204" s="659" t="s">
        <v>1637</v>
      </c>
      <c r="K204" s="662" t="str">
        <f t="shared" si="19"/>
        <v>Consulting</v>
      </c>
      <c r="L204" s="660" t="str">
        <f t="shared" si="20"/>
        <v>DAY</v>
      </c>
      <c r="M204" s="660" t="str">
        <f t="shared" si="21"/>
        <v>SRV</v>
      </c>
      <c r="N204" s="660" t="str">
        <f t="shared" si="22"/>
        <v>SRV</v>
      </c>
      <c r="O204" s="659" t="str">
        <f t="shared" si="23"/>
        <v/>
      </c>
    </row>
    <row r="205" spans="1:15">
      <c r="A205" s="659" t="s">
        <v>1406</v>
      </c>
      <c r="B205" s="659" t="s">
        <v>2521</v>
      </c>
      <c r="C205" s="659">
        <v>0</v>
      </c>
      <c r="D205" s="659">
        <v>1500</v>
      </c>
      <c r="E205" s="659" t="s">
        <v>2520</v>
      </c>
      <c r="F205" s="659" t="s">
        <v>2290</v>
      </c>
      <c r="G205" s="659" t="s">
        <v>2558</v>
      </c>
      <c r="H205" s="659" t="s">
        <v>2574</v>
      </c>
      <c r="I205" s="659" t="s">
        <v>1637</v>
      </c>
      <c r="J205" s="659" t="s">
        <v>1637</v>
      </c>
      <c r="K205" s="662" t="str">
        <f t="shared" si="19"/>
        <v>Consulting</v>
      </c>
      <c r="L205" s="660" t="str">
        <f t="shared" si="20"/>
        <v>DAY</v>
      </c>
      <c r="M205" s="660" t="str">
        <f t="shared" si="21"/>
        <v>SRV</v>
      </c>
      <c r="N205" s="660" t="str">
        <f t="shared" si="22"/>
        <v>SRV</v>
      </c>
      <c r="O205" s="659" t="str">
        <f t="shared" si="23"/>
        <v/>
      </c>
    </row>
    <row r="206" spans="1:15">
      <c r="A206" s="659" t="s">
        <v>1407</v>
      </c>
      <c r="B206" s="659" t="s">
        <v>2522</v>
      </c>
      <c r="C206" s="659">
        <v>0</v>
      </c>
      <c r="D206" s="659">
        <v>1250</v>
      </c>
      <c r="E206" s="659" t="s">
        <v>2520</v>
      </c>
      <c r="F206" s="659" t="s">
        <v>2290</v>
      </c>
      <c r="G206" s="659" t="s">
        <v>2558</v>
      </c>
      <c r="H206" s="659" t="s">
        <v>2574</v>
      </c>
      <c r="I206" s="659" t="s">
        <v>1637</v>
      </c>
      <c r="J206" s="659" t="s">
        <v>1637</v>
      </c>
      <c r="K206" s="662" t="str">
        <f t="shared" si="19"/>
        <v>Consulting</v>
      </c>
      <c r="L206" s="660" t="str">
        <f t="shared" si="20"/>
        <v>DAY</v>
      </c>
      <c r="M206" s="660" t="str">
        <f t="shared" si="21"/>
        <v>SRV</v>
      </c>
      <c r="N206" s="660" t="str">
        <f t="shared" si="22"/>
        <v>SRV</v>
      </c>
      <c r="O206" s="659" t="str">
        <f t="shared" si="23"/>
        <v/>
      </c>
    </row>
    <row r="207" spans="1:15">
      <c r="A207" s="659" t="s">
        <v>1408</v>
      </c>
      <c r="B207" s="659" t="s">
        <v>2523</v>
      </c>
      <c r="C207" s="659">
        <v>0</v>
      </c>
      <c r="D207" s="659">
        <v>1500</v>
      </c>
      <c r="E207" s="659" t="s">
        <v>2520</v>
      </c>
      <c r="F207" s="659" t="s">
        <v>2290</v>
      </c>
      <c r="G207" s="659" t="s">
        <v>2558</v>
      </c>
      <c r="H207" s="659" t="s">
        <v>2574</v>
      </c>
      <c r="I207" s="659" t="s">
        <v>1637</v>
      </c>
      <c r="J207" s="659" t="s">
        <v>1637</v>
      </c>
      <c r="K207" s="662" t="str">
        <f t="shared" si="19"/>
        <v>Consulting</v>
      </c>
      <c r="L207" s="660" t="str">
        <f t="shared" si="20"/>
        <v>DAY</v>
      </c>
      <c r="M207" s="660" t="str">
        <f t="shared" si="21"/>
        <v>SRV</v>
      </c>
      <c r="N207" s="660" t="str">
        <f t="shared" si="22"/>
        <v>SRV</v>
      </c>
      <c r="O207" s="659" t="str">
        <f t="shared" si="23"/>
        <v/>
      </c>
    </row>
    <row r="208" spans="1:15">
      <c r="A208" s="659" t="s">
        <v>2840</v>
      </c>
      <c r="B208" s="659" t="s">
        <v>2524</v>
      </c>
      <c r="C208" s="659">
        <v>0</v>
      </c>
      <c r="D208" s="659">
        <v>1250</v>
      </c>
      <c r="E208" s="659" t="s">
        <v>2520</v>
      </c>
      <c r="F208" s="659" t="s">
        <v>2290</v>
      </c>
      <c r="G208" s="659" t="s">
        <v>2558</v>
      </c>
      <c r="H208" s="659" t="s">
        <v>2574</v>
      </c>
      <c r="I208" s="659" t="s">
        <v>1637</v>
      </c>
      <c r="J208" s="659" t="s">
        <v>1637</v>
      </c>
      <c r="K208" s="662" t="str">
        <f t="shared" si="19"/>
        <v>Consulting</v>
      </c>
      <c r="L208" s="660" t="str">
        <f t="shared" si="20"/>
        <v>DAY</v>
      </c>
      <c r="M208" s="660" t="str">
        <f t="shared" si="21"/>
        <v>SRV</v>
      </c>
      <c r="N208" s="660" t="str">
        <f t="shared" si="22"/>
        <v>SRV</v>
      </c>
      <c r="O208" s="659" t="str">
        <f t="shared" si="23"/>
        <v/>
      </c>
    </row>
    <row r="209" spans="1:15">
      <c r="A209" s="659" t="s">
        <v>1409</v>
      </c>
      <c r="B209" s="659" t="s">
        <v>2525</v>
      </c>
      <c r="C209" s="659">
        <v>0</v>
      </c>
      <c r="D209" s="659">
        <v>1500</v>
      </c>
      <c r="E209" s="659" t="s">
        <v>2520</v>
      </c>
      <c r="F209" s="659" t="s">
        <v>2290</v>
      </c>
      <c r="G209" s="659" t="s">
        <v>2558</v>
      </c>
      <c r="H209" s="659" t="s">
        <v>2574</v>
      </c>
      <c r="I209" s="659" t="s">
        <v>1637</v>
      </c>
      <c r="J209" s="659" t="s">
        <v>1637</v>
      </c>
      <c r="K209" s="662" t="str">
        <f t="shared" si="19"/>
        <v>Consulting</v>
      </c>
      <c r="L209" s="660" t="str">
        <f t="shared" si="20"/>
        <v>DAY</v>
      </c>
      <c r="M209" s="660" t="str">
        <f t="shared" si="21"/>
        <v>SRV</v>
      </c>
      <c r="N209" s="660" t="str">
        <f t="shared" si="22"/>
        <v>SRV</v>
      </c>
      <c r="O209" s="659" t="str">
        <f t="shared" si="23"/>
        <v/>
      </c>
    </row>
    <row r="210" spans="1:15">
      <c r="A210" s="659" t="s">
        <v>1410</v>
      </c>
      <c r="B210" s="659" t="s">
        <v>2526</v>
      </c>
      <c r="C210" s="659">
        <v>0</v>
      </c>
      <c r="D210" s="659">
        <v>1250</v>
      </c>
      <c r="E210" s="659" t="s">
        <v>2520</v>
      </c>
      <c r="F210" s="659" t="s">
        <v>2290</v>
      </c>
      <c r="G210" s="659" t="s">
        <v>2558</v>
      </c>
      <c r="H210" s="659" t="s">
        <v>2574</v>
      </c>
      <c r="I210" s="659" t="s">
        <v>1637</v>
      </c>
      <c r="J210" s="659" t="s">
        <v>1637</v>
      </c>
      <c r="K210" s="662" t="str">
        <f t="shared" si="19"/>
        <v>Consulting</v>
      </c>
      <c r="L210" s="660" t="str">
        <f t="shared" si="20"/>
        <v>DAY</v>
      </c>
      <c r="M210" s="660" t="str">
        <f t="shared" si="21"/>
        <v>SRV</v>
      </c>
      <c r="N210" s="660" t="str">
        <f t="shared" si="22"/>
        <v>SRV</v>
      </c>
      <c r="O210" s="659" t="str">
        <f t="shared" si="23"/>
        <v/>
      </c>
    </row>
    <row r="211" spans="1:15">
      <c r="A211" s="659" t="s">
        <v>2841</v>
      </c>
      <c r="B211" s="659" t="s">
        <v>2527</v>
      </c>
      <c r="C211" s="659">
        <v>0</v>
      </c>
      <c r="D211" s="659">
        <v>1500</v>
      </c>
      <c r="E211" s="659" t="s">
        <v>2520</v>
      </c>
      <c r="F211" s="659" t="s">
        <v>2290</v>
      </c>
      <c r="G211" s="659" t="s">
        <v>2558</v>
      </c>
      <c r="H211" s="659" t="s">
        <v>2574</v>
      </c>
      <c r="I211" s="659" t="s">
        <v>1637</v>
      </c>
      <c r="J211" s="659" t="s">
        <v>1637</v>
      </c>
      <c r="K211" s="662" t="str">
        <f t="shared" si="19"/>
        <v>Consulting</v>
      </c>
      <c r="L211" s="660" t="str">
        <f t="shared" si="20"/>
        <v>DAY</v>
      </c>
      <c r="M211" s="660" t="str">
        <f t="shared" si="21"/>
        <v>SRV</v>
      </c>
      <c r="N211" s="660" t="str">
        <f t="shared" si="22"/>
        <v>SRV</v>
      </c>
      <c r="O211" s="659" t="str">
        <f t="shared" si="23"/>
        <v/>
      </c>
    </row>
    <row r="212" spans="1:15">
      <c r="A212" s="659" t="s">
        <v>406</v>
      </c>
      <c r="B212" s="659" t="s">
        <v>407</v>
      </c>
      <c r="C212" s="659">
        <v>0</v>
      </c>
      <c r="D212" s="659">
        <v>110000</v>
      </c>
      <c r="E212" s="659" t="s">
        <v>2178</v>
      </c>
      <c r="F212" s="659" t="s">
        <v>2290</v>
      </c>
      <c r="G212" s="659" t="s">
        <v>1838</v>
      </c>
      <c r="H212" s="659" t="s">
        <v>2394</v>
      </c>
      <c r="I212" s="659" t="s">
        <v>1636</v>
      </c>
      <c r="J212" s="659" t="s">
        <v>2159</v>
      </c>
      <c r="K212" s="662" t="str">
        <f t="shared" si="19"/>
        <v>ExaCS</v>
      </c>
      <c r="L212" s="660" t="str">
        <f t="shared" si="20"/>
        <v>UNIT</v>
      </c>
      <c r="M212" s="660" t="str">
        <f t="shared" si="21"/>
        <v>UC</v>
      </c>
      <c r="N212" s="660" t="str">
        <f t="shared" si="22"/>
        <v>PAAS</v>
      </c>
      <c r="O212" s="659" t="str">
        <f t="shared" si="23"/>
        <v/>
      </c>
    </row>
    <row r="213" spans="1:15">
      <c r="A213" s="659" t="s">
        <v>408</v>
      </c>
      <c r="B213" s="659" t="s">
        <v>409</v>
      </c>
      <c r="C213" s="659">
        <v>0</v>
      </c>
      <c r="D213" s="659">
        <v>220000</v>
      </c>
      <c r="E213" s="659" t="s">
        <v>2178</v>
      </c>
      <c r="F213" s="659" t="s">
        <v>2290</v>
      </c>
      <c r="G213" s="659" t="s">
        <v>1838</v>
      </c>
      <c r="H213" s="659" t="s">
        <v>2394</v>
      </c>
      <c r="I213" s="659" t="s">
        <v>1636</v>
      </c>
      <c r="J213" s="659" t="s">
        <v>2159</v>
      </c>
      <c r="K213" s="662" t="str">
        <f t="shared" si="19"/>
        <v>ExaCS</v>
      </c>
      <c r="L213" s="660" t="str">
        <f t="shared" si="20"/>
        <v>UNIT</v>
      </c>
      <c r="M213" s="660" t="str">
        <f t="shared" si="21"/>
        <v>UC</v>
      </c>
      <c r="N213" s="660" t="str">
        <f t="shared" si="22"/>
        <v>PAAS</v>
      </c>
      <c r="O213" s="659" t="str">
        <f t="shared" si="23"/>
        <v/>
      </c>
    </row>
    <row r="214" spans="1:15">
      <c r="A214" s="659" t="s">
        <v>410</v>
      </c>
      <c r="B214" s="659" t="s">
        <v>411</v>
      </c>
      <c r="C214" s="659">
        <v>0</v>
      </c>
      <c r="D214" s="659">
        <v>440000</v>
      </c>
      <c r="E214" s="659" t="s">
        <v>2178</v>
      </c>
      <c r="F214" s="659" t="s">
        <v>2290</v>
      </c>
      <c r="G214" s="659" t="s">
        <v>1838</v>
      </c>
      <c r="H214" s="659" t="s">
        <v>2394</v>
      </c>
      <c r="I214" s="659" t="s">
        <v>1636</v>
      </c>
      <c r="J214" s="659" t="s">
        <v>2159</v>
      </c>
      <c r="K214" s="662" t="str">
        <f t="shared" si="19"/>
        <v>ExaCS</v>
      </c>
      <c r="L214" s="660" t="str">
        <f t="shared" si="20"/>
        <v>UNIT</v>
      </c>
      <c r="M214" s="660" t="str">
        <f t="shared" si="21"/>
        <v>UC</v>
      </c>
      <c r="N214" s="660" t="str">
        <f t="shared" si="22"/>
        <v>PAAS</v>
      </c>
      <c r="O214" s="659" t="str">
        <f t="shared" si="23"/>
        <v/>
      </c>
    </row>
    <row r="215" spans="1:15">
      <c r="A215" s="659" t="s">
        <v>412</v>
      </c>
      <c r="B215" s="659" t="s">
        <v>550</v>
      </c>
      <c r="C215" s="659">
        <v>0</v>
      </c>
      <c r="D215" s="659">
        <v>0.1</v>
      </c>
      <c r="E215" s="659" t="s">
        <v>2175</v>
      </c>
      <c r="F215" s="659" t="s">
        <v>2290</v>
      </c>
      <c r="G215" s="659" t="s">
        <v>1840</v>
      </c>
      <c r="H215" s="659" t="s">
        <v>2162</v>
      </c>
      <c r="I215" s="659" t="s">
        <v>1636</v>
      </c>
      <c r="J215" s="659" t="s">
        <v>2158</v>
      </c>
      <c r="K215" s="662" t="str">
        <f t="shared" si="19"/>
        <v>Storage</v>
      </c>
      <c r="L215" s="660" t="str">
        <f t="shared" si="20"/>
        <v>GB</v>
      </c>
      <c r="M215" s="660" t="str">
        <f t="shared" si="21"/>
        <v>UC</v>
      </c>
      <c r="N215" s="660" t="str">
        <f t="shared" si="22"/>
        <v>IAAS</v>
      </c>
      <c r="O215" s="659" t="str">
        <f t="shared" si="23"/>
        <v/>
      </c>
    </row>
    <row r="216" spans="1:15">
      <c r="A216" s="659" t="s">
        <v>1299</v>
      </c>
      <c r="B216" s="659" t="s">
        <v>1300</v>
      </c>
      <c r="C216" s="659">
        <v>0</v>
      </c>
      <c r="D216" s="659">
        <v>83335</v>
      </c>
      <c r="E216" s="659" t="s">
        <v>1154</v>
      </c>
      <c r="F216" s="659" t="s">
        <v>588</v>
      </c>
      <c r="G216" s="659" t="s">
        <v>2393</v>
      </c>
      <c r="H216" s="659" t="s">
        <v>2397</v>
      </c>
      <c r="I216" s="659" t="s">
        <v>2398</v>
      </c>
      <c r="J216" s="659" t="s">
        <v>2159</v>
      </c>
      <c r="K216" s="662" t="str">
        <f t="shared" si="19"/>
        <v>Deprecated</v>
      </c>
      <c r="L216" s="660" t="str">
        <f t="shared" si="20"/>
        <v>EA</v>
      </c>
      <c r="M216" s="660" t="str">
        <f t="shared" si="21"/>
        <v>UC0</v>
      </c>
      <c r="N216" s="660" t="str">
        <f t="shared" si="22"/>
        <v>PAAS</v>
      </c>
      <c r="O216" s="659" t="str">
        <f t="shared" si="23"/>
        <v/>
      </c>
    </row>
    <row r="217" spans="1:15">
      <c r="A217" s="659" t="s">
        <v>1301</v>
      </c>
      <c r="B217" s="659" t="s">
        <v>1302</v>
      </c>
      <c r="C217" s="659">
        <v>0</v>
      </c>
      <c r="D217" s="659">
        <v>11760</v>
      </c>
      <c r="E217" s="659" t="s">
        <v>1154</v>
      </c>
      <c r="F217" s="659" t="s">
        <v>2290</v>
      </c>
      <c r="G217" s="659" t="s">
        <v>2393</v>
      </c>
      <c r="H217" s="659" t="s">
        <v>2397</v>
      </c>
      <c r="I217" s="659" t="s">
        <v>1636</v>
      </c>
      <c r="J217" s="659" t="s">
        <v>2159</v>
      </c>
      <c r="K217" s="662" t="str">
        <f t="shared" si="19"/>
        <v>Deprecated</v>
      </c>
      <c r="L217" s="660" t="str">
        <f t="shared" si="20"/>
        <v>EA</v>
      </c>
      <c r="M217" s="660" t="str">
        <f t="shared" si="21"/>
        <v>UC</v>
      </c>
      <c r="N217" s="660" t="str">
        <f t="shared" si="22"/>
        <v>PAAS</v>
      </c>
      <c r="O217" s="659" t="str">
        <f t="shared" si="23"/>
        <v/>
      </c>
    </row>
    <row r="218" spans="1:15">
      <c r="A218" s="659" t="s">
        <v>1303</v>
      </c>
      <c r="B218" s="659" t="s">
        <v>1873</v>
      </c>
      <c r="C218" s="659">
        <v>0</v>
      </c>
      <c r="D218" s="659">
        <v>30090</v>
      </c>
      <c r="E218" s="659" t="s">
        <v>1154</v>
      </c>
      <c r="F218" s="659" t="s">
        <v>2290</v>
      </c>
      <c r="G218" s="659" t="s">
        <v>2393</v>
      </c>
      <c r="H218" s="659" t="s">
        <v>2397</v>
      </c>
      <c r="I218" s="659" t="s">
        <v>1636</v>
      </c>
      <c r="J218" s="659" t="s">
        <v>2159</v>
      </c>
      <c r="K218" s="662" t="str">
        <f t="shared" si="19"/>
        <v>Deprecated</v>
      </c>
      <c r="L218" s="660" t="str">
        <f t="shared" si="20"/>
        <v>EA</v>
      </c>
      <c r="M218" s="660" t="str">
        <f t="shared" si="21"/>
        <v>UC</v>
      </c>
      <c r="N218" s="660" t="str">
        <f t="shared" si="22"/>
        <v>PAAS</v>
      </c>
      <c r="O218" s="659" t="str">
        <f t="shared" si="23"/>
        <v/>
      </c>
    </row>
    <row r="219" spans="1:15">
      <c r="A219" s="659" t="s">
        <v>1304</v>
      </c>
      <c r="B219" s="659" t="s">
        <v>1305</v>
      </c>
      <c r="C219" s="659">
        <v>0</v>
      </c>
      <c r="D219" s="659">
        <v>57150</v>
      </c>
      <c r="E219" s="659" t="s">
        <v>1154</v>
      </c>
      <c r="F219" s="659" t="s">
        <v>2290</v>
      </c>
      <c r="G219" s="659" t="s">
        <v>2393</v>
      </c>
      <c r="H219" s="659" t="s">
        <v>2397</v>
      </c>
      <c r="I219" s="659" t="s">
        <v>1636</v>
      </c>
      <c r="J219" s="659" t="s">
        <v>2159</v>
      </c>
      <c r="K219" s="662" t="str">
        <f t="shared" si="19"/>
        <v>Deprecated</v>
      </c>
      <c r="L219" s="660" t="str">
        <f t="shared" si="20"/>
        <v>EA</v>
      </c>
      <c r="M219" s="660" t="str">
        <f t="shared" si="21"/>
        <v>UC</v>
      </c>
      <c r="N219" s="660" t="str">
        <f t="shared" si="22"/>
        <v>PAAS</v>
      </c>
      <c r="O219" s="659" t="str">
        <f t="shared" si="23"/>
        <v/>
      </c>
    </row>
    <row r="220" spans="1:15">
      <c r="A220" s="659" t="s">
        <v>19</v>
      </c>
      <c r="B220" s="659" t="s">
        <v>551</v>
      </c>
      <c r="C220" s="659">
        <v>0</v>
      </c>
      <c r="D220" s="659">
        <v>9.1999999999999998E-2</v>
      </c>
      <c r="E220" s="659" t="s">
        <v>49</v>
      </c>
      <c r="F220" s="659" t="s">
        <v>588</v>
      </c>
      <c r="G220" s="659" t="s">
        <v>1835</v>
      </c>
      <c r="H220" s="659" t="s">
        <v>2161</v>
      </c>
      <c r="I220" s="659" t="s">
        <v>2398</v>
      </c>
      <c r="J220" s="659" t="s">
        <v>2158</v>
      </c>
      <c r="K220" s="662" t="str">
        <f t="shared" si="19"/>
        <v>Compute</v>
      </c>
      <c r="L220" s="660" t="str">
        <f t="shared" si="20"/>
        <v>HR</v>
      </c>
      <c r="M220" s="660" t="str">
        <f t="shared" si="21"/>
        <v>UC0</v>
      </c>
      <c r="N220" s="660" t="str">
        <f t="shared" si="22"/>
        <v>IAAS</v>
      </c>
      <c r="O220" s="659" t="str">
        <f t="shared" si="23"/>
        <v/>
      </c>
    </row>
    <row r="221" spans="1:15">
      <c r="A221" s="659" t="s">
        <v>1411</v>
      </c>
      <c r="B221" s="659" t="s">
        <v>1412</v>
      </c>
      <c r="C221" s="659">
        <v>0</v>
      </c>
      <c r="D221" s="659">
        <v>1250</v>
      </c>
      <c r="E221" s="659" t="s">
        <v>2520</v>
      </c>
      <c r="F221" s="659" t="s">
        <v>2290</v>
      </c>
      <c r="G221" s="659" t="s">
        <v>2558</v>
      </c>
      <c r="H221" s="659" t="s">
        <v>2574</v>
      </c>
      <c r="I221" s="659" t="s">
        <v>1637</v>
      </c>
      <c r="J221" s="659" t="s">
        <v>1637</v>
      </c>
      <c r="K221" s="662" t="str">
        <f t="shared" si="19"/>
        <v>Consulting</v>
      </c>
      <c r="L221" s="660" t="str">
        <f t="shared" si="20"/>
        <v>DAY</v>
      </c>
      <c r="M221" s="660" t="str">
        <f t="shared" si="21"/>
        <v>SRV</v>
      </c>
      <c r="N221" s="660" t="str">
        <f t="shared" si="22"/>
        <v>SRV</v>
      </c>
      <c r="O221" s="659" t="str">
        <f t="shared" si="23"/>
        <v/>
      </c>
    </row>
    <row r="222" spans="1:15">
      <c r="A222" s="659" t="s">
        <v>1413</v>
      </c>
      <c r="B222" s="659" t="s">
        <v>1414</v>
      </c>
      <c r="C222" s="659">
        <v>0</v>
      </c>
      <c r="D222" s="659">
        <v>1250</v>
      </c>
      <c r="E222" s="659" t="s">
        <v>2520</v>
      </c>
      <c r="F222" s="659" t="s">
        <v>2290</v>
      </c>
      <c r="G222" s="659" t="s">
        <v>2558</v>
      </c>
      <c r="H222" s="659" t="s">
        <v>2574</v>
      </c>
      <c r="I222" s="659" t="s">
        <v>1637</v>
      </c>
      <c r="J222" s="659" t="s">
        <v>1637</v>
      </c>
      <c r="K222" s="662" t="str">
        <f t="shared" si="19"/>
        <v>Consulting</v>
      </c>
      <c r="L222" s="660" t="str">
        <f t="shared" si="20"/>
        <v>DAY</v>
      </c>
      <c r="M222" s="660" t="str">
        <f t="shared" si="21"/>
        <v>SRV</v>
      </c>
      <c r="N222" s="660" t="str">
        <f t="shared" si="22"/>
        <v>SRV</v>
      </c>
      <c r="O222" s="659" t="str">
        <f t="shared" si="23"/>
        <v/>
      </c>
    </row>
    <row r="223" spans="1:15">
      <c r="A223" s="659" t="s">
        <v>1415</v>
      </c>
      <c r="B223" s="659" t="s">
        <v>1416</v>
      </c>
      <c r="C223" s="659">
        <v>0</v>
      </c>
      <c r="D223" s="659">
        <v>1250</v>
      </c>
      <c r="E223" s="659" t="s">
        <v>2520</v>
      </c>
      <c r="F223" s="659" t="s">
        <v>2290</v>
      </c>
      <c r="G223" s="659" t="s">
        <v>2558</v>
      </c>
      <c r="H223" s="659" t="s">
        <v>2574</v>
      </c>
      <c r="I223" s="659" t="s">
        <v>1637</v>
      </c>
      <c r="J223" s="659" t="s">
        <v>1637</v>
      </c>
      <c r="K223" s="662" t="str">
        <f t="shared" si="19"/>
        <v>Consulting</v>
      </c>
      <c r="L223" s="660" t="str">
        <f t="shared" si="20"/>
        <v>DAY</v>
      </c>
      <c r="M223" s="660" t="str">
        <f t="shared" si="21"/>
        <v>SRV</v>
      </c>
      <c r="N223" s="660" t="str">
        <f t="shared" si="22"/>
        <v>SRV</v>
      </c>
      <c r="O223" s="659" t="str">
        <f t="shared" si="23"/>
        <v/>
      </c>
    </row>
    <row r="224" spans="1:15">
      <c r="A224" s="659" t="s">
        <v>1417</v>
      </c>
      <c r="B224" s="659" t="s">
        <v>1418</v>
      </c>
      <c r="C224" s="659">
        <v>0</v>
      </c>
      <c r="D224" s="659">
        <v>1250</v>
      </c>
      <c r="E224" s="659" t="s">
        <v>2520</v>
      </c>
      <c r="F224" s="659" t="s">
        <v>2290</v>
      </c>
      <c r="G224" s="659" t="s">
        <v>2558</v>
      </c>
      <c r="H224" s="659" t="s">
        <v>2574</v>
      </c>
      <c r="I224" s="659" t="s">
        <v>1637</v>
      </c>
      <c r="J224" s="659" t="s">
        <v>1637</v>
      </c>
      <c r="K224" s="662" t="str">
        <f t="shared" si="19"/>
        <v>Consulting</v>
      </c>
      <c r="L224" s="660" t="str">
        <f t="shared" si="20"/>
        <v>DAY</v>
      </c>
      <c r="M224" s="660" t="str">
        <f t="shared" si="21"/>
        <v>SRV</v>
      </c>
      <c r="N224" s="660" t="str">
        <f t="shared" si="22"/>
        <v>SRV</v>
      </c>
      <c r="O224" s="659" t="str">
        <f t="shared" si="23"/>
        <v/>
      </c>
    </row>
    <row r="225" spans="1:15">
      <c r="A225" s="659" t="s">
        <v>1419</v>
      </c>
      <c r="B225" s="659" t="s">
        <v>1420</v>
      </c>
      <c r="C225" s="659">
        <v>0</v>
      </c>
      <c r="D225" s="659">
        <v>7812.5</v>
      </c>
      <c r="E225" s="659" t="s">
        <v>1154</v>
      </c>
      <c r="F225" s="659" t="s">
        <v>2290</v>
      </c>
      <c r="G225" s="659" t="s">
        <v>2558</v>
      </c>
      <c r="H225" s="659" t="s">
        <v>2397</v>
      </c>
      <c r="I225" s="659" t="s">
        <v>1637</v>
      </c>
      <c r="J225" s="659" t="s">
        <v>1637</v>
      </c>
      <c r="K225" s="662" t="str">
        <f t="shared" si="19"/>
        <v>Consulting</v>
      </c>
      <c r="L225" s="660" t="str">
        <f t="shared" si="20"/>
        <v>EA</v>
      </c>
      <c r="M225" s="660" t="str">
        <f t="shared" si="21"/>
        <v>SRV</v>
      </c>
      <c r="N225" s="660" t="str">
        <f t="shared" si="22"/>
        <v>SRV</v>
      </c>
      <c r="O225" s="659" t="str">
        <f t="shared" si="23"/>
        <v/>
      </c>
    </row>
    <row r="226" spans="1:15">
      <c r="A226" s="659" t="s">
        <v>1421</v>
      </c>
      <c r="B226" s="659" t="s">
        <v>1422</v>
      </c>
      <c r="C226" s="659">
        <v>0</v>
      </c>
      <c r="D226" s="659">
        <v>1250</v>
      </c>
      <c r="E226" s="659" t="s">
        <v>1154</v>
      </c>
      <c r="F226" s="659" t="s">
        <v>2290</v>
      </c>
      <c r="G226" s="659" t="s">
        <v>2558</v>
      </c>
      <c r="H226" s="659" t="s">
        <v>2397</v>
      </c>
      <c r="I226" s="659" t="s">
        <v>1637</v>
      </c>
      <c r="J226" s="659" t="s">
        <v>1637</v>
      </c>
      <c r="K226" s="662" t="str">
        <f t="shared" si="19"/>
        <v>Consulting</v>
      </c>
      <c r="L226" s="660" t="str">
        <f t="shared" si="20"/>
        <v>EA</v>
      </c>
      <c r="M226" s="660" t="str">
        <f t="shared" si="21"/>
        <v>SRV</v>
      </c>
      <c r="N226" s="660" t="str">
        <f t="shared" si="22"/>
        <v>SRV</v>
      </c>
      <c r="O226" s="659" t="str">
        <f t="shared" si="23"/>
        <v/>
      </c>
    </row>
    <row r="227" spans="1:15">
      <c r="A227" s="659" t="s">
        <v>1423</v>
      </c>
      <c r="B227" s="659" t="s">
        <v>1424</v>
      </c>
      <c r="C227" s="659">
        <v>0</v>
      </c>
      <c r="D227" s="659">
        <v>6250</v>
      </c>
      <c r="E227" s="659" t="s">
        <v>1154</v>
      </c>
      <c r="F227" s="659" t="s">
        <v>2290</v>
      </c>
      <c r="G227" s="659" t="s">
        <v>2393</v>
      </c>
      <c r="H227" s="659" t="s">
        <v>2397</v>
      </c>
      <c r="I227" s="659" t="s">
        <v>1636</v>
      </c>
      <c r="J227" s="659" t="s">
        <v>2159</v>
      </c>
      <c r="K227" s="662" t="str">
        <f t="shared" si="19"/>
        <v>Deprecated</v>
      </c>
      <c r="L227" s="660" t="str">
        <f t="shared" si="20"/>
        <v>EA</v>
      </c>
      <c r="M227" s="660" t="str">
        <f t="shared" si="21"/>
        <v>UC</v>
      </c>
      <c r="N227" s="660" t="str">
        <f t="shared" si="22"/>
        <v>PAAS</v>
      </c>
      <c r="O227" s="659" t="str">
        <f t="shared" si="23"/>
        <v/>
      </c>
    </row>
    <row r="228" spans="1:15">
      <c r="A228" s="659" t="s">
        <v>2573</v>
      </c>
      <c r="B228" s="659" t="s">
        <v>1400</v>
      </c>
      <c r="C228" s="659">
        <v>0</v>
      </c>
      <c r="D228" s="659">
        <v>15000</v>
      </c>
      <c r="E228" s="659" t="s">
        <v>1154</v>
      </c>
      <c r="F228" s="659" t="s">
        <v>2290</v>
      </c>
      <c r="G228" s="659" t="s">
        <v>2393</v>
      </c>
      <c r="H228" s="659" t="s">
        <v>2397</v>
      </c>
      <c r="I228" s="659" t="s">
        <v>1636</v>
      </c>
      <c r="J228" s="659" t="s">
        <v>2159</v>
      </c>
      <c r="K228" s="662" t="str">
        <f t="shared" si="19"/>
        <v>Deprecated</v>
      </c>
      <c r="L228" s="660" t="str">
        <f t="shared" si="20"/>
        <v>EA</v>
      </c>
      <c r="M228" s="660" t="str">
        <f t="shared" si="21"/>
        <v>UC</v>
      </c>
      <c r="N228" s="660" t="str">
        <f t="shared" si="22"/>
        <v>PAAS</v>
      </c>
      <c r="O228" s="659" t="str">
        <f t="shared" si="23"/>
        <v/>
      </c>
    </row>
    <row r="229" spans="1:15">
      <c r="A229" s="659" t="s">
        <v>413</v>
      </c>
      <c r="B229" s="659" t="s">
        <v>552</v>
      </c>
      <c r="C229" s="659">
        <v>0</v>
      </c>
      <c r="D229" s="659">
        <v>1.5</v>
      </c>
      <c r="E229" s="659" t="s">
        <v>2193</v>
      </c>
      <c r="F229" s="659" t="s">
        <v>2290</v>
      </c>
      <c r="G229" s="659" t="s">
        <v>2313</v>
      </c>
      <c r="H229" s="659" t="s">
        <v>2161</v>
      </c>
      <c r="I229" s="659" t="s">
        <v>1636</v>
      </c>
      <c r="J229" s="659" t="s">
        <v>2158</v>
      </c>
      <c r="K229" s="662" t="str">
        <f t="shared" si="19"/>
        <v>Network</v>
      </c>
      <c r="L229" s="660" t="str">
        <f t="shared" si="20"/>
        <v>HR</v>
      </c>
      <c r="M229" s="660" t="str">
        <f t="shared" si="21"/>
        <v>UC</v>
      </c>
      <c r="N229" s="660" t="str">
        <f t="shared" si="22"/>
        <v>IAAS</v>
      </c>
      <c r="O229" s="659" t="str">
        <f t="shared" si="23"/>
        <v/>
      </c>
    </row>
    <row r="230" spans="1:15">
      <c r="A230" s="659" t="s">
        <v>23</v>
      </c>
      <c r="B230" s="659" t="s">
        <v>65</v>
      </c>
      <c r="C230" s="659">
        <v>0</v>
      </c>
      <c r="D230" s="659">
        <v>0.25</v>
      </c>
      <c r="E230" s="659" t="s">
        <v>2193</v>
      </c>
      <c r="F230" s="659" t="s">
        <v>2290</v>
      </c>
      <c r="G230" s="659" t="s">
        <v>2313</v>
      </c>
      <c r="H230" s="659" t="s">
        <v>2161</v>
      </c>
      <c r="I230" s="659" t="s">
        <v>1636</v>
      </c>
      <c r="J230" s="659" t="s">
        <v>2158</v>
      </c>
      <c r="K230" s="662" t="str">
        <f t="shared" si="19"/>
        <v>Network</v>
      </c>
      <c r="L230" s="660" t="str">
        <f t="shared" si="20"/>
        <v>HR</v>
      </c>
      <c r="M230" s="660" t="str">
        <f t="shared" si="21"/>
        <v>UC</v>
      </c>
      <c r="N230" s="660" t="str">
        <f t="shared" si="22"/>
        <v>IAAS</v>
      </c>
      <c r="O230" s="659" t="str">
        <f t="shared" si="23"/>
        <v/>
      </c>
    </row>
    <row r="231" spans="1:15">
      <c r="A231" s="659" t="s">
        <v>414</v>
      </c>
      <c r="B231" s="659" t="s">
        <v>553</v>
      </c>
      <c r="C231" s="659">
        <v>0</v>
      </c>
      <c r="D231" s="659">
        <v>0.15</v>
      </c>
      <c r="E231" s="659" t="s">
        <v>49</v>
      </c>
      <c r="F231" s="659" t="s">
        <v>2290</v>
      </c>
      <c r="G231" s="659" t="s">
        <v>1835</v>
      </c>
      <c r="H231" s="659" t="s">
        <v>2161</v>
      </c>
      <c r="I231" s="659" t="s">
        <v>1636</v>
      </c>
      <c r="J231" s="659" t="s">
        <v>2158</v>
      </c>
      <c r="K231" s="662" t="str">
        <f t="shared" si="19"/>
        <v>Compute</v>
      </c>
      <c r="L231" s="660" t="str">
        <f t="shared" si="20"/>
        <v>HR</v>
      </c>
      <c r="M231" s="660" t="str">
        <f t="shared" si="21"/>
        <v>UC</v>
      </c>
      <c r="N231" s="660" t="str">
        <f t="shared" si="22"/>
        <v>IAAS</v>
      </c>
      <c r="O231" s="659" t="str">
        <f t="shared" si="23"/>
        <v/>
      </c>
    </row>
    <row r="232" spans="1:15">
      <c r="A232" s="659" t="s">
        <v>96</v>
      </c>
      <c r="B232" s="659" t="s">
        <v>967</v>
      </c>
      <c r="C232" s="659">
        <v>1.2749999999999999</v>
      </c>
      <c r="D232" s="659">
        <v>1.2749999999999999</v>
      </c>
      <c r="E232" s="659" t="s">
        <v>2193</v>
      </c>
      <c r="F232" s="659" t="s">
        <v>2290</v>
      </c>
      <c r="G232" s="659" t="s">
        <v>2313</v>
      </c>
      <c r="H232" s="659" t="s">
        <v>2161</v>
      </c>
      <c r="I232" s="659" t="s">
        <v>1636</v>
      </c>
      <c r="J232" s="659" t="s">
        <v>2158</v>
      </c>
      <c r="K232" s="662" t="str">
        <f t="shared" si="19"/>
        <v>Network</v>
      </c>
      <c r="L232" s="660" t="str">
        <f t="shared" si="20"/>
        <v>HR</v>
      </c>
      <c r="M232" s="660" t="str">
        <f t="shared" si="21"/>
        <v>UC</v>
      </c>
      <c r="N232" s="660" t="str">
        <f t="shared" si="22"/>
        <v>IAAS</v>
      </c>
      <c r="O232" s="659" t="str">
        <f t="shared" si="23"/>
        <v/>
      </c>
    </row>
    <row r="233" spans="1:15">
      <c r="A233" s="659" t="s">
        <v>417</v>
      </c>
      <c r="B233" s="659" t="s">
        <v>1063</v>
      </c>
      <c r="C233" s="659">
        <v>0</v>
      </c>
      <c r="D233" s="659">
        <v>3000</v>
      </c>
      <c r="E233" s="659" t="s">
        <v>1154</v>
      </c>
      <c r="F233" s="659" t="s">
        <v>2290</v>
      </c>
      <c r="G233" s="659" t="s">
        <v>1835</v>
      </c>
      <c r="H233" s="659" t="s">
        <v>2397</v>
      </c>
      <c r="I233" s="659" t="s">
        <v>1636</v>
      </c>
      <c r="J233" s="659" t="s">
        <v>2158</v>
      </c>
      <c r="K233" s="662" t="str">
        <f t="shared" si="19"/>
        <v>Compute</v>
      </c>
      <c r="L233" s="660" t="str">
        <f t="shared" si="20"/>
        <v>EA</v>
      </c>
      <c r="M233" s="660" t="str">
        <f t="shared" si="21"/>
        <v>UC</v>
      </c>
      <c r="N233" s="660" t="str">
        <f t="shared" si="22"/>
        <v>IAAS</v>
      </c>
      <c r="O233" s="659" t="str">
        <f t="shared" si="23"/>
        <v/>
      </c>
    </row>
    <row r="234" spans="1:15">
      <c r="A234" s="659" t="s">
        <v>418</v>
      </c>
      <c r="B234" s="659" t="s">
        <v>1064</v>
      </c>
      <c r="C234" s="659">
        <v>0</v>
      </c>
      <c r="D234" s="659">
        <v>4200</v>
      </c>
      <c r="E234" s="659" t="s">
        <v>1154</v>
      </c>
      <c r="F234" s="659" t="s">
        <v>2290</v>
      </c>
      <c r="G234" s="659" t="s">
        <v>2160</v>
      </c>
      <c r="H234" s="659" t="s">
        <v>2397</v>
      </c>
      <c r="I234" s="659" t="s">
        <v>2160</v>
      </c>
      <c r="J234" s="659" t="s">
        <v>2160</v>
      </c>
      <c r="K234" s="662" t="str">
        <f t="shared" si="19"/>
        <v>CC</v>
      </c>
      <c r="L234" s="660" t="str">
        <f t="shared" si="20"/>
        <v>EA</v>
      </c>
      <c r="M234" s="660" t="str">
        <f t="shared" si="21"/>
        <v>CC</v>
      </c>
      <c r="N234" s="660" t="str">
        <f t="shared" si="22"/>
        <v>CC</v>
      </c>
      <c r="O234" s="659" t="str">
        <f t="shared" si="23"/>
        <v/>
      </c>
    </row>
    <row r="235" spans="1:15">
      <c r="A235" s="659" t="s">
        <v>2842</v>
      </c>
      <c r="B235" s="659" t="s">
        <v>554</v>
      </c>
      <c r="C235" s="659">
        <v>0</v>
      </c>
      <c r="D235" s="659">
        <v>110000</v>
      </c>
      <c r="E235" s="659" t="s">
        <v>2178</v>
      </c>
      <c r="F235" s="659" t="s">
        <v>2290</v>
      </c>
      <c r="G235" s="659" t="s">
        <v>1838</v>
      </c>
      <c r="H235" s="659" t="s">
        <v>2394</v>
      </c>
      <c r="I235" s="659" t="s">
        <v>1636</v>
      </c>
      <c r="J235" s="659" t="s">
        <v>2159</v>
      </c>
      <c r="K235" s="662" t="str">
        <f t="shared" si="19"/>
        <v>ExaCS</v>
      </c>
      <c r="L235" s="660" t="str">
        <f t="shared" si="20"/>
        <v>UNIT</v>
      </c>
      <c r="M235" s="660" t="str">
        <f t="shared" si="21"/>
        <v>UC</v>
      </c>
      <c r="N235" s="660" t="str">
        <f t="shared" si="22"/>
        <v>PAAS</v>
      </c>
      <c r="O235" s="659" t="str">
        <f t="shared" si="23"/>
        <v/>
      </c>
    </row>
    <row r="236" spans="1:15">
      <c r="A236" s="659" t="s">
        <v>419</v>
      </c>
      <c r="B236" s="659" t="s">
        <v>555</v>
      </c>
      <c r="C236" s="659">
        <v>0</v>
      </c>
      <c r="D236" s="659">
        <v>220000</v>
      </c>
      <c r="E236" s="659" t="s">
        <v>2178</v>
      </c>
      <c r="F236" s="659" t="s">
        <v>2290</v>
      </c>
      <c r="G236" s="659" t="s">
        <v>1838</v>
      </c>
      <c r="H236" s="659" t="s">
        <v>2394</v>
      </c>
      <c r="I236" s="659" t="s">
        <v>1636</v>
      </c>
      <c r="J236" s="659" t="s">
        <v>2159</v>
      </c>
      <c r="K236" s="662" t="str">
        <f t="shared" si="19"/>
        <v>ExaCS</v>
      </c>
      <c r="L236" s="660" t="str">
        <f t="shared" si="20"/>
        <v>UNIT</v>
      </c>
      <c r="M236" s="660" t="str">
        <f t="shared" si="21"/>
        <v>UC</v>
      </c>
      <c r="N236" s="660" t="str">
        <f t="shared" si="22"/>
        <v>PAAS</v>
      </c>
      <c r="O236" s="659" t="str">
        <f t="shared" si="23"/>
        <v/>
      </c>
    </row>
    <row r="237" spans="1:15">
      <c r="A237" s="659" t="s">
        <v>420</v>
      </c>
      <c r="B237" s="659" t="s">
        <v>556</v>
      </c>
      <c r="C237" s="659">
        <v>0</v>
      </c>
      <c r="D237" s="659">
        <v>440000</v>
      </c>
      <c r="E237" s="659" t="s">
        <v>2178</v>
      </c>
      <c r="F237" s="659" t="s">
        <v>2290</v>
      </c>
      <c r="G237" s="659" t="s">
        <v>1838</v>
      </c>
      <c r="H237" s="659" t="s">
        <v>2394</v>
      </c>
      <c r="I237" s="659" t="s">
        <v>1636</v>
      </c>
      <c r="J237" s="659" t="s">
        <v>2159</v>
      </c>
      <c r="K237" s="662" t="str">
        <f t="shared" si="19"/>
        <v>ExaCS</v>
      </c>
      <c r="L237" s="660" t="str">
        <f t="shared" si="20"/>
        <v>UNIT</v>
      </c>
      <c r="M237" s="660" t="str">
        <f t="shared" si="21"/>
        <v>UC</v>
      </c>
      <c r="N237" s="660" t="str">
        <f t="shared" si="22"/>
        <v>PAAS</v>
      </c>
      <c r="O237" s="659" t="str">
        <f t="shared" si="23"/>
        <v/>
      </c>
    </row>
    <row r="238" spans="1:15">
      <c r="A238" s="659" t="s">
        <v>421</v>
      </c>
      <c r="B238" s="659" t="s">
        <v>557</v>
      </c>
      <c r="C238" s="659">
        <v>0</v>
      </c>
      <c r="D238" s="659">
        <v>5000</v>
      </c>
      <c r="E238" s="659" t="s">
        <v>2168</v>
      </c>
      <c r="F238" s="659" t="s">
        <v>2290</v>
      </c>
      <c r="G238" s="659" t="s">
        <v>1838</v>
      </c>
      <c r="H238" s="659" t="s">
        <v>2394</v>
      </c>
      <c r="I238" s="659" t="s">
        <v>1636</v>
      </c>
      <c r="J238" s="659" t="s">
        <v>2159</v>
      </c>
      <c r="K238" s="662" t="str">
        <f t="shared" si="19"/>
        <v>ExaCS</v>
      </c>
      <c r="L238" s="660" t="str">
        <f t="shared" si="20"/>
        <v>UNIT</v>
      </c>
      <c r="M238" s="660" t="str">
        <f t="shared" si="21"/>
        <v>UC</v>
      </c>
      <c r="N238" s="660" t="str">
        <f t="shared" si="22"/>
        <v>PAAS</v>
      </c>
      <c r="O238" s="659" t="str">
        <f t="shared" si="23"/>
        <v/>
      </c>
    </row>
    <row r="239" spans="1:15">
      <c r="A239" s="659" t="s">
        <v>422</v>
      </c>
      <c r="B239" s="659" t="s">
        <v>557</v>
      </c>
      <c r="C239" s="659">
        <v>0</v>
      </c>
      <c r="D239" s="659">
        <v>8.4009999999999998</v>
      </c>
      <c r="E239" s="659" t="s">
        <v>49</v>
      </c>
      <c r="F239" s="659" t="s">
        <v>2290</v>
      </c>
      <c r="G239" s="659" t="s">
        <v>1838</v>
      </c>
      <c r="H239" s="659" t="s">
        <v>2161</v>
      </c>
      <c r="I239" s="659" t="s">
        <v>1636</v>
      </c>
      <c r="J239" s="659" t="s">
        <v>2159</v>
      </c>
      <c r="K239" s="662" t="str">
        <f t="shared" si="19"/>
        <v>ExaCS</v>
      </c>
      <c r="L239" s="660" t="str">
        <f t="shared" si="20"/>
        <v>HR</v>
      </c>
      <c r="M239" s="660" t="str">
        <f t="shared" si="21"/>
        <v>UC</v>
      </c>
      <c r="N239" s="660" t="str">
        <f t="shared" si="22"/>
        <v>PAAS</v>
      </c>
      <c r="O239" s="659" t="str">
        <f t="shared" si="23"/>
        <v/>
      </c>
    </row>
    <row r="240" spans="1:15">
      <c r="A240" s="659" t="s">
        <v>423</v>
      </c>
      <c r="B240" s="659" t="s">
        <v>1065</v>
      </c>
      <c r="C240" s="659">
        <v>0</v>
      </c>
      <c r="D240" s="659">
        <v>3000</v>
      </c>
      <c r="E240" s="659" t="s">
        <v>1154</v>
      </c>
      <c r="F240" s="659" t="s">
        <v>2290</v>
      </c>
      <c r="G240" s="659" t="s">
        <v>1835</v>
      </c>
      <c r="H240" s="659" t="s">
        <v>2397</v>
      </c>
      <c r="I240" s="659" t="s">
        <v>1636</v>
      </c>
      <c r="J240" s="659" t="s">
        <v>2158</v>
      </c>
      <c r="K240" s="662" t="str">
        <f t="shared" si="19"/>
        <v>Compute</v>
      </c>
      <c r="L240" s="660" t="str">
        <f t="shared" si="20"/>
        <v>EA</v>
      </c>
      <c r="M240" s="660" t="str">
        <f t="shared" si="21"/>
        <v>UC</v>
      </c>
      <c r="N240" s="660" t="str">
        <f t="shared" si="22"/>
        <v>IAAS</v>
      </c>
      <c r="O240" s="659" t="str">
        <f t="shared" si="23"/>
        <v/>
      </c>
    </row>
    <row r="241" spans="1:15">
      <c r="A241" s="659" t="s">
        <v>424</v>
      </c>
      <c r="B241" s="659" t="s">
        <v>1066</v>
      </c>
      <c r="C241" s="659">
        <v>0</v>
      </c>
      <c r="D241" s="659">
        <v>4200</v>
      </c>
      <c r="E241" s="659" t="s">
        <v>1154</v>
      </c>
      <c r="F241" s="659" t="s">
        <v>2290</v>
      </c>
      <c r="G241" s="659" t="s">
        <v>2160</v>
      </c>
      <c r="H241" s="659" t="s">
        <v>2397</v>
      </c>
      <c r="I241" s="659" t="s">
        <v>2160</v>
      </c>
      <c r="J241" s="659" t="s">
        <v>2160</v>
      </c>
      <c r="K241" s="662" t="str">
        <f t="shared" si="19"/>
        <v>CC</v>
      </c>
      <c r="L241" s="660" t="str">
        <f t="shared" si="20"/>
        <v>EA</v>
      </c>
      <c r="M241" s="660" t="str">
        <f t="shared" si="21"/>
        <v>CC</v>
      </c>
      <c r="N241" s="660" t="str">
        <f t="shared" si="22"/>
        <v>CC</v>
      </c>
      <c r="O241" s="659" t="str">
        <f t="shared" si="23"/>
        <v/>
      </c>
    </row>
    <row r="242" spans="1:15">
      <c r="A242" s="659" t="s">
        <v>425</v>
      </c>
      <c r="B242" s="659" t="s">
        <v>1049</v>
      </c>
      <c r="C242" s="659">
        <v>0</v>
      </c>
      <c r="D242" s="659">
        <v>14400</v>
      </c>
      <c r="E242" s="659" t="s">
        <v>2171</v>
      </c>
      <c r="F242" s="659" t="s">
        <v>2290</v>
      </c>
      <c r="G242" s="659" t="s">
        <v>2558</v>
      </c>
      <c r="H242" s="659" t="s">
        <v>2394</v>
      </c>
      <c r="I242" s="659" t="s">
        <v>1637</v>
      </c>
      <c r="J242" s="659" t="s">
        <v>1637</v>
      </c>
      <c r="K242" s="662" t="str">
        <f t="shared" si="19"/>
        <v>Consulting</v>
      </c>
      <c r="L242" s="660" t="str">
        <f t="shared" si="20"/>
        <v>UNIT</v>
      </c>
      <c r="M242" s="660" t="str">
        <f t="shared" si="21"/>
        <v>SRV</v>
      </c>
      <c r="N242" s="660" t="str">
        <f t="shared" si="22"/>
        <v>SRV</v>
      </c>
      <c r="O242" s="659" t="str">
        <f t="shared" si="23"/>
        <v/>
      </c>
    </row>
    <row r="243" spans="1:15">
      <c r="A243" s="659" t="s">
        <v>426</v>
      </c>
      <c r="B243" s="659" t="s">
        <v>1050</v>
      </c>
      <c r="C243" s="659">
        <v>0</v>
      </c>
      <c r="D243" s="659">
        <v>4800</v>
      </c>
      <c r="E243" s="659" t="s">
        <v>2194</v>
      </c>
      <c r="F243" s="659" t="s">
        <v>2290</v>
      </c>
      <c r="G243" s="659" t="s">
        <v>2160</v>
      </c>
      <c r="H243" s="659" t="s">
        <v>2394</v>
      </c>
      <c r="I243" s="659" t="s">
        <v>2160</v>
      </c>
      <c r="J243" s="659" t="s">
        <v>2160</v>
      </c>
      <c r="K243" s="662" t="str">
        <f t="shared" si="19"/>
        <v>CC</v>
      </c>
      <c r="L243" s="660" t="str">
        <f t="shared" si="20"/>
        <v>UNIT</v>
      </c>
      <c r="M243" s="660" t="str">
        <f t="shared" si="21"/>
        <v>CC</v>
      </c>
      <c r="N243" s="660" t="str">
        <f t="shared" si="22"/>
        <v>CC</v>
      </c>
      <c r="O243" s="659" t="str">
        <f t="shared" si="23"/>
        <v/>
      </c>
    </row>
    <row r="244" spans="1:15">
      <c r="A244" s="659" t="s">
        <v>1306</v>
      </c>
      <c r="B244" s="659" t="s">
        <v>1307</v>
      </c>
      <c r="C244" s="659">
        <v>0</v>
      </c>
      <c r="D244" s="659">
        <v>28200</v>
      </c>
      <c r="E244" s="659" t="s">
        <v>1154</v>
      </c>
      <c r="F244" s="659" t="s">
        <v>588</v>
      </c>
      <c r="G244" s="659" t="s">
        <v>2393</v>
      </c>
      <c r="H244" s="659" t="s">
        <v>2397</v>
      </c>
      <c r="I244" s="659" t="s">
        <v>2398</v>
      </c>
      <c r="J244" s="659" t="s">
        <v>2159</v>
      </c>
      <c r="K244" s="662" t="str">
        <f t="shared" si="19"/>
        <v>Deprecated</v>
      </c>
      <c r="L244" s="660" t="str">
        <f t="shared" si="20"/>
        <v>EA</v>
      </c>
      <c r="M244" s="660" t="str">
        <f t="shared" si="21"/>
        <v>UC0</v>
      </c>
      <c r="N244" s="660" t="str">
        <f t="shared" si="22"/>
        <v>PAAS</v>
      </c>
      <c r="O244" s="659" t="str">
        <f t="shared" si="23"/>
        <v/>
      </c>
    </row>
    <row r="245" spans="1:15">
      <c r="A245" s="659" t="s">
        <v>1308</v>
      </c>
      <c r="B245" s="659" t="s">
        <v>1309</v>
      </c>
      <c r="C245" s="659">
        <v>0</v>
      </c>
      <c r="D245" s="659">
        <v>3097.5</v>
      </c>
      <c r="E245" s="659" t="s">
        <v>1154</v>
      </c>
      <c r="F245" s="659" t="s">
        <v>2290</v>
      </c>
      <c r="G245" s="659" t="s">
        <v>2393</v>
      </c>
      <c r="H245" s="659" t="s">
        <v>2397</v>
      </c>
      <c r="I245" s="659" t="s">
        <v>1636</v>
      </c>
      <c r="J245" s="659" t="s">
        <v>2159</v>
      </c>
      <c r="K245" s="662" t="str">
        <f t="shared" si="19"/>
        <v>Deprecated</v>
      </c>
      <c r="L245" s="660" t="str">
        <f t="shared" si="20"/>
        <v>EA</v>
      </c>
      <c r="M245" s="660" t="str">
        <f t="shared" si="21"/>
        <v>UC</v>
      </c>
      <c r="N245" s="660" t="str">
        <f t="shared" si="22"/>
        <v>PAAS</v>
      </c>
      <c r="O245" s="659" t="str">
        <f t="shared" si="23"/>
        <v/>
      </c>
    </row>
    <row r="246" spans="1:15">
      <c r="A246" s="659" t="s">
        <v>1310</v>
      </c>
      <c r="B246" s="659" t="s">
        <v>1874</v>
      </c>
      <c r="C246" s="659">
        <v>0</v>
      </c>
      <c r="D246" s="659">
        <v>2706</v>
      </c>
      <c r="E246" s="659" t="s">
        <v>1154</v>
      </c>
      <c r="F246" s="659" t="s">
        <v>2290</v>
      </c>
      <c r="G246" s="659" t="s">
        <v>2393</v>
      </c>
      <c r="H246" s="659" t="s">
        <v>2397</v>
      </c>
      <c r="I246" s="659" t="s">
        <v>1636</v>
      </c>
      <c r="J246" s="659" t="s">
        <v>2159</v>
      </c>
      <c r="K246" s="662" t="str">
        <f t="shared" si="19"/>
        <v>Deprecated</v>
      </c>
      <c r="L246" s="660" t="str">
        <f t="shared" si="20"/>
        <v>EA</v>
      </c>
      <c r="M246" s="660" t="str">
        <f t="shared" si="21"/>
        <v>UC</v>
      </c>
      <c r="N246" s="660" t="str">
        <f t="shared" si="22"/>
        <v>PAAS</v>
      </c>
      <c r="O246" s="659" t="str">
        <f t="shared" si="23"/>
        <v/>
      </c>
    </row>
    <row r="247" spans="1:15">
      <c r="A247" s="659" t="s">
        <v>1311</v>
      </c>
      <c r="B247" s="659" t="s">
        <v>1312</v>
      </c>
      <c r="C247" s="659">
        <v>0</v>
      </c>
      <c r="D247" s="659">
        <v>1912.5</v>
      </c>
      <c r="E247" s="659" t="s">
        <v>1154</v>
      </c>
      <c r="F247" s="659" t="s">
        <v>2290</v>
      </c>
      <c r="G247" s="659" t="s">
        <v>2393</v>
      </c>
      <c r="H247" s="659" t="s">
        <v>2397</v>
      </c>
      <c r="I247" s="659" t="s">
        <v>1636</v>
      </c>
      <c r="J247" s="659" t="s">
        <v>2159</v>
      </c>
      <c r="K247" s="662" t="str">
        <f t="shared" si="19"/>
        <v>Deprecated</v>
      </c>
      <c r="L247" s="660" t="str">
        <f t="shared" si="20"/>
        <v>EA</v>
      </c>
      <c r="M247" s="660" t="str">
        <f t="shared" si="21"/>
        <v>UC</v>
      </c>
      <c r="N247" s="660" t="str">
        <f t="shared" si="22"/>
        <v>PAAS</v>
      </c>
      <c r="O247" s="659" t="str">
        <f t="shared" si="23"/>
        <v/>
      </c>
    </row>
    <row r="248" spans="1:15">
      <c r="A248" s="659" t="s">
        <v>1313</v>
      </c>
      <c r="B248" s="659" t="s">
        <v>1314</v>
      </c>
      <c r="C248" s="659">
        <v>0</v>
      </c>
      <c r="D248" s="659">
        <v>1992</v>
      </c>
      <c r="E248" s="659" t="s">
        <v>1154</v>
      </c>
      <c r="F248" s="659" t="s">
        <v>2290</v>
      </c>
      <c r="G248" s="659" t="s">
        <v>2393</v>
      </c>
      <c r="H248" s="659" t="s">
        <v>2397</v>
      </c>
      <c r="I248" s="659" t="s">
        <v>1636</v>
      </c>
      <c r="J248" s="659" t="s">
        <v>2159</v>
      </c>
      <c r="K248" s="662" t="str">
        <f t="shared" si="19"/>
        <v>Deprecated</v>
      </c>
      <c r="L248" s="660" t="str">
        <f t="shared" si="20"/>
        <v>EA</v>
      </c>
      <c r="M248" s="660" t="str">
        <f t="shared" si="21"/>
        <v>UC</v>
      </c>
      <c r="N248" s="660" t="str">
        <f t="shared" si="22"/>
        <v>PAAS</v>
      </c>
      <c r="O248" s="659" t="str">
        <f t="shared" si="23"/>
        <v/>
      </c>
    </row>
    <row r="249" spans="1:15">
      <c r="A249" s="659" t="s">
        <v>1315</v>
      </c>
      <c r="B249" s="659" t="s">
        <v>1875</v>
      </c>
      <c r="C249" s="659">
        <v>0</v>
      </c>
      <c r="D249" s="659">
        <v>1806</v>
      </c>
      <c r="E249" s="659" t="s">
        <v>1154</v>
      </c>
      <c r="F249" s="659" t="s">
        <v>2290</v>
      </c>
      <c r="G249" s="659" t="s">
        <v>2393</v>
      </c>
      <c r="H249" s="659" t="s">
        <v>2397</v>
      </c>
      <c r="I249" s="659" t="s">
        <v>1636</v>
      </c>
      <c r="J249" s="659" t="s">
        <v>2159</v>
      </c>
      <c r="K249" s="662" t="str">
        <f t="shared" si="19"/>
        <v>Deprecated</v>
      </c>
      <c r="L249" s="660" t="str">
        <f t="shared" si="20"/>
        <v>EA</v>
      </c>
      <c r="M249" s="660" t="str">
        <f t="shared" si="21"/>
        <v>UC</v>
      </c>
      <c r="N249" s="660" t="str">
        <f t="shared" si="22"/>
        <v>PAAS</v>
      </c>
      <c r="O249" s="659" t="str">
        <f t="shared" si="23"/>
        <v/>
      </c>
    </row>
    <row r="250" spans="1:15">
      <c r="A250" s="659" t="s">
        <v>1316</v>
      </c>
      <c r="B250" s="659" t="s">
        <v>1317</v>
      </c>
      <c r="C250" s="659">
        <v>0</v>
      </c>
      <c r="D250" s="659">
        <v>978</v>
      </c>
      <c r="E250" s="659" t="s">
        <v>1154</v>
      </c>
      <c r="F250" s="659" t="s">
        <v>2290</v>
      </c>
      <c r="G250" s="659" t="s">
        <v>2393</v>
      </c>
      <c r="H250" s="659" t="s">
        <v>2397</v>
      </c>
      <c r="I250" s="659" t="s">
        <v>1636</v>
      </c>
      <c r="J250" s="659" t="s">
        <v>2159</v>
      </c>
      <c r="K250" s="662" t="str">
        <f t="shared" si="19"/>
        <v>Deprecated</v>
      </c>
      <c r="L250" s="660" t="str">
        <f t="shared" si="20"/>
        <v>EA</v>
      </c>
      <c r="M250" s="660" t="str">
        <f t="shared" si="21"/>
        <v>UC</v>
      </c>
      <c r="N250" s="660" t="str">
        <f t="shared" si="22"/>
        <v>PAAS</v>
      </c>
      <c r="O250" s="659" t="str">
        <f t="shared" si="23"/>
        <v/>
      </c>
    </row>
    <row r="251" spans="1:15">
      <c r="A251" s="659" t="s">
        <v>427</v>
      </c>
      <c r="B251" s="659" t="s">
        <v>428</v>
      </c>
      <c r="C251" s="659">
        <v>0</v>
      </c>
      <c r="D251" s="659">
        <v>1</v>
      </c>
      <c r="E251" s="659" t="s">
        <v>2408</v>
      </c>
      <c r="F251" s="659" t="s">
        <v>2290</v>
      </c>
      <c r="G251" s="659" t="s">
        <v>1636</v>
      </c>
      <c r="H251" s="659" t="s">
        <v>2394</v>
      </c>
      <c r="I251" s="659" t="s">
        <v>1636</v>
      </c>
      <c r="J251" s="659" t="s">
        <v>2159</v>
      </c>
      <c r="K251" s="662" t="str">
        <f t="shared" si="19"/>
        <v>UC</v>
      </c>
      <c r="L251" s="660" t="str">
        <f t="shared" si="20"/>
        <v>UNIT</v>
      </c>
      <c r="M251" s="660" t="str">
        <f t="shared" si="21"/>
        <v>UC</v>
      </c>
      <c r="N251" s="660" t="str">
        <f t="shared" si="22"/>
        <v>PAAS</v>
      </c>
      <c r="O251" s="659" t="str">
        <f t="shared" si="23"/>
        <v/>
      </c>
    </row>
    <row r="252" spans="1:15">
      <c r="A252" s="659" t="s">
        <v>1318</v>
      </c>
      <c r="B252" s="659" t="s">
        <v>1319</v>
      </c>
      <c r="C252" s="659">
        <v>0</v>
      </c>
      <c r="D252" s="659">
        <v>6467</v>
      </c>
      <c r="E252" s="659" t="s">
        <v>1154</v>
      </c>
      <c r="F252" s="659" t="s">
        <v>2290</v>
      </c>
      <c r="G252" s="659" t="s">
        <v>2393</v>
      </c>
      <c r="H252" s="659" t="s">
        <v>2397</v>
      </c>
      <c r="I252" s="659" t="s">
        <v>1636</v>
      </c>
      <c r="J252" s="659" t="s">
        <v>2159</v>
      </c>
      <c r="K252" s="662" t="str">
        <f t="shared" si="19"/>
        <v>Deprecated</v>
      </c>
      <c r="L252" s="660" t="str">
        <f t="shared" si="20"/>
        <v>EA</v>
      </c>
      <c r="M252" s="660" t="str">
        <f t="shared" si="21"/>
        <v>UC</v>
      </c>
      <c r="N252" s="660" t="str">
        <f t="shared" si="22"/>
        <v>PAAS</v>
      </c>
      <c r="O252" s="659" t="str">
        <f t="shared" si="23"/>
        <v/>
      </c>
    </row>
    <row r="253" spans="1:15">
      <c r="A253" s="659" t="s">
        <v>1320</v>
      </c>
      <c r="B253" s="659" t="s">
        <v>1321</v>
      </c>
      <c r="C253" s="659">
        <v>0</v>
      </c>
      <c r="D253" s="659">
        <v>9709.2000000000007</v>
      </c>
      <c r="E253" s="659" t="s">
        <v>1154</v>
      </c>
      <c r="F253" s="659" t="s">
        <v>2290</v>
      </c>
      <c r="G253" s="659" t="s">
        <v>2393</v>
      </c>
      <c r="H253" s="659" t="s">
        <v>2397</v>
      </c>
      <c r="I253" s="659" t="s">
        <v>1636</v>
      </c>
      <c r="J253" s="659" t="s">
        <v>2159</v>
      </c>
      <c r="K253" s="662" t="str">
        <f t="shared" si="19"/>
        <v>Deprecated</v>
      </c>
      <c r="L253" s="660" t="str">
        <f t="shared" si="20"/>
        <v>EA</v>
      </c>
      <c r="M253" s="660" t="str">
        <f t="shared" si="21"/>
        <v>UC</v>
      </c>
      <c r="N253" s="660" t="str">
        <f t="shared" si="22"/>
        <v>PAAS</v>
      </c>
      <c r="O253" s="659" t="str">
        <f t="shared" si="23"/>
        <v/>
      </c>
    </row>
    <row r="254" spans="1:15">
      <c r="A254" s="659" t="s">
        <v>1322</v>
      </c>
      <c r="B254" s="659" t="s">
        <v>1882</v>
      </c>
      <c r="C254" s="659">
        <v>0</v>
      </c>
      <c r="D254" s="659">
        <v>14737.8</v>
      </c>
      <c r="E254" s="659" t="s">
        <v>1154</v>
      </c>
      <c r="F254" s="659" t="s">
        <v>2290</v>
      </c>
      <c r="G254" s="659" t="s">
        <v>2393</v>
      </c>
      <c r="H254" s="659" t="s">
        <v>2397</v>
      </c>
      <c r="I254" s="659" t="s">
        <v>1636</v>
      </c>
      <c r="J254" s="659" t="s">
        <v>2159</v>
      </c>
      <c r="K254" s="662" t="str">
        <f t="shared" si="19"/>
        <v>Deprecated</v>
      </c>
      <c r="L254" s="660" t="str">
        <f t="shared" si="20"/>
        <v>EA</v>
      </c>
      <c r="M254" s="660" t="str">
        <f t="shared" si="21"/>
        <v>UC</v>
      </c>
      <c r="N254" s="660" t="str">
        <f t="shared" si="22"/>
        <v>PAAS</v>
      </c>
      <c r="O254" s="659" t="str">
        <f t="shared" si="23"/>
        <v/>
      </c>
    </row>
    <row r="255" spans="1:15">
      <c r="A255" s="659" t="s">
        <v>82</v>
      </c>
      <c r="B255" s="659" t="s">
        <v>1883</v>
      </c>
      <c r="C255" s="659">
        <v>0.30969999999999998</v>
      </c>
      <c r="D255" s="659">
        <v>0.30969999999999998</v>
      </c>
      <c r="E255" s="659" t="s">
        <v>49</v>
      </c>
      <c r="F255" s="659" t="s">
        <v>2290</v>
      </c>
      <c r="G255" s="659" t="s">
        <v>2396</v>
      </c>
      <c r="H255" s="659" t="s">
        <v>2161</v>
      </c>
      <c r="I255" s="659" t="s">
        <v>1636</v>
      </c>
      <c r="J255" s="659" t="s">
        <v>2159</v>
      </c>
      <c r="K255" s="662" t="str">
        <f t="shared" si="19"/>
        <v>Classic</v>
      </c>
      <c r="L255" s="660" t="str">
        <f t="shared" si="20"/>
        <v>HR</v>
      </c>
      <c r="M255" s="660" t="str">
        <f t="shared" si="21"/>
        <v>UC</v>
      </c>
      <c r="N255" s="660" t="str">
        <f t="shared" si="22"/>
        <v>PAAS</v>
      </c>
      <c r="O255" s="659" t="str">
        <f t="shared" si="23"/>
        <v/>
      </c>
    </row>
    <row r="256" spans="1:15">
      <c r="A256" s="659" t="s">
        <v>83</v>
      </c>
      <c r="B256" s="659" t="s">
        <v>1884</v>
      </c>
      <c r="C256" s="659">
        <v>0.30969999999999998</v>
      </c>
      <c r="D256" s="659">
        <v>0.30969999999999998</v>
      </c>
      <c r="E256" s="659" t="s">
        <v>49</v>
      </c>
      <c r="F256" s="659" t="s">
        <v>2290</v>
      </c>
      <c r="G256" s="659" t="s">
        <v>2396</v>
      </c>
      <c r="H256" s="659" t="s">
        <v>2161</v>
      </c>
      <c r="I256" s="659" t="s">
        <v>1636</v>
      </c>
      <c r="J256" s="659" t="s">
        <v>2159</v>
      </c>
      <c r="K256" s="662" t="str">
        <f t="shared" si="19"/>
        <v>Classic</v>
      </c>
      <c r="L256" s="660" t="str">
        <f t="shared" si="20"/>
        <v>HR</v>
      </c>
      <c r="M256" s="660" t="str">
        <f t="shared" si="21"/>
        <v>UC</v>
      </c>
      <c r="N256" s="660" t="str">
        <f t="shared" si="22"/>
        <v>PAAS</v>
      </c>
      <c r="O256" s="659" t="str">
        <f t="shared" si="23"/>
        <v/>
      </c>
    </row>
    <row r="257" spans="1:15">
      <c r="A257" s="659" t="s">
        <v>90</v>
      </c>
      <c r="B257" s="659" t="s">
        <v>1885</v>
      </c>
      <c r="C257" s="659">
        <v>0.7742</v>
      </c>
      <c r="D257" s="659">
        <v>0.7742</v>
      </c>
      <c r="E257" s="659" t="s">
        <v>49</v>
      </c>
      <c r="F257" s="659" t="s">
        <v>2290</v>
      </c>
      <c r="G257" s="659" t="s">
        <v>2396</v>
      </c>
      <c r="H257" s="659" t="s">
        <v>2161</v>
      </c>
      <c r="I257" s="659" t="s">
        <v>1636</v>
      </c>
      <c r="J257" s="659" t="s">
        <v>2159</v>
      </c>
      <c r="K257" s="662" t="str">
        <f t="shared" si="19"/>
        <v>Classic</v>
      </c>
      <c r="L257" s="660" t="str">
        <f t="shared" si="20"/>
        <v>HR</v>
      </c>
      <c r="M257" s="660" t="str">
        <f t="shared" si="21"/>
        <v>UC</v>
      </c>
      <c r="N257" s="660" t="str">
        <f t="shared" si="22"/>
        <v>PAAS</v>
      </c>
      <c r="O257" s="659" t="str">
        <f t="shared" si="23"/>
        <v/>
      </c>
    </row>
    <row r="258" spans="1:15">
      <c r="A258" s="659" t="s">
        <v>84</v>
      </c>
      <c r="B258" s="659" t="s">
        <v>1886</v>
      </c>
      <c r="C258" s="659">
        <v>0.43009999999999998</v>
      </c>
      <c r="D258" s="659">
        <v>0.43009999999999998</v>
      </c>
      <c r="E258" s="659" t="s">
        <v>49</v>
      </c>
      <c r="F258" s="659" t="s">
        <v>2290</v>
      </c>
      <c r="G258" s="659" t="s">
        <v>2309</v>
      </c>
      <c r="H258" s="659" t="s">
        <v>2161</v>
      </c>
      <c r="I258" s="659" t="s">
        <v>1636</v>
      </c>
      <c r="J258" s="659" t="s">
        <v>2159</v>
      </c>
      <c r="K258" s="662" t="str">
        <f t="shared" si="19"/>
        <v>DBaaS</v>
      </c>
      <c r="L258" s="660" t="str">
        <f t="shared" si="20"/>
        <v>HR</v>
      </c>
      <c r="M258" s="660" t="str">
        <f t="shared" si="21"/>
        <v>UC</v>
      </c>
      <c r="N258" s="660" t="str">
        <f t="shared" si="22"/>
        <v>PAAS</v>
      </c>
      <c r="O258" s="659" t="str">
        <f t="shared" si="23"/>
        <v/>
      </c>
    </row>
    <row r="259" spans="1:15">
      <c r="A259" s="659" t="s">
        <v>109</v>
      </c>
      <c r="B259" s="659" t="s">
        <v>1887</v>
      </c>
      <c r="C259" s="659">
        <v>1.3441000000000001</v>
      </c>
      <c r="D259" s="659">
        <v>1.3441000000000001</v>
      </c>
      <c r="E259" s="659" t="s">
        <v>49</v>
      </c>
      <c r="F259" s="659" t="s">
        <v>2290</v>
      </c>
      <c r="G259" s="659" t="s">
        <v>2309</v>
      </c>
      <c r="H259" s="659" t="s">
        <v>2161</v>
      </c>
      <c r="I259" s="659" t="s">
        <v>1636</v>
      </c>
      <c r="J259" s="659" t="s">
        <v>2159</v>
      </c>
      <c r="K259" s="662" t="str">
        <f t="shared" si="19"/>
        <v>DBaaS</v>
      </c>
      <c r="L259" s="660" t="str">
        <f t="shared" si="20"/>
        <v>HR</v>
      </c>
      <c r="M259" s="660" t="str">
        <f t="shared" si="21"/>
        <v>UC</v>
      </c>
      <c r="N259" s="660" t="str">
        <f t="shared" si="22"/>
        <v>PAAS</v>
      </c>
      <c r="O259" s="659" t="str">
        <f t="shared" si="23"/>
        <v/>
      </c>
    </row>
    <row r="260" spans="1:15">
      <c r="A260" s="659" t="s">
        <v>104</v>
      </c>
      <c r="B260" s="659" t="s">
        <v>1888</v>
      </c>
      <c r="C260" s="659">
        <v>0.8871</v>
      </c>
      <c r="D260" s="659">
        <v>0.8871</v>
      </c>
      <c r="E260" s="659" t="s">
        <v>49</v>
      </c>
      <c r="F260" s="659" t="s">
        <v>2290</v>
      </c>
      <c r="G260" s="659" t="s">
        <v>2309</v>
      </c>
      <c r="H260" s="659" t="s">
        <v>2161</v>
      </c>
      <c r="I260" s="659" t="s">
        <v>1636</v>
      </c>
      <c r="J260" s="659" t="s">
        <v>2159</v>
      </c>
      <c r="K260" s="662" t="str">
        <f t="shared" ref="K260:K323" si="24">_xlfn.IFS(
ISNUMBER(SEARCH("Day",E260)),"Consulting",
ISNUMBER(SEARCH("Starter Pack",B260)),"Consulting",
ISNUMBER(SEARCH("Design",B260)),"Consulting",
ISNUMBER(SEARCH("Deploy",B260)),"Consulting",
ISNUMBER(SEARCH("Expert",B260)),"Consulting",
ISNUMBER(SEARCH("Installation",B260)),"Consulting",
ISNUMBER(SEARCH("Recommendation",B260)),"Consulting",
ISNUMBER(SEARCH("Transition",B260)),"Consulting",
ISNUMBER(SEARCH("Transition",B260)),"Support",
ISNUMBER(SEARCH("Transition",B260)),"Foundation Service",
ISNUMBER(SEARCH("Consulting",B260)),"Consulting",
ISNUMBER(SEARCH("in Advance",B260)),"New",
ISNUMBER(SEARCH("Universal Credits",B260)),"UC",
ISNUMBER(SEARCH("Ravello",B260)),"Deprecated",
ISNUMBER(SEARCH("Cloud Machine",B260)),"Deprecated",
ISNUMBER(SEARCH("Compute",B260)),"Compute",
ISNUMBER(SEARCH("Load Balancer",B260)),"Network",
ISNUMBER(SEARCH("FastConnect",B260)),"Network",
ISNUMBER(SEARCH("Database OCPU",B260)),"CC OCPU",
ISNUMBER(SEARCH("at Customer",B260)),"CC",
ISNUMBER(SEARCH("Cloud@Customer",B260)),"CC",
ISNUMBER(SEARCH("Exadata Storage",B260)),"Exa Storage",
ISNUMBER(SEARCH("Storage",B260)),"Storage",
ISNUMBER(SEARCH("Block ",B260)),"Storage",
ISNUMBER(SEARCH("Autonomous Data Warehouse",B260)),"ADW",
ISNUMBER(SEARCH("Autonomous Transaction Processing",B260)),"ATP",
ISNUMBER(SEARCH("Database Exadata",B260)),"ExaCS",
ISNUMBER(SEARCH("Database",B260)),"DBaaS",
ISNUMBER(SEARCH("Essbase",B260)),"DBaaS",
ISNUMBER(SEARCH("integration",B260)),"Integration",
ISNUMBER(SEARCH("SOA",B260)),"Integration",
ISNUMBER(SEARCH("Management Cloud",B260)),"Management",
ISNUMBER(SEARCH("Analytics",B260)),"Analytics",
ISNUMBER(SEARCH("Storage",B260)),"Storage",
ISNUMBER(SEARCH("Block ",B260)),"Storage",
ISNUMBER(SEARCH("Identity",B260)),"Platform",
ISNUMBER(SEARCH("Content",B260)),"Platform",
ISNUMBER(SEARCH("Weblogic",B260)),"Platform",
ISNUMBER(SEARCH("Digital Assistant",B260)),"Platform",
ISNUMBER(SEARCH("Limited",B260)),"Classic",
ISNUMBER(SEARCH("Classic",B260)),"Classic",
ISNUMBER(SEARCH("Government",B260)),"Government",
ISNUMBER(SEARCH("Metered",B260)),"Deprecated",
VALUE(RIGHT(A260,5))&lt;88206,"Deprecated",
TRUE,"Platform")</f>
        <v>DBaaS</v>
      </c>
      <c r="L260" s="660" t="str">
        <f t="shared" si="20"/>
        <v>HR</v>
      </c>
      <c r="M260" s="660" t="str">
        <f t="shared" si="21"/>
        <v>UC</v>
      </c>
      <c r="N260" s="660" t="str">
        <f t="shared" si="22"/>
        <v>PAAS</v>
      </c>
      <c r="O260" s="659" t="str">
        <f t="shared" si="23"/>
        <v/>
      </c>
    </row>
    <row r="261" spans="1:15">
      <c r="A261" s="659" t="s">
        <v>78</v>
      </c>
      <c r="B261" s="659" t="s">
        <v>1889</v>
      </c>
      <c r="C261" s="659">
        <v>0.215</v>
      </c>
      <c r="D261" s="659">
        <v>0.215</v>
      </c>
      <c r="E261" s="659" t="s">
        <v>49</v>
      </c>
      <c r="F261" s="659" t="s">
        <v>2290</v>
      </c>
      <c r="G261" s="659" t="s">
        <v>2309</v>
      </c>
      <c r="H261" s="659" t="s">
        <v>2161</v>
      </c>
      <c r="I261" s="659" t="s">
        <v>1636</v>
      </c>
      <c r="J261" s="659" t="s">
        <v>2159</v>
      </c>
      <c r="K261" s="662" t="str">
        <f t="shared" si="24"/>
        <v>DBaaS</v>
      </c>
      <c r="L261" s="660" t="str">
        <f t="shared" si="20"/>
        <v>HR</v>
      </c>
      <c r="M261" s="660" t="str">
        <f t="shared" si="21"/>
        <v>UC</v>
      </c>
      <c r="N261" s="660" t="str">
        <f t="shared" si="22"/>
        <v>PAAS</v>
      </c>
      <c r="O261" s="659" t="str">
        <f t="shared" si="23"/>
        <v/>
      </c>
    </row>
    <row r="262" spans="1:15">
      <c r="A262" s="659" t="s">
        <v>431</v>
      </c>
      <c r="B262" s="659" t="s">
        <v>1890</v>
      </c>
      <c r="C262" s="659">
        <v>0</v>
      </c>
      <c r="D262" s="659">
        <v>0</v>
      </c>
      <c r="E262" s="659">
        <v>0</v>
      </c>
      <c r="F262" s="659" t="s">
        <v>2290</v>
      </c>
      <c r="G262" s="659" t="s">
        <v>2309</v>
      </c>
      <c r="H262" s="659" t="s">
        <v>2394</v>
      </c>
      <c r="I262" s="659" t="s">
        <v>1636</v>
      </c>
      <c r="J262" s="659" t="s">
        <v>2159</v>
      </c>
      <c r="K262" s="662" t="str">
        <f t="shared" si="24"/>
        <v>DBaaS</v>
      </c>
      <c r="L262" s="660" t="str">
        <f t="shared" si="20"/>
        <v>UNIT</v>
      </c>
      <c r="M262" s="660" t="str">
        <f t="shared" si="21"/>
        <v>UC</v>
      </c>
      <c r="N262" s="660" t="str">
        <f t="shared" si="22"/>
        <v>PAAS</v>
      </c>
      <c r="O262" s="659" t="str">
        <f t="shared" si="23"/>
        <v/>
      </c>
    </row>
    <row r="263" spans="1:15">
      <c r="A263" s="659" t="s">
        <v>45</v>
      </c>
      <c r="B263" s="659" t="s">
        <v>1891</v>
      </c>
      <c r="C263" s="659">
        <v>3.2000000000000002E-3</v>
      </c>
      <c r="D263" s="659">
        <v>3.2000000000000002E-3</v>
      </c>
      <c r="E263" s="659" t="s">
        <v>2189</v>
      </c>
      <c r="F263" s="659" t="s">
        <v>2290</v>
      </c>
      <c r="G263" s="659" t="s">
        <v>2309</v>
      </c>
      <c r="H263" s="659" t="s">
        <v>2395</v>
      </c>
      <c r="I263" s="659" t="s">
        <v>1636</v>
      </c>
      <c r="J263" s="659" t="s">
        <v>2158</v>
      </c>
      <c r="K263" s="662" t="str">
        <f t="shared" si="24"/>
        <v>DBaaS</v>
      </c>
      <c r="L263" s="660" t="str">
        <f t="shared" si="20"/>
        <v>REQ</v>
      </c>
      <c r="M263" s="660" t="str">
        <f t="shared" si="21"/>
        <v>UC</v>
      </c>
      <c r="N263" s="660" t="str">
        <f t="shared" si="22"/>
        <v>IAAS</v>
      </c>
      <c r="O263" s="659" t="str">
        <f t="shared" si="23"/>
        <v/>
      </c>
    </row>
    <row r="264" spans="1:15">
      <c r="A264" s="659" t="s">
        <v>47</v>
      </c>
      <c r="B264" s="659" t="s">
        <v>1892</v>
      </c>
      <c r="C264" s="659">
        <v>4.0000000000000001E-3</v>
      </c>
      <c r="D264" s="659">
        <v>4.0000000000000001E-3</v>
      </c>
      <c r="E264" s="659" t="s">
        <v>2199</v>
      </c>
      <c r="F264" s="659" t="s">
        <v>2290</v>
      </c>
      <c r="G264" s="659" t="s">
        <v>2309</v>
      </c>
      <c r="H264" s="659" t="s">
        <v>2395</v>
      </c>
      <c r="I264" s="659" t="s">
        <v>1636</v>
      </c>
      <c r="J264" s="659" t="s">
        <v>2158</v>
      </c>
      <c r="K264" s="662" t="str">
        <f t="shared" si="24"/>
        <v>DBaaS</v>
      </c>
      <c r="L264" s="660" t="str">
        <f t="shared" si="20"/>
        <v>REQ</v>
      </c>
      <c r="M264" s="660" t="str">
        <f t="shared" si="21"/>
        <v>UC</v>
      </c>
      <c r="N264" s="660" t="str">
        <f t="shared" si="22"/>
        <v>IAAS</v>
      </c>
      <c r="O264" s="659" t="str">
        <f t="shared" si="23"/>
        <v/>
      </c>
    </row>
    <row r="265" spans="1:15">
      <c r="A265" s="659" t="s">
        <v>432</v>
      </c>
      <c r="B265" s="659" t="s">
        <v>2384</v>
      </c>
      <c r="C265" s="659">
        <v>0</v>
      </c>
      <c r="D265" s="659">
        <v>2.1100000000000001E-2</v>
      </c>
      <c r="E265" s="659" t="s">
        <v>2166</v>
      </c>
      <c r="F265" s="659" t="s">
        <v>2290</v>
      </c>
      <c r="G265" s="659" t="s">
        <v>1840</v>
      </c>
      <c r="H265" s="659" t="s">
        <v>2162</v>
      </c>
      <c r="I265" s="659" t="s">
        <v>1636</v>
      </c>
      <c r="J265" s="659" t="s">
        <v>2158</v>
      </c>
      <c r="K265" s="662" t="str">
        <f t="shared" si="24"/>
        <v>Storage</v>
      </c>
      <c r="L265" s="660" t="str">
        <f t="shared" si="20"/>
        <v>GB</v>
      </c>
      <c r="M265" s="660" t="str">
        <f t="shared" si="21"/>
        <v>UC</v>
      </c>
      <c r="N265" s="660" t="str">
        <f t="shared" si="22"/>
        <v>IAAS</v>
      </c>
      <c r="O265" s="659" t="str">
        <f t="shared" si="23"/>
        <v/>
      </c>
    </row>
    <row r="266" spans="1:15">
      <c r="A266" s="659" t="s">
        <v>91</v>
      </c>
      <c r="B266" s="659" t="s">
        <v>1893</v>
      </c>
      <c r="C266" s="659">
        <v>0.7742</v>
      </c>
      <c r="D266" s="659">
        <v>0.7742</v>
      </c>
      <c r="E266" s="659" t="s">
        <v>49</v>
      </c>
      <c r="F266" s="659" t="s">
        <v>2290</v>
      </c>
      <c r="G266" s="659" t="s">
        <v>2396</v>
      </c>
      <c r="H266" s="659" t="s">
        <v>2161</v>
      </c>
      <c r="I266" s="659" t="s">
        <v>1636</v>
      </c>
      <c r="J266" s="659" t="s">
        <v>2159</v>
      </c>
      <c r="K266" s="662" t="str">
        <f t="shared" si="24"/>
        <v>Classic</v>
      </c>
      <c r="L266" s="660" t="str">
        <f t="shared" si="20"/>
        <v>HR</v>
      </c>
      <c r="M266" s="660" t="str">
        <f t="shared" si="21"/>
        <v>UC</v>
      </c>
      <c r="N266" s="660" t="str">
        <f t="shared" si="22"/>
        <v>PAAS</v>
      </c>
      <c r="O266" s="659" t="str">
        <f t="shared" si="23"/>
        <v/>
      </c>
    </row>
    <row r="267" spans="1:15">
      <c r="A267" s="659" t="s">
        <v>92</v>
      </c>
      <c r="B267" s="659" t="s">
        <v>1894</v>
      </c>
      <c r="C267" s="659">
        <v>0.7742</v>
      </c>
      <c r="D267" s="659">
        <v>0.7742</v>
      </c>
      <c r="E267" s="659" t="s">
        <v>49</v>
      </c>
      <c r="F267" s="659" t="s">
        <v>2290</v>
      </c>
      <c r="G267" s="659" t="s">
        <v>2396</v>
      </c>
      <c r="H267" s="659" t="s">
        <v>2161</v>
      </c>
      <c r="I267" s="659" t="s">
        <v>1636</v>
      </c>
      <c r="J267" s="659" t="s">
        <v>2159</v>
      </c>
      <c r="K267" s="662" t="str">
        <f t="shared" si="24"/>
        <v>Classic</v>
      </c>
      <c r="L267" s="660" t="str">
        <f t="shared" ref="L267:L330" si="25">_xlfn.IFS(ISNUMBER(SEARCH("Hour",E267)),"HR",ISNUMBER(SEARCH("Gigabyte",E267)),"GB",ISNUMBER(SEARCH("Terabyte",E267)),"TB",ISNUMBER(SEARCH("Requests",E267)),"REQ",ISNUMBER(SEARCH("Each",E267)),"EA",ISNUMBER(SEARCH("Day",E267)),"DAY","TRUE","UNIT")</f>
        <v>HR</v>
      </c>
      <c r="M267" s="660" t="str">
        <f t="shared" ref="M267:M330" si="26">_xlfn.IFS(K267="CC","CC",K267="Consulting","SRV",F267="Y","UC0",TRUE,"UC")</f>
        <v>UC</v>
      </c>
      <c r="N267" s="660" t="str">
        <f t="shared" ref="N267:N330" si="27">_xlfn.IFS(ISNUMBER(SEARCH("BYOL",B267)),"BYOL",K267="Storage","IAAS",K267="Compute","IAAS",K267="Network","IAAS",K267="Service","IAAS",M267="SRV","SRV",M267="CC","CC",L267="REQ","IAAS",TRUE,"PAAS")</f>
        <v>PAAS</v>
      </c>
      <c r="O267" s="659" t="str">
        <f t="shared" ref="O267:O330" si="28">IF(G267=K267,"","error")</f>
        <v/>
      </c>
    </row>
    <row r="268" spans="1:15">
      <c r="A268" s="659" t="s">
        <v>93</v>
      </c>
      <c r="B268" s="659" t="s">
        <v>2291</v>
      </c>
      <c r="C268" s="659">
        <v>0.7742</v>
      </c>
      <c r="D268" s="659">
        <v>0.7742</v>
      </c>
      <c r="E268" s="659" t="s">
        <v>49</v>
      </c>
      <c r="F268" s="659" t="s">
        <v>2290</v>
      </c>
      <c r="G268" s="659" t="s">
        <v>2396</v>
      </c>
      <c r="H268" s="659" t="s">
        <v>2161</v>
      </c>
      <c r="I268" s="659" t="s">
        <v>1636</v>
      </c>
      <c r="J268" s="659" t="s">
        <v>2159</v>
      </c>
      <c r="K268" s="662" t="str">
        <f t="shared" si="24"/>
        <v>Classic</v>
      </c>
      <c r="L268" s="660" t="str">
        <f t="shared" si="25"/>
        <v>HR</v>
      </c>
      <c r="M268" s="660" t="str">
        <f t="shared" si="26"/>
        <v>UC</v>
      </c>
      <c r="N268" s="660" t="str">
        <f t="shared" si="27"/>
        <v>PAAS</v>
      </c>
      <c r="O268" s="659" t="str">
        <f t="shared" si="28"/>
        <v/>
      </c>
    </row>
    <row r="269" spans="1:15">
      <c r="A269" s="659" t="s">
        <v>1389</v>
      </c>
      <c r="B269" s="659" t="s">
        <v>1390</v>
      </c>
      <c r="C269" s="659">
        <v>6.3799999999999996E-2</v>
      </c>
      <c r="D269" s="659">
        <v>6.3799999999999996E-2</v>
      </c>
      <c r="E269" s="659" t="s">
        <v>49</v>
      </c>
      <c r="F269" s="659" t="s">
        <v>2290</v>
      </c>
      <c r="G269" s="659" t="s">
        <v>1835</v>
      </c>
      <c r="H269" s="659" t="s">
        <v>2161</v>
      </c>
      <c r="I269" s="659" t="s">
        <v>1636</v>
      </c>
      <c r="J269" s="659" t="s">
        <v>2158</v>
      </c>
      <c r="K269" s="662" t="str">
        <f t="shared" si="24"/>
        <v>Compute</v>
      </c>
      <c r="L269" s="660" t="str">
        <f t="shared" si="25"/>
        <v>HR</v>
      </c>
      <c r="M269" s="660" t="str">
        <f t="shared" si="26"/>
        <v>UC</v>
      </c>
      <c r="N269" s="660" t="str">
        <f t="shared" si="27"/>
        <v>IAAS</v>
      </c>
      <c r="O269" s="659" t="str">
        <f t="shared" si="28"/>
        <v/>
      </c>
    </row>
    <row r="270" spans="1:15">
      <c r="A270" s="659" t="s">
        <v>1391</v>
      </c>
      <c r="B270" s="659" t="s">
        <v>1392</v>
      </c>
      <c r="C270" s="659">
        <v>6.3799999999999996E-2</v>
      </c>
      <c r="D270" s="659">
        <v>6.3799999999999996E-2</v>
      </c>
      <c r="E270" s="659" t="s">
        <v>49</v>
      </c>
      <c r="F270" s="659" t="s">
        <v>2290</v>
      </c>
      <c r="G270" s="659" t="s">
        <v>1835</v>
      </c>
      <c r="H270" s="659" t="s">
        <v>2161</v>
      </c>
      <c r="I270" s="659" t="s">
        <v>1636</v>
      </c>
      <c r="J270" s="659" t="s">
        <v>2158</v>
      </c>
      <c r="K270" s="662" t="str">
        <f t="shared" si="24"/>
        <v>Compute</v>
      </c>
      <c r="L270" s="660" t="str">
        <f t="shared" si="25"/>
        <v>HR</v>
      </c>
      <c r="M270" s="660" t="str">
        <f t="shared" si="26"/>
        <v>UC</v>
      </c>
      <c r="N270" s="660" t="str">
        <f t="shared" si="27"/>
        <v>IAAS</v>
      </c>
      <c r="O270" s="659" t="str">
        <f t="shared" si="28"/>
        <v/>
      </c>
    </row>
    <row r="271" spans="1:15">
      <c r="A271" s="659" t="s">
        <v>40</v>
      </c>
      <c r="B271" s="659" t="s">
        <v>48</v>
      </c>
      <c r="C271" s="659">
        <v>9.1999999999999998E-2</v>
      </c>
      <c r="D271" s="659">
        <v>9.1999999999999998E-2</v>
      </c>
      <c r="E271" s="659" t="s">
        <v>49</v>
      </c>
      <c r="F271" s="659" t="s">
        <v>588</v>
      </c>
      <c r="G271" s="659" t="s">
        <v>1835</v>
      </c>
      <c r="H271" s="659" t="s">
        <v>2161</v>
      </c>
      <c r="I271" s="659" t="s">
        <v>2398</v>
      </c>
      <c r="J271" s="659" t="s">
        <v>2158</v>
      </c>
      <c r="K271" s="662" t="str">
        <f t="shared" si="24"/>
        <v>Compute</v>
      </c>
      <c r="L271" s="660" t="str">
        <f t="shared" si="25"/>
        <v>HR</v>
      </c>
      <c r="M271" s="660" t="str">
        <f t="shared" si="26"/>
        <v>UC0</v>
      </c>
      <c r="N271" s="660" t="str">
        <f t="shared" si="27"/>
        <v>IAAS</v>
      </c>
      <c r="O271" s="659" t="str">
        <f t="shared" si="28"/>
        <v/>
      </c>
    </row>
    <row r="272" spans="1:15">
      <c r="A272" s="659" t="s">
        <v>41</v>
      </c>
      <c r="B272" s="659" t="s">
        <v>65</v>
      </c>
      <c r="C272" s="659">
        <v>0.21249999999999999</v>
      </c>
      <c r="D272" s="659">
        <v>0.21249999999999999</v>
      </c>
      <c r="E272" s="659" t="s">
        <v>2193</v>
      </c>
      <c r="F272" s="659" t="s">
        <v>2290</v>
      </c>
      <c r="G272" s="659" t="s">
        <v>2313</v>
      </c>
      <c r="H272" s="659" t="s">
        <v>2161</v>
      </c>
      <c r="I272" s="659" t="s">
        <v>1636</v>
      </c>
      <c r="J272" s="659" t="s">
        <v>2158</v>
      </c>
      <c r="K272" s="662" t="str">
        <f t="shared" si="24"/>
        <v>Network</v>
      </c>
      <c r="L272" s="660" t="str">
        <f t="shared" si="25"/>
        <v>HR</v>
      </c>
      <c r="M272" s="660" t="str">
        <f t="shared" si="26"/>
        <v>UC</v>
      </c>
      <c r="N272" s="660" t="str">
        <f t="shared" si="27"/>
        <v>IAAS</v>
      </c>
      <c r="O272" s="659" t="str">
        <f t="shared" si="28"/>
        <v/>
      </c>
    </row>
    <row r="273" spans="1:15">
      <c r="A273" s="659" t="s">
        <v>97</v>
      </c>
      <c r="B273" s="659" t="s">
        <v>98</v>
      </c>
      <c r="C273" s="659">
        <v>1.2749999999999999</v>
      </c>
      <c r="D273" s="659">
        <v>1.2749999999999999</v>
      </c>
      <c r="E273" s="659" t="s">
        <v>2193</v>
      </c>
      <c r="F273" s="659" t="s">
        <v>2290</v>
      </c>
      <c r="G273" s="659" t="s">
        <v>2313</v>
      </c>
      <c r="H273" s="659" t="s">
        <v>2161</v>
      </c>
      <c r="I273" s="659" t="s">
        <v>1636</v>
      </c>
      <c r="J273" s="659" t="s">
        <v>2158</v>
      </c>
      <c r="K273" s="662" t="str">
        <f t="shared" si="24"/>
        <v>Network</v>
      </c>
      <c r="L273" s="660" t="str">
        <f t="shared" si="25"/>
        <v>HR</v>
      </c>
      <c r="M273" s="660" t="str">
        <f t="shared" si="26"/>
        <v>UC</v>
      </c>
      <c r="N273" s="660" t="str">
        <f t="shared" si="27"/>
        <v>IAAS</v>
      </c>
      <c r="O273" s="659" t="str">
        <f t="shared" si="28"/>
        <v/>
      </c>
    </row>
    <row r="274" spans="1:15">
      <c r="A274" s="659" t="s">
        <v>433</v>
      </c>
      <c r="B274" s="659" t="s">
        <v>434</v>
      </c>
      <c r="C274" s="659">
        <v>0</v>
      </c>
      <c r="D274" s="659">
        <v>8.5000000000000006E-3</v>
      </c>
      <c r="E274" s="659" t="s">
        <v>2187</v>
      </c>
      <c r="F274" s="659" t="s">
        <v>2290</v>
      </c>
      <c r="G274" s="659" t="s">
        <v>2392</v>
      </c>
      <c r="H274" s="659" t="s">
        <v>2162</v>
      </c>
      <c r="I274" s="659" t="s">
        <v>1636</v>
      </c>
      <c r="J274" s="659" t="s">
        <v>2159</v>
      </c>
      <c r="K274" s="662" t="str">
        <f t="shared" si="24"/>
        <v>Platform</v>
      </c>
      <c r="L274" s="660" t="str">
        <f t="shared" si="25"/>
        <v>GB</v>
      </c>
      <c r="M274" s="660" t="str">
        <f t="shared" si="26"/>
        <v>UC</v>
      </c>
      <c r="N274" s="660" t="str">
        <f t="shared" si="27"/>
        <v>PAAS</v>
      </c>
      <c r="O274" s="659" t="str">
        <f t="shared" si="28"/>
        <v/>
      </c>
    </row>
    <row r="275" spans="1:15">
      <c r="A275" s="659" t="s">
        <v>66</v>
      </c>
      <c r="B275" s="659" t="s">
        <v>1898</v>
      </c>
      <c r="C275" s="659">
        <v>0.19350000000000001</v>
      </c>
      <c r="D275" s="659">
        <v>0.19350000000000001</v>
      </c>
      <c r="E275" s="659" t="s">
        <v>49</v>
      </c>
      <c r="F275" s="659" t="s">
        <v>2290</v>
      </c>
      <c r="G275" s="659" t="s">
        <v>2396</v>
      </c>
      <c r="H275" s="659" t="s">
        <v>2161</v>
      </c>
      <c r="I275" s="659" t="s">
        <v>1636</v>
      </c>
      <c r="J275" s="659" t="s">
        <v>1338</v>
      </c>
      <c r="K275" s="662" t="str">
        <f t="shared" si="24"/>
        <v>Classic</v>
      </c>
      <c r="L275" s="660" t="str">
        <f t="shared" si="25"/>
        <v>HR</v>
      </c>
      <c r="M275" s="660" t="str">
        <f t="shared" si="26"/>
        <v>UC</v>
      </c>
      <c r="N275" s="660" t="str">
        <f t="shared" si="27"/>
        <v>BYOL</v>
      </c>
      <c r="O275" s="659" t="str">
        <f t="shared" si="28"/>
        <v/>
      </c>
    </row>
    <row r="276" spans="1:15">
      <c r="A276" s="659" t="s">
        <v>558</v>
      </c>
      <c r="B276" s="659" t="s">
        <v>1899</v>
      </c>
      <c r="C276" s="659">
        <v>0.19350000000000001</v>
      </c>
      <c r="D276" s="659">
        <v>0.19350000000000001</v>
      </c>
      <c r="E276" s="659" t="s">
        <v>49</v>
      </c>
      <c r="F276" s="659" t="s">
        <v>2290</v>
      </c>
      <c r="G276" s="659" t="s">
        <v>2396</v>
      </c>
      <c r="H276" s="659" t="s">
        <v>2161</v>
      </c>
      <c r="I276" s="659" t="s">
        <v>1636</v>
      </c>
      <c r="J276" s="659" t="s">
        <v>1338</v>
      </c>
      <c r="K276" s="662" t="str">
        <f t="shared" si="24"/>
        <v>Classic</v>
      </c>
      <c r="L276" s="660" t="str">
        <f t="shared" si="25"/>
        <v>HR</v>
      </c>
      <c r="M276" s="660" t="str">
        <f t="shared" si="26"/>
        <v>UC</v>
      </c>
      <c r="N276" s="660" t="str">
        <f t="shared" si="27"/>
        <v>BYOL</v>
      </c>
      <c r="O276" s="659" t="str">
        <f t="shared" si="28"/>
        <v/>
      </c>
    </row>
    <row r="277" spans="1:15">
      <c r="A277" s="659" t="s">
        <v>67</v>
      </c>
      <c r="B277" s="659" t="s">
        <v>1900</v>
      </c>
      <c r="C277" s="659">
        <v>0.19350000000000001</v>
      </c>
      <c r="D277" s="659">
        <v>0.19350000000000001</v>
      </c>
      <c r="E277" s="659" t="s">
        <v>49</v>
      </c>
      <c r="F277" s="659" t="s">
        <v>2290</v>
      </c>
      <c r="G277" s="659" t="s">
        <v>2396</v>
      </c>
      <c r="H277" s="659" t="s">
        <v>2161</v>
      </c>
      <c r="I277" s="659" t="s">
        <v>1636</v>
      </c>
      <c r="J277" s="659" t="s">
        <v>1338</v>
      </c>
      <c r="K277" s="662" t="str">
        <f t="shared" si="24"/>
        <v>Classic</v>
      </c>
      <c r="L277" s="660" t="str">
        <f t="shared" si="25"/>
        <v>HR</v>
      </c>
      <c r="M277" s="660" t="str">
        <f t="shared" si="26"/>
        <v>UC</v>
      </c>
      <c r="N277" s="660" t="str">
        <f t="shared" si="27"/>
        <v>BYOL</v>
      </c>
      <c r="O277" s="659" t="str">
        <f t="shared" si="28"/>
        <v/>
      </c>
    </row>
    <row r="278" spans="1:15">
      <c r="A278" s="659" t="s">
        <v>2261</v>
      </c>
      <c r="B278" s="659" t="s">
        <v>1901</v>
      </c>
      <c r="C278" s="659">
        <v>0.19350000000000001</v>
      </c>
      <c r="D278" s="659">
        <v>0.19350000000000001</v>
      </c>
      <c r="E278" s="659" t="s">
        <v>49</v>
      </c>
      <c r="F278" s="659" t="s">
        <v>2290</v>
      </c>
      <c r="G278" s="659" t="s">
        <v>2309</v>
      </c>
      <c r="H278" s="659" t="s">
        <v>2161</v>
      </c>
      <c r="I278" s="659" t="s">
        <v>1636</v>
      </c>
      <c r="J278" s="659" t="s">
        <v>1338</v>
      </c>
      <c r="K278" s="662" t="str">
        <f t="shared" si="24"/>
        <v>DBaaS</v>
      </c>
      <c r="L278" s="660" t="str">
        <f t="shared" si="25"/>
        <v>HR</v>
      </c>
      <c r="M278" s="660" t="str">
        <f t="shared" si="26"/>
        <v>UC</v>
      </c>
      <c r="N278" s="660" t="str">
        <f t="shared" si="27"/>
        <v>BYOL</v>
      </c>
      <c r="O278" s="659" t="str">
        <f t="shared" si="28"/>
        <v/>
      </c>
    </row>
    <row r="279" spans="1:15">
      <c r="A279" s="659" t="s">
        <v>72</v>
      </c>
      <c r="B279" s="659" t="s">
        <v>1902</v>
      </c>
      <c r="C279" s="659">
        <v>0.19350000000000001</v>
      </c>
      <c r="D279" s="659">
        <v>0.19350000000000001</v>
      </c>
      <c r="E279" s="659" t="s">
        <v>49</v>
      </c>
      <c r="F279" s="659" t="s">
        <v>2290</v>
      </c>
      <c r="G279" s="659" t="s">
        <v>2309</v>
      </c>
      <c r="H279" s="659" t="s">
        <v>2161</v>
      </c>
      <c r="I279" s="659" t="s">
        <v>1636</v>
      </c>
      <c r="J279" s="659" t="s">
        <v>1338</v>
      </c>
      <c r="K279" s="662" t="str">
        <f t="shared" si="24"/>
        <v>DBaaS</v>
      </c>
      <c r="L279" s="660" t="str">
        <f t="shared" si="25"/>
        <v>HR</v>
      </c>
      <c r="M279" s="660" t="str">
        <f t="shared" si="26"/>
        <v>UC</v>
      </c>
      <c r="N279" s="660" t="str">
        <f t="shared" si="27"/>
        <v>BYOL</v>
      </c>
      <c r="O279" s="659" t="str">
        <f t="shared" si="28"/>
        <v/>
      </c>
    </row>
    <row r="280" spans="1:15">
      <c r="A280" s="659" t="s">
        <v>68</v>
      </c>
      <c r="B280" s="1" t="s">
        <v>1903</v>
      </c>
      <c r="C280" s="659">
        <v>0.19350000000000001</v>
      </c>
      <c r="D280" s="659">
        <v>0.19350000000000001</v>
      </c>
      <c r="E280" s="659" t="s">
        <v>49</v>
      </c>
      <c r="F280" s="659" t="s">
        <v>2290</v>
      </c>
      <c r="G280" s="659" t="s">
        <v>2396</v>
      </c>
      <c r="H280" s="659" t="s">
        <v>2161</v>
      </c>
      <c r="I280" s="659" t="s">
        <v>1636</v>
      </c>
      <c r="J280" s="659" t="s">
        <v>1338</v>
      </c>
      <c r="K280" s="662" t="str">
        <f t="shared" si="24"/>
        <v>Classic</v>
      </c>
      <c r="L280" s="660" t="str">
        <f t="shared" si="25"/>
        <v>HR</v>
      </c>
      <c r="M280" s="660" t="str">
        <f t="shared" si="26"/>
        <v>UC</v>
      </c>
      <c r="N280" s="660" t="str">
        <f t="shared" si="27"/>
        <v>BYOL</v>
      </c>
      <c r="O280" s="659" t="str">
        <f t="shared" si="28"/>
        <v/>
      </c>
    </row>
    <row r="281" spans="1:15">
      <c r="A281" s="659" t="s">
        <v>69</v>
      </c>
      <c r="B281" s="659" t="s">
        <v>1904</v>
      </c>
      <c r="C281" s="659">
        <v>0.19350000000000001</v>
      </c>
      <c r="D281" s="659">
        <v>0.19350000000000001</v>
      </c>
      <c r="E281" s="659" t="s">
        <v>49</v>
      </c>
      <c r="F281" s="659" t="s">
        <v>2290</v>
      </c>
      <c r="G281" s="659" t="s">
        <v>2396</v>
      </c>
      <c r="H281" s="659" t="s">
        <v>2161</v>
      </c>
      <c r="I281" s="659" t="s">
        <v>1636</v>
      </c>
      <c r="J281" s="659" t="s">
        <v>1338</v>
      </c>
      <c r="K281" s="662" t="str">
        <f t="shared" si="24"/>
        <v>Classic</v>
      </c>
      <c r="L281" s="660" t="str">
        <f t="shared" si="25"/>
        <v>HR</v>
      </c>
      <c r="M281" s="660" t="str">
        <f t="shared" si="26"/>
        <v>UC</v>
      </c>
      <c r="N281" s="660" t="str">
        <f t="shared" si="27"/>
        <v>BYOL</v>
      </c>
      <c r="O281" s="659" t="str">
        <f t="shared" si="28"/>
        <v/>
      </c>
    </row>
    <row r="282" spans="1:15">
      <c r="A282" s="659" t="s">
        <v>77</v>
      </c>
      <c r="B282" s="659" t="s">
        <v>1909</v>
      </c>
      <c r="C282" s="659">
        <v>0.2</v>
      </c>
      <c r="D282" s="659">
        <v>0.2</v>
      </c>
      <c r="E282" s="659" t="s">
        <v>2183</v>
      </c>
      <c r="F282" s="659" t="s">
        <v>2290</v>
      </c>
      <c r="G282" s="659" t="s">
        <v>2396</v>
      </c>
      <c r="H282" s="659" t="s">
        <v>2394</v>
      </c>
      <c r="I282" s="659" t="s">
        <v>1636</v>
      </c>
      <c r="J282" s="659" t="s">
        <v>2159</v>
      </c>
      <c r="K282" s="662" t="str">
        <f t="shared" si="24"/>
        <v>Classic</v>
      </c>
      <c r="L282" s="660" t="str">
        <f t="shared" si="25"/>
        <v>UNIT</v>
      </c>
      <c r="M282" s="660" t="str">
        <f t="shared" si="26"/>
        <v>UC</v>
      </c>
      <c r="N282" s="660" t="str">
        <f t="shared" si="27"/>
        <v>PAAS</v>
      </c>
      <c r="O282" s="659" t="str">
        <f t="shared" si="28"/>
        <v/>
      </c>
    </row>
    <row r="283" spans="1:15">
      <c r="A283" s="659" t="s">
        <v>54</v>
      </c>
      <c r="B283" s="659" t="s">
        <v>55</v>
      </c>
      <c r="C283" s="659">
        <v>6.3750000000000001E-2</v>
      </c>
      <c r="D283" s="659">
        <v>6.3750000000000001E-2</v>
      </c>
      <c r="E283" s="659" t="s">
        <v>49</v>
      </c>
      <c r="F283" s="659" t="s">
        <v>2290</v>
      </c>
      <c r="G283" s="659" t="s">
        <v>1835</v>
      </c>
      <c r="H283" s="659" t="s">
        <v>2161</v>
      </c>
      <c r="I283" s="659" t="s">
        <v>1636</v>
      </c>
      <c r="J283" s="659" t="s">
        <v>2158</v>
      </c>
      <c r="K283" s="662" t="str">
        <f t="shared" si="24"/>
        <v>Compute</v>
      </c>
      <c r="L283" s="660" t="str">
        <f t="shared" si="25"/>
        <v>HR</v>
      </c>
      <c r="M283" s="660" t="str">
        <f t="shared" si="26"/>
        <v>UC</v>
      </c>
      <c r="N283" s="660" t="str">
        <f t="shared" si="27"/>
        <v>IAAS</v>
      </c>
      <c r="O283" s="659" t="str">
        <f t="shared" si="28"/>
        <v/>
      </c>
    </row>
    <row r="284" spans="1:15">
      <c r="A284" s="659" t="s">
        <v>38</v>
      </c>
      <c r="B284" s="659" t="s">
        <v>56</v>
      </c>
      <c r="C284" s="659">
        <v>6.3750000000000001E-2</v>
      </c>
      <c r="D284" s="659">
        <v>6.3750000000000001E-2</v>
      </c>
      <c r="E284" s="659" t="s">
        <v>49</v>
      </c>
      <c r="F284" s="659" t="s">
        <v>2290</v>
      </c>
      <c r="G284" s="659" t="s">
        <v>1835</v>
      </c>
      <c r="H284" s="659" t="s">
        <v>2161</v>
      </c>
      <c r="I284" s="659" t="s">
        <v>1636</v>
      </c>
      <c r="J284" s="659" t="s">
        <v>2158</v>
      </c>
      <c r="K284" s="662" t="str">
        <f t="shared" si="24"/>
        <v>Compute</v>
      </c>
      <c r="L284" s="660" t="str">
        <f t="shared" si="25"/>
        <v>HR</v>
      </c>
      <c r="M284" s="660" t="str">
        <f t="shared" si="26"/>
        <v>UC</v>
      </c>
      <c r="N284" s="660" t="str">
        <f t="shared" si="27"/>
        <v>IAAS</v>
      </c>
      <c r="O284" s="659" t="str">
        <f t="shared" si="28"/>
        <v/>
      </c>
    </row>
    <row r="285" spans="1:15">
      <c r="A285" s="659" t="s">
        <v>60</v>
      </c>
      <c r="B285" s="659" t="s">
        <v>61</v>
      </c>
      <c r="C285" s="659">
        <v>0.1275</v>
      </c>
      <c r="D285" s="659">
        <v>0.1275</v>
      </c>
      <c r="E285" s="659" t="s">
        <v>49</v>
      </c>
      <c r="F285" s="659" t="s">
        <v>2290</v>
      </c>
      <c r="G285" s="659" t="s">
        <v>1835</v>
      </c>
      <c r="H285" s="659" t="s">
        <v>2161</v>
      </c>
      <c r="I285" s="659" t="s">
        <v>1636</v>
      </c>
      <c r="J285" s="659" t="s">
        <v>2158</v>
      </c>
      <c r="K285" s="662" t="str">
        <f t="shared" si="24"/>
        <v>Compute</v>
      </c>
      <c r="L285" s="660" t="str">
        <f t="shared" si="25"/>
        <v>HR</v>
      </c>
      <c r="M285" s="660" t="str">
        <f t="shared" si="26"/>
        <v>UC</v>
      </c>
      <c r="N285" s="660" t="str">
        <f t="shared" si="27"/>
        <v>IAAS</v>
      </c>
      <c r="O285" s="659" t="str">
        <f t="shared" si="28"/>
        <v/>
      </c>
    </row>
    <row r="286" spans="1:15">
      <c r="A286" s="659" t="s">
        <v>62</v>
      </c>
      <c r="B286" s="659" t="s">
        <v>63</v>
      </c>
      <c r="C286" s="659">
        <v>0.1275</v>
      </c>
      <c r="D286" s="659">
        <v>0.1275</v>
      </c>
      <c r="E286" s="659" t="s">
        <v>49</v>
      </c>
      <c r="F286" s="659" t="s">
        <v>2290</v>
      </c>
      <c r="G286" s="659" t="s">
        <v>1835</v>
      </c>
      <c r="H286" s="659" t="s">
        <v>2161</v>
      </c>
      <c r="I286" s="659" t="s">
        <v>1636</v>
      </c>
      <c r="J286" s="659" t="s">
        <v>2158</v>
      </c>
      <c r="K286" s="662" t="str">
        <f t="shared" si="24"/>
        <v>Compute</v>
      </c>
      <c r="L286" s="660" t="str">
        <f t="shared" si="25"/>
        <v>HR</v>
      </c>
      <c r="M286" s="660" t="str">
        <f t="shared" si="26"/>
        <v>UC</v>
      </c>
      <c r="N286" s="660" t="str">
        <f t="shared" si="27"/>
        <v>IAAS</v>
      </c>
      <c r="O286" s="659" t="str">
        <f t="shared" si="28"/>
        <v/>
      </c>
    </row>
    <row r="287" spans="1:15">
      <c r="A287" s="659" t="s">
        <v>99</v>
      </c>
      <c r="B287" s="659" t="s">
        <v>100</v>
      </c>
      <c r="C287" s="659">
        <v>1.2749999999999999</v>
      </c>
      <c r="D287" s="659">
        <v>1.2749999999999999</v>
      </c>
      <c r="E287" s="659" t="s">
        <v>2191</v>
      </c>
      <c r="F287" s="659" t="s">
        <v>2290</v>
      </c>
      <c r="G287" s="659" t="s">
        <v>1835</v>
      </c>
      <c r="H287" s="659" t="s">
        <v>2161</v>
      </c>
      <c r="I287" s="659" t="s">
        <v>1636</v>
      </c>
      <c r="J287" s="659" t="s">
        <v>2158</v>
      </c>
      <c r="K287" s="662" t="str">
        <f t="shared" si="24"/>
        <v>Compute</v>
      </c>
      <c r="L287" s="660" t="str">
        <f t="shared" si="25"/>
        <v>HR</v>
      </c>
      <c r="M287" s="660" t="str">
        <f t="shared" si="26"/>
        <v>UC</v>
      </c>
      <c r="N287" s="660" t="str">
        <f t="shared" si="27"/>
        <v>IAAS</v>
      </c>
      <c r="O287" s="659" t="str">
        <f t="shared" si="28"/>
        <v/>
      </c>
    </row>
    <row r="288" spans="1:15">
      <c r="A288" s="659" t="s">
        <v>101</v>
      </c>
      <c r="B288" s="659" t="s">
        <v>102</v>
      </c>
      <c r="C288" s="659">
        <v>1.2749999999999999</v>
      </c>
      <c r="D288" s="659">
        <v>1.2749999999999999</v>
      </c>
      <c r="E288" s="659" t="s">
        <v>2191</v>
      </c>
      <c r="F288" s="659" t="s">
        <v>2290</v>
      </c>
      <c r="G288" s="659" t="s">
        <v>1835</v>
      </c>
      <c r="H288" s="659" t="s">
        <v>2161</v>
      </c>
      <c r="I288" s="659" t="s">
        <v>1636</v>
      </c>
      <c r="J288" s="659" t="s">
        <v>2158</v>
      </c>
      <c r="K288" s="662" t="str">
        <f t="shared" si="24"/>
        <v>Compute</v>
      </c>
      <c r="L288" s="660" t="str">
        <f t="shared" si="25"/>
        <v>HR</v>
      </c>
      <c r="M288" s="660" t="str">
        <f t="shared" si="26"/>
        <v>UC</v>
      </c>
      <c r="N288" s="660" t="str">
        <f t="shared" si="27"/>
        <v>IAAS</v>
      </c>
      <c r="O288" s="659" t="str">
        <f t="shared" si="28"/>
        <v/>
      </c>
    </row>
    <row r="289" spans="1:15">
      <c r="A289" s="659" t="s">
        <v>88</v>
      </c>
      <c r="B289" s="659" t="s">
        <v>582</v>
      </c>
      <c r="C289" s="659">
        <v>8.5000000000000006E-2</v>
      </c>
      <c r="D289" s="659">
        <v>8.5000000000000006E-2</v>
      </c>
      <c r="E289" s="659" t="s">
        <v>2200</v>
      </c>
      <c r="F289" s="659" t="s">
        <v>2290</v>
      </c>
      <c r="G289" s="659" t="s">
        <v>2392</v>
      </c>
      <c r="H289" s="659" t="s">
        <v>2394</v>
      </c>
      <c r="I289" s="659" t="s">
        <v>1636</v>
      </c>
      <c r="J289" s="659" t="s">
        <v>2159</v>
      </c>
      <c r="K289" s="662" t="str">
        <f t="shared" si="24"/>
        <v>Platform</v>
      </c>
      <c r="L289" s="660" t="str">
        <f t="shared" si="25"/>
        <v>UNIT</v>
      </c>
      <c r="M289" s="660" t="str">
        <f t="shared" si="26"/>
        <v>UC</v>
      </c>
      <c r="N289" s="660" t="str">
        <f t="shared" si="27"/>
        <v>PAAS</v>
      </c>
      <c r="O289" s="659" t="str">
        <f t="shared" si="28"/>
        <v/>
      </c>
    </row>
    <row r="290" spans="1:15">
      <c r="A290" s="659" t="s">
        <v>89</v>
      </c>
      <c r="B290" s="659" t="s">
        <v>565</v>
      </c>
      <c r="C290" s="659">
        <v>0.85</v>
      </c>
      <c r="D290" s="659">
        <v>0.85</v>
      </c>
      <c r="E290" s="659" t="s">
        <v>2201</v>
      </c>
      <c r="F290" s="659" t="s">
        <v>2290</v>
      </c>
      <c r="G290" s="659" t="s">
        <v>2392</v>
      </c>
      <c r="H290" s="659" t="s">
        <v>2394</v>
      </c>
      <c r="I290" s="659" t="s">
        <v>1636</v>
      </c>
      <c r="J290" s="659" t="s">
        <v>2159</v>
      </c>
      <c r="K290" s="662" t="str">
        <f t="shared" si="24"/>
        <v>Platform</v>
      </c>
      <c r="L290" s="660" t="str">
        <f t="shared" si="25"/>
        <v>UNIT</v>
      </c>
      <c r="M290" s="660" t="str">
        <f t="shared" si="26"/>
        <v>UC</v>
      </c>
      <c r="N290" s="660" t="str">
        <f t="shared" si="27"/>
        <v>PAAS</v>
      </c>
      <c r="O290" s="659" t="str">
        <f t="shared" si="28"/>
        <v/>
      </c>
    </row>
    <row r="291" spans="1:15">
      <c r="A291" s="659" t="s">
        <v>583</v>
      </c>
      <c r="B291" s="659" t="s">
        <v>584</v>
      </c>
      <c r="C291" s="659">
        <v>0</v>
      </c>
      <c r="D291" s="659">
        <v>5000</v>
      </c>
      <c r="E291" s="659" t="s">
        <v>2202</v>
      </c>
      <c r="F291" s="659" t="s">
        <v>2290</v>
      </c>
      <c r="G291" s="659" t="s">
        <v>2393</v>
      </c>
      <c r="H291" s="659" t="s">
        <v>2394</v>
      </c>
      <c r="I291" s="659" t="s">
        <v>1636</v>
      </c>
      <c r="J291" s="659" t="s">
        <v>2159</v>
      </c>
      <c r="K291" s="662" t="str">
        <f t="shared" si="24"/>
        <v>Deprecated</v>
      </c>
      <c r="L291" s="660" t="str">
        <f t="shared" si="25"/>
        <v>UNIT</v>
      </c>
      <c r="M291" s="660" t="str">
        <f t="shared" si="26"/>
        <v>UC</v>
      </c>
      <c r="N291" s="660" t="str">
        <f t="shared" si="27"/>
        <v>PAAS</v>
      </c>
      <c r="O291" s="659" t="str">
        <f t="shared" si="28"/>
        <v/>
      </c>
    </row>
    <row r="292" spans="1:15">
      <c r="A292" s="659" t="s">
        <v>1323</v>
      </c>
      <c r="B292" s="659" t="s">
        <v>1324</v>
      </c>
      <c r="C292" s="659">
        <v>0</v>
      </c>
      <c r="D292" s="659">
        <v>11760</v>
      </c>
      <c r="E292" s="659" t="s">
        <v>1154</v>
      </c>
      <c r="F292" s="659" t="s">
        <v>2290</v>
      </c>
      <c r="G292" s="659" t="s">
        <v>2393</v>
      </c>
      <c r="H292" s="659" t="s">
        <v>2397</v>
      </c>
      <c r="I292" s="659" t="s">
        <v>1636</v>
      </c>
      <c r="J292" s="659" t="s">
        <v>2159</v>
      </c>
      <c r="K292" s="662" t="str">
        <f t="shared" si="24"/>
        <v>Deprecated</v>
      </c>
      <c r="L292" s="660" t="str">
        <f t="shared" si="25"/>
        <v>EA</v>
      </c>
      <c r="M292" s="660" t="str">
        <f t="shared" si="26"/>
        <v>UC</v>
      </c>
      <c r="N292" s="660" t="str">
        <f t="shared" si="27"/>
        <v>PAAS</v>
      </c>
      <c r="O292" s="659" t="str">
        <f t="shared" si="28"/>
        <v/>
      </c>
    </row>
    <row r="293" spans="1:15">
      <c r="A293" s="659" t="s">
        <v>1325</v>
      </c>
      <c r="B293" s="659" t="s">
        <v>1326</v>
      </c>
      <c r="C293" s="659">
        <v>0</v>
      </c>
      <c r="D293" s="659">
        <v>30090</v>
      </c>
      <c r="E293" s="659" t="s">
        <v>1154</v>
      </c>
      <c r="F293" s="659" t="s">
        <v>2290</v>
      </c>
      <c r="G293" s="659" t="s">
        <v>2393</v>
      </c>
      <c r="H293" s="659" t="s">
        <v>2397</v>
      </c>
      <c r="I293" s="659" t="s">
        <v>1636</v>
      </c>
      <c r="J293" s="659" t="s">
        <v>2159</v>
      </c>
      <c r="K293" s="662" t="str">
        <f t="shared" si="24"/>
        <v>Deprecated</v>
      </c>
      <c r="L293" s="660" t="str">
        <f t="shared" si="25"/>
        <v>EA</v>
      </c>
      <c r="M293" s="660" t="str">
        <f t="shared" si="26"/>
        <v>UC</v>
      </c>
      <c r="N293" s="660" t="str">
        <f t="shared" si="27"/>
        <v>PAAS</v>
      </c>
      <c r="O293" s="659" t="str">
        <f t="shared" si="28"/>
        <v/>
      </c>
    </row>
    <row r="294" spans="1:15">
      <c r="A294" s="659" t="s">
        <v>111</v>
      </c>
      <c r="B294" s="659" t="s">
        <v>1626</v>
      </c>
      <c r="C294" s="659">
        <v>1.3441000000000001</v>
      </c>
      <c r="D294" s="659">
        <v>1.3441000000000001</v>
      </c>
      <c r="E294" s="659" t="s">
        <v>49</v>
      </c>
      <c r="F294" s="659" t="s">
        <v>2290</v>
      </c>
      <c r="G294" s="659" t="s">
        <v>1838</v>
      </c>
      <c r="H294" s="659" t="s">
        <v>2161</v>
      </c>
      <c r="I294" s="659" t="s">
        <v>1636</v>
      </c>
      <c r="J294" s="659" t="s">
        <v>2159</v>
      </c>
      <c r="K294" s="662" t="str">
        <f t="shared" si="24"/>
        <v>ExaCS</v>
      </c>
      <c r="L294" s="660" t="str">
        <f t="shared" si="25"/>
        <v>HR</v>
      </c>
      <c r="M294" s="660" t="str">
        <f t="shared" si="26"/>
        <v>UC</v>
      </c>
      <c r="N294" s="660" t="str">
        <f t="shared" si="27"/>
        <v>PAAS</v>
      </c>
      <c r="O294" s="659" t="str">
        <f t="shared" si="28"/>
        <v/>
      </c>
    </row>
    <row r="295" spans="1:15">
      <c r="A295" s="659" t="s">
        <v>120</v>
      </c>
      <c r="B295" s="659" t="s">
        <v>121</v>
      </c>
      <c r="C295" s="659" t="s">
        <v>133</v>
      </c>
      <c r="D295" s="659">
        <v>51.075299999999999</v>
      </c>
      <c r="E295" s="659" t="s">
        <v>2192</v>
      </c>
      <c r="F295" s="659" t="s">
        <v>2290</v>
      </c>
      <c r="G295" s="659" t="s">
        <v>1838</v>
      </c>
      <c r="H295" s="659" t="s">
        <v>2161</v>
      </c>
      <c r="I295" s="659" t="s">
        <v>1636</v>
      </c>
      <c r="J295" s="659" t="s">
        <v>2159</v>
      </c>
      <c r="K295" s="662" t="str">
        <f t="shared" si="24"/>
        <v>ExaCS</v>
      </c>
      <c r="L295" s="660" t="str">
        <f t="shared" si="25"/>
        <v>HR</v>
      </c>
      <c r="M295" s="660" t="str">
        <f t="shared" si="26"/>
        <v>UC</v>
      </c>
      <c r="N295" s="660" t="str">
        <f t="shared" si="27"/>
        <v>PAAS</v>
      </c>
      <c r="O295" s="659" t="str">
        <f t="shared" si="28"/>
        <v/>
      </c>
    </row>
    <row r="296" spans="1:15">
      <c r="A296" s="659" t="s">
        <v>124</v>
      </c>
      <c r="B296" s="659" t="s">
        <v>125</v>
      </c>
      <c r="C296" s="659" t="s">
        <v>133</v>
      </c>
      <c r="D296" s="659">
        <v>102.1506</v>
      </c>
      <c r="E296" s="659" t="s">
        <v>2192</v>
      </c>
      <c r="F296" s="659" t="s">
        <v>2290</v>
      </c>
      <c r="G296" s="659" t="s">
        <v>1838</v>
      </c>
      <c r="H296" s="659" t="s">
        <v>2161</v>
      </c>
      <c r="I296" s="659" t="s">
        <v>1636</v>
      </c>
      <c r="J296" s="659" t="s">
        <v>2159</v>
      </c>
      <c r="K296" s="662" t="str">
        <f t="shared" si="24"/>
        <v>ExaCS</v>
      </c>
      <c r="L296" s="660" t="str">
        <f t="shared" si="25"/>
        <v>HR</v>
      </c>
      <c r="M296" s="660" t="str">
        <f t="shared" si="26"/>
        <v>UC</v>
      </c>
      <c r="N296" s="660" t="str">
        <f t="shared" si="27"/>
        <v>PAAS</v>
      </c>
      <c r="O296" s="659" t="str">
        <f t="shared" si="28"/>
        <v/>
      </c>
    </row>
    <row r="297" spans="1:15">
      <c r="A297" s="659" t="s">
        <v>128</v>
      </c>
      <c r="B297" s="659" t="s">
        <v>129</v>
      </c>
      <c r="C297" s="659" t="s">
        <v>133</v>
      </c>
      <c r="D297" s="659">
        <v>204.30109999999999</v>
      </c>
      <c r="E297" s="659" t="s">
        <v>2192</v>
      </c>
      <c r="F297" s="659" t="s">
        <v>2290</v>
      </c>
      <c r="G297" s="659" t="s">
        <v>1838</v>
      </c>
      <c r="H297" s="659" t="s">
        <v>2161</v>
      </c>
      <c r="I297" s="659" t="s">
        <v>1636</v>
      </c>
      <c r="J297" s="659" t="s">
        <v>2159</v>
      </c>
      <c r="K297" s="662" t="str">
        <f t="shared" si="24"/>
        <v>ExaCS</v>
      </c>
      <c r="L297" s="660" t="str">
        <f t="shared" si="25"/>
        <v>HR</v>
      </c>
      <c r="M297" s="660" t="str">
        <f t="shared" si="26"/>
        <v>UC</v>
      </c>
      <c r="N297" s="660" t="str">
        <f t="shared" si="27"/>
        <v>PAAS</v>
      </c>
      <c r="O297" s="659" t="str">
        <f t="shared" si="28"/>
        <v/>
      </c>
    </row>
    <row r="298" spans="1:15">
      <c r="A298" s="659" t="s">
        <v>1425</v>
      </c>
      <c r="B298" s="659" t="s">
        <v>1426</v>
      </c>
      <c r="C298" s="659">
        <v>0</v>
      </c>
      <c r="D298" s="659">
        <v>1250</v>
      </c>
      <c r="E298" s="659" t="s">
        <v>1154</v>
      </c>
      <c r="F298" s="659" t="s">
        <v>2290</v>
      </c>
      <c r="G298" s="659" t="s">
        <v>1636</v>
      </c>
      <c r="H298" s="659" t="s">
        <v>2397</v>
      </c>
      <c r="I298" s="659" t="s">
        <v>1636</v>
      </c>
      <c r="J298" s="659" t="s">
        <v>2159</v>
      </c>
      <c r="K298" s="662" t="str">
        <f t="shared" si="24"/>
        <v>UC</v>
      </c>
      <c r="L298" s="660" t="str">
        <f t="shared" si="25"/>
        <v>EA</v>
      </c>
      <c r="M298" s="660" t="str">
        <f t="shared" si="26"/>
        <v>UC</v>
      </c>
      <c r="N298" s="660" t="str">
        <f t="shared" si="27"/>
        <v>PAAS</v>
      </c>
      <c r="O298" s="659" t="str">
        <f t="shared" si="28"/>
        <v/>
      </c>
    </row>
    <row r="299" spans="1:15">
      <c r="A299" s="659" t="s">
        <v>1427</v>
      </c>
      <c r="B299" s="659" t="s">
        <v>1428</v>
      </c>
      <c r="C299" s="659">
        <v>0</v>
      </c>
      <c r="D299" s="659">
        <v>0</v>
      </c>
      <c r="E299" s="659">
        <v>0</v>
      </c>
      <c r="F299" s="659" t="s">
        <v>2290</v>
      </c>
      <c r="G299" s="659" t="s">
        <v>1636</v>
      </c>
      <c r="H299" s="659" t="s">
        <v>2394</v>
      </c>
      <c r="I299" s="659" t="s">
        <v>1636</v>
      </c>
      <c r="J299" s="659" t="s">
        <v>2159</v>
      </c>
      <c r="K299" s="662" t="str">
        <f t="shared" si="24"/>
        <v>UC</v>
      </c>
      <c r="L299" s="660" t="str">
        <f t="shared" si="25"/>
        <v>UNIT</v>
      </c>
      <c r="M299" s="660" t="str">
        <f t="shared" si="26"/>
        <v>UC</v>
      </c>
      <c r="N299" s="660" t="str">
        <f t="shared" si="27"/>
        <v>PAAS</v>
      </c>
      <c r="O299" s="659" t="str">
        <f t="shared" si="28"/>
        <v/>
      </c>
    </row>
    <row r="300" spans="1:15">
      <c r="A300" s="659" t="s">
        <v>1429</v>
      </c>
      <c r="B300" s="659" t="s">
        <v>1430</v>
      </c>
      <c r="C300" s="659">
        <v>0</v>
      </c>
      <c r="D300" s="659">
        <v>1250</v>
      </c>
      <c r="E300" s="659" t="s">
        <v>2520</v>
      </c>
      <c r="F300" s="659" t="s">
        <v>2290</v>
      </c>
      <c r="G300" s="659" t="s">
        <v>2558</v>
      </c>
      <c r="H300" s="659" t="s">
        <v>2574</v>
      </c>
      <c r="I300" s="659" t="s">
        <v>1637</v>
      </c>
      <c r="J300" s="659" t="s">
        <v>1637</v>
      </c>
      <c r="K300" s="662" t="str">
        <f t="shared" si="24"/>
        <v>Consulting</v>
      </c>
      <c r="L300" s="660" t="str">
        <f t="shared" si="25"/>
        <v>DAY</v>
      </c>
      <c r="M300" s="660" t="str">
        <f t="shared" si="26"/>
        <v>SRV</v>
      </c>
      <c r="N300" s="660" t="str">
        <f t="shared" si="27"/>
        <v>SRV</v>
      </c>
      <c r="O300" s="659" t="str">
        <f t="shared" si="28"/>
        <v/>
      </c>
    </row>
    <row r="301" spans="1:15">
      <c r="A301" s="659" t="s">
        <v>1431</v>
      </c>
      <c r="B301" s="659" t="s">
        <v>1432</v>
      </c>
      <c r="C301" s="659">
        <v>0</v>
      </c>
      <c r="D301" s="659">
        <v>1500</v>
      </c>
      <c r="E301" s="659" t="s">
        <v>2520</v>
      </c>
      <c r="F301" s="659" t="s">
        <v>2290</v>
      </c>
      <c r="G301" s="659" t="s">
        <v>2558</v>
      </c>
      <c r="H301" s="659" t="s">
        <v>2574</v>
      </c>
      <c r="I301" s="659" t="s">
        <v>1637</v>
      </c>
      <c r="J301" s="659" t="s">
        <v>1637</v>
      </c>
      <c r="K301" s="662" t="str">
        <f t="shared" si="24"/>
        <v>Consulting</v>
      </c>
      <c r="L301" s="660" t="str">
        <f t="shared" si="25"/>
        <v>DAY</v>
      </c>
      <c r="M301" s="660" t="str">
        <f t="shared" si="26"/>
        <v>SRV</v>
      </c>
      <c r="N301" s="660" t="str">
        <f t="shared" si="27"/>
        <v>SRV</v>
      </c>
      <c r="O301" s="659" t="str">
        <f t="shared" si="28"/>
        <v/>
      </c>
    </row>
    <row r="302" spans="1:15">
      <c r="A302" s="659" t="s">
        <v>1433</v>
      </c>
      <c r="B302" s="659" t="s">
        <v>1434</v>
      </c>
      <c r="C302" s="659">
        <v>0</v>
      </c>
      <c r="D302" s="659">
        <v>1250</v>
      </c>
      <c r="E302" s="659" t="s">
        <v>2520</v>
      </c>
      <c r="F302" s="659" t="s">
        <v>2290</v>
      </c>
      <c r="G302" s="659" t="s">
        <v>2558</v>
      </c>
      <c r="H302" s="659" t="s">
        <v>2574</v>
      </c>
      <c r="I302" s="659" t="s">
        <v>1637</v>
      </c>
      <c r="J302" s="659" t="s">
        <v>1637</v>
      </c>
      <c r="K302" s="662" t="str">
        <f t="shared" si="24"/>
        <v>Consulting</v>
      </c>
      <c r="L302" s="660" t="str">
        <f t="shared" si="25"/>
        <v>DAY</v>
      </c>
      <c r="M302" s="660" t="str">
        <f t="shared" si="26"/>
        <v>SRV</v>
      </c>
      <c r="N302" s="660" t="str">
        <f t="shared" si="27"/>
        <v>SRV</v>
      </c>
      <c r="O302" s="659" t="str">
        <f t="shared" si="28"/>
        <v/>
      </c>
    </row>
    <row r="303" spans="1:15">
      <c r="A303" s="659" t="s">
        <v>1435</v>
      </c>
      <c r="B303" s="659" t="s">
        <v>1436</v>
      </c>
      <c r="C303" s="659">
        <v>0</v>
      </c>
      <c r="D303" s="659">
        <v>1500</v>
      </c>
      <c r="E303" s="659" t="s">
        <v>2520</v>
      </c>
      <c r="F303" s="659" t="s">
        <v>2290</v>
      </c>
      <c r="G303" s="659" t="s">
        <v>2558</v>
      </c>
      <c r="H303" s="659" t="s">
        <v>2574</v>
      </c>
      <c r="I303" s="659" t="s">
        <v>1637</v>
      </c>
      <c r="J303" s="659" t="s">
        <v>1637</v>
      </c>
      <c r="K303" s="662" t="str">
        <f t="shared" si="24"/>
        <v>Consulting</v>
      </c>
      <c r="L303" s="660" t="str">
        <f t="shared" si="25"/>
        <v>DAY</v>
      </c>
      <c r="M303" s="660" t="str">
        <f t="shared" si="26"/>
        <v>SRV</v>
      </c>
      <c r="N303" s="660" t="str">
        <f t="shared" si="27"/>
        <v>SRV</v>
      </c>
      <c r="O303" s="659" t="str">
        <f t="shared" si="28"/>
        <v/>
      </c>
    </row>
    <row r="304" spans="1:15">
      <c r="A304" s="659" t="s">
        <v>1327</v>
      </c>
      <c r="B304" s="659" t="s">
        <v>1328</v>
      </c>
      <c r="C304" s="659">
        <v>0</v>
      </c>
      <c r="D304" s="659">
        <v>57150</v>
      </c>
      <c r="E304" s="659" t="s">
        <v>1154</v>
      </c>
      <c r="F304" s="659" t="s">
        <v>2290</v>
      </c>
      <c r="G304" s="659" t="s">
        <v>2393</v>
      </c>
      <c r="H304" s="659" t="s">
        <v>2397</v>
      </c>
      <c r="I304" s="659" t="s">
        <v>1636</v>
      </c>
      <c r="J304" s="659" t="s">
        <v>2159</v>
      </c>
      <c r="K304" s="662" t="str">
        <f t="shared" si="24"/>
        <v>Deprecated</v>
      </c>
      <c r="L304" s="660" t="str">
        <f t="shared" si="25"/>
        <v>EA</v>
      </c>
      <c r="M304" s="660" t="str">
        <f t="shared" si="26"/>
        <v>UC</v>
      </c>
      <c r="N304" s="660" t="str">
        <f t="shared" si="27"/>
        <v>PAAS</v>
      </c>
      <c r="O304" s="659" t="str">
        <f t="shared" si="28"/>
        <v/>
      </c>
    </row>
    <row r="305" spans="1:15">
      <c r="A305" s="659" t="s">
        <v>1437</v>
      </c>
      <c r="B305" s="659" t="s">
        <v>1438</v>
      </c>
      <c r="C305" s="659">
        <v>0</v>
      </c>
      <c r="D305" s="659">
        <v>9498</v>
      </c>
      <c r="E305" s="659" t="s">
        <v>1154</v>
      </c>
      <c r="F305" s="659" t="s">
        <v>2290</v>
      </c>
      <c r="G305" s="659" t="s">
        <v>2558</v>
      </c>
      <c r="H305" s="659" t="s">
        <v>2397</v>
      </c>
      <c r="I305" s="659" t="s">
        <v>1637</v>
      </c>
      <c r="J305" s="659" t="s">
        <v>1637</v>
      </c>
      <c r="K305" s="662" t="str">
        <f t="shared" si="24"/>
        <v>Consulting</v>
      </c>
      <c r="L305" s="660" t="str">
        <f t="shared" si="25"/>
        <v>EA</v>
      </c>
      <c r="M305" s="660" t="str">
        <f t="shared" si="26"/>
        <v>SRV</v>
      </c>
      <c r="N305" s="660" t="str">
        <f t="shared" si="27"/>
        <v>SRV</v>
      </c>
      <c r="O305" s="659" t="str">
        <f t="shared" si="28"/>
        <v/>
      </c>
    </row>
    <row r="306" spans="1:15">
      <c r="A306" s="659" t="s">
        <v>435</v>
      </c>
      <c r="B306" s="659" t="s">
        <v>1227</v>
      </c>
      <c r="C306" s="659">
        <v>0</v>
      </c>
      <c r="D306" s="659">
        <v>0.96779999999999999</v>
      </c>
      <c r="E306" s="659" t="s">
        <v>49</v>
      </c>
      <c r="F306" s="659" t="s">
        <v>2290</v>
      </c>
      <c r="G306" s="659" t="s">
        <v>2396</v>
      </c>
      <c r="H306" s="659" t="s">
        <v>2161</v>
      </c>
      <c r="I306" s="659" t="s">
        <v>1636</v>
      </c>
      <c r="J306" s="659" t="s">
        <v>2159</v>
      </c>
      <c r="K306" s="662" t="str">
        <f t="shared" si="24"/>
        <v>Classic</v>
      </c>
      <c r="L306" s="660" t="str">
        <f t="shared" si="25"/>
        <v>HR</v>
      </c>
      <c r="M306" s="660" t="str">
        <f t="shared" si="26"/>
        <v>UC</v>
      </c>
      <c r="N306" s="660" t="str">
        <f t="shared" si="27"/>
        <v>PAAS</v>
      </c>
      <c r="O306" s="659" t="str">
        <f t="shared" si="28"/>
        <v/>
      </c>
    </row>
    <row r="307" spans="1:15">
      <c r="A307" s="659" t="s">
        <v>437</v>
      </c>
      <c r="B307" s="659" t="s">
        <v>1228</v>
      </c>
      <c r="C307" s="659">
        <v>0</v>
      </c>
      <c r="D307" s="659">
        <v>2.5268999999999999</v>
      </c>
      <c r="E307" s="659" t="s">
        <v>49</v>
      </c>
      <c r="F307" s="659" t="s">
        <v>2290</v>
      </c>
      <c r="G307" s="659" t="s">
        <v>2391</v>
      </c>
      <c r="H307" s="659" t="s">
        <v>2161</v>
      </c>
      <c r="I307" s="659" t="s">
        <v>1636</v>
      </c>
      <c r="J307" s="659" t="s">
        <v>2159</v>
      </c>
      <c r="K307" s="662" t="str">
        <f t="shared" si="24"/>
        <v>Integration</v>
      </c>
      <c r="L307" s="660" t="str">
        <f t="shared" si="25"/>
        <v>HR</v>
      </c>
      <c r="M307" s="660" t="str">
        <f t="shared" si="26"/>
        <v>UC</v>
      </c>
      <c r="N307" s="660" t="str">
        <f t="shared" si="27"/>
        <v>PAAS</v>
      </c>
      <c r="O307" s="659" t="str">
        <f t="shared" si="28"/>
        <v/>
      </c>
    </row>
    <row r="308" spans="1:15">
      <c r="A308" s="659" t="s">
        <v>438</v>
      </c>
      <c r="B308" s="659" t="s">
        <v>439</v>
      </c>
      <c r="C308" s="659">
        <v>0</v>
      </c>
      <c r="D308" s="659">
        <v>8.5000000000000006E-2</v>
      </c>
      <c r="E308" s="659" t="s">
        <v>49</v>
      </c>
      <c r="F308" s="659" t="s">
        <v>2290</v>
      </c>
      <c r="G308" s="659" t="s">
        <v>1835</v>
      </c>
      <c r="H308" s="659" t="s">
        <v>2161</v>
      </c>
      <c r="I308" s="659" t="s">
        <v>1636</v>
      </c>
      <c r="J308" s="659" t="s">
        <v>2158</v>
      </c>
      <c r="K308" s="662" t="str">
        <f t="shared" si="24"/>
        <v>Compute</v>
      </c>
      <c r="L308" s="660" t="str">
        <f t="shared" si="25"/>
        <v>HR</v>
      </c>
      <c r="M308" s="660" t="str">
        <f t="shared" si="26"/>
        <v>UC</v>
      </c>
      <c r="N308" s="660" t="str">
        <f t="shared" si="27"/>
        <v>IAAS</v>
      </c>
      <c r="O308" s="659" t="str">
        <f t="shared" si="28"/>
        <v/>
      </c>
    </row>
    <row r="309" spans="1:15">
      <c r="A309" s="659" t="s">
        <v>440</v>
      </c>
      <c r="B309" s="659" t="s">
        <v>441</v>
      </c>
      <c r="C309" s="659">
        <v>0</v>
      </c>
      <c r="D309" s="659">
        <v>0.1275</v>
      </c>
      <c r="E309" s="659" t="s">
        <v>49</v>
      </c>
      <c r="F309" s="659" t="s">
        <v>2290</v>
      </c>
      <c r="G309" s="659" t="s">
        <v>1835</v>
      </c>
      <c r="H309" s="659" t="s">
        <v>2161</v>
      </c>
      <c r="I309" s="659" t="s">
        <v>1636</v>
      </c>
      <c r="J309" s="659" t="s">
        <v>2158</v>
      </c>
      <c r="K309" s="662" t="str">
        <f t="shared" si="24"/>
        <v>Compute</v>
      </c>
      <c r="L309" s="660" t="str">
        <f t="shared" si="25"/>
        <v>HR</v>
      </c>
      <c r="M309" s="660" t="str">
        <f t="shared" si="26"/>
        <v>UC</v>
      </c>
      <c r="N309" s="660" t="str">
        <f t="shared" si="27"/>
        <v>IAAS</v>
      </c>
      <c r="O309" s="659" t="str">
        <f t="shared" si="28"/>
        <v/>
      </c>
    </row>
    <row r="310" spans="1:15">
      <c r="A310" s="659" t="s">
        <v>442</v>
      </c>
      <c r="B310" s="659" t="s">
        <v>443</v>
      </c>
      <c r="C310" s="659">
        <v>0</v>
      </c>
      <c r="D310" s="659">
        <v>2.1299999999999999E-2</v>
      </c>
      <c r="E310" s="659" t="s">
        <v>2190</v>
      </c>
      <c r="F310" s="659" t="s">
        <v>2290</v>
      </c>
      <c r="G310" s="659" t="s">
        <v>2313</v>
      </c>
      <c r="H310" s="659" t="s">
        <v>2161</v>
      </c>
      <c r="I310" s="659" t="s">
        <v>1636</v>
      </c>
      <c r="J310" s="659" t="s">
        <v>2158</v>
      </c>
      <c r="K310" s="662" t="str">
        <f t="shared" si="24"/>
        <v>Network</v>
      </c>
      <c r="L310" s="660" t="str">
        <f t="shared" si="25"/>
        <v>HR</v>
      </c>
      <c r="M310" s="660" t="str">
        <f t="shared" si="26"/>
        <v>UC</v>
      </c>
      <c r="N310" s="660" t="str">
        <f t="shared" si="27"/>
        <v>IAAS</v>
      </c>
      <c r="O310" s="659" t="str">
        <f t="shared" si="28"/>
        <v/>
      </c>
    </row>
    <row r="311" spans="1:15">
      <c r="A311" s="659" t="s">
        <v>444</v>
      </c>
      <c r="B311" s="659" t="s">
        <v>445</v>
      </c>
      <c r="C311" s="659">
        <v>0</v>
      </c>
      <c r="D311" s="659">
        <v>6.7999999999999996E-3</v>
      </c>
      <c r="E311" s="659" t="s">
        <v>2204</v>
      </c>
      <c r="F311" s="659" t="s">
        <v>2290</v>
      </c>
      <c r="G311" s="659" t="s">
        <v>2313</v>
      </c>
      <c r="H311" s="659" t="s">
        <v>2394</v>
      </c>
      <c r="I311" s="659" t="s">
        <v>1636</v>
      </c>
      <c r="J311" s="659" t="s">
        <v>2158</v>
      </c>
      <c r="K311" s="662" t="str">
        <f t="shared" si="24"/>
        <v>Network</v>
      </c>
      <c r="L311" s="660" t="str">
        <f t="shared" si="25"/>
        <v>UNIT</v>
      </c>
      <c r="M311" s="660" t="str">
        <f t="shared" si="26"/>
        <v>UC</v>
      </c>
      <c r="N311" s="660" t="str">
        <f t="shared" si="27"/>
        <v>IAAS</v>
      </c>
      <c r="O311" s="659" t="str">
        <f t="shared" si="28"/>
        <v/>
      </c>
    </row>
    <row r="312" spans="1:15">
      <c r="A312" s="659" t="s">
        <v>446</v>
      </c>
      <c r="B312" s="659" t="s">
        <v>968</v>
      </c>
      <c r="C312" s="659">
        <v>0</v>
      </c>
      <c r="D312" s="659">
        <v>4.3E-3</v>
      </c>
      <c r="E312" s="659" t="s">
        <v>2165</v>
      </c>
      <c r="F312" s="659" t="s">
        <v>2290</v>
      </c>
      <c r="G312" s="659" t="s">
        <v>1835</v>
      </c>
      <c r="H312" s="659" t="s">
        <v>2161</v>
      </c>
      <c r="I312" s="659" t="s">
        <v>1636</v>
      </c>
      <c r="J312" s="659" t="s">
        <v>2158</v>
      </c>
      <c r="K312" s="662" t="str">
        <f t="shared" si="24"/>
        <v>Compute</v>
      </c>
      <c r="L312" s="660" t="str">
        <f t="shared" si="25"/>
        <v>HR</v>
      </c>
      <c r="M312" s="660" t="str">
        <f t="shared" si="26"/>
        <v>UC</v>
      </c>
      <c r="N312" s="660" t="str">
        <f t="shared" si="27"/>
        <v>IAAS</v>
      </c>
      <c r="O312" s="659" t="str">
        <f t="shared" si="28"/>
        <v/>
      </c>
    </row>
    <row r="313" spans="1:15">
      <c r="A313" s="659" t="s">
        <v>447</v>
      </c>
      <c r="B313" s="659" t="s">
        <v>969</v>
      </c>
      <c r="C313" s="659">
        <v>0</v>
      </c>
      <c r="D313" s="659">
        <v>4.2500000000000003E-2</v>
      </c>
      <c r="E313" s="659" t="s">
        <v>2175</v>
      </c>
      <c r="F313" s="659" t="s">
        <v>2290</v>
      </c>
      <c r="G313" s="659" t="s">
        <v>1840</v>
      </c>
      <c r="H313" s="659" t="s">
        <v>2162</v>
      </c>
      <c r="I313" s="659" t="s">
        <v>1636</v>
      </c>
      <c r="J313" s="659" t="s">
        <v>2158</v>
      </c>
      <c r="K313" s="662" t="str">
        <f t="shared" si="24"/>
        <v>Storage</v>
      </c>
      <c r="L313" s="660" t="str">
        <f t="shared" si="25"/>
        <v>GB</v>
      </c>
      <c r="M313" s="660" t="str">
        <f t="shared" si="26"/>
        <v>UC</v>
      </c>
      <c r="N313" s="660" t="str">
        <f t="shared" si="27"/>
        <v>IAAS</v>
      </c>
      <c r="O313" s="659" t="str">
        <f t="shared" si="28"/>
        <v/>
      </c>
    </row>
    <row r="314" spans="1:15">
      <c r="A314" s="659" t="s">
        <v>448</v>
      </c>
      <c r="B314" s="659" t="s">
        <v>449</v>
      </c>
      <c r="C314" s="659">
        <v>0</v>
      </c>
      <c r="D314" s="659">
        <v>2.5999999999999999E-3</v>
      </c>
      <c r="E314" s="659" t="s">
        <v>2175</v>
      </c>
      <c r="F314" s="659" t="s">
        <v>2290</v>
      </c>
      <c r="G314" s="659" t="s">
        <v>1840</v>
      </c>
      <c r="H314" s="659" t="s">
        <v>2162</v>
      </c>
      <c r="I314" s="659" t="s">
        <v>1636</v>
      </c>
      <c r="J314" s="659" t="s">
        <v>2158</v>
      </c>
      <c r="K314" s="662" t="str">
        <f t="shared" si="24"/>
        <v>Storage</v>
      </c>
      <c r="L314" s="660" t="str">
        <f t="shared" si="25"/>
        <v>GB</v>
      </c>
      <c r="M314" s="660" t="str">
        <f t="shared" si="26"/>
        <v>UC</v>
      </c>
      <c r="N314" s="660" t="str">
        <f t="shared" si="27"/>
        <v>IAAS</v>
      </c>
      <c r="O314" s="659" t="str">
        <f t="shared" si="28"/>
        <v/>
      </c>
    </row>
    <row r="315" spans="1:15">
      <c r="A315" s="659" t="s">
        <v>450</v>
      </c>
      <c r="B315" s="659" t="s">
        <v>451</v>
      </c>
      <c r="C315" s="659">
        <v>0</v>
      </c>
      <c r="D315" s="659">
        <v>0</v>
      </c>
      <c r="E315" s="659">
        <v>0</v>
      </c>
      <c r="F315" s="659" t="s">
        <v>2290</v>
      </c>
      <c r="G315" s="659" t="s">
        <v>1840</v>
      </c>
      <c r="H315" s="659" t="s">
        <v>2394</v>
      </c>
      <c r="I315" s="659" t="s">
        <v>1636</v>
      </c>
      <c r="J315" s="659" t="s">
        <v>2158</v>
      </c>
      <c r="K315" s="662" t="str">
        <f t="shared" si="24"/>
        <v>Storage</v>
      </c>
      <c r="L315" s="660" t="str">
        <f t="shared" si="25"/>
        <v>UNIT</v>
      </c>
      <c r="M315" s="660" t="str">
        <f t="shared" si="26"/>
        <v>UC</v>
      </c>
      <c r="N315" s="660" t="str">
        <f t="shared" si="27"/>
        <v>IAAS</v>
      </c>
      <c r="O315" s="659" t="str">
        <f t="shared" si="28"/>
        <v/>
      </c>
    </row>
    <row r="316" spans="1:15">
      <c r="A316" s="659" t="s">
        <v>452</v>
      </c>
      <c r="B316" s="659" t="s">
        <v>1229</v>
      </c>
      <c r="C316" s="659">
        <v>0</v>
      </c>
      <c r="D316" s="659">
        <v>3.2258</v>
      </c>
      <c r="E316" s="659" t="s">
        <v>49</v>
      </c>
      <c r="F316" s="659" t="s">
        <v>2290</v>
      </c>
      <c r="G316" s="659" t="s">
        <v>1839</v>
      </c>
      <c r="H316" s="659" t="s">
        <v>2161</v>
      </c>
      <c r="I316" s="659" t="s">
        <v>1636</v>
      </c>
      <c r="J316" s="659" t="s">
        <v>2159</v>
      </c>
      <c r="K316" s="662" t="str">
        <f t="shared" si="24"/>
        <v>Analytics</v>
      </c>
      <c r="L316" s="660" t="str">
        <f t="shared" si="25"/>
        <v>HR</v>
      </c>
      <c r="M316" s="660" t="str">
        <f t="shared" si="26"/>
        <v>UC</v>
      </c>
      <c r="N316" s="660" t="str">
        <f t="shared" si="27"/>
        <v>PAAS</v>
      </c>
      <c r="O316" s="659" t="str">
        <f t="shared" si="28"/>
        <v/>
      </c>
    </row>
    <row r="317" spans="1:15">
      <c r="A317" s="659" t="s">
        <v>454</v>
      </c>
      <c r="B317" s="659" t="s">
        <v>1230</v>
      </c>
      <c r="C317" s="659">
        <v>0</v>
      </c>
      <c r="D317" s="659">
        <v>1.0752999999999999</v>
      </c>
      <c r="E317" s="659" t="s">
        <v>49</v>
      </c>
      <c r="F317" s="659" t="s">
        <v>2290</v>
      </c>
      <c r="G317" s="659" t="s">
        <v>1839</v>
      </c>
      <c r="H317" s="659" t="s">
        <v>2161</v>
      </c>
      <c r="I317" s="659" t="s">
        <v>1636</v>
      </c>
      <c r="J317" s="659" t="s">
        <v>2159</v>
      </c>
      <c r="K317" s="662" t="str">
        <f t="shared" si="24"/>
        <v>Analytics</v>
      </c>
      <c r="L317" s="660" t="str">
        <f t="shared" si="25"/>
        <v>HR</v>
      </c>
      <c r="M317" s="660" t="str">
        <f t="shared" si="26"/>
        <v>UC</v>
      </c>
      <c r="N317" s="660" t="str">
        <f t="shared" si="27"/>
        <v>PAAS</v>
      </c>
      <c r="O317" s="659" t="str">
        <f t="shared" si="28"/>
        <v/>
      </c>
    </row>
    <row r="318" spans="1:15">
      <c r="A318" s="659" t="s">
        <v>585</v>
      </c>
      <c r="B318" s="659" t="s">
        <v>436</v>
      </c>
      <c r="C318" s="659">
        <v>0</v>
      </c>
      <c r="D318" s="659">
        <v>2.69E-2</v>
      </c>
      <c r="E318" s="659" t="s">
        <v>2172</v>
      </c>
      <c r="F318" s="659" t="s">
        <v>2290</v>
      </c>
      <c r="G318" s="659" t="s">
        <v>2400</v>
      </c>
      <c r="H318" s="659" t="s">
        <v>2161</v>
      </c>
      <c r="I318" s="659" t="s">
        <v>1636</v>
      </c>
      <c r="J318" s="659" t="s">
        <v>2159</v>
      </c>
      <c r="K318" s="662" t="str">
        <f t="shared" si="24"/>
        <v>Government</v>
      </c>
      <c r="L318" s="660" t="str">
        <f t="shared" si="25"/>
        <v>HR</v>
      </c>
      <c r="M318" s="660" t="str">
        <f t="shared" si="26"/>
        <v>UC</v>
      </c>
      <c r="N318" s="660" t="str">
        <f t="shared" si="27"/>
        <v>PAAS</v>
      </c>
      <c r="O318" s="659" t="str">
        <f t="shared" si="28"/>
        <v/>
      </c>
    </row>
    <row r="319" spans="1:15">
      <c r="A319" s="659" t="s">
        <v>455</v>
      </c>
      <c r="B319" s="659" t="s">
        <v>456</v>
      </c>
      <c r="C319" s="659">
        <v>0</v>
      </c>
      <c r="D319" s="659">
        <v>0.30969999999999998</v>
      </c>
      <c r="E319" s="659" t="s">
        <v>49</v>
      </c>
      <c r="F319" s="659" t="s">
        <v>2290</v>
      </c>
      <c r="G319" s="659" t="s">
        <v>2400</v>
      </c>
      <c r="H319" s="659" t="s">
        <v>2161</v>
      </c>
      <c r="I319" s="659" t="s">
        <v>1636</v>
      </c>
      <c r="J319" s="659" t="s">
        <v>2159</v>
      </c>
      <c r="K319" s="662" t="str">
        <f t="shared" si="24"/>
        <v>Government</v>
      </c>
      <c r="L319" s="660" t="str">
        <f t="shared" si="25"/>
        <v>HR</v>
      </c>
      <c r="M319" s="660" t="str">
        <f t="shared" si="26"/>
        <v>UC</v>
      </c>
      <c r="N319" s="660" t="str">
        <f t="shared" si="27"/>
        <v>PAAS</v>
      </c>
      <c r="O319" s="659" t="str">
        <f t="shared" si="28"/>
        <v/>
      </c>
    </row>
    <row r="320" spans="1:15">
      <c r="A320" s="659" t="s">
        <v>457</v>
      </c>
      <c r="B320" s="659" t="s">
        <v>458</v>
      </c>
      <c r="C320" s="659">
        <v>0</v>
      </c>
      <c r="D320" s="659">
        <v>0.7742</v>
      </c>
      <c r="E320" s="659" t="s">
        <v>49</v>
      </c>
      <c r="F320" s="659" t="s">
        <v>2290</v>
      </c>
      <c r="G320" s="659" t="s">
        <v>2400</v>
      </c>
      <c r="H320" s="659" t="s">
        <v>2161</v>
      </c>
      <c r="I320" s="659" t="s">
        <v>1636</v>
      </c>
      <c r="J320" s="659" t="s">
        <v>2159</v>
      </c>
      <c r="K320" s="662" t="str">
        <f t="shared" si="24"/>
        <v>Government</v>
      </c>
      <c r="L320" s="660" t="str">
        <f t="shared" si="25"/>
        <v>HR</v>
      </c>
      <c r="M320" s="660" t="str">
        <f t="shared" si="26"/>
        <v>UC</v>
      </c>
      <c r="N320" s="660" t="str">
        <f t="shared" si="27"/>
        <v>PAAS</v>
      </c>
      <c r="O320" s="659" t="str">
        <f t="shared" si="28"/>
        <v/>
      </c>
    </row>
    <row r="321" spans="1:15">
      <c r="A321" s="659" t="s">
        <v>461</v>
      </c>
      <c r="B321" s="659" t="s">
        <v>462</v>
      </c>
      <c r="C321" s="659">
        <v>0</v>
      </c>
      <c r="D321" s="659">
        <v>0.1452</v>
      </c>
      <c r="E321" s="659" t="s">
        <v>49</v>
      </c>
      <c r="F321" s="659" t="s">
        <v>2290</v>
      </c>
      <c r="G321" s="659" t="s">
        <v>1835</v>
      </c>
      <c r="H321" s="659" t="s">
        <v>2161</v>
      </c>
      <c r="I321" s="659" t="s">
        <v>1636</v>
      </c>
      <c r="J321" s="659" t="s">
        <v>2158</v>
      </c>
      <c r="K321" s="662" t="str">
        <f t="shared" si="24"/>
        <v>Compute</v>
      </c>
      <c r="L321" s="660" t="str">
        <f t="shared" si="25"/>
        <v>HR</v>
      </c>
      <c r="M321" s="660" t="str">
        <f t="shared" si="26"/>
        <v>UC</v>
      </c>
      <c r="N321" s="660" t="str">
        <f t="shared" si="27"/>
        <v>IAAS</v>
      </c>
      <c r="O321" s="659" t="str">
        <f t="shared" si="28"/>
        <v/>
      </c>
    </row>
    <row r="322" spans="1:15">
      <c r="A322" s="659" t="s">
        <v>463</v>
      </c>
      <c r="B322" s="659" t="s">
        <v>464</v>
      </c>
      <c r="C322" s="659">
        <v>0</v>
      </c>
      <c r="D322" s="659">
        <v>2.4E-2</v>
      </c>
      <c r="E322" s="659" t="s">
        <v>2166</v>
      </c>
      <c r="F322" s="659" t="s">
        <v>2290</v>
      </c>
      <c r="G322" s="659" t="s">
        <v>1840</v>
      </c>
      <c r="H322" s="659" t="s">
        <v>2162</v>
      </c>
      <c r="I322" s="659" t="s">
        <v>1636</v>
      </c>
      <c r="J322" s="659" t="s">
        <v>2158</v>
      </c>
      <c r="K322" s="662" t="str">
        <f t="shared" si="24"/>
        <v>Storage</v>
      </c>
      <c r="L322" s="660" t="str">
        <f t="shared" si="25"/>
        <v>GB</v>
      </c>
      <c r="M322" s="660" t="str">
        <f t="shared" si="26"/>
        <v>UC</v>
      </c>
      <c r="N322" s="660" t="str">
        <f t="shared" si="27"/>
        <v>IAAS</v>
      </c>
      <c r="O322" s="659" t="str">
        <f t="shared" si="28"/>
        <v/>
      </c>
    </row>
    <row r="323" spans="1:15">
      <c r="A323" s="659" t="s">
        <v>465</v>
      </c>
      <c r="B323" s="659" t="s">
        <v>466</v>
      </c>
      <c r="C323" s="659">
        <v>0</v>
      </c>
      <c r="D323" s="659">
        <v>0.43009999999999998</v>
      </c>
      <c r="E323" s="659" t="s">
        <v>49</v>
      </c>
      <c r="F323" s="659" t="s">
        <v>2290</v>
      </c>
      <c r="G323" s="659" t="s">
        <v>2309</v>
      </c>
      <c r="H323" s="659" t="s">
        <v>2161</v>
      </c>
      <c r="I323" s="659" t="s">
        <v>1636</v>
      </c>
      <c r="J323" s="659" t="s">
        <v>2159</v>
      </c>
      <c r="K323" s="662" t="str">
        <f t="shared" si="24"/>
        <v>DBaaS</v>
      </c>
      <c r="L323" s="660" t="str">
        <f t="shared" si="25"/>
        <v>HR</v>
      </c>
      <c r="M323" s="660" t="str">
        <f t="shared" si="26"/>
        <v>UC</v>
      </c>
      <c r="N323" s="660" t="str">
        <f t="shared" si="27"/>
        <v>PAAS</v>
      </c>
      <c r="O323" s="659" t="str">
        <f t="shared" si="28"/>
        <v/>
      </c>
    </row>
    <row r="324" spans="1:15">
      <c r="A324" s="659" t="s">
        <v>467</v>
      </c>
      <c r="B324" s="659" t="s">
        <v>468</v>
      </c>
      <c r="C324" s="659">
        <v>0</v>
      </c>
      <c r="D324" s="659">
        <v>1.3441000000000001</v>
      </c>
      <c r="E324" s="659" t="s">
        <v>49</v>
      </c>
      <c r="F324" s="659" t="s">
        <v>2290</v>
      </c>
      <c r="G324" s="659" t="s">
        <v>2309</v>
      </c>
      <c r="H324" s="659" t="s">
        <v>2161</v>
      </c>
      <c r="I324" s="659" t="s">
        <v>1636</v>
      </c>
      <c r="J324" s="659" t="s">
        <v>2159</v>
      </c>
      <c r="K324" s="662" t="str">
        <f t="shared" ref="K324:K387" si="29">_xlfn.IFS(
ISNUMBER(SEARCH("Day",E324)),"Consulting",
ISNUMBER(SEARCH("Starter Pack",B324)),"Consulting",
ISNUMBER(SEARCH("Design",B324)),"Consulting",
ISNUMBER(SEARCH("Deploy",B324)),"Consulting",
ISNUMBER(SEARCH("Expert",B324)),"Consulting",
ISNUMBER(SEARCH("Installation",B324)),"Consulting",
ISNUMBER(SEARCH("Recommendation",B324)),"Consulting",
ISNUMBER(SEARCH("Transition",B324)),"Consulting",
ISNUMBER(SEARCH("Transition",B324)),"Support",
ISNUMBER(SEARCH("Transition",B324)),"Foundation Service",
ISNUMBER(SEARCH("Consulting",B324)),"Consulting",
ISNUMBER(SEARCH("in Advance",B324)),"New",
ISNUMBER(SEARCH("Universal Credits",B324)),"UC",
ISNUMBER(SEARCH("Ravello",B324)),"Deprecated",
ISNUMBER(SEARCH("Cloud Machine",B324)),"Deprecated",
ISNUMBER(SEARCH("Compute",B324)),"Compute",
ISNUMBER(SEARCH("Load Balancer",B324)),"Network",
ISNUMBER(SEARCH("FastConnect",B324)),"Network",
ISNUMBER(SEARCH("Database OCPU",B324)),"CC OCPU",
ISNUMBER(SEARCH("at Customer",B324)),"CC",
ISNUMBER(SEARCH("Cloud@Customer",B324)),"CC",
ISNUMBER(SEARCH("Exadata Storage",B324)),"Exa Storage",
ISNUMBER(SEARCH("Storage",B324)),"Storage",
ISNUMBER(SEARCH("Block ",B324)),"Storage",
ISNUMBER(SEARCH("Autonomous Data Warehouse",B324)),"ADW",
ISNUMBER(SEARCH("Autonomous Transaction Processing",B324)),"ATP",
ISNUMBER(SEARCH("Database Exadata",B324)),"ExaCS",
ISNUMBER(SEARCH("Database",B324)),"DBaaS",
ISNUMBER(SEARCH("Essbase",B324)),"DBaaS",
ISNUMBER(SEARCH("integration",B324)),"Integration",
ISNUMBER(SEARCH("SOA",B324)),"Integration",
ISNUMBER(SEARCH("Management Cloud",B324)),"Management",
ISNUMBER(SEARCH("Analytics",B324)),"Analytics",
ISNUMBER(SEARCH("Storage",B324)),"Storage",
ISNUMBER(SEARCH("Block ",B324)),"Storage",
ISNUMBER(SEARCH("Identity",B324)),"Platform",
ISNUMBER(SEARCH("Content",B324)),"Platform",
ISNUMBER(SEARCH("Weblogic",B324)),"Platform",
ISNUMBER(SEARCH("Digital Assistant",B324)),"Platform",
ISNUMBER(SEARCH("Limited",B324)),"Classic",
ISNUMBER(SEARCH("Classic",B324)),"Classic",
ISNUMBER(SEARCH("Government",B324)),"Government",
ISNUMBER(SEARCH("Metered",B324)),"Deprecated",
VALUE(RIGHT(A324,5))&lt;88206,"Deprecated",
TRUE,"Platform")</f>
        <v>DBaaS</v>
      </c>
      <c r="L324" s="660" t="str">
        <f t="shared" si="25"/>
        <v>HR</v>
      </c>
      <c r="M324" s="660" t="str">
        <f t="shared" si="26"/>
        <v>UC</v>
      </c>
      <c r="N324" s="660" t="str">
        <f t="shared" si="27"/>
        <v>PAAS</v>
      </c>
      <c r="O324" s="659" t="str">
        <f t="shared" si="28"/>
        <v/>
      </c>
    </row>
    <row r="325" spans="1:15">
      <c r="A325" s="659" t="s">
        <v>469</v>
      </c>
      <c r="B325" s="659" t="s">
        <v>470</v>
      </c>
      <c r="C325" s="659">
        <v>0</v>
      </c>
      <c r="D325" s="659">
        <v>1.3441000000000001</v>
      </c>
      <c r="E325" s="659" t="s">
        <v>49</v>
      </c>
      <c r="F325" s="659" t="s">
        <v>2290</v>
      </c>
      <c r="G325" s="659" t="s">
        <v>1838</v>
      </c>
      <c r="H325" s="659" t="s">
        <v>2161</v>
      </c>
      <c r="I325" s="659" t="s">
        <v>1636</v>
      </c>
      <c r="J325" s="659" t="s">
        <v>2159</v>
      </c>
      <c r="K325" s="662" t="str">
        <f t="shared" si="29"/>
        <v>ExaCS</v>
      </c>
      <c r="L325" s="660" t="str">
        <f t="shared" si="25"/>
        <v>HR</v>
      </c>
      <c r="M325" s="660" t="str">
        <f t="shared" si="26"/>
        <v>UC</v>
      </c>
      <c r="N325" s="660" t="str">
        <f t="shared" si="27"/>
        <v>PAAS</v>
      </c>
      <c r="O325" s="659" t="str">
        <f t="shared" si="28"/>
        <v/>
      </c>
    </row>
    <row r="326" spans="1:15">
      <c r="A326" s="659" t="s">
        <v>471</v>
      </c>
      <c r="B326" s="659" t="s">
        <v>472</v>
      </c>
      <c r="C326" s="659">
        <v>0</v>
      </c>
      <c r="D326" s="659">
        <v>38000</v>
      </c>
      <c r="E326" s="659" t="s">
        <v>2178</v>
      </c>
      <c r="F326" s="659" t="s">
        <v>2290</v>
      </c>
      <c r="G326" s="659" t="s">
        <v>1838</v>
      </c>
      <c r="H326" s="659" t="s">
        <v>2394</v>
      </c>
      <c r="I326" s="659" t="s">
        <v>1636</v>
      </c>
      <c r="J326" s="659" t="s">
        <v>2159</v>
      </c>
      <c r="K326" s="662" t="str">
        <f t="shared" si="29"/>
        <v>ExaCS</v>
      </c>
      <c r="L326" s="660" t="str">
        <f t="shared" si="25"/>
        <v>UNIT</v>
      </c>
      <c r="M326" s="660" t="str">
        <f t="shared" si="26"/>
        <v>UC</v>
      </c>
      <c r="N326" s="660" t="str">
        <f t="shared" si="27"/>
        <v>PAAS</v>
      </c>
      <c r="O326" s="659" t="str">
        <f t="shared" si="28"/>
        <v/>
      </c>
    </row>
    <row r="327" spans="1:15">
      <c r="A327" s="659" t="s">
        <v>473</v>
      </c>
      <c r="B327" s="659" t="s">
        <v>474</v>
      </c>
      <c r="C327" s="659">
        <v>0</v>
      </c>
      <c r="D327" s="659">
        <v>76000</v>
      </c>
      <c r="E327" s="659" t="s">
        <v>2178</v>
      </c>
      <c r="F327" s="659" t="s">
        <v>2290</v>
      </c>
      <c r="G327" s="659" t="s">
        <v>1838</v>
      </c>
      <c r="H327" s="659" t="s">
        <v>2394</v>
      </c>
      <c r="I327" s="659" t="s">
        <v>1636</v>
      </c>
      <c r="J327" s="659" t="s">
        <v>2159</v>
      </c>
      <c r="K327" s="662" t="str">
        <f t="shared" si="29"/>
        <v>ExaCS</v>
      </c>
      <c r="L327" s="660" t="str">
        <f t="shared" si="25"/>
        <v>UNIT</v>
      </c>
      <c r="M327" s="660" t="str">
        <f t="shared" si="26"/>
        <v>UC</v>
      </c>
      <c r="N327" s="660" t="str">
        <f t="shared" si="27"/>
        <v>PAAS</v>
      </c>
      <c r="O327" s="659" t="str">
        <f t="shared" si="28"/>
        <v/>
      </c>
    </row>
    <row r="328" spans="1:15">
      <c r="A328" s="659" t="s">
        <v>475</v>
      </c>
      <c r="B328" s="659" t="s">
        <v>476</v>
      </c>
      <c r="C328" s="659">
        <v>0</v>
      </c>
      <c r="D328" s="659">
        <v>152000</v>
      </c>
      <c r="E328" s="659" t="s">
        <v>2178</v>
      </c>
      <c r="F328" s="659" t="s">
        <v>2290</v>
      </c>
      <c r="G328" s="659" t="s">
        <v>1838</v>
      </c>
      <c r="H328" s="659" t="s">
        <v>2394</v>
      </c>
      <c r="I328" s="659" t="s">
        <v>1636</v>
      </c>
      <c r="J328" s="659" t="s">
        <v>2159</v>
      </c>
      <c r="K328" s="662" t="str">
        <f t="shared" si="29"/>
        <v>ExaCS</v>
      </c>
      <c r="L328" s="660" t="str">
        <f t="shared" si="25"/>
        <v>UNIT</v>
      </c>
      <c r="M328" s="660" t="str">
        <f t="shared" si="26"/>
        <v>UC</v>
      </c>
      <c r="N328" s="660" t="str">
        <f t="shared" si="27"/>
        <v>PAAS</v>
      </c>
      <c r="O328" s="659" t="str">
        <f t="shared" si="28"/>
        <v/>
      </c>
    </row>
    <row r="329" spans="1:15">
      <c r="A329" s="659" t="s">
        <v>478</v>
      </c>
      <c r="B329" s="659" t="s">
        <v>1015</v>
      </c>
      <c r="C329" s="659">
        <v>0</v>
      </c>
      <c r="D329" s="659">
        <v>1.3441000000000001</v>
      </c>
      <c r="E329" s="659" t="s">
        <v>2206</v>
      </c>
      <c r="F329" s="659" t="s">
        <v>2290</v>
      </c>
      <c r="G329" s="659" t="s">
        <v>2575</v>
      </c>
      <c r="H329" s="659" t="s">
        <v>2161</v>
      </c>
      <c r="I329" s="659" t="s">
        <v>1636</v>
      </c>
      <c r="J329" s="659" t="s">
        <v>2159</v>
      </c>
      <c r="K329" s="662" t="str">
        <f t="shared" si="29"/>
        <v>Management</v>
      </c>
      <c r="L329" s="660" t="str">
        <f t="shared" si="25"/>
        <v>HR</v>
      </c>
      <c r="M329" s="660" t="str">
        <f t="shared" si="26"/>
        <v>UC</v>
      </c>
      <c r="N329" s="660" t="str">
        <f t="shared" si="27"/>
        <v>PAAS</v>
      </c>
      <c r="O329" s="659" t="str">
        <f t="shared" si="28"/>
        <v/>
      </c>
    </row>
    <row r="330" spans="1:15">
      <c r="A330" s="659" t="s">
        <v>479</v>
      </c>
      <c r="B330" s="659" t="s">
        <v>1016</v>
      </c>
      <c r="C330" s="659">
        <v>0</v>
      </c>
      <c r="D330" s="659">
        <v>0.3226</v>
      </c>
      <c r="E330" s="659" t="s">
        <v>2207</v>
      </c>
      <c r="F330" s="659" t="s">
        <v>2290</v>
      </c>
      <c r="G330" s="659" t="s">
        <v>2575</v>
      </c>
      <c r="H330" s="659" t="s">
        <v>2161</v>
      </c>
      <c r="I330" s="659" t="s">
        <v>1636</v>
      </c>
      <c r="J330" s="659" t="s">
        <v>2159</v>
      </c>
      <c r="K330" s="662" t="str">
        <f t="shared" si="29"/>
        <v>Management</v>
      </c>
      <c r="L330" s="660" t="str">
        <f t="shared" si="25"/>
        <v>HR</v>
      </c>
      <c r="M330" s="660" t="str">
        <f t="shared" si="26"/>
        <v>UC</v>
      </c>
      <c r="N330" s="660" t="str">
        <f t="shared" si="27"/>
        <v>PAAS</v>
      </c>
      <c r="O330" s="659" t="str">
        <f t="shared" si="28"/>
        <v/>
      </c>
    </row>
    <row r="331" spans="1:15">
      <c r="A331" s="659" t="s">
        <v>480</v>
      </c>
      <c r="B331" s="659" t="s">
        <v>1232</v>
      </c>
      <c r="C331" s="659">
        <v>0</v>
      </c>
      <c r="D331" s="659">
        <v>2.1505999999999998</v>
      </c>
      <c r="E331" s="659" t="s">
        <v>49</v>
      </c>
      <c r="F331" s="659" t="s">
        <v>2290</v>
      </c>
      <c r="G331" s="659" t="s">
        <v>2391</v>
      </c>
      <c r="H331" s="659" t="s">
        <v>2161</v>
      </c>
      <c r="I331" s="659" t="s">
        <v>1636</v>
      </c>
      <c r="J331" s="659" t="s">
        <v>2159</v>
      </c>
      <c r="K331" s="662" t="str">
        <f t="shared" si="29"/>
        <v>Integration</v>
      </c>
      <c r="L331" s="660" t="str">
        <f t="shared" ref="L331:L394" si="30">_xlfn.IFS(ISNUMBER(SEARCH("Hour",E331)),"HR",ISNUMBER(SEARCH("Gigabyte",E331)),"GB",ISNUMBER(SEARCH("Terabyte",E331)),"TB",ISNUMBER(SEARCH("Requests",E331)),"REQ",ISNUMBER(SEARCH("Each",E331)),"EA",ISNUMBER(SEARCH("Day",E331)),"DAY","TRUE","UNIT")</f>
        <v>HR</v>
      </c>
      <c r="M331" s="660" t="str">
        <f t="shared" ref="M331:M394" si="31">_xlfn.IFS(K331="CC","CC",K331="Consulting","SRV",F331="Y","UC0",TRUE,"UC")</f>
        <v>UC</v>
      </c>
      <c r="N331" s="660" t="str">
        <f t="shared" ref="N331:N394" si="32">_xlfn.IFS(ISNUMBER(SEARCH("BYOL",B331)),"BYOL",K331="Storage","IAAS",K331="Compute","IAAS",K331="Network","IAAS",K331="Service","IAAS",M331="SRV","SRV",M331="CC","CC",L331="REQ","IAAS",TRUE,"PAAS")</f>
        <v>PAAS</v>
      </c>
      <c r="O331" s="659" t="str">
        <f t="shared" ref="O331:O394" si="33">IF(G331=K331,"","error")</f>
        <v/>
      </c>
    </row>
    <row r="332" spans="1:15">
      <c r="A332" s="659" t="s">
        <v>559</v>
      </c>
      <c r="B332" s="659" t="s">
        <v>1910</v>
      </c>
      <c r="C332" s="659">
        <v>0.19350000000000001</v>
      </c>
      <c r="D332" s="659">
        <v>0.19350000000000001</v>
      </c>
      <c r="E332" s="659" t="s">
        <v>49</v>
      </c>
      <c r="F332" s="659" t="s">
        <v>2290</v>
      </c>
      <c r="G332" s="659" t="s">
        <v>2396</v>
      </c>
      <c r="H332" s="659" t="s">
        <v>2161</v>
      </c>
      <c r="I332" s="659" t="s">
        <v>1636</v>
      </c>
      <c r="J332" s="659" t="s">
        <v>1338</v>
      </c>
      <c r="K332" s="662" t="str">
        <f t="shared" si="29"/>
        <v>Classic</v>
      </c>
      <c r="L332" s="660" t="str">
        <f t="shared" si="30"/>
        <v>HR</v>
      </c>
      <c r="M332" s="660" t="str">
        <f t="shared" si="31"/>
        <v>UC</v>
      </c>
      <c r="N332" s="660" t="str">
        <f t="shared" si="32"/>
        <v>BYOL</v>
      </c>
      <c r="O332" s="659" t="str">
        <f t="shared" si="33"/>
        <v/>
      </c>
    </row>
    <row r="333" spans="1:15">
      <c r="A333" s="659" t="s">
        <v>81</v>
      </c>
      <c r="B333" s="659" t="s">
        <v>1627</v>
      </c>
      <c r="C333" s="659">
        <v>0.3226</v>
      </c>
      <c r="D333" s="659">
        <v>0.3226</v>
      </c>
      <c r="E333" s="659" t="s">
        <v>49</v>
      </c>
      <c r="F333" s="659" t="s">
        <v>2290</v>
      </c>
      <c r="G333" s="659" t="s">
        <v>1838</v>
      </c>
      <c r="H333" s="659" t="s">
        <v>2161</v>
      </c>
      <c r="I333" s="659" t="s">
        <v>1636</v>
      </c>
      <c r="J333" s="659" t="s">
        <v>1338</v>
      </c>
      <c r="K333" s="662" t="str">
        <f t="shared" si="29"/>
        <v>ExaCS</v>
      </c>
      <c r="L333" s="660" t="str">
        <f t="shared" si="30"/>
        <v>HR</v>
      </c>
      <c r="M333" s="660" t="str">
        <f t="shared" si="31"/>
        <v>UC</v>
      </c>
      <c r="N333" s="660" t="str">
        <f t="shared" si="32"/>
        <v>BYOL</v>
      </c>
      <c r="O333" s="659" t="str">
        <f t="shared" si="33"/>
        <v/>
      </c>
    </row>
    <row r="334" spans="1:15">
      <c r="A334" s="659" t="s">
        <v>126</v>
      </c>
      <c r="B334" s="659" t="s">
        <v>127</v>
      </c>
      <c r="C334" s="659" t="s">
        <v>133</v>
      </c>
      <c r="D334" s="659">
        <v>135.91399999999999</v>
      </c>
      <c r="E334" s="659" t="s">
        <v>2192</v>
      </c>
      <c r="F334" s="659" t="s">
        <v>2290</v>
      </c>
      <c r="G334" s="659" t="s">
        <v>1838</v>
      </c>
      <c r="H334" s="659" t="s">
        <v>2161</v>
      </c>
      <c r="I334" s="659" t="s">
        <v>1636</v>
      </c>
      <c r="J334" s="659" t="s">
        <v>1338</v>
      </c>
      <c r="K334" s="662" t="str">
        <f t="shared" si="29"/>
        <v>ExaCS</v>
      </c>
      <c r="L334" s="660" t="str">
        <f t="shared" si="30"/>
        <v>HR</v>
      </c>
      <c r="M334" s="660" t="str">
        <f t="shared" si="31"/>
        <v>UC</v>
      </c>
      <c r="N334" s="660" t="str">
        <f t="shared" si="32"/>
        <v>BYOL</v>
      </c>
      <c r="O334" s="659" t="str">
        <f t="shared" si="33"/>
        <v/>
      </c>
    </row>
    <row r="335" spans="1:15">
      <c r="A335" s="659" t="s">
        <v>122</v>
      </c>
      <c r="B335" s="659" t="s">
        <v>123</v>
      </c>
      <c r="C335" s="659" t="s">
        <v>133</v>
      </c>
      <c r="D335" s="659">
        <v>67.956999999999994</v>
      </c>
      <c r="E335" s="659" t="s">
        <v>2192</v>
      </c>
      <c r="F335" s="659" t="s">
        <v>2290</v>
      </c>
      <c r="G335" s="659" t="s">
        <v>1838</v>
      </c>
      <c r="H335" s="659" t="s">
        <v>2161</v>
      </c>
      <c r="I335" s="659" t="s">
        <v>1636</v>
      </c>
      <c r="J335" s="659" t="s">
        <v>1338</v>
      </c>
      <c r="K335" s="662" t="str">
        <f t="shared" si="29"/>
        <v>ExaCS</v>
      </c>
      <c r="L335" s="660" t="str">
        <f t="shared" si="30"/>
        <v>HR</v>
      </c>
      <c r="M335" s="660" t="str">
        <f t="shared" si="31"/>
        <v>UC</v>
      </c>
      <c r="N335" s="660" t="str">
        <f t="shared" si="32"/>
        <v>BYOL</v>
      </c>
      <c r="O335" s="659" t="str">
        <f t="shared" si="33"/>
        <v/>
      </c>
    </row>
    <row r="336" spans="1:15">
      <c r="A336" s="659" t="s">
        <v>118</v>
      </c>
      <c r="B336" s="659" t="s">
        <v>119</v>
      </c>
      <c r="C336" s="659" t="s">
        <v>133</v>
      </c>
      <c r="D336" s="659">
        <v>33.978499999999997</v>
      </c>
      <c r="E336" s="659" t="s">
        <v>2192</v>
      </c>
      <c r="F336" s="659" t="s">
        <v>2290</v>
      </c>
      <c r="G336" s="659" t="s">
        <v>1838</v>
      </c>
      <c r="H336" s="659" t="s">
        <v>2161</v>
      </c>
      <c r="I336" s="659" t="s">
        <v>1636</v>
      </c>
      <c r="J336" s="659" t="s">
        <v>1338</v>
      </c>
      <c r="K336" s="662" t="str">
        <f t="shared" si="29"/>
        <v>ExaCS</v>
      </c>
      <c r="L336" s="660" t="str">
        <f t="shared" si="30"/>
        <v>HR</v>
      </c>
      <c r="M336" s="660" t="str">
        <f t="shared" si="31"/>
        <v>UC</v>
      </c>
      <c r="N336" s="660" t="str">
        <f t="shared" si="32"/>
        <v>BYOL</v>
      </c>
      <c r="O336" s="659" t="str">
        <f t="shared" si="33"/>
        <v/>
      </c>
    </row>
    <row r="337" spans="1:15">
      <c r="A337" s="659" t="s">
        <v>1439</v>
      </c>
      <c r="B337" s="659" t="s">
        <v>1440</v>
      </c>
      <c r="C337" s="659">
        <v>0</v>
      </c>
      <c r="D337" s="659">
        <v>55187</v>
      </c>
      <c r="E337" s="659" t="s">
        <v>1154</v>
      </c>
      <c r="F337" s="659" t="s">
        <v>2290</v>
      </c>
      <c r="G337" s="659" t="s">
        <v>2575</v>
      </c>
      <c r="H337" s="659" t="s">
        <v>2397</v>
      </c>
      <c r="I337" s="659" t="s">
        <v>1636</v>
      </c>
      <c r="J337" s="659" t="s">
        <v>2159</v>
      </c>
      <c r="K337" s="662" t="str">
        <f t="shared" si="29"/>
        <v>Management</v>
      </c>
      <c r="L337" s="660" t="str">
        <f t="shared" si="30"/>
        <v>EA</v>
      </c>
      <c r="M337" s="660" t="str">
        <f t="shared" si="31"/>
        <v>UC</v>
      </c>
      <c r="N337" s="660" t="str">
        <f t="shared" si="32"/>
        <v>PAAS</v>
      </c>
      <c r="O337" s="659" t="str">
        <f t="shared" si="33"/>
        <v/>
      </c>
    </row>
    <row r="338" spans="1:15">
      <c r="A338" s="659" t="s">
        <v>1441</v>
      </c>
      <c r="B338" s="659" t="s">
        <v>1442</v>
      </c>
      <c r="C338" s="659">
        <v>0</v>
      </c>
      <c r="D338" s="659">
        <v>13382.34</v>
      </c>
      <c r="E338" s="659" t="s">
        <v>1154</v>
      </c>
      <c r="F338" s="659" t="s">
        <v>2290</v>
      </c>
      <c r="G338" s="659" t="s">
        <v>2575</v>
      </c>
      <c r="H338" s="659" t="s">
        <v>2397</v>
      </c>
      <c r="I338" s="659" t="s">
        <v>1636</v>
      </c>
      <c r="J338" s="659" t="s">
        <v>2159</v>
      </c>
      <c r="K338" s="662" t="str">
        <f t="shared" si="29"/>
        <v>Management</v>
      </c>
      <c r="L338" s="660" t="str">
        <f t="shared" si="30"/>
        <v>EA</v>
      </c>
      <c r="M338" s="660" t="str">
        <f t="shared" si="31"/>
        <v>UC</v>
      </c>
      <c r="N338" s="660" t="str">
        <f t="shared" si="32"/>
        <v>PAAS</v>
      </c>
      <c r="O338" s="659" t="str">
        <f t="shared" si="33"/>
        <v/>
      </c>
    </row>
    <row r="339" spans="1:15">
      <c r="A339" s="659" t="s">
        <v>1443</v>
      </c>
      <c r="B339" s="659" t="s">
        <v>1444</v>
      </c>
      <c r="C339" s="659">
        <v>0</v>
      </c>
      <c r="D339" s="659">
        <v>46093</v>
      </c>
      <c r="E339" s="659" t="s">
        <v>1154</v>
      </c>
      <c r="F339" s="659" t="s">
        <v>2290</v>
      </c>
      <c r="G339" s="659" t="s">
        <v>2575</v>
      </c>
      <c r="H339" s="659" t="s">
        <v>2397</v>
      </c>
      <c r="I339" s="659" t="s">
        <v>1636</v>
      </c>
      <c r="J339" s="659" t="s">
        <v>2159</v>
      </c>
      <c r="K339" s="662" t="str">
        <f t="shared" si="29"/>
        <v>Management</v>
      </c>
      <c r="L339" s="660" t="str">
        <f t="shared" si="30"/>
        <v>EA</v>
      </c>
      <c r="M339" s="660" t="str">
        <f t="shared" si="31"/>
        <v>UC</v>
      </c>
      <c r="N339" s="660" t="str">
        <f t="shared" si="32"/>
        <v>PAAS</v>
      </c>
      <c r="O339" s="659" t="str">
        <f t="shared" si="33"/>
        <v/>
      </c>
    </row>
    <row r="340" spans="1:15">
      <c r="A340" s="659" t="s">
        <v>1445</v>
      </c>
      <c r="B340" s="659" t="s">
        <v>1446</v>
      </c>
      <c r="C340" s="659">
        <v>0</v>
      </c>
      <c r="D340" s="659">
        <v>1250</v>
      </c>
      <c r="E340" s="659" t="s">
        <v>2520</v>
      </c>
      <c r="F340" s="659" t="s">
        <v>2290</v>
      </c>
      <c r="G340" s="659" t="s">
        <v>2558</v>
      </c>
      <c r="H340" s="659" t="s">
        <v>2574</v>
      </c>
      <c r="I340" s="659" t="s">
        <v>1637</v>
      </c>
      <c r="J340" s="659" t="s">
        <v>1637</v>
      </c>
      <c r="K340" s="662" t="str">
        <f t="shared" si="29"/>
        <v>Consulting</v>
      </c>
      <c r="L340" s="660" t="str">
        <f t="shared" si="30"/>
        <v>DAY</v>
      </c>
      <c r="M340" s="660" t="str">
        <f t="shared" si="31"/>
        <v>SRV</v>
      </c>
      <c r="N340" s="660" t="str">
        <f t="shared" si="32"/>
        <v>SRV</v>
      </c>
      <c r="O340" s="659" t="str">
        <f t="shared" si="33"/>
        <v/>
      </c>
    </row>
    <row r="341" spans="1:15">
      <c r="A341" s="659" t="s">
        <v>1447</v>
      </c>
      <c r="B341" s="659" t="s">
        <v>1448</v>
      </c>
      <c r="C341" s="659">
        <v>0</v>
      </c>
      <c r="D341" s="659">
        <v>1562.5</v>
      </c>
      <c r="E341" s="659" t="s">
        <v>2520</v>
      </c>
      <c r="F341" s="659" t="s">
        <v>2290</v>
      </c>
      <c r="G341" s="659" t="s">
        <v>2558</v>
      </c>
      <c r="H341" s="659" t="s">
        <v>2574</v>
      </c>
      <c r="I341" s="659" t="s">
        <v>1637</v>
      </c>
      <c r="J341" s="659" t="s">
        <v>1637</v>
      </c>
      <c r="K341" s="662" t="str">
        <f t="shared" si="29"/>
        <v>Consulting</v>
      </c>
      <c r="L341" s="660" t="str">
        <f t="shared" si="30"/>
        <v>DAY</v>
      </c>
      <c r="M341" s="660" t="str">
        <f t="shared" si="31"/>
        <v>SRV</v>
      </c>
      <c r="N341" s="660" t="str">
        <f t="shared" si="32"/>
        <v>SRV</v>
      </c>
      <c r="O341" s="659" t="str">
        <f t="shared" si="33"/>
        <v/>
      </c>
    </row>
    <row r="342" spans="1:15">
      <c r="A342" s="659" t="s">
        <v>1449</v>
      </c>
      <c r="B342" s="659" t="s">
        <v>1450</v>
      </c>
      <c r="C342" s="659">
        <v>0</v>
      </c>
      <c r="D342" s="659">
        <v>1875</v>
      </c>
      <c r="E342" s="659" t="s">
        <v>2520</v>
      </c>
      <c r="F342" s="659" t="s">
        <v>2290</v>
      </c>
      <c r="G342" s="659" t="s">
        <v>2558</v>
      </c>
      <c r="H342" s="659" t="s">
        <v>2574</v>
      </c>
      <c r="I342" s="659" t="s">
        <v>1637</v>
      </c>
      <c r="J342" s="659" t="s">
        <v>1637</v>
      </c>
      <c r="K342" s="662" t="str">
        <f t="shared" si="29"/>
        <v>Consulting</v>
      </c>
      <c r="L342" s="660" t="str">
        <f t="shared" si="30"/>
        <v>DAY</v>
      </c>
      <c r="M342" s="660" t="str">
        <f t="shared" si="31"/>
        <v>SRV</v>
      </c>
      <c r="N342" s="660" t="str">
        <f t="shared" si="32"/>
        <v>SRV</v>
      </c>
      <c r="O342" s="659" t="str">
        <f t="shared" si="33"/>
        <v/>
      </c>
    </row>
    <row r="343" spans="1:15">
      <c r="A343" s="659" t="s">
        <v>1451</v>
      </c>
      <c r="B343" s="659" t="s">
        <v>1452</v>
      </c>
      <c r="C343" s="659">
        <v>0</v>
      </c>
      <c r="D343" s="659">
        <v>1500</v>
      </c>
      <c r="E343" s="659" t="s">
        <v>2520</v>
      </c>
      <c r="F343" s="659" t="s">
        <v>2290</v>
      </c>
      <c r="G343" s="659" t="s">
        <v>2558</v>
      </c>
      <c r="H343" s="659" t="s">
        <v>2574</v>
      </c>
      <c r="I343" s="659" t="s">
        <v>1637</v>
      </c>
      <c r="J343" s="659" t="s">
        <v>1637</v>
      </c>
      <c r="K343" s="662" t="str">
        <f t="shared" si="29"/>
        <v>Consulting</v>
      </c>
      <c r="L343" s="660" t="str">
        <f t="shared" si="30"/>
        <v>DAY</v>
      </c>
      <c r="M343" s="660" t="str">
        <f t="shared" si="31"/>
        <v>SRV</v>
      </c>
      <c r="N343" s="660" t="str">
        <f t="shared" si="32"/>
        <v>SRV</v>
      </c>
      <c r="O343" s="659" t="str">
        <f t="shared" si="33"/>
        <v/>
      </c>
    </row>
    <row r="344" spans="1:15">
      <c r="A344" s="659" t="s">
        <v>1453</v>
      </c>
      <c r="B344" s="659" t="s">
        <v>1454</v>
      </c>
      <c r="C344" s="659">
        <v>0</v>
      </c>
      <c r="D344" s="659">
        <v>1875</v>
      </c>
      <c r="E344" s="659" t="s">
        <v>2520</v>
      </c>
      <c r="F344" s="659" t="s">
        <v>2290</v>
      </c>
      <c r="G344" s="659" t="s">
        <v>2558</v>
      </c>
      <c r="H344" s="659" t="s">
        <v>2574</v>
      </c>
      <c r="I344" s="659" t="s">
        <v>1637</v>
      </c>
      <c r="J344" s="659" t="s">
        <v>1637</v>
      </c>
      <c r="K344" s="662" t="str">
        <f t="shared" si="29"/>
        <v>Consulting</v>
      </c>
      <c r="L344" s="660" t="str">
        <f t="shared" si="30"/>
        <v>DAY</v>
      </c>
      <c r="M344" s="660" t="str">
        <f t="shared" si="31"/>
        <v>SRV</v>
      </c>
      <c r="N344" s="660" t="str">
        <f t="shared" si="32"/>
        <v>SRV</v>
      </c>
      <c r="O344" s="659" t="str">
        <f t="shared" si="33"/>
        <v/>
      </c>
    </row>
    <row r="345" spans="1:15">
      <c r="A345" s="659" t="s">
        <v>1455</v>
      </c>
      <c r="B345" s="659" t="s">
        <v>1456</v>
      </c>
      <c r="C345" s="659">
        <v>0</v>
      </c>
      <c r="D345" s="659">
        <v>2250</v>
      </c>
      <c r="E345" s="659" t="s">
        <v>2520</v>
      </c>
      <c r="F345" s="659" t="s">
        <v>2290</v>
      </c>
      <c r="G345" s="659" t="s">
        <v>2558</v>
      </c>
      <c r="H345" s="659" t="s">
        <v>2574</v>
      </c>
      <c r="I345" s="659" t="s">
        <v>1637</v>
      </c>
      <c r="J345" s="659" t="s">
        <v>1637</v>
      </c>
      <c r="K345" s="662" t="str">
        <f t="shared" si="29"/>
        <v>Consulting</v>
      </c>
      <c r="L345" s="660" t="str">
        <f t="shared" si="30"/>
        <v>DAY</v>
      </c>
      <c r="M345" s="660" t="str">
        <f t="shared" si="31"/>
        <v>SRV</v>
      </c>
      <c r="N345" s="660" t="str">
        <f t="shared" si="32"/>
        <v>SRV</v>
      </c>
      <c r="O345" s="659" t="str">
        <f t="shared" si="33"/>
        <v/>
      </c>
    </row>
    <row r="346" spans="1:15">
      <c r="A346" s="659" t="s">
        <v>1457</v>
      </c>
      <c r="B346" s="659" t="s">
        <v>1458</v>
      </c>
      <c r="C346" s="659">
        <v>0</v>
      </c>
      <c r="D346" s="659">
        <v>1250</v>
      </c>
      <c r="E346" s="659" t="s">
        <v>2520</v>
      </c>
      <c r="F346" s="659" t="s">
        <v>2290</v>
      </c>
      <c r="G346" s="659" t="s">
        <v>2558</v>
      </c>
      <c r="H346" s="659" t="s">
        <v>2574</v>
      </c>
      <c r="I346" s="659" t="s">
        <v>1637</v>
      </c>
      <c r="J346" s="659" t="s">
        <v>1637</v>
      </c>
      <c r="K346" s="662" t="str">
        <f t="shared" si="29"/>
        <v>Consulting</v>
      </c>
      <c r="L346" s="660" t="str">
        <f t="shared" si="30"/>
        <v>DAY</v>
      </c>
      <c r="M346" s="660" t="str">
        <f t="shared" si="31"/>
        <v>SRV</v>
      </c>
      <c r="N346" s="660" t="str">
        <f t="shared" si="32"/>
        <v>SRV</v>
      </c>
      <c r="O346" s="659" t="str">
        <f t="shared" si="33"/>
        <v/>
      </c>
    </row>
    <row r="347" spans="1:15">
      <c r="A347" s="659" t="s">
        <v>1459</v>
      </c>
      <c r="B347" s="659" t="s">
        <v>1460</v>
      </c>
      <c r="C347" s="659">
        <v>0</v>
      </c>
      <c r="D347" s="659">
        <v>1562.5</v>
      </c>
      <c r="E347" s="659" t="s">
        <v>2520</v>
      </c>
      <c r="F347" s="659" t="s">
        <v>2290</v>
      </c>
      <c r="G347" s="659" t="s">
        <v>2558</v>
      </c>
      <c r="H347" s="659" t="s">
        <v>2574</v>
      </c>
      <c r="I347" s="659" t="s">
        <v>1637</v>
      </c>
      <c r="J347" s="659" t="s">
        <v>1637</v>
      </c>
      <c r="K347" s="662" t="str">
        <f t="shared" si="29"/>
        <v>Consulting</v>
      </c>
      <c r="L347" s="660" t="str">
        <f t="shared" si="30"/>
        <v>DAY</v>
      </c>
      <c r="M347" s="660" t="str">
        <f t="shared" si="31"/>
        <v>SRV</v>
      </c>
      <c r="N347" s="660" t="str">
        <f t="shared" si="32"/>
        <v>SRV</v>
      </c>
      <c r="O347" s="659" t="str">
        <f t="shared" si="33"/>
        <v/>
      </c>
    </row>
    <row r="348" spans="1:15">
      <c r="A348" s="659" t="s">
        <v>1461</v>
      </c>
      <c r="B348" s="659" t="s">
        <v>1462</v>
      </c>
      <c r="C348" s="659">
        <v>0</v>
      </c>
      <c r="D348" s="659">
        <v>1875</v>
      </c>
      <c r="E348" s="659" t="s">
        <v>2520</v>
      </c>
      <c r="F348" s="659" t="s">
        <v>2290</v>
      </c>
      <c r="G348" s="659" t="s">
        <v>2558</v>
      </c>
      <c r="H348" s="659" t="s">
        <v>2574</v>
      </c>
      <c r="I348" s="659" t="s">
        <v>1637</v>
      </c>
      <c r="J348" s="659" t="s">
        <v>1637</v>
      </c>
      <c r="K348" s="662" t="str">
        <f t="shared" si="29"/>
        <v>Consulting</v>
      </c>
      <c r="L348" s="660" t="str">
        <f t="shared" si="30"/>
        <v>DAY</v>
      </c>
      <c r="M348" s="660" t="str">
        <f t="shared" si="31"/>
        <v>SRV</v>
      </c>
      <c r="N348" s="660" t="str">
        <f t="shared" si="32"/>
        <v>SRV</v>
      </c>
      <c r="O348" s="659" t="str">
        <f t="shared" si="33"/>
        <v/>
      </c>
    </row>
    <row r="349" spans="1:15">
      <c r="A349" s="659" t="s">
        <v>1463</v>
      </c>
      <c r="B349" s="659" t="s">
        <v>1464</v>
      </c>
      <c r="C349" s="659">
        <v>0</v>
      </c>
      <c r="D349" s="659">
        <v>1500</v>
      </c>
      <c r="E349" s="659" t="s">
        <v>2520</v>
      </c>
      <c r="F349" s="659" t="s">
        <v>2290</v>
      </c>
      <c r="G349" s="659" t="s">
        <v>2558</v>
      </c>
      <c r="H349" s="659" t="s">
        <v>2574</v>
      </c>
      <c r="I349" s="659" t="s">
        <v>1637</v>
      </c>
      <c r="J349" s="659" t="s">
        <v>1637</v>
      </c>
      <c r="K349" s="662" t="str">
        <f t="shared" si="29"/>
        <v>Consulting</v>
      </c>
      <c r="L349" s="660" t="str">
        <f t="shared" si="30"/>
        <v>DAY</v>
      </c>
      <c r="M349" s="660" t="str">
        <f t="shared" si="31"/>
        <v>SRV</v>
      </c>
      <c r="N349" s="660" t="str">
        <f t="shared" si="32"/>
        <v>SRV</v>
      </c>
      <c r="O349" s="659" t="str">
        <f t="shared" si="33"/>
        <v/>
      </c>
    </row>
    <row r="350" spans="1:15">
      <c r="A350" s="659" t="s">
        <v>1465</v>
      </c>
      <c r="B350" s="659" t="s">
        <v>1466</v>
      </c>
      <c r="C350" s="659">
        <v>0</v>
      </c>
      <c r="D350" s="659">
        <v>1875</v>
      </c>
      <c r="E350" s="659" t="s">
        <v>2520</v>
      </c>
      <c r="F350" s="659" t="s">
        <v>2290</v>
      </c>
      <c r="G350" s="659" t="s">
        <v>2558</v>
      </c>
      <c r="H350" s="659" t="s">
        <v>2574</v>
      </c>
      <c r="I350" s="659" t="s">
        <v>1637</v>
      </c>
      <c r="J350" s="659" t="s">
        <v>1637</v>
      </c>
      <c r="K350" s="662" t="str">
        <f t="shared" si="29"/>
        <v>Consulting</v>
      </c>
      <c r="L350" s="660" t="str">
        <f t="shared" si="30"/>
        <v>DAY</v>
      </c>
      <c r="M350" s="660" t="str">
        <f t="shared" si="31"/>
        <v>SRV</v>
      </c>
      <c r="N350" s="660" t="str">
        <f t="shared" si="32"/>
        <v>SRV</v>
      </c>
      <c r="O350" s="659" t="str">
        <f t="shared" si="33"/>
        <v/>
      </c>
    </row>
    <row r="351" spans="1:15">
      <c r="A351" s="659" t="s">
        <v>1467</v>
      </c>
      <c r="B351" s="659" t="s">
        <v>1468</v>
      </c>
      <c r="C351" s="659">
        <v>0</v>
      </c>
      <c r="D351" s="659">
        <v>2250</v>
      </c>
      <c r="E351" s="659" t="s">
        <v>2520</v>
      </c>
      <c r="F351" s="659" t="s">
        <v>2290</v>
      </c>
      <c r="G351" s="659" t="s">
        <v>2558</v>
      </c>
      <c r="H351" s="659" t="s">
        <v>2574</v>
      </c>
      <c r="I351" s="659" t="s">
        <v>1637</v>
      </c>
      <c r="J351" s="659" t="s">
        <v>1637</v>
      </c>
      <c r="K351" s="662" t="str">
        <f t="shared" si="29"/>
        <v>Consulting</v>
      </c>
      <c r="L351" s="660" t="str">
        <f t="shared" si="30"/>
        <v>DAY</v>
      </c>
      <c r="M351" s="660" t="str">
        <f t="shared" si="31"/>
        <v>SRV</v>
      </c>
      <c r="N351" s="660" t="str">
        <f t="shared" si="32"/>
        <v>SRV</v>
      </c>
      <c r="O351" s="659" t="str">
        <f t="shared" si="33"/>
        <v/>
      </c>
    </row>
    <row r="352" spans="1:15">
      <c r="A352" s="659" t="s">
        <v>1469</v>
      </c>
      <c r="B352" s="659" t="s">
        <v>1470</v>
      </c>
      <c r="C352" s="659">
        <v>0</v>
      </c>
      <c r="D352" s="659">
        <v>1250</v>
      </c>
      <c r="E352" s="659" t="s">
        <v>2520</v>
      </c>
      <c r="F352" s="659" t="s">
        <v>2290</v>
      </c>
      <c r="G352" s="659" t="s">
        <v>2558</v>
      </c>
      <c r="H352" s="659" t="s">
        <v>2574</v>
      </c>
      <c r="I352" s="659" t="s">
        <v>1637</v>
      </c>
      <c r="J352" s="659" t="s">
        <v>1637</v>
      </c>
      <c r="K352" s="662" t="str">
        <f t="shared" si="29"/>
        <v>Consulting</v>
      </c>
      <c r="L352" s="660" t="str">
        <f t="shared" si="30"/>
        <v>DAY</v>
      </c>
      <c r="M352" s="660" t="str">
        <f t="shared" si="31"/>
        <v>SRV</v>
      </c>
      <c r="N352" s="660" t="str">
        <f t="shared" si="32"/>
        <v>SRV</v>
      </c>
      <c r="O352" s="659" t="str">
        <f t="shared" si="33"/>
        <v/>
      </c>
    </row>
    <row r="353" spans="1:15">
      <c r="A353" s="659" t="s">
        <v>1471</v>
      </c>
      <c r="B353" s="659" t="s">
        <v>1472</v>
      </c>
      <c r="C353" s="659">
        <v>0</v>
      </c>
      <c r="D353" s="659">
        <v>1562.5</v>
      </c>
      <c r="E353" s="659" t="s">
        <v>2520</v>
      </c>
      <c r="F353" s="659" t="s">
        <v>2290</v>
      </c>
      <c r="G353" s="659" t="s">
        <v>2558</v>
      </c>
      <c r="H353" s="659" t="s">
        <v>2574</v>
      </c>
      <c r="I353" s="659" t="s">
        <v>1637</v>
      </c>
      <c r="J353" s="659" t="s">
        <v>1637</v>
      </c>
      <c r="K353" s="662" t="str">
        <f t="shared" si="29"/>
        <v>Consulting</v>
      </c>
      <c r="L353" s="660" t="str">
        <f t="shared" si="30"/>
        <v>DAY</v>
      </c>
      <c r="M353" s="660" t="str">
        <f t="shared" si="31"/>
        <v>SRV</v>
      </c>
      <c r="N353" s="660" t="str">
        <f t="shared" si="32"/>
        <v>SRV</v>
      </c>
      <c r="O353" s="659" t="str">
        <f t="shared" si="33"/>
        <v/>
      </c>
    </row>
    <row r="354" spans="1:15">
      <c r="A354" s="659" t="s">
        <v>1473</v>
      </c>
      <c r="B354" s="659" t="s">
        <v>1474</v>
      </c>
      <c r="C354" s="659">
        <v>0</v>
      </c>
      <c r="D354" s="659">
        <v>1875</v>
      </c>
      <c r="E354" s="659" t="s">
        <v>2520</v>
      </c>
      <c r="F354" s="659" t="s">
        <v>2290</v>
      </c>
      <c r="G354" s="659" t="s">
        <v>2558</v>
      </c>
      <c r="H354" s="659" t="s">
        <v>2574</v>
      </c>
      <c r="I354" s="659" t="s">
        <v>1637</v>
      </c>
      <c r="J354" s="659" t="s">
        <v>1637</v>
      </c>
      <c r="K354" s="662" t="str">
        <f t="shared" si="29"/>
        <v>Consulting</v>
      </c>
      <c r="L354" s="660" t="str">
        <f t="shared" si="30"/>
        <v>DAY</v>
      </c>
      <c r="M354" s="660" t="str">
        <f t="shared" si="31"/>
        <v>SRV</v>
      </c>
      <c r="N354" s="660" t="str">
        <f t="shared" si="32"/>
        <v>SRV</v>
      </c>
      <c r="O354" s="659" t="str">
        <f t="shared" si="33"/>
        <v/>
      </c>
    </row>
    <row r="355" spans="1:15">
      <c r="A355" s="659" t="s">
        <v>1475</v>
      </c>
      <c r="B355" s="659" t="s">
        <v>1476</v>
      </c>
      <c r="C355" s="659">
        <v>0</v>
      </c>
      <c r="D355" s="659">
        <v>1500</v>
      </c>
      <c r="E355" s="659" t="s">
        <v>2520</v>
      </c>
      <c r="F355" s="659" t="s">
        <v>2290</v>
      </c>
      <c r="G355" s="659" t="s">
        <v>2558</v>
      </c>
      <c r="H355" s="659" t="s">
        <v>2574</v>
      </c>
      <c r="I355" s="659" t="s">
        <v>1637</v>
      </c>
      <c r="J355" s="659" t="s">
        <v>1637</v>
      </c>
      <c r="K355" s="662" t="str">
        <f t="shared" si="29"/>
        <v>Consulting</v>
      </c>
      <c r="L355" s="660" t="str">
        <f t="shared" si="30"/>
        <v>DAY</v>
      </c>
      <c r="M355" s="660" t="str">
        <f t="shared" si="31"/>
        <v>SRV</v>
      </c>
      <c r="N355" s="660" t="str">
        <f t="shared" si="32"/>
        <v>SRV</v>
      </c>
      <c r="O355" s="659" t="str">
        <f t="shared" si="33"/>
        <v/>
      </c>
    </row>
    <row r="356" spans="1:15">
      <c r="A356" s="659" t="s">
        <v>1477</v>
      </c>
      <c r="B356" s="659" t="s">
        <v>1478</v>
      </c>
      <c r="C356" s="659">
        <v>0</v>
      </c>
      <c r="D356" s="659">
        <v>1875</v>
      </c>
      <c r="E356" s="659" t="s">
        <v>2520</v>
      </c>
      <c r="F356" s="659" t="s">
        <v>2290</v>
      </c>
      <c r="G356" s="659" t="s">
        <v>2558</v>
      </c>
      <c r="H356" s="659" t="s">
        <v>2574</v>
      </c>
      <c r="I356" s="659" t="s">
        <v>1637</v>
      </c>
      <c r="J356" s="659" t="s">
        <v>1637</v>
      </c>
      <c r="K356" s="662" t="str">
        <f t="shared" si="29"/>
        <v>Consulting</v>
      </c>
      <c r="L356" s="660" t="str">
        <f t="shared" si="30"/>
        <v>DAY</v>
      </c>
      <c r="M356" s="660" t="str">
        <f t="shared" si="31"/>
        <v>SRV</v>
      </c>
      <c r="N356" s="660" t="str">
        <f t="shared" si="32"/>
        <v>SRV</v>
      </c>
      <c r="O356" s="659" t="str">
        <f t="shared" si="33"/>
        <v/>
      </c>
    </row>
    <row r="357" spans="1:15">
      <c r="A357" s="659" t="s">
        <v>1479</v>
      </c>
      <c r="B357" s="659" t="s">
        <v>1480</v>
      </c>
      <c r="C357" s="659">
        <v>0</v>
      </c>
      <c r="D357" s="659">
        <v>2250</v>
      </c>
      <c r="E357" s="659" t="s">
        <v>2520</v>
      </c>
      <c r="F357" s="659" t="s">
        <v>2290</v>
      </c>
      <c r="G357" s="659" t="s">
        <v>2558</v>
      </c>
      <c r="H357" s="659" t="s">
        <v>2574</v>
      </c>
      <c r="I357" s="659" t="s">
        <v>1637</v>
      </c>
      <c r="J357" s="659" t="s">
        <v>1637</v>
      </c>
      <c r="K357" s="662" t="str">
        <f t="shared" si="29"/>
        <v>Consulting</v>
      </c>
      <c r="L357" s="660" t="str">
        <f t="shared" si="30"/>
        <v>DAY</v>
      </c>
      <c r="M357" s="660" t="str">
        <f t="shared" si="31"/>
        <v>SRV</v>
      </c>
      <c r="N357" s="660" t="str">
        <f t="shared" si="32"/>
        <v>SRV</v>
      </c>
      <c r="O357" s="659" t="str">
        <f t="shared" si="33"/>
        <v/>
      </c>
    </row>
    <row r="358" spans="1:15">
      <c r="A358" s="659" t="s">
        <v>1481</v>
      </c>
      <c r="B358" s="659" t="s">
        <v>1482</v>
      </c>
      <c r="C358" s="659">
        <v>0</v>
      </c>
      <c r="D358" s="659">
        <v>1250</v>
      </c>
      <c r="E358" s="659" t="s">
        <v>2520</v>
      </c>
      <c r="F358" s="659" t="s">
        <v>2290</v>
      </c>
      <c r="G358" s="659" t="s">
        <v>2558</v>
      </c>
      <c r="H358" s="659" t="s">
        <v>2574</v>
      </c>
      <c r="I358" s="659" t="s">
        <v>1637</v>
      </c>
      <c r="J358" s="659" t="s">
        <v>1637</v>
      </c>
      <c r="K358" s="662" t="str">
        <f t="shared" si="29"/>
        <v>Consulting</v>
      </c>
      <c r="L358" s="660" t="str">
        <f t="shared" si="30"/>
        <v>DAY</v>
      </c>
      <c r="M358" s="660" t="str">
        <f t="shared" si="31"/>
        <v>SRV</v>
      </c>
      <c r="N358" s="660" t="str">
        <f t="shared" si="32"/>
        <v>SRV</v>
      </c>
      <c r="O358" s="659" t="str">
        <f t="shared" si="33"/>
        <v/>
      </c>
    </row>
    <row r="359" spans="1:15">
      <c r="A359" s="659" t="s">
        <v>1483</v>
      </c>
      <c r="B359" s="659" t="s">
        <v>1484</v>
      </c>
      <c r="C359" s="659">
        <v>0</v>
      </c>
      <c r="D359" s="659">
        <v>1562.5</v>
      </c>
      <c r="E359" s="659" t="s">
        <v>2520</v>
      </c>
      <c r="F359" s="659" t="s">
        <v>2290</v>
      </c>
      <c r="G359" s="659" t="s">
        <v>2558</v>
      </c>
      <c r="H359" s="659" t="s">
        <v>2574</v>
      </c>
      <c r="I359" s="659" t="s">
        <v>1637</v>
      </c>
      <c r="J359" s="659" t="s">
        <v>1637</v>
      </c>
      <c r="K359" s="662" t="str">
        <f t="shared" si="29"/>
        <v>Consulting</v>
      </c>
      <c r="L359" s="660" t="str">
        <f t="shared" si="30"/>
        <v>DAY</v>
      </c>
      <c r="M359" s="660" t="str">
        <f t="shared" si="31"/>
        <v>SRV</v>
      </c>
      <c r="N359" s="660" t="str">
        <f t="shared" si="32"/>
        <v>SRV</v>
      </c>
      <c r="O359" s="659" t="str">
        <f t="shared" si="33"/>
        <v/>
      </c>
    </row>
    <row r="360" spans="1:15">
      <c r="A360" s="659" t="s">
        <v>1485</v>
      </c>
      <c r="B360" s="659" t="s">
        <v>1486</v>
      </c>
      <c r="C360" s="659">
        <v>0</v>
      </c>
      <c r="D360" s="659">
        <v>1875</v>
      </c>
      <c r="E360" s="659" t="s">
        <v>2520</v>
      </c>
      <c r="F360" s="659" t="s">
        <v>2290</v>
      </c>
      <c r="G360" s="659" t="s">
        <v>2558</v>
      </c>
      <c r="H360" s="659" t="s">
        <v>2574</v>
      </c>
      <c r="I360" s="659" t="s">
        <v>1637</v>
      </c>
      <c r="J360" s="659" t="s">
        <v>1637</v>
      </c>
      <c r="K360" s="662" t="str">
        <f t="shared" si="29"/>
        <v>Consulting</v>
      </c>
      <c r="L360" s="660" t="str">
        <f t="shared" si="30"/>
        <v>DAY</v>
      </c>
      <c r="M360" s="660" t="str">
        <f t="shared" si="31"/>
        <v>SRV</v>
      </c>
      <c r="N360" s="660" t="str">
        <f t="shared" si="32"/>
        <v>SRV</v>
      </c>
      <c r="O360" s="659" t="str">
        <f t="shared" si="33"/>
        <v/>
      </c>
    </row>
    <row r="361" spans="1:15">
      <c r="A361" s="659" t="s">
        <v>1487</v>
      </c>
      <c r="B361" s="659" t="s">
        <v>1488</v>
      </c>
      <c r="C361" s="659">
        <v>0</v>
      </c>
      <c r="D361" s="659">
        <v>1500</v>
      </c>
      <c r="E361" s="659" t="s">
        <v>2520</v>
      </c>
      <c r="F361" s="659" t="s">
        <v>2290</v>
      </c>
      <c r="G361" s="659" t="s">
        <v>2558</v>
      </c>
      <c r="H361" s="659" t="s">
        <v>2574</v>
      </c>
      <c r="I361" s="659" t="s">
        <v>1637</v>
      </c>
      <c r="J361" s="659" t="s">
        <v>1637</v>
      </c>
      <c r="K361" s="662" t="str">
        <f t="shared" si="29"/>
        <v>Consulting</v>
      </c>
      <c r="L361" s="660" t="str">
        <f t="shared" si="30"/>
        <v>DAY</v>
      </c>
      <c r="M361" s="660" t="str">
        <f t="shared" si="31"/>
        <v>SRV</v>
      </c>
      <c r="N361" s="660" t="str">
        <f t="shared" si="32"/>
        <v>SRV</v>
      </c>
      <c r="O361" s="659" t="str">
        <f t="shared" si="33"/>
        <v/>
      </c>
    </row>
    <row r="362" spans="1:15">
      <c r="A362" s="659" t="s">
        <v>1489</v>
      </c>
      <c r="B362" s="659" t="s">
        <v>1490</v>
      </c>
      <c r="C362" s="659">
        <v>0</v>
      </c>
      <c r="D362" s="659">
        <v>1875</v>
      </c>
      <c r="E362" s="659" t="s">
        <v>2520</v>
      </c>
      <c r="F362" s="659" t="s">
        <v>2290</v>
      </c>
      <c r="G362" s="659" t="s">
        <v>2558</v>
      </c>
      <c r="H362" s="659" t="s">
        <v>2574</v>
      </c>
      <c r="I362" s="659" t="s">
        <v>1637</v>
      </c>
      <c r="J362" s="659" t="s">
        <v>1637</v>
      </c>
      <c r="K362" s="662" t="str">
        <f t="shared" si="29"/>
        <v>Consulting</v>
      </c>
      <c r="L362" s="660" t="str">
        <f t="shared" si="30"/>
        <v>DAY</v>
      </c>
      <c r="M362" s="660" t="str">
        <f t="shared" si="31"/>
        <v>SRV</v>
      </c>
      <c r="N362" s="660" t="str">
        <f t="shared" si="32"/>
        <v>SRV</v>
      </c>
      <c r="O362" s="659" t="str">
        <f t="shared" si="33"/>
        <v/>
      </c>
    </row>
    <row r="363" spans="1:15">
      <c r="A363" s="659" t="s">
        <v>1491</v>
      </c>
      <c r="B363" s="659" t="s">
        <v>1492</v>
      </c>
      <c r="C363" s="659">
        <v>0</v>
      </c>
      <c r="D363" s="659">
        <v>2250</v>
      </c>
      <c r="E363" s="659" t="s">
        <v>2520</v>
      </c>
      <c r="F363" s="659" t="s">
        <v>2290</v>
      </c>
      <c r="G363" s="659" t="s">
        <v>2558</v>
      </c>
      <c r="H363" s="659" t="s">
        <v>2574</v>
      </c>
      <c r="I363" s="659" t="s">
        <v>1637</v>
      </c>
      <c r="J363" s="659" t="s">
        <v>1637</v>
      </c>
      <c r="K363" s="662" t="str">
        <f t="shared" si="29"/>
        <v>Consulting</v>
      </c>
      <c r="L363" s="660" t="str">
        <f t="shared" si="30"/>
        <v>DAY</v>
      </c>
      <c r="M363" s="660" t="str">
        <f t="shared" si="31"/>
        <v>SRV</v>
      </c>
      <c r="N363" s="660" t="str">
        <f t="shared" si="32"/>
        <v>SRV</v>
      </c>
      <c r="O363" s="659" t="str">
        <f t="shared" si="33"/>
        <v/>
      </c>
    </row>
    <row r="364" spans="1:15">
      <c r="A364" s="659" t="s">
        <v>593</v>
      </c>
      <c r="B364" s="659" t="s">
        <v>594</v>
      </c>
      <c r="C364" s="659">
        <v>0</v>
      </c>
      <c r="D364" s="659">
        <v>0</v>
      </c>
      <c r="E364" s="659" t="s">
        <v>1154</v>
      </c>
      <c r="F364" s="659" t="s">
        <v>2290</v>
      </c>
      <c r="G364" s="659" t="s">
        <v>2392</v>
      </c>
      <c r="H364" s="659" t="s">
        <v>2397</v>
      </c>
      <c r="I364" s="659" t="s">
        <v>1636</v>
      </c>
      <c r="J364" s="659" t="s">
        <v>2159</v>
      </c>
      <c r="K364" s="662" t="str">
        <f t="shared" si="29"/>
        <v>Platform</v>
      </c>
      <c r="L364" s="660" t="str">
        <f t="shared" si="30"/>
        <v>EA</v>
      </c>
      <c r="M364" s="660" t="str">
        <f t="shared" si="31"/>
        <v>UC</v>
      </c>
      <c r="N364" s="660" t="str">
        <f t="shared" si="32"/>
        <v>PAAS</v>
      </c>
      <c r="O364" s="659" t="str">
        <f t="shared" si="33"/>
        <v/>
      </c>
    </row>
    <row r="365" spans="1:15">
      <c r="A365" s="659" t="s">
        <v>1643</v>
      </c>
      <c r="B365" s="659" t="s">
        <v>1644</v>
      </c>
      <c r="C365" s="659">
        <v>7586</v>
      </c>
      <c r="D365" s="659">
        <v>9861.7999999999993</v>
      </c>
      <c r="E365" s="659">
        <v>0</v>
      </c>
      <c r="F365" s="659" t="s">
        <v>2290</v>
      </c>
      <c r="G365" s="659" t="s">
        <v>2558</v>
      </c>
      <c r="H365" s="659" t="s">
        <v>2394</v>
      </c>
      <c r="I365" s="659" t="s">
        <v>1637</v>
      </c>
      <c r="J365" s="659" t="s">
        <v>1637</v>
      </c>
      <c r="K365" s="662" t="str">
        <f t="shared" si="29"/>
        <v>Consulting</v>
      </c>
      <c r="L365" s="660" t="str">
        <f t="shared" si="30"/>
        <v>UNIT</v>
      </c>
      <c r="M365" s="660" t="str">
        <f t="shared" si="31"/>
        <v>SRV</v>
      </c>
      <c r="N365" s="660" t="str">
        <f t="shared" si="32"/>
        <v>SRV</v>
      </c>
      <c r="O365" s="659" t="str">
        <f t="shared" si="33"/>
        <v/>
      </c>
    </row>
    <row r="366" spans="1:15">
      <c r="A366" s="659" t="s">
        <v>2262</v>
      </c>
      <c r="B366" s="659" t="s">
        <v>929</v>
      </c>
      <c r="C366" s="659">
        <v>0</v>
      </c>
      <c r="D366" s="659">
        <v>240</v>
      </c>
      <c r="E366" s="659" t="s">
        <v>2070</v>
      </c>
      <c r="F366" s="659" t="s">
        <v>2290</v>
      </c>
      <c r="G366" s="659" t="s">
        <v>2160</v>
      </c>
      <c r="H366" s="659" t="s">
        <v>2394</v>
      </c>
      <c r="I366" s="659" t="s">
        <v>2160</v>
      </c>
      <c r="J366" s="659" t="s">
        <v>1338</v>
      </c>
      <c r="K366" s="662" t="str">
        <f t="shared" si="29"/>
        <v>CC</v>
      </c>
      <c r="L366" s="660" t="str">
        <f t="shared" si="30"/>
        <v>UNIT</v>
      </c>
      <c r="M366" s="660" t="str">
        <f t="shared" si="31"/>
        <v>CC</v>
      </c>
      <c r="N366" s="660" t="str">
        <f t="shared" si="32"/>
        <v>BYOL</v>
      </c>
      <c r="O366" s="659" t="str">
        <f t="shared" si="33"/>
        <v/>
      </c>
    </row>
    <row r="367" spans="1:15">
      <c r="A367" s="659" t="s">
        <v>2263</v>
      </c>
      <c r="B367" s="659" t="s">
        <v>930</v>
      </c>
      <c r="C367" s="659">
        <v>0</v>
      </c>
      <c r="D367" s="659">
        <v>0.80649999999999999</v>
      </c>
      <c r="E367" s="659" t="s">
        <v>49</v>
      </c>
      <c r="F367" s="659" t="s">
        <v>2290</v>
      </c>
      <c r="G367" s="659" t="s">
        <v>2160</v>
      </c>
      <c r="H367" s="659" t="s">
        <v>2161</v>
      </c>
      <c r="I367" s="659" t="s">
        <v>2160</v>
      </c>
      <c r="J367" s="659" t="s">
        <v>1338</v>
      </c>
      <c r="K367" s="662" t="str">
        <f t="shared" si="29"/>
        <v>CC</v>
      </c>
      <c r="L367" s="660" t="str">
        <f t="shared" si="30"/>
        <v>HR</v>
      </c>
      <c r="M367" s="660" t="str">
        <f t="shared" si="31"/>
        <v>CC</v>
      </c>
      <c r="N367" s="660" t="str">
        <f t="shared" si="32"/>
        <v>BYOL</v>
      </c>
      <c r="O367" s="659" t="str">
        <f t="shared" si="33"/>
        <v/>
      </c>
    </row>
    <row r="368" spans="1:15">
      <c r="A368" s="659" t="s">
        <v>2264</v>
      </c>
      <c r="B368" s="659" t="s">
        <v>931</v>
      </c>
      <c r="C368" s="659">
        <v>0</v>
      </c>
      <c r="D368" s="659">
        <v>240</v>
      </c>
      <c r="E368" s="659" t="s">
        <v>2070</v>
      </c>
      <c r="F368" s="659" t="s">
        <v>2290</v>
      </c>
      <c r="G368" s="659" t="s">
        <v>2160</v>
      </c>
      <c r="H368" s="659" t="s">
        <v>2394</v>
      </c>
      <c r="I368" s="659" t="s">
        <v>2160</v>
      </c>
      <c r="J368" s="659" t="s">
        <v>1338</v>
      </c>
      <c r="K368" s="662" t="str">
        <f t="shared" si="29"/>
        <v>CC</v>
      </c>
      <c r="L368" s="660" t="str">
        <f t="shared" si="30"/>
        <v>UNIT</v>
      </c>
      <c r="M368" s="660" t="str">
        <f t="shared" si="31"/>
        <v>CC</v>
      </c>
      <c r="N368" s="660" t="str">
        <f t="shared" si="32"/>
        <v>BYOL</v>
      </c>
      <c r="O368" s="659" t="str">
        <f t="shared" si="33"/>
        <v/>
      </c>
    </row>
    <row r="369" spans="1:15">
      <c r="A369" s="659" t="s">
        <v>2265</v>
      </c>
      <c r="B369" s="659" t="s">
        <v>932</v>
      </c>
      <c r="C369" s="659">
        <v>0</v>
      </c>
      <c r="D369" s="659">
        <v>0.80649999999999999</v>
      </c>
      <c r="E369" s="659" t="s">
        <v>49</v>
      </c>
      <c r="F369" s="659" t="s">
        <v>2290</v>
      </c>
      <c r="G369" s="659" t="s">
        <v>2160</v>
      </c>
      <c r="H369" s="659" t="s">
        <v>2161</v>
      </c>
      <c r="I369" s="659" t="s">
        <v>2160</v>
      </c>
      <c r="J369" s="659" t="s">
        <v>1338</v>
      </c>
      <c r="K369" s="662" t="str">
        <f t="shared" si="29"/>
        <v>CC</v>
      </c>
      <c r="L369" s="660" t="str">
        <f t="shared" si="30"/>
        <v>HR</v>
      </c>
      <c r="M369" s="660" t="str">
        <f t="shared" si="31"/>
        <v>CC</v>
      </c>
      <c r="N369" s="660" t="str">
        <f t="shared" si="32"/>
        <v>BYOL</v>
      </c>
      <c r="O369" s="659" t="str">
        <f t="shared" si="33"/>
        <v/>
      </c>
    </row>
    <row r="370" spans="1:15">
      <c r="A370" s="659" t="s">
        <v>590</v>
      </c>
      <c r="B370" s="659" t="s">
        <v>1165</v>
      </c>
      <c r="C370" s="659">
        <v>0.3226</v>
      </c>
      <c r="D370" s="659">
        <v>0.3226</v>
      </c>
      <c r="E370" s="659" t="s">
        <v>49</v>
      </c>
      <c r="F370" s="659" t="s">
        <v>2290</v>
      </c>
      <c r="G370" s="659" t="s">
        <v>1836</v>
      </c>
      <c r="H370" s="659" t="s">
        <v>2161</v>
      </c>
      <c r="I370" s="659" t="s">
        <v>1636</v>
      </c>
      <c r="J370" s="659" t="s">
        <v>1338</v>
      </c>
      <c r="K370" s="662" t="str">
        <f t="shared" si="29"/>
        <v>ADW</v>
      </c>
      <c r="L370" s="660" t="str">
        <f t="shared" si="30"/>
        <v>HR</v>
      </c>
      <c r="M370" s="660" t="str">
        <f t="shared" si="31"/>
        <v>UC</v>
      </c>
      <c r="N370" s="660" t="str">
        <f t="shared" si="32"/>
        <v>BYOL</v>
      </c>
      <c r="O370" s="659" t="str">
        <f t="shared" si="33"/>
        <v/>
      </c>
    </row>
    <row r="371" spans="1:15">
      <c r="A371" s="659" t="s">
        <v>591</v>
      </c>
      <c r="B371" s="659" t="s">
        <v>1133</v>
      </c>
      <c r="C371" s="659">
        <v>1.3441000000000001</v>
      </c>
      <c r="D371" s="659">
        <v>1.3441000000000001</v>
      </c>
      <c r="E371" s="659" t="s">
        <v>49</v>
      </c>
      <c r="F371" s="659" t="s">
        <v>2290</v>
      </c>
      <c r="G371" s="659" t="s">
        <v>1836</v>
      </c>
      <c r="H371" s="659" t="s">
        <v>2161</v>
      </c>
      <c r="I371" s="659" t="s">
        <v>1636</v>
      </c>
      <c r="J371" s="659" t="s">
        <v>2159</v>
      </c>
      <c r="K371" s="662" t="str">
        <f t="shared" si="29"/>
        <v>ADW</v>
      </c>
      <c r="L371" s="660" t="str">
        <f t="shared" si="30"/>
        <v>HR</v>
      </c>
      <c r="M371" s="660" t="str">
        <f t="shared" si="31"/>
        <v>UC</v>
      </c>
      <c r="N371" s="660" t="str">
        <f t="shared" si="32"/>
        <v>PAAS</v>
      </c>
      <c r="O371" s="659" t="str">
        <f t="shared" si="33"/>
        <v/>
      </c>
    </row>
    <row r="372" spans="1:15">
      <c r="A372" s="659" t="s">
        <v>592</v>
      </c>
      <c r="B372" s="659" t="s">
        <v>1134</v>
      </c>
      <c r="C372" s="659">
        <v>118.4</v>
      </c>
      <c r="D372" s="659">
        <v>118.4</v>
      </c>
      <c r="E372" s="659" t="s">
        <v>2209</v>
      </c>
      <c r="F372" s="659" t="s">
        <v>2290</v>
      </c>
      <c r="G372" s="659" t="s">
        <v>2132</v>
      </c>
      <c r="H372" s="659" t="s">
        <v>2401</v>
      </c>
      <c r="I372" s="659" t="s">
        <v>1636</v>
      </c>
      <c r="J372" s="659" t="s">
        <v>2159</v>
      </c>
      <c r="K372" s="662" t="str">
        <f t="shared" si="29"/>
        <v>Exa Storage</v>
      </c>
      <c r="L372" s="660" t="str">
        <f t="shared" si="30"/>
        <v>TB</v>
      </c>
      <c r="M372" s="660" t="str">
        <f t="shared" si="31"/>
        <v>UC</v>
      </c>
      <c r="N372" s="660" t="str">
        <f t="shared" si="32"/>
        <v>PAAS</v>
      </c>
      <c r="O372" s="659" t="str">
        <f t="shared" si="33"/>
        <v/>
      </c>
    </row>
    <row r="373" spans="1:15">
      <c r="A373" s="659" t="s">
        <v>979</v>
      </c>
      <c r="B373" s="659" t="s">
        <v>980</v>
      </c>
      <c r="C373" s="659">
        <v>0.3</v>
      </c>
      <c r="D373" s="659">
        <v>0.3</v>
      </c>
      <c r="E373" s="659" t="s">
        <v>2175</v>
      </c>
      <c r="F373" s="659" t="s">
        <v>2290</v>
      </c>
      <c r="G373" s="659" t="s">
        <v>1840</v>
      </c>
      <c r="H373" s="659" t="s">
        <v>2162</v>
      </c>
      <c r="I373" s="659" t="s">
        <v>1636</v>
      </c>
      <c r="J373" s="659" t="s">
        <v>2158</v>
      </c>
      <c r="K373" s="662" t="str">
        <f t="shared" si="29"/>
        <v>Storage</v>
      </c>
      <c r="L373" s="660" t="str">
        <f t="shared" si="30"/>
        <v>GB</v>
      </c>
      <c r="M373" s="660" t="str">
        <f t="shared" si="31"/>
        <v>UC</v>
      </c>
      <c r="N373" s="660" t="str">
        <f t="shared" si="32"/>
        <v>IAAS</v>
      </c>
      <c r="O373" s="659" t="str">
        <f t="shared" si="33"/>
        <v/>
      </c>
    </row>
    <row r="374" spans="1:15">
      <c r="A374" s="659" t="s">
        <v>1493</v>
      </c>
      <c r="B374" s="659" t="s">
        <v>1494</v>
      </c>
      <c r="C374" s="659">
        <v>0</v>
      </c>
      <c r="D374" s="659">
        <v>2500</v>
      </c>
      <c r="E374" s="659" t="s">
        <v>1154</v>
      </c>
      <c r="F374" s="659" t="s">
        <v>2290</v>
      </c>
      <c r="G374" s="659" t="s">
        <v>2558</v>
      </c>
      <c r="H374" s="659" t="s">
        <v>2397</v>
      </c>
      <c r="I374" s="659" t="s">
        <v>1637</v>
      </c>
      <c r="J374" s="659" t="s">
        <v>1637</v>
      </c>
      <c r="K374" s="662" t="str">
        <f t="shared" si="29"/>
        <v>Consulting</v>
      </c>
      <c r="L374" s="660" t="str">
        <f t="shared" si="30"/>
        <v>EA</v>
      </c>
      <c r="M374" s="660" t="str">
        <f t="shared" si="31"/>
        <v>SRV</v>
      </c>
      <c r="N374" s="660" t="str">
        <f t="shared" si="32"/>
        <v>SRV</v>
      </c>
      <c r="O374" s="659" t="str">
        <f t="shared" si="33"/>
        <v/>
      </c>
    </row>
    <row r="375" spans="1:15">
      <c r="A375" s="659" t="s">
        <v>1495</v>
      </c>
      <c r="B375" s="659" t="s">
        <v>1496</v>
      </c>
      <c r="C375" s="659">
        <v>0</v>
      </c>
      <c r="D375" s="659">
        <v>3750</v>
      </c>
      <c r="E375" s="659" t="s">
        <v>1154</v>
      </c>
      <c r="F375" s="659" t="s">
        <v>2290</v>
      </c>
      <c r="G375" s="659" t="s">
        <v>2558</v>
      </c>
      <c r="H375" s="659" t="s">
        <v>2397</v>
      </c>
      <c r="I375" s="659" t="s">
        <v>1637</v>
      </c>
      <c r="J375" s="659" t="s">
        <v>1637</v>
      </c>
      <c r="K375" s="662" t="str">
        <f t="shared" si="29"/>
        <v>Consulting</v>
      </c>
      <c r="L375" s="660" t="str">
        <f t="shared" si="30"/>
        <v>EA</v>
      </c>
      <c r="M375" s="660" t="str">
        <f t="shared" si="31"/>
        <v>SRV</v>
      </c>
      <c r="N375" s="660" t="str">
        <f t="shared" si="32"/>
        <v>SRV</v>
      </c>
      <c r="O375" s="659" t="str">
        <f t="shared" si="33"/>
        <v/>
      </c>
    </row>
    <row r="376" spans="1:15">
      <c r="A376" s="659" t="s">
        <v>1497</v>
      </c>
      <c r="B376" s="659" t="s">
        <v>1498</v>
      </c>
      <c r="C376" s="659">
        <v>0</v>
      </c>
      <c r="D376" s="659">
        <v>3750</v>
      </c>
      <c r="E376" s="659" t="s">
        <v>1154</v>
      </c>
      <c r="F376" s="659" t="s">
        <v>2290</v>
      </c>
      <c r="G376" s="659" t="s">
        <v>2558</v>
      </c>
      <c r="H376" s="659" t="s">
        <v>2397</v>
      </c>
      <c r="I376" s="659" t="s">
        <v>1637</v>
      </c>
      <c r="J376" s="659" t="s">
        <v>1637</v>
      </c>
      <c r="K376" s="662" t="str">
        <f t="shared" si="29"/>
        <v>Consulting</v>
      </c>
      <c r="L376" s="660" t="str">
        <f t="shared" si="30"/>
        <v>EA</v>
      </c>
      <c r="M376" s="660" t="str">
        <f t="shared" si="31"/>
        <v>SRV</v>
      </c>
      <c r="N376" s="660" t="str">
        <f t="shared" si="32"/>
        <v>SRV</v>
      </c>
      <c r="O376" s="659" t="str">
        <f t="shared" si="33"/>
        <v/>
      </c>
    </row>
    <row r="377" spans="1:15">
      <c r="A377" s="659" t="s">
        <v>1499</v>
      </c>
      <c r="B377" s="659" t="s">
        <v>1500</v>
      </c>
      <c r="C377" s="659">
        <v>0</v>
      </c>
      <c r="D377" s="659">
        <v>5000</v>
      </c>
      <c r="E377" s="659" t="s">
        <v>1154</v>
      </c>
      <c r="F377" s="659" t="s">
        <v>2290</v>
      </c>
      <c r="G377" s="659" t="s">
        <v>2558</v>
      </c>
      <c r="H377" s="659" t="s">
        <v>2397</v>
      </c>
      <c r="I377" s="659" t="s">
        <v>1637</v>
      </c>
      <c r="J377" s="659" t="s">
        <v>1637</v>
      </c>
      <c r="K377" s="662" t="str">
        <f t="shared" si="29"/>
        <v>Consulting</v>
      </c>
      <c r="L377" s="660" t="str">
        <f t="shared" si="30"/>
        <v>EA</v>
      </c>
      <c r="M377" s="660" t="str">
        <f t="shared" si="31"/>
        <v>SRV</v>
      </c>
      <c r="N377" s="660" t="str">
        <f t="shared" si="32"/>
        <v>SRV</v>
      </c>
      <c r="O377" s="659" t="str">
        <f t="shared" si="33"/>
        <v/>
      </c>
    </row>
    <row r="378" spans="1:15">
      <c r="A378" s="659" t="s">
        <v>1501</v>
      </c>
      <c r="B378" s="659" t="s">
        <v>1502</v>
      </c>
      <c r="C378" s="659">
        <v>0</v>
      </c>
      <c r="D378" s="659">
        <v>5000</v>
      </c>
      <c r="E378" s="659" t="s">
        <v>1154</v>
      </c>
      <c r="F378" s="659" t="s">
        <v>2290</v>
      </c>
      <c r="G378" s="659" t="s">
        <v>2558</v>
      </c>
      <c r="H378" s="659" t="s">
        <v>2397</v>
      </c>
      <c r="I378" s="659" t="s">
        <v>1637</v>
      </c>
      <c r="J378" s="659" t="s">
        <v>1637</v>
      </c>
      <c r="K378" s="662" t="str">
        <f t="shared" si="29"/>
        <v>Consulting</v>
      </c>
      <c r="L378" s="660" t="str">
        <f t="shared" si="30"/>
        <v>EA</v>
      </c>
      <c r="M378" s="660" t="str">
        <f t="shared" si="31"/>
        <v>SRV</v>
      </c>
      <c r="N378" s="660" t="str">
        <f t="shared" si="32"/>
        <v>SRV</v>
      </c>
      <c r="O378" s="659" t="str">
        <f t="shared" si="33"/>
        <v/>
      </c>
    </row>
    <row r="379" spans="1:15">
      <c r="A379" s="659" t="s">
        <v>1503</v>
      </c>
      <c r="B379" s="659" t="s">
        <v>1504</v>
      </c>
      <c r="C379" s="659">
        <v>0</v>
      </c>
      <c r="D379" s="659">
        <v>5000</v>
      </c>
      <c r="E379" s="659" t="s">
        <v>1154</v>
      </c>
      <c r="F379" s="659" t="s">
        <v>2290</v>
      </c>
      <c r="G379" s="659" t="s">
        <v>2558</v>
      </c>
      <c r="H379" s="659" t="s">
        <v>2397</v>
      </c>
      <c r="I379" s="659" t="s">
        <v>1637</v>
      </c>
      <c r="J379" s="659" t="s">
        <v>1637</v>
      </c>
      <c r="K379" s="662" t="str">
        <f t="shared" si="29"/>
        <v>Consulting</v>
      </c>
      <c r="L379" s="660" t="str">
        <f t="shared" si="30"/>
        <v>EA</v>
      </c>
      <c r="M379" s="660" t="str">
        <f t="shared" si="31"/>
        <v>SRV</v>
      </c>
      <c r="N379" s="660" t="str">
        <f t="shared" si="32"/>
        <v>SRV</v>
      </c>
      <c r="O379" s="659" t="str">
        <f t="shared" si="33"/>
        <v/>
      </c>
    </row>
    <row r="380" spans="1:15">
      <c r="A380" s="659" t="s">
        <v>1505</v>
      </c>
      <c r="B380" s="659" t="s">
        <v>1506</v>
      </c>
      <c r="C380" s="659">
        <v>0</v>
      </c>
      <c r="D380" s="659">
        <v>6875</v>
      </c>
      <c r="E380" s="659" t="s">
        <v>1154</v>
      </c>
      <c r="F380" s="659" t="s">
        <v>2290</v>
      </c>
      <c r="G380" s="659" t="s">
        <v>2558</v>
      </c>
      <c r="H380" s="659" t="s">
        <v>2397</v>
      </c>
      <c r="I380" s="659" t="s">
        <v>1637</v>
      </c>
      <c r="J380" s="659" t="s">
        <v>1637</v>
      </c>
      <c r="K380" s="662" t="str">
        <f t="shared" si="29"/>
        <v>Consulting</v>
      </c>
      <c r="L380" s="660" t="str">
        <f t="shared" si="30"/>
        <v>EA</v>
      </c>
      <c r="M380" s="660" t="str">
        <f t="shared" si="31"/>
        <v>SRV</v>
      </c>
      <c r="N380" s="660" t="str">
        <f t="shared" si="32"/>
        <v>SRV</v>
      </c>
      <c r="O380" s="659" t="str">
        <f t="shared" si="33"/>
        <v/>
      </c>
    </row>
    <row r="381" spans="1:15">
      <c r="A381" s="659" t="s">
        <v>1507</v>
      </c>
      <c r="B381" s="659" t="s">
        <v>1508</v>
      </c>
      <c r="C381" s="659">
        <v>0</v>
      </c>
      <c r="D381" s="659">
        <v>6875</v>
      </c>
      <c r="E381" s="659" t="s">
        <v>1154</v>
      </c>
      <c r="F381" s="659" t="s">
        <v>2290</v>
      </c>
      <c r="G381" s="659" t="s">
        <v>2558</v>
      </c>
      <c r="H381" s="659" t="s">
        <v>2397</v>
      </c>
      <c r="I381" s="659" t="s">
        <v>1637</v>
      </c>
      <c r="J381" s="659" t="s">
        <v>1637</v>
      </c>
      <c r="K381" s="662" t="str">
        <f t="shared" si="29"/>
        <v>Consulting</v>
      </c>
      <c r="L381" s="660" t="str">
        <f t="shared" si="30"/>
        <v>EA</v>
      </c>
      <c r="M381" s="660" t="str">
        <f t="shared" si="31"/>
        <v>SRV</v>
      </c>
      <c r="N381" s="660" t="str">
        <f t="shared" si="32"/>
        <v>SRV</v>
      </c>
      <c r="O381" s="659" t="str">
        <f t="shared" si="33"/>
        <v/>
      </c>
    </row>
    <row r="382" spans="1:15">
      <c r="A382" s="659" t="s">
        <v>1509</v>
      </c>
      <c r="B382" s="659" t="s">
        <v>1510</v>
      </c>
      <c r="C382" s="659">
        <v>0</v>
      </c>
      <c r="D382" s="659">
        <v>6875</v>
      </c>
      <c r="E382" s="659" t="s">
        <v>1154</v>
      </c>
      <c r="F382" s="659" t="s">
        <v>2290</v>
      </c>
      <c r="G382" s="659" t="s">
        <v>2558</v>
      </c>
      <c r="H382" s="659" t="s">
        <v>2397</v>
      </c>
      <c r="I382" s="659" t="s">
        <v>1637</v>
      </c>
      <c r="J382" s="659" t="s">
        <v>1637</v>
      </c>
      <c r="K382" s="662" t="str">
        <f t="shared" si="29"/>
        <v>Consulting</v>
      </c>
      <c r="L382" s="660" t="str">
        <f t="shared" si="30"/>
        <v>EA</v>
      </c>
      <c r="M382" s="660" t="str">
        <f t="shared" si="31"/>
        <v>SRV</v>
      </c>
      <c r="N382" s="660" t="str">
        <f t="shared" si="32"/>
        <v>SRV</v>
      </c>
      <c r="O382" s="659" t="str">
        <f t="shared" si="33"/>
        <v/>
      </c>
    </row>
    <row r="383" spans="1:15">
      <c r="A383" s="659" t="s">
        <v>1511</v>
      </c>
      <c r="B383" s="659" t="s">
        <v>1512</v>
      </c>
      <c r="C383" s="659">
        <v>0</v>
      </c>
      <c r="D383" s="659">
        <v>8750</v>
      </c>
      <c r="E383" s="659" t="s">
        <v>1154</v>
      </c>
      <c r="F383" s="659" t="s">
        <v>2290</v>
      </c>
      <c r="G383" s="659" t="s">
        <v>2558</v>
      </c>
      <c r="H383" s="659" t="s">
        <v>2397</v>
      </c>
      <c r="I383" s="659" t="s">
        <v>1637</v>
      </c>
      <c r="J383" s="659" t="s">
        <v>1637</v>
      </c>
      <c r="K383" s="662" t="str">
        <f t="shared" si="29"/>
        <v>Consulting</v>
      </c>
      <c r="L383" s="660" t="str">
        <f t="shared" si="30"/>
        <v>EA</v>
      </c>
      <c r="M383" s="660" t="str">
        <f t="shared" si="31"/>
        <v>SRV</v>
      </c>
      <c r="N383" s="660" t="str">
        <f t="shared" si="32"/>
        <v>SRV</v>
      </c>
      <c r="O383" s="659" t="str">
        <f t="shared" si="33"/>
        <v/>
      </c>
    </row>
    <row r="384" spans="1:15">
      <c r="A384" s="659" t="s">
        <v>1513</v>
      </c>
      <c r="B384" s="659" t="s">
        <v>1514</v>
      </c>
      <c r="C384" s="659">
        <v>0</v>
      </c>
      <c r="D384" s="659">
        <v>8750</v>
      </c>
      <c r="E384" s="659" t="s">
        <v>1154</v>
      </c>
      <c r="F384" s="659" t="s">
        <v>2290</v>
      </c>
      <c r="G384" s="659" t="s">
        <v>2558</v>
      </c>
      <c r="H384" s="659" t="s">
        <v>2397</v>
      </c>
      <c r="I384" s="659" t="s">
        <v>1637</v>
      </c>
      <c r="J384" s="659" t="s">
        <v>1637</v>
      </c>
      <c r="K384" s="662" t="str">
        <f t="shared" si="29"/>
        <v>Consulting</v>
      </c>
      <c r="L384" s="660" t="str">
        <f t="shared" si="30"/>
        <v>EA</v>
      </c>
      <c r="M384" s="660" t="str">
        <f t="shared" si="31"/>
        <v>SRV</v>
      </c>
      <c r="N384" s="660" t="str">
        <f t="shared" si="32"/>
        <v>SRV</v>
      </c>
      <c r="O384" s="659" t="str">
        <f t="shared" si="33"/>
        <v/>
      </c>
    </row>
    <row r="385" spans="1:15">
      <c r="A385" s="659" t="s">
        <v>1515</v>
      </c>
      <c r="B385" s="659" t="s">
        <v>1516</v>
      </c>
      <c r="C385" s="659">
        <v>0</v>
      </c>
      <c r="D385" s="659">
        <v>2500</v>
      </c>
      <c r="E385" s="659" t="s">
        <v>1154</v>
      </c>
      <c r="F385" s="659" t="s">
        <v>2290</v>
      </c>
      <c r="G385" s="659" t="s">
        <v>2558</v>
      </c>
      <c r="H385" s="659" t="s">
        <v>2397</v>
      </c>
      <c r="I385" s="659" t="s">
        <v>1637</v>
      </c>
      <c r="J385" s="659" t="s">
        <v>1637</v>
      </c>
      <c r="K385" s="662" t="str">
        <f t="shared" si="29"/>
        <v>Consulting</v>
      </c>
      <c r="L385" s="660" t="str">
        <f t="shared" si="30"/>
        <v>EA</v>
      </c>
      <c r="M385" s="660" t="str">
        <f t="shared" si="31"/>
        <v>SRV</v>
      </c>
      <c r="N385" s="660" t="str">
        <f t="shared" si="32"/>
        <v>SRV</v>
      </c>
      <c r="O385" s="659" t="str">
        <f t="shared" si="33"/>
        <v/>
      </c>
    </row>
    <row r="386" spans="1:15">
      <c r="A386" s="659" t="s">
        <v>1517</v>
      </c>
      <c r="B386" s="659" t="s">
        <v>1518</v>
      </c>
      <c r="C386" s="659">
        <v>0</v>
      </c>
      <c r="D386" s="659">
        <v>2500</v>
      </c>
      <c r="E386" s="659" t="s">
        <v>1154</v>
      </c>
      <c r="F386" s="659" t="s">
        <v>2290</v>
      </c>
      <c r="G386" s="659" t="s">
        <v>2558</v>
      </c>
      <c r="H386" s="659" t="s">
        <v>2397</v>
      </c>
      <c r="I386" s="659" t="s">
        <v>1637</v>
      </c>
      <c r="J386" s="659" t="s">
        <v>1637</v>
      </c>
      <c r="K386" s="662" t="str">
        <f t="shared" si="29"/>
        <v>Consulting</v>
      </c>
      <c r="L386" s="660" t="str">
        <f t="shared" si="30"/>
        <v>EA</v>
      </c>
      <c r="M386" s="660" t="str">
        <f t="shared" si="31"/>
        <v>SRV</v>
      </c>
      <c r="N386" s="660" t="str">
        <f t="shared" si="32"/>
        <v>SRV</v>
      </c>
      <c r="O386" s="659" t="str">
        <f t="shared" si="33"/>
        <v/>
      </c>
    </row>
    <row r="387" spans="1:15">
      <c r="A387" s="659" t="s">
        <v>1519</v>
      </c>
      <c r="B387" s="659" t="s">
        <v>1520</v>
      </c>
      <c r="C387" s="659">
        <v>0</v>
      </c>
      <c r="D387" s="659">
        <v>2500</v>
      </c>
      <c r="E387" s="659" t="s">
        <v>1154</v>
      </c>
      <c r="F387" s="659" t="s">
        <v>2290</v>
      </c>
      <c r="G387" s="659" t="s">
        <v>2558</v>
      </c>
      <c r="H387" s="659" t="s">
        <v>2397</v>
      </c>
      <c r="I387" s="659" t="s">
        <v>1637</v>
      </c>
      <c r="J387" s="659" t="s">
        <v>1637</v>
      </c>
      <c r="K387" s="662" t="str">
        <f t="shared" si="29"/>
        <v>Consulting</v>
      </c>
      <c r="L387" s="660" t="str">
        <f t="shared" si="30"/>
        <v>EA</v>
      </c>
      <c r="M387" s="660" t="str">
        <f t="shared" si="31"/>
        <v>SRV</v>
      </c>
      <c r="N387" s="660" t="str">
        <f t="shared" si="32"/>
        <v>SRV</v>
      </c>
      <c r="O387" s="659" t="str">
        <f t="shared" si="33"/>
        <v/>
      </c>
    </row>
    <row r="388" spans="1:15">
      <c r="A388" s="659" t="s">
        <v>1521</v>
      </c>
      <c r="B388" s="659" t="s">
        <v>1522</v>
      </c>
      <c r="C388" s="659">
        <v>0</v>
      </c>
      <c r="D388" s="659">
        <v>3750</v>
      </c>
      <c r="E388" s="659" t="s">
        <v>1154</v>
      </c>
      <c r="F388" s="659" t="s">
        <v>2290</v>
      </c>
      <c r="G388" s="659" t="s">
        <v>2558</v>
      </c>
      <c r="H388" s="659" t="s">
        <v>2397</v>
      </c>
      <c r="I388" s="659" t="s">
        <v>1637</v>
      </c>
      <c r="J388" s="659" t="s">
        <v>1637</v>
      </c>
      <c r="K388" s="662" t="str">
        <f t="shared" ref="K388:K451" si="34">_xlfn.IFS(
ISNUMBER(SEARCH("Day",E388)),"Consulting",
ISNUMBER(SEARCH("Starter Pack",B388)),"Consulting",
ISNUMBER(SEARCH("Design",B388)),"Consulting",
ISNUMBER(SEARCH("Deploy",B388)),"Consulting",
ISNUMBER(SEARCH("Expert",B388)),"Consulting",
ISNUMBER(SEARCH("Installation",B388)),"Consulting",
ISNUMBER(SEARCH("Recommendation",B388)),"Consulting",
ISNUMBER(SEARCH("Transition",B388)),"Consulting",
ISNUMBER(SEARCH("Transition",B388)),"Support",
ISNUMBER(SEARCH("Transition",B388)),"Foundation Service",
ISNUMBER(SEARCH("Consulting",B388)),"Consulting",
ISNUMBER(SEARCH("in Advance",B388)),"New",
ISNUMBER(SEARCH("Universal Credits",B388)),"UC",
ISNUMBER(SEARCH("Ravello",B388)),"Deprecated",
ISNUMBER(SEARCH("Cloud Machine",B388)),"Deprecated",
ISNUMBER(SEARCH("Compute",B388)),"Compute",
ISNUMBER(SEARCH("Load Balancer",B388)),"Network",
ISNUMBER(SEARCH("FastConnect",B388)),"Network",
ISNUMBER(SEARCH("Database OCPU",B388)),"CC OCPU",
ISNUMBER(SEARCH("at Customer",B388)),"CC",
ISNUMBER(SEARCH("Cloud@Customer",B388)),"CC",
ISNUMBER(SEARCH("Exadata Storage",B388)),"Exa Storage",
ISNUMBER(SEARCH("Storage",B388)),"Storage",
ISNUMBER(SEARCH("Block ",B388)),"Storage",
ISNUMBER(SEARCH("Autonomous Data Warehouse",B388)),"ADW",
ISNUMBER(SEARCH("Autonomous Transaction Processing",B388)),"ATP",
ISNUMBER(SEARCH("Database Exadata",B388)),"ExaCS",
ISNUMBER(SEARCH("Database",B388)),"DBaaS",
ISNUMBER(SEARCH("Essbase",B388)),"DBaaS",
ISNUMBER(SEARCH("integration",B388)),"Integration",
ISNUMBER(SEARCH("SOA",B388)),"Integration",
ISNUMBER(SEARCH("Management Cloud",B388)),"Management",
ISNUMBER(SEARCH("Analytics",B388)),"Analytics",
ISNUMBER(SEARCH("Storage",B388)),"Storage",
ISNUMBER(SEARCH("Block ",B388)),"Storage",
ISNUMBER(SEARCH("Identity",B388)),"Platform",
ISNUMBER(SEARCH("Content",B388)),"Platform",
ISNUMBER(SEARCH("Weblogic",B388)),"Platform",
ISNUMBER(SEARCH("Digital Assistant",B388)),"Platform",
ISNUMBER(SEARCH("Limited",B388)),"Classic",
ISNUMBER(SEARCH("Classic",B388)),"Classic",
ISNUMBER(SEARCH("Government",B388)),"Government",
ISNUMBER(SEARCH("Metered",B388)),"Deprecated",
VALUE(RIGHT(A388,5))&lt;88206,"Deprecated",
TRUE,"Platform")</f>
        <v>Consulting</v>
      </c>
      <c r="L388" s="660" t="str">
        <f t="shared" si="30"/>
        <v>EA</v>
      </c>
      <c r="M388" s="660" t="str">
        <f t="shared" si="31"/>
        <v>SRV</v>
      </c>
      <c r="N388" s="660" t="str">
        <f t="shared" si="32"/>
        <v>SRV</v>
      </c>
      <c r="O388" s="659" t="str">
        <f t="shared" si="33"/>
        <v/>
      </c>
    </row>
    <row r="389" spans="1:15">
      <c r="A389" s="659" t="s">
        <v>1523</v>
      </c>
      <c r="B389" s="659" t="s">
        <v>1524</v>
      </c>
      <c r="C389" s="659">
        <v>0</v>
      </c>
      <c r="D389" s="659">
        <v>3750</v>
      </c>
      <c r="E389" s="659" t="s">
        <v>1154</v>
      </c>
      <c r="F389" s="659" t="s">
        <v>2290</v>
      </c>
      <c r="G389" s="659" t="s">
        <v>2558</v>
      </c>
      <c r="H389" s="659" t="s">
        <v>2397</v>
      </c>
      <c r="I389" s="659" t="s">
        <v>1637</v>
      </c>
      <c r="J389" s="659" t="s">
        <v>1637</v>
      </c>
      <c r="K389" s="662" t="str">
        <f t="shared" si="34"/>
        <v>Consulting</v>
      </c>
      <c r="L389" s="660" t="str">
        <f t="shared" si="30"/>
        <v>EA</v>
      </c>
      <c r="M389" s="660" t="str">
        <f t="shared" si="31"/>
        <v>SRV</v>
      </c>
      <c r="N389" s="660" t="str">
        <f t="shared" si="32"/>
        <v>SRV</v>
      </c>
      <c r="O389" s="659" t="str">
        <f t="shared" si="33"/>
        <v/>
      </c>
    </row>
    <row r="390" spans="1:15">
      <c r="A390" s="659" t="s">
        <v>1525</v>
      </c>
      <c r="B390" s="659" t="s">
        <v>1526</v>
      </c>
      <c r="C390" s="659">
        <v>0</v>
      </c>
      <c r="D390" s="659">
        <v>3750</v>
      </c>
      <c r="E390" s="659" t="s">
        <v>1154</v>
      </c>
      <c r="F390" s="659" t="s">
        <v>2290</v>
      </c>
      <c r="G390" s="659" t="s">
        <v>2558</v>
      </c>
      <c r="H390" s="659" t="s">
        <v>2397</v>
      </c>
      <c r="I390" s="659" t="s">
        <v>1637</v>
      </c>
      <c r="J390" s="659" t="s">
        <v>1637</v>
      </c>
      <c r="K390" s="662" t="str">
        <f t="shared" si="34"/>
        <v>Consulting</v>
      </c>
      <c r="L390" s="660" t="str">
        <f t="shared" si="30"/>
        <v>EA</v>
      </c>
      <c r="M390" s="660" t="str">
        <f t="shared" si="31"/>
        <v>SRV</v>
      </c>
      <c r="N390" s="660" t="str">
        <f t="shared" si="32"/>
        <v>SRV</v>
      </c>
      <c r="O390" s="659" t="str">
        <f t="shared" si="33"/>
        <v/>
      </c>
    </row>
    <row r="391" spans="1:15">
      <c r="A391" s="659" t="s">
        <v>1527</v>
      </c>
      <c r="B391" s="659" t="s">
        <v>1528</v>
      </c>
      <c r="C391" s="659">
        <v>0</v>
      </c>
      <c r="D391" s="659">
        <v>5625</v>
      </c>
      <c r="E391" s="659" t="s">
        <v>1154</v>
      </c>
      <c r="F391" s="659" t="s">
        <v>2290</v>
      </c>
      <c r="G391" s="659" t="s">
        <v>2558</v>
      </c>
      <c r="H391" s="659" t="s">
        <v>2397</v>
      </c>
      <c r="I391" s="659" t="s">
        <v>1637</v>
      </c>
      <c r="J391" s="659" t="s">
        <v>1637</v>
      </c>
      <c r="K391" s="662" t="str">
        <f t="shared" si="34"/>
        <v>Consulting</v>
      </c>
      <c r="L391" s="660" t="str">
        <f t="shared" si="30"/>
        <v>EA</v>
      </c>
      <c r="M391" s="660" t="str">
        <f t="shared" si="31"/>
        <v>SRV</v>
      </c>
      <c r="N391" s="660" t="str">
        <f t="shared" si="32"/>
        <v>SRV</v>
      </c>
      <c r="O391" s="659" t="str">
        <f t="shared" si="33"/>
        <v/>
      </c>
    </row>
    <row r="392" spans="1:15">
      <c r="A392" s="659" t="s">
        <v>1529</v>
      </c>
      <c r="B392" s="659" t="s">
        <v>1530</v>
      </c>
      <c r="C392" s="659">
        <v>0</v>
      </c>
      <c r="D392" s="659">
        <v>5625</v>
      </c>
      <c r="E392" s="659" t="s">
        <v>1154</v>
      </c>
      <c r="F392" s="659" t="s">
        <v>2290</v>
      </c>
      <c r="G392" s="659" t="s">
        <v>2558</v>
      </c>
      <c r="H392" s="659" t="s">
        <v>2397</v>
      </c>
      <c r="I392" s="659" t="s">
        <v>1637</v>
      </c>
      <c r="J392" s="659" t="s">
        <v>1637</v>
      </c>
      <c r="K392" s="662" t="str">
        <f t="shared" si="34"/>
        <v>Consulting</v>
      </c>
      <c r="L392" s="660" t="str">
        <f t="shared" si="30"/>
        <v>EA</v>
      </c>
      <c r="M392" s="660" t="str">
        <f t="shared" si="31"/>
        <v>SRV</v>
      </c>
      <c r="N392" s="660" t="str">
        <f t="shared" si="32"/>
        <v>SRV</v>
      </c>
      <c r="O392" s="659" t="str">
        <f t="shared" si="33"/>
        <v/>
      </c>
    </row>
    <row r="393" spans="1:15">
      <c r="A393" s="659" t="s">
        <v>1531</v>
      </c>
      <c r="B393" s="659" t="s">
        <v>1532</v>
      </c>
      <c r="C393" s="659">
        <v>0</v>
      </c>
      <c r="D393" s="659">
        <v>5625</v>
      </c>
      <c r="E393" s="659" t="s">
        <v>1154</v>
      </c>
      <c r="F393" s="659" t="s">
        <v>2290</v>
      </c>
      <c r="G393" s="659" t="s">
        <v>2558</v>
      </c>
      <c r="H393" s="659" t="s">
        <v>2397</v>
      </c>
      <c r="I393" s="659" t="s">
        <v>1637</v>
      </c>
      <c r="J393" s="659" t="s">
        <v>1637</v>
      </c>
      <c r="K393" s="662" t="str">
        <f t="shared" si="34"/>
        <v>Consulting</v>
      </c>
      <c r="L393" s="660" t="str">
        <f t="shared" si="30"/>
        <v>EA</v>
      </c>
      <c r="M393" s="660" t="str">
        <f t="shared" si="31"/>
        <v>SRV</v>
      </c>
      <c r="N393" s="660" t="str">
        <f t="shared" si="32"/>
        <v>SRV</v>
      </c>
      <c r="O393" s="659" t="str">
        <f t="shared" si="33"/>
        <v/>
      </c>
    </row>
    <row r="394" spans="1:15">
      <c r="A394" s="659" t="s">
        <v>1533</v>
      </c>
      <c r="B394" s="659" t="s">
        <v>1534</v>
      </c>
      <c r="C394" s="659">
        <v>0</v>
      </c>
      <c r="D394" s="659">
        <v>7500</v>
      </c>
      <c r="E394" s="659" t="s">
        <v>1154</v>
      </c>
      <c r="F394" s="659" t="s">
        <v>2290</v>
      </c>
      <c r="G394" s="659" t="s">
        <v>2558</v>
      </c>
      <c r="H394" s="659" t="s">
        <v>2397</v>
      </c>
      <c r="I394" s="659" t="s">
        <v>1637</v>
      </c>
      <c r="J394" s="659" t="s">
        <v>1637</v>
      </c>
      <c r="K394" s="662" t="str">
        <f t="shared" si="34"/>
        <v>Consulting</v>
      </c>
      <c r="L394" s="660" t="str">
        <f t="shared" si="30"/>
        <v>EA</v>
      </c>
      <c r="M394" s="660" t="str">
        <f t="shared" si="31"/>
        <v>SRV</v>
      </c>
      <c r="N394" s="660" t="str">
        <f t="shared" si="32"/>
        <v>SRV</v>
      </c>
      <c r="O394" s="659" t="str">
        <f t="shared" si="33"/>
        <v/>
      </c>
    </row>
    <row r="395" spans="1:15">
      <c r="A395" s="659" t="s">
        <v>1535</v>
      </c>
      <c r="B395" s="659" t="s">
        <v>1536</v>
      </c>
      <c r="C395" s="659">
        <v>0</v>
      </c>
      <c r="D395" s="659">
        <v>7500</v>
      </c>
      <c r="E395" s="659" t="s">
        <v>1154</v>
      </c>
      <c r="F395" s="659" t="s">
        <v>2290</v>
      </c>
      <c r="G395" s="659" t="s">
        <v>2558</v>
      </c>
      <c r="H395" s="659" t="s">
        <v>2397</v>
      </c>
      <c r="I395" s="659" t="s">
        <v>1637</v>
      </c>
      <c r="J395" s="659" t="s">
        <v>1637</v>
      </c>
      <c r="K395" s="662" t="str">
        <f t="shared" si="34"/>
        <v>Consulting</v>
      </c>
      <c r="L395" s="660" t="str">
        <f t="shared" ref="L395:L458" si="35">_xlfn.IFS(ISNUMBER(SEARCH("Hour",E395)),"HR",ISNUMBER(SEARCH("Gigabyte",E395)),"GB",ISNUMBER(SEARCH("Terabyte",E395)),"TB",ISNUMBER(SEARCH("Requests",E395)),"REQ",ISNUMBER(SEARCH("Each",E395)),"EA",ISNUMBER(SEARCH("Day",E395)),"DAY","TRUE","UNIT")</f>
        <v>EA</v>
      </c>
      <c r="M395" s="660" t="str">
        <f t="shared" ref="M395:M458" si="36">_xlfn.IFS(K395="CC","CC",K395="Consulting","SRV",F395="Y","UC0",TRUE,"UC")</f>
        <v>SRV</v>
      </c>
      <c r="N395" s="660" t="str">
        <f t="shared" ref="N395:N458" si="37">_xlfn.IFS(ISNUMBER(SEARCH("BYOL",B395)),"BYOL",K395="Storage","IAAS",K395="Compute","IAAS",K395="Network","IAAS",K395="Service","IAAS",M395="SRV","SRV",M395="CC","CC",L395="REQ","IAAS",TRUE,"PAAS")</f>
        <v>SRV</v>
      </c>
      <c r="O395" s="659" t="str">
        <f t="shared" ref="O395:O458" si="38">IF(G395=K395,"","error")</f>
        <v/>
      </c>
    </row>
    <row r="396" spans="1:15">
      <c r="A396" s="659" t="s">
        <v>1537</v>
      </c>
      <c r="B396" s="659" t="s">
        <v>1538</v>
      </c>
      <c r="C396" s="659">
        <v>0</v>
      </c>
      <c r="D396" s="659">
        <v>360</v>
      </c>
      <c r="E396" s="659" t="s">
        <v>1154</v>
      </c>
      <c r="F396" s="659" t="s">
        <v>2290</v>
      </c>
      <c r="G396" s="659" t="s">
        <v>2160</v>
      </c>
      <c r="H396" s="659" t="s">
        <v>2397</v>
      </c>
      <c r="I396" s="659" t="s">
        <v>2160</v>
      </c>
      <c r="J396" s="659" t="s">
        <v>2160</v>
      </c>
      <c r="K396" s="662" t="str">
        <f t="shared" si="34"/>
        <v>CC</v>
      </c>
      <c r="L396" s="660" t="str">
        <f t="shared" si="35"/>
        <v>EA</v>
      </c>
      <c r="M396" s="660" t="str">
        <f t="shared" si="36"/>
        <v>CC</v>
      </c>
      <c r="N396" s="660" t="str">
        <f t="shared" si="37"/>
        <v>CC</v>
      </c>
      <c r="O396" s="659" t="str">
        <f t="shared" si="38"/>
        <v/>
      </c>
    </row>
    <row r="397" spans="1:15">
      <c r="A397" s="659" t="s">
        <v>1539</v>
      </c>
      <c r="B397" s="659" t="s">
        <v>1540</v>
      </c>
      <c r="C397" s="659">
        <v>0</v>
      </c>
      <c r="D397" s="659">
        <v>360</v>
      </c>
      <c r="E397" s="659" t="s">
        <v>1154</v>
      </c>
      <c r="F397" s="659" t="s">
        <v>2290</v>
      </c>
      <c r="G397" s="659" t="s">
        <v>2160</v>
      </c>
      <c r="H397" s="659" t="s">
        <v>2397</v>
      </c>
      <c r="I397" s="659" t="s">
        <v>2160</v>
      </c>
      <c r="J397" s="659" t="s">
        <v>2160</v>
      </c>
      <c r="K397" s="662" t="str">
        <f t="shared" si="34"/>
        <v>CC</v>
      </c>
      <c r="L397" s="660" t="str">
        <f t="shared" si="35"/>
        <v>EA</v>
      </c>
      <c r="M397" s="660" t="str">
        <f t="shared" si="36"/>
        <v>CC</v>
      </c>
      <c r="N397" s="660" t="str">
        <f t="shared" si="37"/>
        <v>CC</v>
      </c>
      <c r="O397" s="659" t="str">
        <f t="shared" si="38"/>
        <v/>
      </c>
    </row>
    <row r="398" spans="1:15">
      <c r="A398" s="659" t="s">
        <v>1541</v>
      </c>
      <c r="B398" s="659" t="s">
        <v>1542</v>
      </c>
      <c r="C398" s="659">
        <v>0</v>
      </c>
      <c r="D398" s="659">
        <v>120</v>
      </c>
      <c r="E398" s="659" t="s">
        <v>1154</v>
      </c>
      <c r="F398" s="659" t="s">
        <v>2290</v>
      </c>
      <c r="G398" s="659" t="s">
        <v>2160</v>
      </c>
      <c r="H398" s="659" t="s">
        <v>2397</v>
      </c>
      <c r="I398" s="659" t="s">
        <v>2160</v>
      </c>
      <c r="J398" s="659" t="s">
        <v>2160</v>
      </c>
      <c r="K398" s="662" t="str">
        <f t="shared" si="34"/>
        <v>CC</v>
      </c>
      <c r="L398" s="660" t="str">
        <f t="shared" si="35"/>
        <v>EA</v>
      </c>
      <c r="M398" s="660" t="str">
        <f t="shared" si="36"/>
        <v>CC</v>
      </c>
      <c r="N398" s="660" t="str">
        <f t="shared" si="37"/>
        <v>CC</v>
      </c>
      <c r="O398" s="659" t="str">
        <f t="shared" si="38"/>
        <v/>
      </c>
    </row>
    <row r="399" spans="1:15">
      <c r="A399" s="659" t="s">
        <v>1543</v>
      </c>
      <c r="B399" s="659" t="s">
        <v>1544</v>
      </c>
      <c r="C399" s="659">
        <v>0</v>
      </c>
      <c r="D399" s="659">
        <v>36</v>
      </c>
      <c r="E399" s="659" t="s">
        <v>1154</v>
      </c>
      <c r="F399" s="659" t="s">
        <v>2290</v>
      </c>
      <c r="G399" s="659" t="s">
        <v>1835</v>
      </c>
      <c r="H399" s="659" t="s">
        <v>2397</v>
      </c>
      <c r="I399" s="659" t="s">
        <v>1636</v>
      </c>
      <c r="J399" s="659" t="s">
        <v>2158</v>
      </c>
      <c r="K399" s="662" t="str">
        <f t="shared" si="34"/>
        <v>Compute</v>
      </c>
      <c r="L399" s="660" t="str">
        <f t="shared" si="35"/>
        <v>EA</v>
      </c>
      <c r="M399" s="660" t="str">
        <f t="shared" si="36"/>
        <v>UC</v>
      </c>
      <c r="N399" s="660" t="str">
        <f t="shared" si="37"/>
        <v>IAAS</v>
      </c>
      <c r="O399" s="659" t="str">
        <f t="shared" si="38"/>
        <v/>
      </c>
    </row>
    <row r="400" spans="1:15">
      <c r="A400" s="659" t="s">
        <v>1545</v>
      </c>
      <c r="B400" s="659" t="s">
        <v>1546</v>
      </c>
      <c r="C400" s="659">
        <v>0</v>
      </c>
      <c r="D400" s="659">
        <v>36</v>
      </c>
      <c r="E400" s="659" t="s">
        <v>1154</v>
      </c>
      <c r="F400" s="659" t="s">
        <v>2290</v>
      </c>
      <c r="G400" s="659" t="s">
        <v>1835</v>
      </c>
      <c r="H400" s="659" t="s">
        <v>2397</v>
      </c>
      <c r="I400" s="659" t="s">
        <v>1636</v>
      </c>
      <c r="J400" s="659" t="s">
        <v>2158</v>
      </c>
      <c r="K400" s="662" t="str">
        <f t="shared" si="34"/>
        <v>Compute</v>
      </c>
      <c r="L400" s="660" t="str">
        <f t="shared" si="35"/>
        <v>EA</v>
      </c>
      <c r="M400" s="660" t="str">
        <f t="shared" si="36"/>
        <v>UC</v>
      </c>
      <c r="N400" s="660" t="str">
        <f t="shared" si="37"/>
        <v>IAAS</v>
      </c>
      <c r="O400" s="659" t="str">
        <f t="shared" si="38"/>
        <v/>
      </c>
    </row>
    <row r="401" spans="1:15">
      <c r="A401" s="659" t="s">
        <v>1547</v>
      </c>
      <c r="B401" s="659" t="s">
        <v>1548</v>
      </c>
      <c r="C401" s="659">
        <v>0</v>
      </c>
      <c r="D401" s="659">
        <v>360</v>
      </c>
      <c r="E401" s="659" t="s">
        <v>1154</v>
      </c>
      <c r="F401" s="659" t="s">
        <v>2290</v>
      </c>
      <c r="G401" s="659" t="s">
        <v>2160</v>
      </c>
      <c r="H401" s="659" t="s">
        <v>2397</v>
      </c>
      <c r="I401" s="659" t="s">
        <v>2160</v>
      </c>
      <c r="J401" s="659" t="s">
        <v>2160</v>
      </c>
      <c r="K401" s="662" t="str">
        <f t="shared" si="34"/>
        <v>CC</v>
      </c>
      <c r="L401" s="660" t="str">
        <f t="shared" si="35"/>
        <v>EA</v>
      </c>
      <c r="M401" s="660" t="str">
        <f t="shared" si="36"/>
        <v>CC</v>
      </c>
      <c r="N401" s="660" t="str">
        <f t="shared" si="37"/>
        <v>CC</v>
      </c>
      <c r="O401" s="659" t="str">
        <f t="shared" si="38"/>
        <v/>
      </c>
    </row>
    <row r="402" spans="1:15">
      <c r="A402" s="659" t="s">
        <v>1549</v>
      </c>
      <c r="B402" s="659" t="s">
        <v>1550</v>
      </c>
      <c r="C402" s="659">
        <v>0</v>
      </c>
      <c r="D402" s="659">
        <v>360</v>
      </c>
      <c r="E402" s="659" t="s">
        <v>1154</v>
      </c>
      <c r="F402" s="659" t="s">
        <v>2290</v>
      </c>
      <c r="G402" s="659" t="s">
        <v>2160</v>
      </c>
      <c r="H402" s="659" t="s">
        <v>2397</v>
      </c>
      <c r="I402" s="659" t="s">
        <v>2160</v>
      </c>
      <c r="J402" s="659" t="s">
        <v>2160</v>
      </c>
      <c r="K402" s="662" t="str">
        <f t="shared" si="34"/>
        <v>CC</v>
      </c>
      <c r="L402" s="660" t="str">
        <f t="shared" si="35"/>
        <v>EA</v>
      </c>
      <c r="M402" s="660" t="str">
        <f t="shared" si="36"/>
        <v>CC</v>
      </c>
      <c r="N402" s="660" t="str">
        <f t="shared" si="37"/>
        <v>CC</v>
      </c>
      <c r="O402" s="659" t="str">
        <f t="shared" si="38"/>
        <v/>
      </c>
    </row>
    <row r="403" spans="1:15">
      <c r="A403" s="659" t="s">
        <v>1551</v>
      </c>
      <c r="B403" s="659" t="s">
        <v>1552</v>
      </c>
      <c r="C403" s="659">
        <v>0</v>
      </c>
      <c r="D403" s="659">
        <v>120</v>
      </c>
      <c r="E403" s="659" t="s">
        <v>1154</v>
      </c>
      <c r="F403" s="659" t="s">
        <v>2290</v>
      </c>
      <c r="G403" s="659" t="s">
        <v>2160</v>
      </c>
      <c r="H403" s="659" t="s">
        <v>2397</v>
      </c>
      <c r="I403" s="659" t="s">
        <v>2160</v>
      </c>
      <c r="J403" s="659" t="s">
        <v>2160</v>
      </c>
      <c r="K403" s="662" t="str">
        <f t="shared" si="34"/>
        <v>CC</v>
      </c>
      <c r="L403" s="660" t="str">
        <f t="shared" si="35"/>
        <v>EA</v>
      </c>
      <c r="M403" s="660" t="str">
        <f t="shared" si="36"/>
        <v>CC</v>
      </c>
      <c r="N403" s="660" t="str">
        <f t="shared" si="37"/>
        <v>CC</v>
      </c>
      <c r="O403" s="659" t="str">
        <f t="shared" si="38"/>
        <v/>
      </c>
    </row>
    <row r="404" spans="1:15">
      <c r="A404" s="659" t="s">
        <v>1553</v>
      </c>
      <c r="B404" s="659" t="s">
        <v>1554</v>
      </c>
      <c r="C404" s="659">
        <v>0</v>
      </c>
      <c r="D404" s="659">
        <v>36</v>
      </c>
      <c r="E404" s="659" t="s">
        <v>1154</v>
      </c>
      <c r="F404" s="659" t="s">
        <v>2290</v>
      </c>
      <c r="G404" s="659" t="s">
        <v>1835</v>
      </c>
      <c r="H404" s="659" t="s">
        <v>2397</v>
      </c>
      <c r="I404" s="659" t="s">
        <v>1636</v>
      </c>
      <c r="J404" s="659" t="s">
        <v>2158</v>
      </c>
      <c r="K404" s="662" t="str">
        <f t="shared" si="34"/>
        <v>Compute</v>
      </c>
      <c r="L404" s="660" t="str">
        <f t="shared" si="35"/>
        <v>EA</v>
      </c>
      <c r="M404" s="660" t="str">
        <f t="shared" si="36"/>
        <v>UC</v>
      </c>
      <c r="N404" s="660" t="str">
        <f t="shared" si="37"/>
        <v>IAAS</v>
      </c>
      <c r="O404" s="659" t="str">
        <f t="shared" si="38"/>
        <v/>
      </c>
    </row>
    <row r="405" spans="1:15">
      <c r="A405" s="659" t="s">
        <v>1555</v>
      </c>
      <c r="B405" s="659" t="s">
        <v>1556</v>
      </c>
      <c r="C405" s="659">
        <v>0</v>
      </c>
      <c r="D405" s="659">
        <v>36</v>
      </c>
      <c r="E405" s="659" t="s">
        <v>1154</v>
      </c>
      <c r="F405" s="659" t="s">
        <v>2290</v>
      </c>
      <c r="G405" s="659" t="s">
        <v>1835</v>
      </c>
      <c r="H405" s="659" t="s">
        <v>2397</v>
      </c>
      <c r="I405" s="659" t="s">
        <v>1636</v>
      </c>
      <c r="J405" s="659" t="s">
        <v>2158</v>
      </c>
      <c r="K405" s="662" t="str">
        <f t="shared" si="34"/>
        <v>Compute</v>
      </c>
      <c r="L405" s="660" t="str">
        <f t="shared" si="35"/>
        <v>EA</v>
      </c>
      <c r="M405" s="660" t="str">
        <f t="shared" si="36"/>
        <v>UC</v>
      </c>
      <c r="N405" s="660" t="str">
        <f t="shared" si="37"/>
        <v>IAAS</v>
      </c>
      <c r="O405" s="659" t="str">
        <f t="shared" si="38"/>
        <v/>
      </c>
    </row>
    <row r="406" spans="1:15">
      <c r="A406" s="659" t="s">
        <v>2266</v>
      </c>
      <c r="B406" s="659" t="s">
        <v>933</v>
      </c>
      <c r="C406" s="659">
        <v>0</v>
      </c>
      <c r="D406" s="659">
        <v>1250</v>
      </c>
      <c r="E406" s="659" t="s">
        <v>2070</v>
      </c>
      <c r="F406" s="659" t="s">
        <v>2290</v>
      </c>
      <c r="G406" s="659" t="s">
        <v>2160</v>
      </c>
      <c r="H406" s="659" t="s">
        <v>2394</v>
      </c>
      <c r="I406" s="659" t="s">
        <v>2160</v>
      </c>
      <c r="J406" s="659" t="s">
        <v>2160</v>
      </c>
      <c r="K406" s="662" t="str">
        <f t="shared" si="34"/>
        <v>CC</v>
      </c>
      <c r="L406" s="660" t="str">
        <f t="shared" si="35"/>
        <v>UNIT</v>
      </c>
      <c r="M406" s="660" t="str">
        <f t="shared" si="36"/>
        <v>CC</v>
      </c>
      <c r="N406" s="660" t="str">
        <f t="shared" si="37"/>
        <v>CC</v>
      </c>
      <c r="O406" s="659" t="str">
        <f t="shared" si="38"/>
        <v/>
      </c>
    </row>
    <row r="407" spans="1:15">
      <c r="A407" s="659" t="s">
        <v>2267</v>
      </c>
      <c r="B407" s="659" t="s">
        <v>934</v>
      </c>
      <c r="C407" s="659">
        <v>0</v>
      </c>
      <c r="D407" s="659">
        <v>4.2003000000000004</v>
      </c>
      <c r="E407" s="659" t="s">
        <v>49</v>
      </c>
      <c r="F407" s="659" t="s">
        <v>2290</v>
      </c>
      <c r="G407" s="659" t="s">
        <v>2160</v>
      </c>
      <c r="H407" s="659" t="s">
        <v>2161</v>
      </c>
      <c r="I407" s="659" t="s">
        <v>2160</v>
      </c>
      <c r="J407" s="659" t="s">
        <v>2160</v>
      </c>
      <c r="K407" s="662" t="str">
        <f t="shared" si="34"/>
        <v>CC</v>
      </c>
      <c r="L407" s="660" t="str">
        <f t="shared" si="35"/>
        <v>HR</v>
      </c>
      <c r="M407" s="660" t="str">
        <f t="shared" si="36"/>
        <v>CC</v>
      </c>
      <c r="N407" s="660" t="str">
        <f t="shared" si="37"/>
        <v>CC</v>
      </c>
      <c r="O407" s="659" t="str">
        <f t="shared" si="38"/>
        <v/>
      </c>
    </row>
    <row r="408" spans="1:15">
      <c r="A408" s="659" t="s">
        <v>2239</v>
      </c>
      <c r="B408" s="659" t="s">
        <v>935</v>
      </c>
      <c r="C408" s="659">
        <v>0</v>
      </c>
      <c r="D408" s="659">
        <v>1250</v>
      </c>
      <c r="E408" s="659" t="s">
        <v>2070</v>
      </c>
      <c r="F408" s="659" t="s">
        <v>2290</v>
      </c>
      <c r="G408" s="659" t="s">
        <v>2160</v>
      </c>
      <c r="H408" s="659" t="s">
        <v>2394</v>
      </c>
      <c r="I408" s="659" t="s">
        <v>2160</v>
      </c>
      <c r="J408" s="659" t="s">
        <v>2160</v>
      </c>
      <c r="K408" s="662" t="str">
        <f t="shared" si="34"/>
        <v>CC</v>
      </c>
      <c r="L408" s="660" t="str">
        <f t="shared" si="35"/>
        <v>UNIT</v>
      </c>
      <c r="M408" s="660" t="str">
        <f t="shared" si="36"/>
        <v>CC</v>
      </c>
      <c r="N408" s="660" t="str">
        <f t="shared" si="37"/>
        <v>CC</v>
      </c>
      <c r="O408" s="659" t="str">
        <f t="shared" si="38"/>
        <v/>
      </c>
    </row>
    <row r="409" spans="1:15">
      <c r="A409" s="659" t="s">
        <v>936</v>
      </c>
      <c r="B409" s="659" t="s">
        <v>937</v>
      </c>
      <c r="C409" s="659">
        <v>0</v>
      </c>
      <c r="D409" s="659">
        <v>4.2003000000000004</v>
      </c>
      <c r="E409" s="659" t="s">
        <v>49</v>
      </c>
      <c r="F409" s="659" t="s">
        <v>2290</v>
      </c>
      <c r="G409" s="659" t="s">
        <v>2160</v>
      </c>
      <c r="H409" s="659" t="s">
        <v>2161</v>
      </c>
      <c r="I409" s="659" t="s">
        <v>2160</v>
      </c>
      <c r="J409" s="659" t="s">
        <v>2160</v>
      </c>
      <c r="K409" s="662" t="str">
        <f t="shared" si="34"/>
        <v>CC</v>
      </c>
      <c r="L409" s="660" t="str">
        <f t="shared" si="35"/>
        <v>HR</v>
      </c>
      <c r="M409" s="660" t="str">
        <f t="shared" si="36"/>
        <v>CC</v>
      </c>
      <c r="N409" s="660" t="str">
        <f t="shared" si="37"/>
        <v>CC</v>
      </c>
      <c r="O409" s="659" t="str">
        <f t="shared" si="38"/>
        <v/>
      </c>
    </row>
    <row r="410" spans="1:15">
      <c r="A410" s="659" t="s">
        <v>595</v>
      </c>
      <c r="B410" s="659" t="s">
        <v>596</v>
      </c>
      <c r="C410" s="659">
        <v>0</v>
      </c>
      <c r="D410" s="659">
        <v>7.4999999999999997E-2</v>
      </c>
      <c r="E410" s="659" t="s">
        <v>49</v>
      </c>
      <c r="F410" s="659" t="s">
        <v>2290</v>
      </c>
      <c r="G410" s="659" t="s">
        <v>1835</v>
      </c>
      <c r="H410" s="659" t="s">
        <v>2161</v>
      </c>
      <c r="I410" s="659" t="s">
        <v>1636</v>
      </c>
      <c r="J410" s="659" t="s">
        <v>2158</v>
      </c>
      <c r="K410" s="662" t="str">
        <f t="shared" si="34"/>
        <v>Compute</v>
      </c>
      <c r="L410" s="660" t="str">
        <f t="shared" si="35"/>
        <v>HR</v>
      </c>
      <c r="M410" s="660" t="str">
        <f t="shared" si="36"/>
        <v>UC</v>
      </c>
      <c r="N410" s="660" t="str">
        <f t="shared" si="37"/>
        <v>IAAS</v>
      </c>
      <c r="O410" s="659" t="str">
        <f t="shared" si="38"/>
        <v/>
      </c>
    </row>
    <row r="411" spans="1:15">
      <c r="A411" s="659" t="s">
        <v>597</v>
      </c>
      <c r="B411" s="659" t="s">
        <v>598</v>
      </c>
      <c r="C411" s="659">
        <v>0</v>
      </c>
      <c r="D411" s="659">
        <v>7.4999999999999997E-2</v>
      </c>
      <c r="E411" s="659" t="s">
        <v>49</v>
      </c>
      <c r="F411" s="659" t="s">
        <v>2290</v>
      </c>
      <c r="G411" s="659" t="s">
        <v>1835</v>
      </c>
      <c r="H411" s="659" t="s">
        <v>2161</v>
      </c>
      <c r="I411" s="659" t="s">
        <v>1636</v>
      </c>
      <c r="J411" s="659" t="s">
        <v>2158</v>
      </c>
      <c r="K411" s="662" t="str">
        <f t="shared" si="34"/>
        <v>Compute</v>
      </c>
      <c r="L411" s="660" t="str">
        <f t="shared" si="35"/>
        <v>HR</v>
      </c>
      <c r="M411" s="660" t="str">
        <f t="shared" si="36"/>
        <v>UC</v>
      </c>
      <c r="N411" s="660" t="str">
        <f t="shared" si="37"/>
        <v>IAAS</v>
      </c>
      <c r="O411" s="659" t="str">
        <f t="shared" si="38"/>
        <v/>
      </c>
    </row>
    <row r="412" spans="1:15">
      <c r="A412" s="659" t="s">
        <v>599</v>
      </c>
      <c r="B412" s="659" t="s">
        <v>600</v>
      </c>
      <c r="C412" s="659">
        <v>0</v>
      </c>
      <c r="D412" s="659">
        <v>0.15</v>
      </c>
      <c r="E412" s="659" t="s">
        <v>49</v>
      </c>
      <c r="F412" s="659" t="s">
        <v>2290</v>
      </c>
      <c r="G412" s="659" t="s">
        <v>1835</v>
      </c>
      <c r="H412" s="659" t="s">
        <v>2161</v>
      </c>
      <c r="I412" s="659" t="s">
        <v>1636</v>
      </c>
      <c r="J412" s="659" t="s">
        <v>2158</v>
      </c>
      <c r="K412" s="662" t="str">
        <f t="shared" si="34"/>
        <v>Compute</v>
      </c>
      <c r="L412" s="660" t="str">
        <f t="shared" si="35"/>
        <v>HR</v>
      </c>
      <c r="M412" s="660" t="str">
        <f t="shared" si="36"/>
        <v>UC</v>
      </c>
      <c r="N412" s="660" t="str">
        <f t="shared" si="37"/>
        <v>IAAS</v>
      </c>
      <c r="O412" s="659" t="str">
        <f t="shared" si="38"/>
        <v/>
      </c>
    </row>
    <row r="413" spans="1:15">
      <c r="A413" s="659" t="s">
        <v>601</v>
      </c>
      <c r="B413" s="659" t="s">
        <v>602</v>
      </c>
      <c r="C413" s="659">
        <v>0</v>
      </c>
      <c r="D413" s="659">
        <v>0.15</v>
      </c>
      <c r="E413" s="659" t="s">
        <v>49</v>
      </c>
      <c r="F413" s="659" t="s">
        <v>2290</v>
      </c>
      <c r="G413" s="659" t="s">
        <v>1835</v>
      </c>
      <c r="H413" s="659" t="s">
        <v>2161</v>
      </c>
      <c r="I413" s="659" t="s">
        <v>1636</v>
      </c>
      <c r="J413" s="659" t="s">
        <v>2158</v>
      </c>
      <c r="K413" s="662" t="str">
        <f t="shared" si="34"/>
        <v>Compute</v>
      </c>
      <c r="L413" s="660" t="str">
        <f t="shared" si="35"/>
        <v>HR</v>
      </c>
      <c r="M413" s="660" t="str">
        <f t="shared" si="36"/>
        <v>UC</v>
      </c>
      <c r="N413" s="660" t="str">
        <f t="shared" si="37"/>
        <v>IAAS</v>
      </c>
      <c r="O413" s="659" t="str">
        <f t="shared" si="38"/>
        <v/>
      </c>
    </row>
    <row r="414" spans="1:15">
      <c r="A414" s="659" t="s">
        <v>603</v>
      </c>
      <c r="B414" s="659" t="s">
        <v>604</v>
      </c>
      <c r="C414" s="659">
        <v>0</v>
      </c>
      <c r="D414" s="659">
        <v>1.5</v>
      </c>
      <c r="E414" s="659" t="s">
        <v>2191</v>
      </c>
      <c r="F414" s="659" t="s">
        <v>2290</v>
      </c>
      <c r="G414" s="659" t="s">
        <v>1835</v>
      </c>
      <c r="H414" s="659" t="s">
        <v>2161</v>
      </c>
      <c r="I414" s="659" t="s">
        <v>1636</v>
      </c>
      <c r="J414" s="659" t="s">
        <v>2158</v>
      </c>
      <c r="K414" s="662" t="str">
        <f t="shared" si="34"/>
        <v>Compute</v>
      </c>
      <c r="L414" s="660" t="str">
        <f t="shared" si="35"/>
        <v>HR</v>
      </c>
      <c r="M414" s="660" t="str">
        <f t="shared" si="36"/>
        <v>UC</v>
      </c>
      <c r="N414" s="660" t="str">
        <f t="shared" si="37"/>
        <v>IAAS</v>
      </c>
      <c r="O414" s="659" t="str">
        <f t="shared" si="38"/>
        <v/>
      </c>
    </row>
    <row r="415" spans="1:15">
      <c r="A415" s="659" t="s">
        <v>605</v>
      </c>
      <c r="B415" s="659" t="s">
        <v>606</v>
      </c>
      <c r="C415" s="659">
        <v>0</v>
      </c>
      <c r="D415" s="659">
        <v>1</v>
      </c>
      <c r="E415" s="659" t="s">
        <v>2201</v>
      </c>
      <c r="F415" s="659" t="s">
        <v>2290</v>
      </c>
      <c r="G415" s="659" t="s">
        <v>2393</v>
      </c>
      <c r="H415" s="659" t="s">
        <v>2394</v>
      </c>
      <c r="I415" s="659" t="s">
        <v>1636</v>
      </c>
      <c r="J415" s="659" t="s">
        <v>2159</v>
      </c>
      <c r="K415" s="662" t="str">
        <f t="shared" si="34"/>
        <v>Deprecated</v>
      </c>
      <c r="L415" s="660" t="str">
        <f t="shared" si="35"/>
        <v>UNIT</v>
      </c>
      <c r="M415" s="660" t="str">
        <f t="shared" si="36"/>
        <v>UC</v>
      </c>
      <c r="N415" s="660" t="str">
        <f t="shared" si="37"/>
        <v>PAAS</v>
      </c>
      <c r="O415" s="659" t="str">
        <f t="shared" si="38"/>
        <v/>
      </c>
    </row>
    <row r="416" spans="1:15" ht="16">
      <c r="A416" s="661" t="s">
        <v>607</v>
      </c>
      <c r="B416" s="659" t="s">
        <v>608</v>
      </c>
      <c r="C416" s="659">
        <v>0</v>
      </c>
      <c r="D416" s="659">
        <v>0.1</v>
      </c>
      <c r="E416" s="659" t="s">
        <v>2200</v>
      </c>
      <c r="F416" s="659" t="s">
        <v>2290</v>
      </c>
      <c r="G416" s="659" t="s">
        <v>2393</v>
      </c>
      <c r="H416" s="659" t="s">
        <v>2394</v>
      </c>
      <c r="I416" s="659" t="s">
        <v>1636</v>
      </c>
      <c r="J416" s="659" t="s">
        <v>2159</v>
      </c>
      <c r="K416" s="662" t="str">
        <f t="shared" si="34"/>
        <v>Deprecated</v>
      </c>
      <c r="L416" s="660" t="str">
        <f t="shared" si="35"/>
        <v>UNIT</v>
      </c>
      <c r="M416" s="660" t="str">
        <f t="shared" si="36"/>
        <v>UC</v>
      </c>
      <c r="N416" s="660" t="str">
        <f t="shared" si="37"/>
        <v>PAAS</v>
      </c>
      <c r="O416" s="659" t="str">
        <f t="shared" si="38"/>
        <v/>
      </c>
    </row>
    <row r="417" spans="1:15" ht="16">
      <c r="A417" s="661" t="s">
        <v>609</v>
      </c>
      <c r="B417" s="659" t="s">
        <v>610</v>
      </c>
      <c r="C417" s="659">
        <v>0</v>
      </c>
      <c r="D417" s="659">
        <v>3.0000000000000001E-3</v>
      </c>
      <c r="E417" s="659" t="s">
        <v>2175</v>
      </c>
      <c r="F417" s="659" t="s">
        <v>2290</v>
      </c>
      <c r="G417" s="659" t="s">
        <v>1840</v>
      </c>
      <c r="H417" s="659" t="s">
        <v>2162</v>
      </c>
      <c r="I417" s="659" t="s">
        <v>1636</v>
      </c>
      <c r="J417" s="659" t="s">
        <v>2158</v>
      </c>
      <c r="K417" s="662" t="str">
        <f t="shared" si="34"/>
        <v>Storage</v>
      </c>
      <c r="L417" s="660" t="str">
        <f t="shared" si="35"/>
        <v>GB</v>
      </c>
      <c r="M417" s="660" t="str">
        <f t="shared" si="36"/>
        <v>UC</v>
      </c>
      <c r="N417" s="660" t="str">
        <f t="shared" si="37"/>
        <v>IAAS</v>
      </c>
      <c r="O417" s="659" t="str">
        <f t="shared" si="38"/>
        <v/>
      </c>
    </row>
    <row r="418" spans="1:15" ht="16">
      <c r="A418" s="661" t="s">
        <v>1017</v>
      </c>
      <c r="B418" s="659" t="s">
        <v>1911</v>
      </c>
      <c r="C418" s="659">
        <v>0.67210000000000003</v>
      </c>
      <c r="D418" s="659">
        <v>0.67210000000000003</v>
      </c>
      <c r="E418" s="659" t="s">
        <v>2206</v>
      </c>
      <c r="F418" s="659" t="s">
        <v>2290</v>
      </c>
      <c r="G418" s="659" t="s">
        <v>2575</v>
      </c>
      <c r="H418" s="659" t="s">
        <v>2161</v>
      </c>
      <c r="I418" s="659" t="s">
        <v>1636</v>
      </c>
      <c r="J418" s="659" t="s">
        <v>2159</v>
      </c>
      <c r="K418" s="662" t="str">
        <f t="shared" si="34"/>
        <v>Management</v>
      </c>
      <c r="L418" s="660" t="str">
        <f t="shared" si="35"/>
        <v>HR</v>
      </c>
      <c r="M418" s="660" t="str">
        <f t="shared" si="36"/>
        <v>UC</v>
      </c>
      <c r="N418" s="660" t="str">
        <f t="shared" si="37"/>
        <v>PAAS</v>
      </c>
      <c r="O418" s="659" t="str">
        <f t="shared" si="38"/>
        <v/>
      </c>
    </row>
    <row r="419" spans="1:15">
      <c r="A419" s="659" t="s">
        <v>1018</v>
      </c>
      <c r="B419" s="659" t="s">
        <v>1912</v>
      </c>
      <c r="C419" s="659">
        <v>1.3441000000000001</v>
      </c>
      <c r="D419" s="659">
        <v>1.3441000000000001</v>
      </c>
      <c r="E419" s="659" t="s">
        <v>2206</v>
      </c>
      <c r="F419" s="659" t="s">
        <v>2290</v>
      </c>
      <c r="G419" s="659" t="s">
        <v>2575</v>
      </c>
      <c r="H419" s="659" t="s">
        <v>2161</v>
      </c>
      <c r="I419" s="659" t="s">
        <v>1636</v>
      </c>
      <c r="J419" s="659" t="s">
        <v>2159</v>
      </c>
      <c r="K419" s="662" t="str">
        <f t="shared" si="34"/>
        <v>Management</v>
      </c>
      <c r="L419" s="660" t="str">
        <f t="shared" si="35"/>
        <v>HR</v>
      </c>
      <c r="M419" s="660" t="str">
        <f t="shared" si="36"/>
        <v>UC</v>
      </c>
      <c r="N419" s="660" t="str">
        <f t="shared" si="37"/>
        <v>PAAS</v>
      </c>
      <c r="O419" s="659" t="str">
        <f t="shared" si="38"/>
        <v/>
      </c>
    </row>
    <row r="420" spans="1:15">
      <c r="A420" s="659" t="s">
        <v>1019</v>
      </c>
      <c r="B420" s="659" t="s">
        <v>1913</v>
      </c>
      <c r="C420" s="659">
        <v>0.3226</v>
      </c>
      <c r="D420" s="659">
        <v>0.3226</v>
      </c>
      <c r="E420" s="659" t="s">
        <v>2207</v>
      </c>
      <c r="F420" s="659" t="s">
        <v>2290</v>
      </c>
      <c r="G420" s="659" t="s">
        <v>2575</v>
      </c>
      <c r="H420" s="659" t="s">
        <v>2161</v>
      </c>
      <c r="I420" s="659" t="s">
        <v>1636</v>
      </c>
      <c r="J420" s="659" t="s">
        <v>2159</v>
      </c>
      <c r="K420" s="662" t="str">
        <f t="shared" si="34"/>
        <v>Management</v>
      </c>
      <c r="L420" s="660" t="str">
        <f t="shared" si="35"/>
        <v>HR</v>
      </c>
      <c r="M420" s="660" t="str">
        <f t="shared" si="36"/>
        <v>UC</v>
      </c>
      <c r="N420" s="660" t="str">
        <f t="shared" si="37"/>
        <v>PAAS</v>
      </c>
      <c r="O420" s="659" t="str">
        <f t="shared" si="38"/>
        <v/>
      </c>
    </row>
    <row r="421" spans="1:15">
      <c r="A421" s="659" t="s">
        <v>1645</v>
      </c>
      <c r="B421" s="659" t="s">
        <v>1646</v>
      </c>
      <c r="C421" s="659">
        <v>6500</v>
      </c>
      <c r="D421" s="659">
        <v>8450</v>
      </c>
      <c r="E421" s="659">
        <v>0</v>
      </c>
      <c r="F421" s="659" t="s">
        <v>2290</v>
      </c>
      <c r="G421" s="659" t="s">
        <v>2558</v>
      </c>
      <c r="H421" s="659" t="s">
        <v>2394</v>
      </c>
      <c r="I421" s="659" t="s">
        <v>1637</v>
      </c>
      <c r="J421" s="659" t="s">
        <v>1637</v>
      </c>
      <c r="K421" s="662" t="str">
        <f t="shared" si="34"/>
        <v>Consulting</v>
      </c>
      <c r="L421" s="660" t="str">
        <f t="shared" si="35"/>
        <v>UNIT</v>
      </c>
      <c r="M421" s="660" t="str">
        <f t="shared" si="36"/>
        <v>SRV</v>
      </c>
      <c r="N421" s="660" t="str">
        <f t="shared" si="37"/>
        <v>SRV</v>
      </c>
      <c r="O421" s="659" t="str">
        <f t="shared" si="38"/>
        <v/>
      </c>
    </row>
    <row r="422" spans="1:15">
      <c r="A422" s="659" t="s">
        <v>1020</v>
      </c>
      <c r="B422" s="659" t="s">
        <v>1021</v>
      </c>
      <c r="C422" s="659">
        <v>0</v>
      </c>
      <c r="D422" s="659">
        <v>0.05</v>
      </c>
      <c r="E422" s="659" t="s">
        <v>2175</v>
      </c>
      <c r="F422" s="659" t="s">
        <v>2290</v>
      </c>
      <c r="G422" s="659" t="s">
        <v>1840</v>
      </c>
      <c r="H422" s="659" t="s">
        <v>2162</v>
      </c>
      <c r="I422" s="659" t="s">
        <v>1636</v>
      </c>
      <c r="J422" s="659" t="s">
        <v>2158</v>
      </c>
      <c r="K422" s="662" t="str">
        <f t="shared" si="34"/>
        <v>Storage</v>
      </c>
      <c r="L422" s="660" t="str">
        <f t="shared" si="35"/>
        <v>GB</v>
      </c>
      <c r="M422" s="660" t="str">
        <f t="shared" si="36"/>
        <v>UC</v>
      </c>
      <c r="N422" s="660" t="str">
        <f t="shared" si="37"/>
        <v>IAAS</v>
      </c>
      <c r="O422" s="659" t="str">
        <f t="shared" si="38"/>
        <v/>
      </c>
    </row>
    <row r="423" spans="1:15">
      <c r="A423" s="659" t="s">
        <v>1647</v>
      </c>
      <c r="B423" s="659" t="s">
        <v>1648</v>
      </c>
      <c r="C423" s="659">
        <v>6500</v>
      </c>
      <c r="D423" s="659">
        <v>8450</v>
      </c>
      <c r="E423" s="659">
        <v>0</v>
      </c>
      <c r="F423" s="659" t="s">
        <v>2290</v>
      </c>
      <c r="G423" s="659" t="s">
        <v>2558</v>
      </c>
      <c r="H423" s="659" t="s">
        <v>2394</v>
      </c>
      <c r="I423" s="659" t="s">
        <v>1637</v>
      </c>
      <c r="J423" s="659" t="s">
        <v>1637</v>
      </c>
      <c r="K423" s="662" t="str">
        <f t="shared" si="34"/>
        <v>Consulting</v>
      </c>
      <c r="L423" s="660" t="str">
        <f t="shared" si="35"/>
        <v>UNIT</v>
      </c>
      <c r="M423" s="660" t="str">
        <f t="shared" si="36"/>
        <v>SRV</v>
      </c>
      <c r="N423" s="660" t="str">
        <f t="shared" si="37"/>
        <v>SRV</v>
      </c>
      <c r="O423" s="659" t="str">
        <f t="shared" si="38"/>
        <v/>
      </c>
    </row>
    <row r="424" spans="1:15">
      <c r="A424" s="659" t="s">
        <v>1649</v>
      </c>
      <c r="B424" s="659" t="s">
        <v>1650</v>
      </c>
      <c r="C424" s="659">
        <v>13000</v>
      </c>
      <c r="D424" s="659">
        <v>16900</v>
      </c>
      <c r="E424" s="659">
        <v>0</v>
      </c>
      <c r="F424" s="659" t="s">
        <v>2290</v>
      </c>
      <c r="G424" s="659" t="s">
        <v>2558</v>
      </c>
      <c r="H424" s="659" t="s">
        <v>2394</v>
      </c>
      <c r="I424" s="659" t="s">
        <v>1637</v>
      </c>
      <c r="J424" s="659" t="s">
        <v>1637</v>
      </c>
      <c r="K424" s="662" t="str">
        <f t="shared" si="34"/>
        <v>Consulting</v>
      </c>
      <c r="L424" s="660" t="str">
        <f t="shared" si="35"/>
        <v>UNIT</v>
      </c>
      <c r="M424" s="660" t="str">
        <f t="shared" si="36"/>
        <v>SRV</v>
      </c>
      <c r="N424" s="660" t="str">
        <f t="shared" si="37"/>
        <v>SRV</v>
      </c>
      <c r="O424" s="659" t="str">
        <f t="shared" si="38"/>
        <v/>
      </c>
    </row>
    <row r="425" spans="1:15">
      <c r="A425" s="659" t="s">
        <v>1651</v>
      </c>
      <c r="B425" s="659" t="s">
        <v>1652</v>
      </c>
      <c r="C425" s="659">
        <v>6500</v>
      </c>
      <c r="D425" s="659">
        <v>8450</v>
      </c>
      <c r="E425" s="659">
        <v>0</v>
      </c>
      <c r="F425" s="659" t="s">
        <v>2290</v>
      </c>
      <c r="G425" s="659" t="s">
        <v>2558</v>
      </c>
      <c r="H425" s="659" t="s">
        <v>2394</v>
      </c>
      <c r="I425" s="659" t="s">
        <v>1637</v>
      </c>
      <c r="J425" s="659" t="s">
        <v>1637</v>
      </c>
      <c r="K425" s="662" t="str">
        <f t="shared" si="34"/>
        <v>Consulting</v>
      </c>
      <c r="L425" s="660" t="str">
        <f t="shared" si="35"/>
        <v>UNIT</v>
      </c>
      <c r="M425" s="660" t="str">
        <f t="shared" si="36"/>
        <v>SRV</v>
      </c>
      <c r="N425" s="660" t="str">
        <f t="shared" si="37"/>
        <v>SRV</v>
      </c>
      <c r="O425" s="659" t="str">
        <f t="shared" si="38"/>
        <v/>
      </c>
    </row>
    <row r="426" spans="1:15">
      <c r="A426" s="659" t="s">
        <v>1653</v>
      </c>
      <c r="B426" s="659" t="s">
        <v>1654</v>
      </c>
      <c r="C426" s="659">
        <v>20000</v>
      </c>
      <c r="D426" s="659">
        <v>26000</v>
      </c>
      <c r="E426" s="659">
        <v>0</v>
      </c>
      <c r="F426" s="659" t="s">
        <v>2290</v>
      </c>
      <c r="G426" s="659" t="s">
        <v>2558</v>
      </c>
      <c r="H426" s="659" t="s">
        <v>2394</v>
      </c>
      <c r="I426" s="659" t="s">
        <v>1637</v>
      </c>
      <c r="J426" s="659" t="s">
        <v>1637</v>
      </c>
      <c r="K426" s="662" t="str">
        <f t="shared" si="34"/>
        <v>Consulting</v>
      </c>
      <c r="L426" s="660" t="str">
        <f t="shared" si="35"/>
        <v>UNIT</v>
      </c>
      <c r="M426" s="660" t="str">
        <f t="shared" si="36"/>
        <v>SRV</v>
      </c>
      <c r="N426" s="660" t="str">
        <f t="shared" si="37"/>
        <v>SRV</v>
      </c>
      <c r="O426" s="659" t="str">
        <f t="shared" si="38"/>
        <v/>
      </c>
    </row>
    <row r="427" spans="1:15">
      <c r="A427" s="659" t="s">
        <v>1655</v>
      </c>
      <c r="B427" s="659" t="s">
        <v>1656</v>
      </c>
      <c r="C427" s="659">
        <v>13000</v>
      </c>
      <c r="D427" s="659">
        <v>16900</v>
      </c>
      <c r="E427" s="659">
        <v>0</v>
      </c>
      <c r="F427" s="659" t="s">
        <v>2290</v>
      </c>
      <c r="G427" s="659" t="s">
        <v>2558</v>
      </c>
      <c r="H427" s="659" t="s">
        <v>2394</v>
      </c>
      <c r="I427" s="659" t="s">
        <v>1637</v>
      </c>
      <c r="J427" s="659" t="s">
        <v>1637</v>
      </c>
      <c r="K427" s="662" t="str">
        <f t="shared" si="34"/>
        <v>Consulting</v>
      </c>
      <c r="L427" s="660" t="str">
        <f t="shared" si="35"/>
        <v>UNIT</v>
      </c>
      <c r="M427" s="660" t="str">
        <f t="shared" si="36"/>
        <v>SRV</v>
      </c>
      <c r="N427" s="660" t="str">
        <f t="shared" si="37"/>
        <v>SRV</v>
      </c>
      <c r="O427" s="659" t="str">
        <f t="shared" si="38"/>
        <v/>
      </c>
    </row>
    <row r="428" spans="1:15">
      <c r="A428" s="659" t="s">
        <v>1657</v>
      </c>
      <c r="B428" s="659" t="s">
        <v>1658</v>
      </c>
      <c r="C428" s="659">
        <v>14000</v>
      </c>
      <c r="D428" s="659">
        <v>18200</v>
      </c>
      <c r="E428" s="659">
        <v>0</v>
      </c>
      <c r="F428" s="659" t="s">
        <v>2290</v>
      </c>
      <c r="G428" s="659" t="s">
        <v>2558</v>
      </c>
      <c r="H428" s="659" t="s">
        <v>2394</v>
      </c>
      <c r="I428" s="659" t="s">
        <v>1637</v>
      </c>
      <c r="J428" s="659" t="s">
        <v>1637</v>
      </c>
      <c r="K428" s="662" t="str">
        <f t="shared" si="34"/>
        <v>Consulting</v>
      </c>
      <c r="L428" s="660" t="str">
        <f t="shared" si="35"/>
        <v>UNIT</v>
      </c>
      <c r="M428" s="660" t="str">
        <f t="shared" si="36"/>
        <v>SRV</v>
      </c>
      <c r="N428" s="660" t="str">
        <f t="shared" si="37"/>
        <v>SRV</v>
      </c>
      <c r="O428" s="659" t="str">
        <f t="shared" si="38"/>
        <v/>
      </c>
    </row>
    <row r="429" spans="1:15">
      <c r="A429" s="659" t="s">
        <v>1659</v>
      </c>
      <c r="B429" s="659" t="s">
        <v>1660</v>
      </c>
      <c r="C429" s="659">
        <v>50000</v>
      </c>
      <c r="D429" s="659">
        <v>65000</v>
      </c>
      <c r="E429" s="659">
        <v>0</v>
      </c>
      <c r="F429" s="659" t="s">
        <v>2290</v>
      </c>
      <c r="G429" s="659" t="s">
        <v>2558</v>
      </c>
      <c r="H429" s="659" t="s">
        <v>2394</v>
      </c>
      <c r="I429" s="659" t="s">
        <v>1637</v>
      </c>
      <c r="J429" s="659" t="s">
        <v>1637</v>
      </c>
      <c r="K429" s="662" t="str">
        <f t="shared" si="34"/>
        <v>Consulting</v>
      </c>
      <c r="L429" s="660" t="str">
        <f t="shared" si="35"/>
        <v>UNIT</v>
      </c>
      <c r="M429" s="660" t="str">
        <f t="shared" si="36"/>
        <v>SRV</v>
      </c>
      <c r="N429" s="660" t="str">
        <f t="shared" si="37"/>
        <v>SRV</v>
      </c>
      <c r="O429" s="659" t="str">
        <f t="shared" si="38"/>
        <v/>
      </c>
    </row>
    <row r="430" spans="1:15">
      <c r="A430" s="659" t="s">
        <v>981</v>
      </c>
      <c r="B430" s="659" t="s">
        <v>1022</v>
      </c>
      <c r="C430" s="659">
        <v>0</v>
      </c>
      <c r="D430" s="659">
        <v>6.3750000000000001E-2</v>
      </c>
      <c r="E430" s="659" t="s">
        <v>49</v>
      </c>
      <c r="F430" s="659" t="s">
        <v>2290</v>
      </c>
      <c r="G430" s="659" t="s">
        <v>1835</v>
      </c>
      <c r="H430" s="659" t="s">
        <v>2161</v>
      </c>
      <c r="I430" s="659" t="s">
        <v>1636</v>
      </c>
      <c r="J430" s="659" t="s">
        <v>2158</v>
      </c>
      <c r="K430" s="662" t="str">
        <f t="shared" si="34"/>
        <v>Compute</v>
      </c>
      <c r="L430" s="660" t="str">
        <f t="shared" si="35"/>
        <v>HR</v>
      </c>
      <c r="M430" s="660" t="str">
        <f t="shared" si="36"/>
        <v>UC</v>
      </c>
      <c r="N430" s="660" t="str">
        <f t="shared" si="37"/>
        <v>IAAS</v>
      </c>
      <c r="O430" s="659" t="str">
        <f t="shared" si="38"/>
        <v/>
      </c>
    </row>
    <row r="431" spans="1:15">
      <c r="A431" s="659" t="s">
        <v>982</v>
      </c>
      <c r="B431" s="659" t="s">
        <v>1023</v>
      </c>
      <c r="C431" s="659">
        <v>0</v>
      </c>
      <c r="D431" s="659">
        <v>6.3750000000000001E-2</v>
      </c>
      <c r="E431" s="659" t="s">
        <v>49</v>
      </c>
      <c r="F431" s="659" t="s">
        <v>2290</v>
      </c>
      <c r="G431" s="659" t="s">
        <v>1835</v>
      </c>
      <c r="H431" s="659" t="s">
        <v>2161</v>
      </c>
      <c r="I431" s="659" t="s">
        <v>1636</v>
      </c>
      <c r="J431" s="659" t="s">
        <v>2158</v>
      </c>
      <c r="K431" s="662" t="str">
        <f t="shared" si="34"/>
        <v>Compute</v>
      </c>
      <c r="L431" s="660" t="str">
        <f t="shared" si="35"/>
        <v>HR</v>
      </c>
      <c r="M431" s="660" t="str">
        <f t="shared" si="36"/>
        <v>UC</v>
      </c>
      <c r="N431" s="660" t="str">
        <f t="shared" si="37"/>
        <v>IAAS</v>
      </c>
      <c r="O431" s="659" t="str">
        <f t="shared" si="38"/>
        <v/>
      </c>
    </row>
    <row r="432" spans="1:15">
      <c r="A432" s="659" t="s">
        <v>983</v>
      </c>
      <c r="B432" s="659" t="s">
        <v>1024</v>
      </c>
      <c r="C432" s="659">
        <v>0</v>
      </c>
      <c r="D432" s="659">
        <v>0.1275</v>
      </c>
      <c r="E432" s="659" t="s">
        <v>49</v>
      </c>
      <c r="F432" s="659" t="s">
        <v>2290</v>
      </c>
      <c r="G432" s="659" t="s">
        <v>1835</v>
      </c>
      <c r="H432" s="659" t="s">
        <v>2161</v>
      </c>
      <c r="I432" s="659" t="s">
        <v>1636</v>
      </c>
      <c r="J432" s="659" t="s">
        <v>2158</v>
      </c>
      <c r="K432" s="662" t="str">
        <f t="shared" si="34"/>
        <v>Compute</v>
      </c>
      <c r="L432" s="660" t="str">
        <f t="shared" si="35"/>
        <v>HR</v>
      </c>
      <c r="M432" s="660" t="str">
        <f t="shared" si="36"/>
        <v>UC</v>
      </c>
      <c r="N432" s="660" t="str">
        <f t="shared" si="37"/>
        <v>IAAS</v>
      </c>
      <c r="O432" s="659" t="str">
        <f t="shared" si="38"/>
        <v/>
      </c>
    </row>
    <row r="433" spans="1:15">
      <c r="A433" s="659" t="s">
        <v>984</v>
      </c>
      <c r="B433" s="659" t="s">
        <v>1025</v>
      </c>
      <c r="C433" s="659">
        <v>0</v>
      </c>
      <c r="D433" s="659">
        <v>0.1275</v>
      </c>
      <c r="E433" s="659" t="s">
        <v>49</v>
      </c>
      <c r="F433" s="659" t="s">
        <v>2290</v>
      </c>
      <c r="G433" s="659" t="s">
        <v>1835</v>
      </c>
      <c r="H433" s="659" t="s">
        <v>2161</v>
      </c>
      <c r="I433" s="659" t="s">
        <v>1636</v>
      </c>
      <c r="J433" s="659" t="s">
        <v>2158</v>
      </c>
      <c r="K433" s="662" t="str">
        <f t="shared" si="34"/>
        <v>Compute</v>
      </c>
      <c r="L433" s="660" t="str">
        <f t="shared" si="35"/>
        <v>HR</v>
      </c>
      <c r="M433" s="660" t="str">
        <f t="shared" si="36"/>
        <v>UC</v>
      </c>
      <c r="N433" s="660" t="str">
        <f t="shared" si="37"/>
        <v>IAAS</v>
      </c>
      <c r="O433" s="659" t="str">
        <f t="shared" si="38"/>
        <v/>
      </c>
    </row>
    <row r="434" spans="1:15">
      <c r="A434" s="659" t="s">
        <v>985</v>
      </c>
      <c r="B434" s="659" t="s">
        <v>1026</v>
      </c>
      <c r="C434" s="659">
        <v>0</v>
      </c>
      <c r="D434" s="659">
        <v>1.2749999999999999</v>
      </c>
      <c r="E434" s="659" t="s">
        <v>2191</v>
      </c>
      <c r="F434" s="659" t="s">
        <v>2290</v>
      </c>
      <c r="G434" s="659" t="s">
        <v>1835</v>
      </c>
      <c r="H434" s="659" t="s">
        <v>2161</v>
      </c>
      <c r="I434" s="659" t="s">
        <v>1636</v>
      </c>
      <c r="J434" s="659" t="s">
        <v>2158</v>
      </c>
      <c r="K434" s="662" t="str">
        <f t="shared" si="34"/>
        <v>Compute</v>
      </c>
      <c r="L434" s="660" t="str">
        <f t="shared" si="35"/>
        <v>HR</v>
      </c>
      <c r="M434" s="660" t="str">
        <f t="shared" si="36"/>
        <v>UC</v>
      </c>
      <c r="N434" s="660" t="str">
        <f t="shared" si="37"/>
        <v>IAAS</v>
      </c>
      <c r="O434" s="659" t="str">
        <f t="shared" si="38"/>
        <v/>
      </c>
    </row>
    <row r="435" spans="1:15">
      <c r="A435" s="659" t="s">
        <v>986</v>
      </c>
      <c r="B435" s="659" t="s">
        <v>1027</v>
      </c>
      <c r="C435" s="659">
        <v>0</v>
      </c>
      <c r="D435" s="659">
        <v>9.1999999999999998E-2</v>
      </c>
      <c r="E435" s="659" t="s">
        <v>49</v>
      </c>
      <c r="F435" s="659" t="s">
        <v>2290</v>
      </c>
      <c r="G435" s="659" t="s">
        <v>1835</v>
      </c>
      <c r="H435" s="659" t="s">
        <v>2161</v>
      </c>
      <c r="I435" s="659" t="s">
        <v>1636</v>
      </c>
      <c r="J435" s="659" t="s">
        <v>2158</v>
      </c>
      <c r="K435" s="662" t="str">
        <f t="shared" si="34"/>
        <v>Compute</v>
      </c>
      <c r="L435" s="660" t="str">
        <f t="shared" si="35"/>
        <v>HR</v>
      </c>
      <c r="M435" s="660" t="str">
        <f t="shared" si="36"/>
        <v>UC</v>
      </c>
      <c r="N435" s="660" t="str">
        <f t="shared" si="37"/>
        <v>IAAS</v>
      </c>
      <c r="O435" s="659" t="str">
        <f t="shared" si="38"/>
        <v/>
      </c>
    </row>
    <row r="436" spans="1:15">
      <c r="A436" s="659" t="s">
        <v>990</v>
      </c>
      <c r="B436" s="659" t="s">
        <v>1031</v>
      </c>
      <c r="C436" s="659">
        <v>0</v>
      </c>
      <c r="D436" s="659">
        <v>0.21249999999999999</v>
      </c>
      <c r="E436" s="659" t="s">
        <v>2193</v>
      </c>
      <c r="F436" s="659" t="s">
        <v>2290</v>
      </c>
      <c r="G436" s="659" t="s">
        <v>2313</v>
      </c>
      <c r="H436" s="659" t="s">
        <v>2161</v>
      </c>
      <c r="I436" s="659" t="s">
        <v>1636</v>
      </c>
      <c r="J436" s="659" t="s">
        <v>2158</v>
      </c>
      <c r="K436" s="662" t="str">
        <f t="shared" si="34"/>
        <v>Network</v>
      </c>
      <c r="L436" s="660" t="str">
        <f t="shared" si="35"/>
        <v>HR</v>
      </c>
      <c r="M436" s="660" t="str">
        <f t="shared" si="36"/>
        <v>UC</v>
      </c>
      <c r="N436" s="660" t="str">
        <f t="shared" si="37"/>
        <v>IAAS</v>
      </c>
      <c r="O436" s="659" t="str">
        <f t="shared" si="38"/>
        <v/>
      </c>
    </row>
    <row r="437" spans="1:15">
      <c r="A437" s="659" t="s">
        <v>991</v>
      </c>
      <c r="B437" s="659" t="s">
        <v>1032</v>
      </c>
      <c r="C437" s="659">
        <v>0</v>
      </c>
      <c r="D437" s="659">
        <v>1.2749999999999999</v>
      </c>
      <c r="E437" s="659" t="s">
        <v>2193</v>
      </c>
      <c r="F437" s="659" t="s">
        <v>2290</v>
      </c>
      <c r="G437" s="659" t="s">
        <v>2313</v>
      </c>
      <c r="H437" s="659" t="s">
        <v>2161</v>
      </c>
      <c r="I437" s="659" t="s">
        <v>1636</v>
      </c>
      <c r="J437" s="659" t="s">
        <v>2158</v>
      </c>
      <c r="K437" s="662" t="str">
        <f t="shared" si="34"/>
        <v>Network</v>
      </c>
      <c r="L437" s="660" t="str">
        <f t="shared" si="35"/>
        <v>HR</v>
      </c>
      <c r="M437" s="660" t="str">
        <f t="shared" si="36"/>
        <v>UC</v>
      </c>
      <c r="N437" s="660" t="str">
        <f t="shared" si="37"/>
        <v>IAAS</v>
      </c>
      <c r="O437" s="659" t="str">
        <f t="shared" si="38"/>
        <v/>
      </c>
    </row>
    <row r="438" spans="1:15">
      <c r="A438" s="659" t="s">
        <v>992</v>
      </c>
      <c r="B438" s="659" t="s">
        <v>3100</v>
      </c>
      <c r="C438" s="659">
        <v>0</v>
      </c>
      <c r="D438" s="659">
        <v>0</v>
      </c>
      <c r="E438" s="659">
        <v>0</v>
      </c>
      <c r="F438" s="659" t="s">
        <v>2290</v>
      </c>
      <c r="G438" s="659" t="s">
        <v>2400</v>
      </c>
      <c r="H438" s="659" t="s">
        <v>2394</v>
      </c>
      <c r="I438" s="659" t="s">
        <v>1636</v>
      </c>
      <c r="J438" s="659" t="s">
        <v>2159</v>
      </c>
      <c r="K438" s="662" t="str">
        <f t="shared" si="34"/>
        <v>Government</v>
      </c>
      <c r="L438" s="660" t="str">
        <f t="shared" si="35"/>
        <v>UNIT</v>
      </c>
      <c r="M438" s="660" t="str">
        <f t="shared" si="36"/>
        <v>UC</v>
      </c>
      <c r="N438" s="660" t="str">
        <f t="shared" si="37"/>
        <v>PAAS</v>
      </c>
      <c r="O438" s="659" t="str">
        <f t="shared" si="38"/>
        <v/>
      </c>
    </row>
    <row r="439" spans="1:15">
      <c r="A439" s="659" t="s">
        <v>993</v>
      </c>
      <c r="B439" s="659" t="s">
        <v>1339</v>
      </c>
      <c r="C439" s="659">
        <v>0</v>
      </c>
      <c r="D439" s="659">
        <v>0.85</v>
      </c>
      <c r="E439" s="659" t="s">
        <v>2201</v>
      </c>
      <c r="F439" s="659" t="s">
        <v>2290</v>
      </c>
      <c r="G439" s="659" t="s">
        <v>2400</v>
      </c>
      <c r="H439" s="659" t="s">
        <v>2394</v>
      </c>
      <c r="I439" s="659" t="s">
        <v>1636</v>
      </c>
      <c r="J439" s="659" t="s">
        <v>2159</v>
      </c>
      <c r="K439" s="662" t="str">
        <f t="shared" si="34"/>
        <v>Government</v>
      </c>
      <c r="L439" s="660" t="str">
        <f t="shared" si="35"/>
        <v>UNIT</v>
      </c>
      <c r="M439" s="660" t="str">
        <f t="shared" si="36"/>
        <v>UC</v>
      </c>
      <c r="N439" s="660" t="str">
        <f t="shared" si="37"/>
        <v>PAAS</v>
      </c>
      <c r="O439" s="659" t="str">
        <f t="shared" si="38"/>
        <v/>
      </c>
    </row>
    <row r="440" spans="1:15">
      <c r="A440" s="659" t="s">
        <v>994</v>
      </c>
      <c r="B440" s="659" t="s">
        <v>1340</v>
      </c>
      <c r="C440" s="659">
        <v>0</v>
      </c>
      <c r="D440" s="659">
        <v>8.5000000000000006E-2</v>
      </c>
      <c r="E440" s="659" t="s">
        <v>2200</v>
      </c>
      <c r="F440" s="659" t="s">
        <v>2290</v>
      </c>
      <c r="G440" s="659" t="s">
        <v>2400</v>
      </c>
      <c r="H440" s="659" t="s">
        <v>2394</v>
      </c>
      <c r="I440" s="659" t="s">
        <v>1636</v>
      </c>
      <c r="J440" s="659" t="s">
        <v>2159</v>
      </c>
      <c r="K440" s="662" t="str">
        <f t="shared" si="34"/>
        <v>Government</v>
      </c>
      <c r="L440" s="660" t="str">
        <f t="shared" si="35"/>
        <v>UNIT</v>
      </c>
      <c r="M440" s="660" t="str">
        <f t="shared" si="36"/>
        <v>UC</v>
      </c>
      <c r="N440" s="660" t="str">
        <f t="shared" si="37"/>
        <v>PAAS</v>
      </c>
      <c r="O440" s="659" t="str">
        <f t="shared" si="38"/>
        <v/>
      </c>
    </row>
    <row r="441" spans="1:15">
      <c r="A441" s="659" t="s">
        <v>996</v>
      </c>
      <c r="B441" s="659" t="s">
        <v>1841</v>
      </c>
      <c r="C441" s="659">
        <v>0</v>
      </c>
      <c r="D441" s="659">
        <v>3.3999999999999998E-3</v>
      </c>
      <c r="E441" s="659" t="s">
        <v>2164</v>
      </c>
      <c r="F441" s="659" t="s">
        <v>2290</v>
      </c>
      <c r="G441" s="659" t="s">
        <v>1840</v>
      </c>
      <c r="H441" s="659" t="s">
        <v>2395</v>
      </c>
      <c r="I441" s="659" t="s">
        <v>1636</v>
      </c>
      <c r="J441" s="659" t="s">
        <v>2158</v>
      </c>
      <c r="K441" s="662" t="str">
        <f t="shared" si="34"/>
        <v>Storage</v>
      </c>
      <c r="L441" s="660" t="str">
        <f t="shared" si="35"/>
        <v>REQ</v>
      </c>
      <c r="M441" s="660" t="str">
        <f t="shared" si="36"/>
        <v>UC</v>
      </c>
      <c r="N441" s="660" t="str">
        <f t="shared" si="37"/>
        <v>IAAS</v>
      </c>
      <c r="O441" s="659" t="str">
        <f t="shared" si="38"/>
        <v/>
      </c>
    </row>
    <row r="442" spans="1:15">
      <c r="A442" s="659" t="s">
        <v>997</v>
      </c>
      <c r="B442" s="659" t="s">
        <v>1035</v>
      </c>
      <c r="C442" s="659">
        <v>0</v>
      </c>
      <c r="D442" s="659">
        <v>2.5499999999999998E-2</v>
      </c>
      <c r="E442" s="659" t="s">
        <v>2175</v>
      </c>
      <c r="F442" s="659" t="s">
        <v>2290</v>
      </c>
      <c r="G442" s="659" t="s">
        <v>1840</v>
      </c>
      <c r="H442" s="659" t="s">
        <v>2162</v>
      </c>
      <c r="I442" s="659" t="s">
        <v>1636</v>
      </c>
      <c r="J442" s="659" t="s">
        <v>2158</v>
      </c>
      <c r="K442" s="662" t="str">
        <f t="shared" si="34"/>
        <v>Storage</v>
      </c>
      <c r="L442" s="660" t="str">
        <f t="shared" si="35"/>
        <v>GB</v>
      </c>
      <c r="M442" s="660" t="str">
        <f t="shared" si="36"/>
        <v>UC</v>
      </c>
      <c r="N442" s="660" t="str">
        <f t="shared" si="37"/>
        <v>IAAS</v>
      </c>
      <c r="O442" s="659" t="str">
        <f t="shared" si="38"/>
        <v/>
      </c>
    </row>
    <row r="443" spans="1:15">
      <c r="A443" s="659" t="s">
        <v>998</v>
      </c>
      <c r="B443" s="659" t="s">
        <v>1036</v>
      </c>
      <c r="C443" s="659">
        <v>0</v>
      </c>
      <c r="D443" s="659">
        <v>2.5999999999999999E-3</v>
      </c>
      <c r="E443" t="s">
        <v>2175</v>
      </c>
      <c r="F443" s="659" t="s">
        <v>2290</v>
      </c>
      <c r="G443" s="659" t="s">
        <v>1840</v>
      </c>
      <c r="H443" s="659" t="s">
        <v>2162</v>
      </c>
      <c r="I443" s="659" t="s">
        <v>1636</v>
      </c>
      <c r="J443" s="659" t="s">
        <v>2158</v>
      </c>
      <c r="K443" s="662" t="str">
        <f t="shared" si="34"/>
        <v>Storage</v>
      </c>
      <c r="L443" s="660" t="str">
        <f t="shared" si="35"/>
        <v>GB</v>
      </c>
      <c r="M443" s="660" t="str">
        <f t="shared" si="36"/>
        <v>UC</v>
      </c>
      <c r="N443" s="660" t="str">
        <f t="shared" si="37"/>
        <v>IAAS</v>
      </c>
      <c r="O443" s="659" t="str">
        <f t="shared" si="38"/>
        <v/>
      </c>
    </row>
    <row r="444" spans="1:15">
      <c r="A444" s="659" t="s">
        <v>999</v>
      </c>
      <c r="B444" s="659" t="s">
        <v>1037</v>
      </c>
      <c r="C444" s="659">
        <v>0</v>
      </c>
      <c r="D444" s="659">
        <v>0.3</v>
      </c>
      <c r="E444" s="659" t="s">
        <v>2175</v>
      </c>
      <c r="F444" s="659" t="s">
        <v>2290</v>
      </c>
      <c r="G444" s="659" t="s">
        <v>1840</v>
      </c>
      <c r="H444" s="659" t="s">
        <v>2162</v>
      </c>
      <c r="I444" s="659" t="s">
        <v>1636</v>
      </c>
      <c r="J444" s="659" t="s">
        <v>2158</v>
      </c>
      <c r="K444" s="662" t="str">
        <f t="shared" si="34"/>
        <v>Storage</v>
      </c>
      <c r="L444" s="660" t="str">
        <f t="shared" si="35"/>
        <v>GB</v>
      </c>
      <c r="M444" s="660" t="str">
        <f t="shared" si="36"/>
        <v>UC</v>
      </c>
      <c r="N444" s="660" t="str">
        <f t="shared" si="37"/>
        <v>IAAS</v>
      </c>
      <c r="O444" s="659" t="str">
        <f t="shared" si="38"/>
        <v/>
      </c>
    </row>
    <row r="445" spans="1:15">
      <c r="A445" s="659" t="s">
        <v>1917</v>
      </c>
      <c r="B445" s="659" t="s">
        <v>1918</v>
      </c>
      <c r="C445" s="659">
        <v>1.0752999999999999</v>
      </c>
      <c r="D445" s="659">
        <v>1.0752999999999999</v>
      </c>
      <c r="E445" s="659" t="s">
        <v>49</v>
      </c>
      <c r="F445" s="659" t="s">
        <v>2290</v>
      </c>
      <c r="G445" s="659" t="s">
        <v>1839</v>
      </c>
      <c r="H445" s="659" t="s">
        <v>2161</v>
      </c>
      <c r="I445" s="659" t="s">
        <v>1636</v>
      </c>
      <c r="J445" s="659" t="s">
        <v>2159</v>
      </c>
      <c r="K445" s="662" t="str">
        <f t="shared" si="34"/>
        <v>Analytics</v>
      </c>
      <c r="L445" s="660" t="str">
        <f t="shared" si="35"/>
        <v>HR</v>
      </c>
      <c r="M445" s="660" t="str">
        <f t="shared" si="36"/>
        <v>UC</v>
      </c>
      <c r="N445" s="660" t="str">
        <f t="shared" si="37"/>
        <v>PAAS</v>
      </c>
      <c r="O445" s="659" t="str">
        <f t="shared" si="38"/>
        <v/>
      </c>
    </row>
    <row r="446" spans="1:15">
      <c r="A446" s="659" t="s">
        <v>1919</v>
      </c>
      <c r="B446" s="659" t="s">
        <v>1920</v>
      </c>
      <c r="C446" s="659">
        <v>2.1505999999999998</v>
      </c>
      <c r="D446" s="659">
        <v>2.1505999999999998</v>
      </c>
      <c r="E446" s="659" t="s">
        <v>49</v>
      </c>
      <c r="F446" s="659" t="s">
        <v>2290</v>
      </c>
      <c r="G446" s="659" t="s">
        <v>1839</v>
      </c>
      <c r="H446" s="659" t="s">
        <v>2161</v>
      </c>
      <c r="I446" s="659" t="s">
        <v>1636</v>
      </c>
      <c r="J446" s="659" t="s">
        <v>2159</v>
      </c>
      <c r="K446" s="662" t="str">
        <f t="shared" si="34"/>
        <v>Analytics</v>
      </c>
      <c r="L446" s="660" t="str">
        <f t="shared" si="35"/>
        <v>HR</v>
      </c>
      <c r="M446" s="660" t="str">
        <f t="shared" si="36"/>
        <v>UC</v>
      </c>
      <c r="N446" s="660" t="str">
        <f t="shared" si="37"/>
        <v>PAAS</v>
      </c>
      <c r="O446" s="659" t="str">
        <f t="shared" si="38"/>
        <v/>
      </c>
    </row>
    <row r="447" spans="1:15">
      <c r="A447" s="659" t="s">
        <v>1921</v>
      </c>
      <c r="B447" s="659" t="s">
        <v>1922</v>
      </c>
      <c r="C447" s="659">
        <v>0.3226</v>
      </c>
      <c r="D447" s="659">
        <v>0.3226</v>
      </c>
      <c r="E447" s="659" t="s">
        <v>49</v>
      </c>
      <c r="F447" s="659" t="s">
        <v>2290</v>
      </c>
      <c r="G447" s="659" t="s">
        <v>1839</v>
      </c>
      <c r="H447" s="659" t="s">
        <v>2161</v>
      </c>
      <c r="I447" s="659" t="s">
        <v>1636</v>
      </c>
      <c r="J447" s="659" t="s">
        <v>1338</v>
      </c>
      <c r="K447" s="662" t="str">
        <f t="shared" si="34"/>
        <v>Analytics</v>
      </c>
      <c r="L447" s="660" t="str">
        <f t="shared" si="35"/>
        <v>HR</v>
      </c>
      <c r="M447" s="660" t="str">
        <f t="shared" si="36"/>
        <v>UC</v>
      </c>
      <c r="N447" s="660" t="str">
        <f t="shared" si="37"/>
        <v>BYOL</v>
      </c>
      <c r="O447" s="659" t="str">
        <f t="shared" si="38"/>
        <v/>
      </c>
    </row>
    <row r="448" spans="1:15">
      <c r="A448" s="659" t="s">
        <v>1923</v>
      </c>
      <c r="B448" s="659" t="s">
        <v>1924</v>
      </c>
      <c r="C448" s="659">
        <v>0.3226</v>
      </c>
      <c r="D448" s="659">
        <v>0.3226</v>
      </c>
      <c r="E448" s="659" t="s">
        <v>49</v>
      </c>
      <c r="F448" s="659" t="s">
        <v>2290</v>
      </c>
      <c r="G448" s="659" t="s">
        <v>1839</v>
      </c>
      <c r="H448" s="659" t="s">
        <v>2161</v>
      </c>
      <c r="I448" s="659" t="s">
        <v>1636</v>
      </c>
      <c r="J448" s="659" t="s">
        <v>1338</v>
      </c>
      <c r="K448" s="662" t="str">
        <f t="shared" si="34"/>
        <v>Analytics</v>
      </c>
      <c r="L448" s="660" t="str">
        <f t="shared" si="35"/>
        <v>HR</v>
      </c>
      <c r="M448" s="660" t="str">
        <f t="shared" si="36"/>
        <v>UC</v>
      </c>
      <c r="N448" s="660" t="str">
        <f t="shared" si="37"/>
        <v>BYOL</v>
      </c>
      <c r="O448" s="659" t="str">
        <f t="shared" si="38"/>
        <v/>
      </c>
    </row>
    <row r="449" spans="1:15">
      <c r="A449" s="659" t="s">
        <v>1010</v>
      </c>
      <c r="B449" s="659" t="s">
        <v>1234</v>
      </c>
      <c r="C449" s="659">
        <v>0.6452</v>
      </c>
      <c r="D449" s="659">
        <v>0.6452</v>
      </c>
      <c r="E449" s="659" t="s">
        <v>3194</v>
      </c>
      <c r="F449" s="659" t="s">
        <v>2290</v>
      </c>
      <c r="G449" s="659" t="s">
        <v>2391</v>
      </c>
      <c r="H449" s="659" t="s">
        <v>2161</v>
      </c>
      <c r="I449" s="659" t="s">
        <v>1636</v>
      </c>
      <c r="J449" s="659" t="s">
        <v>2159</v>
      </c>
      <c r="K449" s="662" t="str">
        <f t="shared" si="34"/>
        <v>Integration</v>
      </c>
      <c r="L449" s="660" t="str">
        <f t="shared" si="35"/>
        <v>HR</v>
      </c>
      <c r="M449" s="660" t="str">
        <f t="shared" si="36"/>
        <v>UC</v>
      </c>
      <c r="N449" s="660" t="str">
        <f t="shared" si="37"/>
        <v>PAAS</v>
      </c>
      <c r="O449" s="659" t="str">
        <f t="shared" si="38"/>
        <v/>
      </c>
    </row>
    <row r="450" spans="1:15">
      <c r="A450" s="659" t="s">
        <v>1011</v>
      </c>
      <c r="B450" s="659" t="s">
        <v>1235</v>
      </c>
      <c r="C450" s="659">
        <v>1.2903</v>
      </c>
      <c r="D450" s="659">
        <v>1.2903</v>
      </c>
      <c r="E450" s="659" t="s">
        <v>3194</v>
      </c>
      <c r="F450" s="659" t="s">
        <v>2290</v>
      </c>
      <c r="G450" s="659" t="s">
        <v>2391</v>
      </c>
      <c r="H450" s="659" t="s">
        <v>2161</v>
      </c>
      <c r="I450" s="659" t="s">
        <v>1636</v>
      </c>
      <c r="J450" s="659" t="s">
        <v>2159</v>
      </c>
      <c r="K450" s="662" t="str">
        <f t="shared" si="34"/>
        <v>Integration</v>
      </c>
      <c r="L450" s="660" t="str">
        <f t="shared" si="35"/>
        <v>HR</v>
      </c>
      <c r="M450" s="660" t="str">
        <f t="shared" si="36"/>
        <v>UC</v>
      </c>
      <c r="N450" s="660" t="str">
        <f t="shared" si="37"/>
        <v>PAAS</v>
      </c>
      <c r="O450" s="659" t="str">
        <f t="shared" si="38"/>
        <v/>
      </c>
    </row>
    <row r="451" spans="1:15">
      <c r="A451" s="659" t="s">
        <v>1012</v>
      </c>
      <c r="B451" s="659" t="s">
        <v>1236</v>
      </c>
      <c r="C451" s="659">
        <v>0.3226</v>
      </c>
      <c r="D451" s="659">
        <v>0.3226</v>
      </c>
      <c r="E451" s="659" t="s">
        <v>3195</v>
      </c>
      <c r="F451" s="659" t="s">
        <v>2290</v>
      </c>
      <c r="G451" s="659" t="s">
        <v>2391</v>
      </c>
      <c r="H451" s="659" t="s">
        <v>2161</v>
      </c>
      <c r="I451" s="659" t="s">
        <v>1636</v>
      </c>
      <c r="J451" s="659" t="s">
        <v>1338</v>
      </c>
      <c r="K451" s="662" t="str">
        <f t="shared" si="34"/>
        <v>Integration</v>
      </c>
      <c r="L451" s="660" t="str">
        <f t="shared" si="35"/>
        <v>HR</v>
      </c>
      <c r="M451" s="660" t="str">
        <f t="shared" si="36"/>
        <v>UC</v>
      </c>
      <c r="N451" s="660" t="str">
        <f t="shared" si="37"/>
        <v>BYOL</v>
      </c>
      <c r="O451" s="659" t="str">
        <f t="shared" si="38"/>
        <v/>
      </c>
    </row>
    <row r="452" spans="1:15">
      <c r="A452" s="659" t="s">
        <v>1013</v>
      </c>
      <c r="B452" s="659" t="s">
        <v>1237</v>
      </c>
      <c r="C452" s="659">
        <v>0.3226</v>
      </c>
      <c r="D452" s="659">
        <v>0.3226</v>
      </c>
      <c r="E452" s="659" t="s">
        <v>3195</v>
      </c>
      <c r="F452" s="659" t="s">
        <v>2290</v>
      </c>
      <c r="G452" s="659" t="s">
        <v>2391</v>
      </c>
      <c r="H452" s="659" t="s">
        <v>2161</v>
      </c>
      <c r="I452" s="659" t="s">
        <v>1636</v>
      </c>
      <c r="J452" s="659" t="s">
        <v>1338</v>
      </c>
      <c r="K452" s="662" t="str">
        <f t="shared" ref="K452:K515" si="39">_xlfn.IFS(
ISNUMBER(SEARCH("Day",E452)),"Consulting",
ISNUMBER(SEARCH("Starter Pack",B452)),"Consulting",
ISNUMBER(SEARCH("Design",B452)),"Consulting",
ISNUMBER(SEARCH("Deploy",B452)),"Consulting",
ISNUMBER(SEARCH("Expert",B452)),"Consulting",
ISNUMBER(SEARCH("Installation",B452)),"Consulting",
ISNUMBER(SEARCH("Recommendation",B452)),"Consulting",
ISNUMBER(SEARCH("Transition",B452)),"Consulting",
ISNUMBER(SEARCH("Transition",B452)),"Support",
ISNUMBER(SEARCH("Transition",B452)),"Foundation Service",
ISNUMBER(SEARCH("Consulting",B452)),"Consulting",
ISNUMBER(SEARCH("in Advance",B452)),"New",
ISNUMBER(SEARCH("Universal Credits",B452)),"UC",
ISNUMBER(SEARCH("Ravello",B452)),"Deprecated",
ISNUMBER(SEARCH("Cloud Machine",B452)),"Deprecated",
ISNUMBER(SEARCH("Compute",B452)),"Compute",
ISNUMBER(SEARCH("Load Balancer",B452)),"Network",
ISNUMBER(SEARCH("FastConnect",B452)),"Network",
ISNUMBER(SEARCH("Database OCPU",B452)),"CC OCPU",
ISNUMBER(SEARCH("at Customer",B452)),"CC",
ISNUMBER(SEARCH("Cloud@Customer",B452)),"CC",
ISNUMBER(SEARCH("Exadata Storage",B452)),"Exa Storage",
ISNUMBER(SEARCH("Storage",B452)),"Storage",
ISNUMBER(SEARCH("Block ",B452)),"Storage",
ISNUMBER(SEARCH("Autonomous Data Warehouse",B452)),"ADW",
ISNUMBER(SEARCH("Autonomous Transaction Processing",B452)),"ATP",
ISNUMBER(SEARCH("Database Exadata",B452)),"ExaCS",
ISNUMBER(SEARCH("Database",B452)),"DBaaS",
ISNUMBER(SEARCH("Essbase",B452)),"DBaaS",
ISNUMBER(SEARCH("integration",B452)),"Integration",
ISNUMBER(SEARCH("SOA",B452)),"Integration",
ISNUMBER(SEARCH("Management Cloud",B452)),"Management",
ISNUMBER(SEARCH("Analytics",B452)),"Analytics",
ISNUMBER(SEARCH("Storage",B452)),"Storage",
ISNUMBER(SEARCH("Block ",B452)),"Storage",
ISNUMBER(SEARCH("Identity",B452)),"Platform",
ISNUMBER(SEARCH("Content",B452)),"Platform",
ISNUMBER(SEARCH("Weblogic",B452)),"Platform",
ISNUMBER(SEARCH("Digital Assistant",B452)),"Platform",
ISNUMBER(SEARCH("Limited",B452)),"Classic",
ISNUMBER(SEARCH("Classic",B452)),"Classic",
ISNUMBER(SEARCH("Government",B452)),"Government",
ISNUMBER(SEARCH("Metered",B452)),"Deprecated",
VALUE(RIGHT(A452,5))&lt;88206,"Deprecated",
TRUE,"Platform")</f>
        <v>Integration</v>
      </c>
      <c r="L452" s="660" t="str">
        <f t="shared" si="35"/>
        <v>HR</v>
      </c>
      <c r="M452" s="660" t="str">
        <f t="shared" si="36"/>
        <v>UC</v>
      </c>
      <c r="N452" s="660" t="str">
        <f t="shared" si="37"/>
        <v>BYOL</v>
      </c>
      <c r="O452" s="659" t="str">
        <f t="shared" si="38"/>
        <v/>
      </c>
    </row>
    <row r="453" spans="1:15">
      <c r="A453" s="659" t="s">
        <v>1014</v>
      </c>
      <c r="B453" s="659" t="s">
        <v>3154</v>
      </c>
      <c r="C453" s="659">
        <v>1.2364999999999999</v>
      </c>
      <c r="D453" s="659">
        <v>1.2364999999999999</v>
      </c>
      <c r="E453" s="659" t="s">
        <v>49</v>
      </c>
      <c r="F453" s="659" t="s">
        <v>2290</v>
      </c>
      <c r="G453" s="659" t="s">
        <v>2392</v>
      </c>
      <c r="H453" s="659" t="s">
        <v>2161</v>
      </c>
      <c r="I453" s="659" t="s">
        <v>1636</v>
      </c>
      <c r="J453" s="659" t="s">
        <v>2159</v>
      </c>
      <c r="K453" s="662" t="str">
        <f t="shared" si="39"/>
        <v>Platform</v>
      </c>
      <c r="L453" s="660" t="str">
        <f t="shared" si="35"/>
        <v>HR</v>
      </c>
      <c r="M453" s="660" t="str">
        <f t="shared" si="36"/>
        <v>UC</v>
      </c>
      <c r="N453" s="660" t="str">
        <f t="shared" si="37"/>
        <v>PAAS</v>
      </c>
      <c r="O453" s="659" t="str">
        <f t="shared" si="38"/>
        <v/>
      </c>
    </row>
    <row r="454" spans="1:15">
      <c r="A454" s="659" t="s">
        <v>1661</v>
      </c>
      <c r="B454" s="659" t="s">
        <v>1662</v>
      </c>
      <c r="C454" s="659">
        <v>40000</v>
      </c>
      <c r="D454" s="659">
        <v>52000</v>
      </c>
      <c r="E454" s="659">
        <v>0</v>
      </c>
      <c r="F454" s="659" t="s">
        <v>2290</v>
      </c>
      <c r="G454" s="659" t="s">
        <v>2558</v>
      </c>
      <c r="H454" s="659" t="s">
        <v>2394</v>
      </c>
      <c r="I454" s="659" t="s">
        <v>1637</v>
      </c>
      <c r="J454" s="659" t="s">
        <v>1637</v>
      </c>
      <c r="K454" s="662" t="str">
        <f t="shared" si="39"/>
        <v>Consulting</v>
      </c>
      <c r="L454" s="660" t="str">
        <f t="shared" si="35"/>
        <v>UNIT</v>
      </c>
      <c r="M454" s="660" t="str">
        <f t="shared" si="36"/>
        <v>SRV</v>
      </c>
      <c r="N454" s="660" t="str">
        <f t="shared" si="37"/>
        <v>SRV</v>
      </c>
      <c r="O454" s="659" t="str">
        <f t="shared" si="38"/>
        <v/>
      </c>
    </row>
    <row r="455" spans="1:15">
      <c r="A455" s="659" t="s">
        <v>1663</v>
      </c>
      <c r="B455" s="659" t="s">
        <v>1664</v>
      </c>
      <c r="C455" s="659">
        <v>6500</v>
      </c>
      <c r="D455" s="659">
        <v>8450</v>
      </c>
      <c r="E455" s="659">
        <v>0</v>
      </c>
      <c r="F455" s="659" t="s">
        <v>2290</v>
      </c>
      <c r="G455" s="659" t="s">
        <v>2558</v>
      </c>
      <c r="H455" s="659" t="s">
        <v>2394</v>
      </c>
      <c r="I455" s="659" t="s">
        <v>1637</v>
      </c>
      <c r="J455" s="659" t="s">
        <v>1637</v>
      </c>
      <c r="K455" s="662" t="str">
        <f t="shared" si="39"/>
        <v>Consulting</v>
      </c>
      <c r="L455" s="660" t="str">
        <f t="shared" si="35"/>
        <v>UNIT</v>
      </c>
      <c r="M455" s="660" t="str">
        <f t="shared" si="36"/>
        <v>SRV</v>
      </c>
      <c r="N455" s="660" t="str">
        <f t="shared" si="37"/>
        <v>SRV</v>
      </c>
      <c r="O455" s="659" t="str">
        <f t="shared" si="38"/>
        <v/>
      </c>
    </row>
    <row r="456" spans="1:15">
      <c r="A456" s="659" t="s">
        <v>1038</v>
      </c>
      <c r="B456" s="659" t="s">
        <v>1039</v>
      </c>
      <c r="C456" s="659">
        <v>0</v>
      </c>
      <c r="D456" s="659">
        <v>1.2749999999999999</v>
      </c>
      <c r="E456" s="659" t="s">
        <v>2193</v>
      </c>
      <c r="F456" s="659" t="s">
        <v>2290</v>
      </c>
      <c r="G456" s="659" t="s">
        <v>2313</v>
      </c>
      <c r="H456" s="659" t="s">
        <v>2161</v>
      </c>
      <c r="I456" s="659" t="s">
        <v>1636</v>
      </c>
      <c r="J456" s="659" t="s">
        <v>2158</v>
      </c>
      <c r="K456" s="662" t="str">
        <f t="shared" si="39"/>
        <v>Network</v>
      </c>
      <c r="L456" s="660" t="str">
        <f t="shared" si="35"/>
        <v>HR</v>
      </c>
      <c r="M456" s="660" t="str">
        <f t="shared" si="36"/>
        <v>UC</v>
      </c>
      <c r="N456" s="660" t="str">
        <f t="shared" si="37"/>
        <v>IAAS</v>
      </c>
      <c r="O456" s="659" t="str">
        <f t="shared" si="38"/>
        <v/>
      </c>
    </row>
    <row r="457" spans="1:15">
      <c r="A457" s="659" t="s">
        <v>1040</v>
      </c>
      <c r="B457" s="659" t="s">
        <v>1041</v>
      </c>
      <c r="C457" s="659">
        <v>0</v>
      </c>
      <c r="D457" s="659">
        <v>0.21249999999999999</v>
      </c>
      <c r="E457" s="659" t="s">
        <v>2193</v>
      </c>
      <c r="F457" s="659" t="s">
        <v>2290</v>
      </c>
      <c r="G457" s="659" t="s">
        <v>2313</v>
      </c>
      <c r="H457" s="659" t="s">
        <v>2161</v>
      </c>
      <c r="I457" s="659" t="s">
        <v>1636</v>
      </c>
      <c r="J457" s="659" t="s">
        <v>2158</v>
      </c>
      <c r="K457" s="662" t="str">
        <f t="shared" si="39"/>
        <v>Network</v>
      </c>
      <c r="L457" s="660" t="str">
        <f t="shared" si="35"/>
        <v>HR</v>
      </c>
      <c r="M457" s="660" t="str">
        <f t="shared" si="36"/>
        <v>UC</v>
      </c>
      <c r="N457" s="660" t="str">
        <f t="shared" si="37"/>
        <v>IAAS</v>
      </c>
      <c r="O457" s="659" t="str">
        <f t="shared" si="38"/>
        <v/>
      </c>
    </row>
    <row r="458" spans="1:15">
      <c r="A458" s="659" t="s">
        <v>1557</v>
      </c>
      <c r="B458" s="659" t="s">
        <v>1558</v>
      </c>
      <c r="C458" s="659">
        <v>0</v>
      </c>
      <c r="D458" s="659">
        <v>7595.05</v>
      </c>
      <c r="E458" s="659" t="s">
        <v>1154</v>
      </c>
      <c r="F458" s="659" t="s">
        <v>2290</v>
      </c>
      <c r="G458" s="659" t="s">
        <v>2558</v>
      </c>
      <c r="H458" s="659" t="s">
        <v>2397</v>
      </c>
      <c r="I458" s="659" t="s">
        <v>1637</v>
      </c>
      <c r="J458" s="659" t="s">
        <v>1637</v>
      </c>
      <c r="K458" s="662" t="str">
        <f t="shared" si="39"/>
        <v>Consulting</v>
      </c>
      <c r="L458" s="660" t="str">
        <f t="shared" si="35"/>
        <v>EA</v>
      </c>
      <c r="M458" s="660" t="str">
        <f t="shared" si="36"/>
        <v>SRV</v>
      </c>
      <c r="N458" s="660" t="str">
        <f t="shared" si="37"/>
        <v>SRV</v>
      </c>
      <c r="O458" s="659" t="str">
        <f t="shared" si="38"/>
        <v/>
      </c>
    </row>
    <row r="459" spans="1:15">
      <c r="A459" s="659" t="s">
        <v>1559</v>
      </c>
      <c r="B459" s="659" t="s">
        <v>1560</v>
      </c>
      <c r="C459" s="659">
        <v>0</v>
      </c>
      <c r="D459" s="659">
        <v>1197.25</v>
      </c>
      <c r="E459" s="659" t="s">
        <v>1154</v>
      </c>
      <c r="F459" s="659" t="s">
        <v>2290</v>
      </c>
      <c r="G459" s="659" t="s">
        <v>2558</v>
      </c>
      <c r="H459" s="659" t="s">
        <v>2397</v>
      </c>
      <c r="I459" s="659" t="s">
        <v>1637</v>
      </c>
      <c r="J459" s="659" t="s">
        <v>1637</v>
      </c>
      <c r="K459" s="662" t="str">
        <f t="shared" si="39"/>
        <v>Consulting</v>
      </c>
      <c r="L459" s="660" t="str">
        <f t="shared" ref="L459:L522" si="40">_xlfn.IFS(ISNUMBER(SEARCH("Hour",E459)),"HR",ISNUMBER(SEARCH("Gigabyte",E459)),"GB",ISNUMBER(SEARCH("Terabyte",E459)),"TB",ISNUMBER(SEARCH("Requests",E459)),"REQ",ISNUMBER(SEARCH("Each",E459)),"EA",ISNUMBER(SEARCH("Day",E459)),"DAY","TRUE","UNIT")</f>
        <v>EA</v>
      </c>
      <c r="M459" s="660" t="str">
        <f t="shared" ref="M459:M522" si="41">_xlfn.IFS(K459="CC","CC",K459="Consulting","SRV",F459="Y","UC0",TRUE,"UC")</f>
        <v>SRV</v>
      </c>
      <c r="N459" s="660" t="str">
        <f t="shared" ref="N459:N522" si="42">_xlfn.IFS(ISNUMBER(SEARCH("BYOL",B459)),"BYOL",K459="Storage","IAAS",K459="Compute","IAAS",K459="Network","IAAS",K459="Service","IAAS",M459="SRV","SRV",M459="CC","CC",L459="REQ","IAAS",TRUE,"PAAS")</f>
        <v>SRV</v>
      </c>
      <c r="O459" s="659" t="str">
        <f t="shared" ref="O459:O522" si="43">IF(G459=K459,"","error")</f>
        <v/>
      </c>
    </row>
    <row r="460" spans="1:15">
      <c r="A460" s="659" t="s">
        <v>1561</v>
      </c>
      <c r="B460" s="659" t="s">
        <v>1562</v>
      </c>
      <c r="C460" s="659">
        <v>0</v>
      </c>
      <c r="D460" s="659">
        <v>2394.5</v>
      </c>
      <c r="E460" s="659" t="s">
        <v>1154</v>
      </c>
      <c r="F460" s="659" t="s">
        <v>2290</v>
      </c>
      <c r="G460" s="659" t="s">
        <v>2558</v>
      </c>
      <c r="H460" s="659" t="s">
        <v>2397</v>
      </c>
      <c r="I460" s="659" t="s">
        <v>1637</v>
      </c>
      <c r="J460" s="659" t="s">
        <v>1637</v>
      </c>
      <c r="K460" s="662" t="str">
        <f t="shared" si="39"/>
        <v>Consulting</v>
      </c>
      <c r="L460" s="660" t="str">
        <f t="shared" si="40"/>
        <v>EA</v>
      </c>
      <c r="M460" s="660" t="str">
        <f t="shared" si="41"/>
        <v>SRV</v>
      </c>
      <c r="N460" s="660" t="str">
        <f t="shared" si="42"/>
        <v>SRV</v>
      </c>
      <c r="O460" s="659" t="str">
        <f t="shared" si="43"/>
        <v/>
      </c>
    </row>
    <row r="461" spans="1:15">
      <c r="A461" s="659" t="s">
        <v>1563</v>
      </c>
      <c r="B461" s="659" t="s">
        <v>1564</v>
      </c>
      <c r="C461" s="659">
        <v>0</v>
      </c>
      <c r="D461" s="659">
        <v>4190.3500000000004</v>
      </c>
      <c r="E461" s="659" t="s">
        <v>1154</v>
      </c>
      <c r="F461" s="659" t="s">
        <v>2290</v>
      </c>
      <c r="G461" s="659" t="s">
        <v>2558</v>
      </c>
      <c r="H461" s="659" t="s">
        <v>2397</v>
      </c>
      <c r="I461" s="659" t="s">
        <v>1637</v>
      </c>
      <c r="J461" s="659" t="s">
        <v>1637</v>
      </c>
      <c r="K461" s="662" t="str">
        <f t="shared" si="39"/>
        <v>Consulting</v>
      </c>
      <c r="L461" s="660" t="str">
        <f t="shared" si="40"/>
        <v>EA</v>
      </c>
      <c r="M461" s="660" t="str">
        <f t="shared" si="41"/>
        <v>SRV</v>
      </c>
      <c r="N461" s="660" t="str">
        <f t="shared" si="42"/>
        <v>SRV</v>
      </c>
      <c r="O461" s="659" t="str">
        <f t="shared" si="43"/>
        <v/>
      </c>
    </row>
    <row r="462" spans="1:15">
      <c r="A462" s="659" t="s">
        <v>1051</v>
      </c>
      <c r="B462" s="659" t="s">
        <v>1925</v>
      </c>
      <c r="C462" s="659">
        <v>0</v>
      </c>
      <c r="D462" s="659">
        <v>4300</v>
      </c>
      <c r="E462" s="659" t="s">
        <v>1154</v>
      </c>
      <c r="F462" s="659" t="s">
        <v>2290</v>
      </c>
      <c r="G462" s="659" t="s">
        <v>2160</v>
      </c>
      <c r="H462" s="659" t="s">
        <v>2397</v>
      </c>
      <c r="I462" s="659" t="s">
        <v>2160</v>
      </c>
      <c r="J462" s="659" t="s">
        <v>2160</v>
      </c>
      <c r="K462" s="662" t="str">
        <f t="shared" si="39"/>
        <v>CC</v>
      </c>
      <c r="L462" s="660" t="str">
        <f t="shared" si="40"/>
        <v>EA</v>
      </c>
      <c r="M462" s="660" t="str">
        <f t="shared" si="41"/>
        <v>CC</v>
      </c>
      <c r="N462" s="660" t="str">
        <f t="shared" si="42"/>
        <v>CC</v>
      </c>
      <c r="O462" s="659" t="str">
        <f t="shared" si="43"/>
        <v/>
      </c>
    </row>
    <row r="463" spans="1:15">
      <c r="A463" s="659" t="s">
        <v>1042</v>
      </c>
      <c r="B463" s="659" t="s">
        <v>1043</v>
      </c>
      <c r="C463" s="659">
        <v>2.95</v>
      </c>
      <c r="D463" s="659">
        <v>2.95</v>
      </c>
      <c r="E463" s="659" t="s">
        <v>2191</v>
      </c>
      <c r="F463" s="659" t="s">
        <v>2290</v>
      </c>
      <c r="G463" s="659" t="s">
        <v>1835</v>
      </c>
      <c r="H463" s="659" t="s">
        <v>2161</v>
      </c>
      <c r="I463" s="659" t="s">
        <v>1636</v>
      </c>
      <c r="J463" s="659" t="s">
        <v>2158</v>
      </c>
      <c r="K463" s="662" t="str">
        <f t="shared" si="39"/>
        <v>Compute</v>
      </c>
      <c r="L463" s="660" t="str">
        <f t="shared" si="40"/>
        <v>HR</v>
      </c>
      <c r="M463" s="660" t="str">
        <f t="shared" si="41"/>
        <v>UC</v>
      </c>
      <c r="N463" s="660" t="str">
        <f t="shared" si="42"/>
        <v>IAAS</v>
      </c>
      <c r="O463" s="659" t="str">
        <f t="shared" si="43"/>
        <v/>
      </c>
    </row>
    <row r="464" spans="1:15">
      <c r="A464" s="659" t="s">
        <v>1044</v>
      </c>
      <c r="B464" s="659" t="s">
        <v>1045</v>
      </c>
      <c r="C464" s="659">
        <v>0</v>
      </c>
      <c r="D464" s="659">
        <v>2.95</v>
      </c>
      <c r="E464" s="659" t="s">
        <v>2191</v>
      </c>
      <c r="F464" s="659" t="s">
        <v>2290</v>
      </c>
      <c r="G464" s="659" t="s">
        <v>1835</v>
      </c>
      <c r="H464" s="659" t="s">
        <v>2161</v>
      </c>
      <c r="I464" s="659" t="s">
        <v>1636</v>
      </c>
      <c r="J464" s="659" t="s">
        <v>2158</v>
      </c>
      <c r="K464" s="662" t="str">
        <f t="shared" si="39"/>
        <v>Compute</v>
      </c>
      <c r="L464" s="660" t="str">
        <f t="shared" si="40"/>
        <v>HR</v>
      </c>
      <c r="M464" s="660" t="str">
        <f t="shared" si="41"/>
        <v>UC</v>
      </c>
      <c r="N464" s="660" t="str">
        <f t="shared" si="42"/>
        <v>IAAS</v>
      </c>
      <c r="O464" s="659" t="str">
        <f t="shared" si="43"/>
        <v/>
      </c>
    </row>
    <row r="465" spans="1:15">
      <c r="A465" s="659" t="s">
        <v>1052</v>
      </c>
      <c r="B465" s="659" t="s">
        <v>1926</v>
      </c>
      <c r="C465" s="659">
        <v>0</v>
      </c>
      <c r="D465" s="659">
        <v>4300</v>
      </c>
      <c r="E465" s="659" t="s">
        <v>1154</v>
      </c>
      <c r="F465" s="659" t="s">
        <v>2290</v>
      </c>
      <c r="G465" s="659" t="s">
        <v>2160</v>
      </c>
      <c r="H465" s="659" t="s">
        <v>2397</v>
      </c>
      <c r="I465" s="659" t="s">
        <v>2160</v>
      </c>
      <c r="J465" s="659" t="s">
        <v>2160</v>
      </c>
      <c r="K465" s="662" t="str">
        <f t="shared" si="39"/>
        <v>CC</v>
      </c>
      <c r="L465" s="660" t="str">
        <f t="shared" si="40"/>
        <v>EA</v>
      </c>
      <c r="M465" s="660" t="str">
        <f t="shared" si="41"/>
        <v>CC</v>
      </c>
      <c r="N465" s="660" t="str">
        <f t="shared" si="42"/>
        <v>CC</v>
      </c>
      <c r="O465" s="659" t="str">
        <f t="shared" si="43"/>
        <v/>
      </c>
    </row>
    <row r="466" spans="1:15">
      <c r="A466" s="659" t="s">
        <v>1107</v>
      </c>
      <c r="B466" s="659" t="s">
        <v>1239</v>
      </c>
      <c r="C466" s="659">
        <v>0.12540000000000001</v>
      </c>
      <c r="D466" s="659">
        <v>0.12540000000000001</v>
      </c>
      <c r="E466" s="659" t="s">
        <v>2213</v>
      </c>
      <c r="F466" s="659" t="s">
        <v>2290</v>
      </c>
      <c r="G466" s="659" t="s">
        <v>2309</v>
      </c>
      <c r="H466" s="659" t="s">
        <v>2394</v>
      </c>
      <c r="I466" s="659" t="s">
        <v>1636</v>
      </c>
      <c r="J466" s="659" t="s">
        <v>2159</v>
      </c>
      <c r="K466" s="662" t="str">
        <f t="shared" si="39"/>
        <v>DBaaS</v>
      </c>
      <c r="L466" s="660" t="str">
        <f t="shared" si="40"/>
        <v>UNIT</v>
      </c>
      <c r="M466" s="660" t="str">
        <f t="shared" si="41"/>
        <v>UC</v>
      </c>
      <c r="N466" s="660" t="str">
        <f t="shared" si="42"/>
        <v>PAAS</v>
      </c>
      <c r="O466" s="659" t="str">
        <f t="shared" si="43"/>
        <v/>
      </c>
    </row>
    <row r="467" spans="1:15">
      <c r="A467" s="659" t="s">
        <v>1108</v>
      </c>
      <c r="B467" s="659" t="s">
        <v>1240</v>
      </c>
      <c r="C467" s="659">
        <v>6.4000000000000003E-3</v>
      </c>
      <c r="D467" s="659">
        <v>6.4000000000000003E-3</v>
      </c>
      <c r="E467" s="659" t="s">
        <v>2214</v>
      </c>
      <c r="F467" s="659" t="s">
        <v>2290</v>
      </c>
      <c r="G467" s="659" t="s">
        <v>2309</v>
      </c>
      <c r="H467" s="659" t="s">
        <v>2394</v>
      </c>
      <c r="I467" s="659" t="s">
        <v>1636</v>
      </c>
      <c r="J467" s="659" t="s">
        <v>2159</v>
      </c>
      <c r="K467" s="662" t="str">
        <f t="shared" si="39"/>
        <v>DBaaS</v>
      </c>
      <c r="L467" s="660" t="str">
        <f t="shared" si="40"/>
        <v>UNIT</v>
      </c>
      <c r="M467" s="660" t="str">
        <f t="shared" si="41"/>
        <v>UC</v>
      </c>
      <c r="N467" s="660" t="str">
        <f t="shared" si="42"/>
        <v>PAAS</v>
      </c>
      <c r="O467" s="659" t="str">
        <f t="shared" si="43"/>
        <v/>
      </c>
    </row>
    <row r="468" spans="1:15">
      <c r="A468" s="659" t="s">
        <v>1109</v>
      </c>
      <c r="B468" s="659" t="s">
        <v>1241</v>
      </c>
      <c r="C468" s="659">
        <v>6.6000000000000003E-2</v>
      </c>
      <c r="D468" s="659">
        <v>6.6000000000000003E-2</v>
      </c>
      <c r="E468" s="659" t="s">
        <v>2175</v>
      </c>
      <c r="F468" s="659" t="s">
        <v>2290</v>
      </c>
      <c r="G468" s="659" t="s">
        <v>1840</v>
      </c>
      <c r="H468" s="659" t="s">
        <v>2162</v>
      </c>
      <c r="I468" s="659" t="s">
        <v>1636</v>
      </c>
      <c r="J468" s="659" t="s">
        <v>2158</v>
      </c>
      <c r="K468" s="662" t="str">
        <f t="shared" si="39"/>
        <v>Storage</v>
      </c>
      <c r="L468" s="660" t="str">
        <f t="shared" si="40"/>
        <v>GB</v>
      </c>
      <c r="M468" s="660" t="str">
        <f t="shared" si="41"/>
        <v>UC</v>
      </c>
      <c r="N468" s="660" t="str">
        <f t="shared" si="42"/>
        <v>IAAS</v>
      </c>
      <c r="O468" s="659" t="str">
        <f t="shared" si="43"/>
        <v/>
      </c>
    </row>
    <row r="469" spans="1:15">
      <c r="A469" s="659" t="s">
        <v>1135</v>
      </c>
      <c r="B469" s="659" t="s">
        <v>1136</v>
      </c>
      <c r="C469" s="659">
        <v>0</v>
      </c>
      <c r="D469" s="659">
        <v>1.3441000000000001</v>
      </c>
      <c r="E469" s="659" t="s">
        <v>49</v>
      </c>
      <c r="F469" s="659" t="s">
        <v>2290</v>
      </c>
      <c r="G469" s="659" t="s">
        <v>1836</v>
      </c>
      <c r="H469" s="659" t="s">
        <v>2161</v>
      </c>
      <c r="I469" s="659" t="s">
        <v>1636</v>
      </c>
      <c r="J469" s="659" t="s">
        <v>2159</v>
      </c>
      <c r="K469" s="662" t="str">
        <f t="shared" si="39"/>
        <v>ADW</v>
      </c>
      <c r="L469" s="660" t="str">
        <f t="shared" si="40"/>
        <v>HR</v>
      </c>
      <c r="M469" s="660" t="str">
        <f t="shared" si="41"/>
        <v>UC</v>
      </c>
      <c r="N469" s="660" t="str">
        <f t="shared" si="42"/>
        <v>PAAS</v>
      </c>
      <c r="O469" s="659" t="str">
        <f t="shared" si="43"/>
        <v/>
      </c>
    </row>
    <row r="470" spans="1:15">
      <c r="A470" s="659" t="s">
        <v>1137</v>
      </c>
      <c r="B470" s="659" t="s">
        <v>1138</v>
      </c>
      <c r="C470" s="659">
        <v>0</v>
      </c>
      <c r="D470" s="659">
        <v>118.4</v>
      </c>
      <c r="E470" s="659" t="s">
        <v>2209</v>
      </c>
      <c r="F470" s="659" t="s">
        <v>2290</v>
      </c>
      <c r="G470" s="659" t="s">
        <v>2132</v>
      </c>
      <c r="H470" s="659" t="s">
        <v>2401</v>
      </c>
      <c r="I470" s="659" t="s">
        <v>1636</v>
      </c>
      <c r="J470" s="659" t="s">
        <v>2159</v>
      </c>
      <c r="K470" s="662" t="str">
        <f t="shared" si="39"/>
        <v>Exa Storage</v>
      </c>
      <c r="L470" s="660" t="str">
        <f t="shared" si="40"/>
        <v>TB</v>
      </c>
      <c r="M470" s="660" t="str">
        <f t="shared" si="41"/>
        <v>UC</v>
      </c>
      <c r="N470" s="660" t="str">
        <f t="shared" si="42"/>
        <v>PAAS</v>
      </c>
      <c r="O470" s="659" t="str">
        <f t="shared" si="43"/>
        <v/>
      </c>
    </row>
    <row r="471" spans="1:15">
      <c r="A471" s="659" t="s">
        <v>1067</v>
      </c>
      <c r="B471" s="659" t="s">
        <v>1242</v>
      </c>
      <c r="C471" s="659">
        <v>0</v>
      </c>
      <c r="D471" s="659">
        <v>3.621</v>
      </c>
      <c r="E471" s="659" t="s">
        <v>49</v>
      </c>
      <c r="F471" s="659" t="s">
        <v>2290</v>
      </c>
      <c r="G471" s="659" t="s">
        <v>2391</v>
      </c>
      <c r="H471" s="659" t="s">
        <v>2161</v>
      </c>
      <c r="I471" s="659" t="s">
        <v>1636</v>
      </c>
      <c r="J471" s="659" t="s">
        <v>2159</v>
      </c>
      <c r="K471" s="662" t="str">
        <f t="shared" si="39"/>
        <v>Integration</v>
      </c>
      <c r="L471" s="660" t="str">
        <f t="shared" si="40"/>
        <v>HR</v>
      </c>
      <c r="M471" s="660" t="str">
        <f t="shared" si="41"/>
        <v>UC</v>
      </c>
      <c r="N471" s="660" t="str">
        <f t="shared" si="42"/>
        <v>PAAS</v>
      </c>
      <c r="O471" s="659" t="str">
        <f t="shared" si="43"/>
        <v/>
      </c>
    </row>
    <row r="472" spans="1:15">
      <c r="A472" s="659" t="s">
        <v>1053</v>
      </c>
      <c r="B472" s="659" t="s">
        <v>1370</v>
      </c>
      <c r="C472" s="659" t="s">
        <v>133</v>
      </c>
      <c r="D472" s="659">
        <v>1.3441000000000001</v>
      </c>
      <c r="E472" s="659" t="s">
        <v>49</v>
      </c>
      <c r="F472" s="659" t="s">
        <v>2290</v>
      </c>
      <c r="G472" s="659" t="s">
        <v>2238</v>
      </c>
      <c r="H472" s="659" t="s">
        <v>2161</v>
      </c>
      <c r="I472" s="659" t="s">
        <v>1636</v>
      </c>
      <c r="J472" s="659" t="s">
        <v>2159</v>
      </c>
      <c r="K472" s="662" t="str">
        <f t="shared" si="39"/>
        <v>CC OCPU</v>
      </c>
      <c r="L472" s="660" t="str">
        <f t="shared" si="40"/>
        <v>HR</v>
      </c>
      <c r="M472" s="660" t="str">
        <f t="shared" si="41"/>
        <v>UC</v>
      </c>
      <c r="N472" s="660" t="str">
        <f t="shared" si="42"/>
        <v>PAAS</v>
      </c>
      <c r="O472" s="659" t="str">
        <f t="shared" si="43"/>
        <v/>
      </c>
    </row>
    <row r="473" spans="1:15">
      <c r="A473" s="659" t="s">
        <v>1054</v>
      </c>
      <c r="B473" s="659" t="s">
        <v>1371</v>
      </c>
      <c r="C473" s="659" t="s">
        <v>133</v>
      </c>
      <c r="D473" s="659">
        <v>0.3226</v>
      </c>
      <c r="E473" s="659" t="s">
        <v>49</v>
      </c>
      <c r="F473" s="659" t="s">
        <v>2290</v>
      </c>
      <c r="G473" s="659" t="s">
        <v>2238</v>
      </c>
      <c r="H473" s="659" t="s">
        <v>2161</v>
      </c>
      <c r="I473" s="659" t="s">
        <v>1636</v>
      </c>
      <c r="J473" s="659" t="s">
        <v>1338</v>
      </c>
      <c r="K473" s="662" t="str">
        <f t="shared" si="39"/>
        <v>CC OCPU</v>
      </c>
      <c r="L473" s="660" t="str">
        <f t="shared" si="40"/>
        <v>HR</v>
      </c>
      <c r="M473" s="660" t="str">
        <f t="shared" si="41"/>
        <v>UC</v>
      </c>
      <c r="N473" s="660" t="str">
        <f t="shared" si="42"/>
        <v>BYOL</v>
      </c>
      <c r="O473" s="659" t="str">
        <f t="shared" si="43"/>
        <v/>
      </c>
    </row>
    <row r="474" spans="1:15">
      <c r="A474" s="659" t="s">
        <v>1068</v>
      </c>
      <c r="B474" s="659" t="s">
        <v>2215</v>
      </c>
      <c r="C474" s="659">
        <v>21.505400000000002</v>
      </c>
      <c r="D474" s="659">
        <v>21.505400000000002</v>
      </c>
      <c r="E474" s="659" t="s">
        <v>2192</v>
      </c>
      <c r="F474" s="659" t="s">
        <v>2290</v>
      </c>
      <c r="G474" s="659" t="s">
        <v>1838</v>
      </c>
      <c r="H474" s="659" t="s">
        <v>2161</v>
      </c>
      <c r="I474" s="659" t="s">
        <v>1636</v>
      </c>
      <c r="J474" s="659" t="s">
        <v>2159</v>
      </c>
      <c r="K474" s="662" t="str">
        <f t="shared" si="39"/>
        <v>ExaCS</v>
      </c>
      <c r="L474" s="660" t="str">
        <f t="shared" si="40"/>
        <v>HR</v>
      </c>
      <c r="M474" s="660" t="str">
        <f t="shared" si="41"/>
        <v>UC</v>
      </c>
      <c r="N474" s="660" t="str">
        <f t="shared" si="42"/>
        <v>PAAS</v>
      </c>
      <c r="O474" s="659" t="str">
        <f t="shared" si="43"/>
        <v/>
      </c>
    </row>
    <row r="475" spans="1:15">
      <c r="A475" s="659" t="s">
        <v>1069</v>
      </c>
      <c r="B475" s="659" t="s">
        <v>2337</v>
      </c>
      <c r="C475" s="659">
        <v>43.0107</v>
      </c>
      <c r="D475" s="659">
        <v>43.0107</v>
      </c>
      <c r="E475" s="659" t="s">
        <v>2192</v>
      </c>
      <c r="F475" s="659" t="s">
        <v>2290</v>
      </c>
      <c r="G475" s="659" t="s">
        <v>1838</v>
      </c>
      <c r="H475" s="659" t="s">
        <v>2161</v>
      </c>
      <c r="I475" s="659" t="s">
        <v>1636</v>
      </c>
      <c r="J475" s="659" t="s">
        <v>2159</v>
      </c>
      <c r="K475" s="662" t="str">
        <f t="shared" si="39"/>
        <v>ExaCS</v>
      </c>
      <c r="L475" s="660" t="str">
        <f t="shared" si="40"/>
        <v>HR</v>
      </c>
      <c r="M475" s="660" t="str">
        <f t="shared" si="41"/>
        <v>UC</v>
      </c>
      <c r="N475" s="660" t="str">
        <f t="shared" si="42"/>
        <v>PAAS</v>
      </c>
      <c r="O475" s="659" t="str">
        <f t="shared" si="43"/>
        <v/>
      </c>
    </row>
    <row r="476" spans="1:15">
      <c r="A476" s="659" t="s">
        <v>1070</v>
      </c>
      <c r="B476" s="659" t="s">
        <v>2338</v>
      </c>
      <c r="C476" s="659">
        <v>86.021500000000003</v>
      </c>
      <c r="D476" s="659">
        <v>86.021500000000003</v>
      </c>
      <c r="E476" s="659" t="s">
        <v>2192</v>
      </c>
      <c r="F476" s="659" t="s">
        <v>2290</v>
      </c>
      <c r="G476" s="659" t="s">
        <v>1838</v>
      </c>
      <c r="H476" s="659" t="s">
        <v>2161</v>
      </c>
      <c r="I476" s="659" t="s">
        <v>1636</v>
      </c>
      <c r="J476" s="659" t="s">
        <v>2159</v>
      </c>
      <c r="K476" s="662" t="str">
        <f t="shared" si="39"/>
        <v>ExaCS</v>
      </c>
      <c r="L476" s="660" t="str">
        <f t="shared" si="40"/>
        <v>HR</v>
      </c>
      <c r="M476" s="660" t="str">
        <f t="shared" si="41"/>
        <v>UC</v>
      </c>
      <c r="N476" s="660" t="str">
        <f t="shared" si="42"/>
        <v>PAAS</v>
      </c>
      <c r="O476" s="659" t="str">
        <f t="shared" si="43"/>
        <v/>
      </c>
    </row>
    <row r="477" spans="1:15">
      <c r="A477" s="659" t="s">
        <v>1071</v>
      </c>
      <c r="B477" s="659" t="s">
        <v>1072</v>
      </c>
      <c r="C477" s="659">
        <v>0</v>
      </c>
      <c r="D477" s="659">
        <v>2.95</v>
      </c>
      <c r="E477" s="659" t="s">
        <v>2191</v>
      </c>
      <c r="F477" s="659" t="s">
        <v>2290</v>
      </c>
      <c r="G477" s="659" t="s">
        <v>1835</v>
      </c>
      <c r="H477" s="659" t="s">
        <v>2161</v>
      </c>
      <c r="I477" s="659" t="s">
        <v>1636</v>
      </c>
      <c r="J477" s="659" t="s">
        <v>2158</v>
      </c>
      <c r="K477" s="662" t="str">
        <f t="shared" si="39"/>
        <v>Compute</v>
      </c>
      <c r="L477" s="660" t="str">
        <f t="shared" si="40"/>
        <v>HR</v>
      </c>
      <c r="M477" s="660" t="str">
        <f t="shared" si="41"/>
        <v>UC</v>
      </c>
      <c r="N477" s="660" t="str">
        <f t="shared" si="42"/>
        <v>IAAS</v>
      </c>
      <c r="O477" s="659" t="str">
        <f t="shared" si="43"/>
        <v/>
      </c>
    </row>
    <row r="478" spans="1:15">
      <c r="A478" s="659" t="s">
        <v>1055</v>
      </c>
      <c r="B478" s="659" t="s">
        <v>1076</v>
      </c>
      <c r="C478" s="659">
        <v>0</v>
      </c>
      <c r="D478" s="659">
        <v>0.7742</v>
      </c>
      <c r="E478" s="659" t="s">
        <v>49</v>
      </c>
      <c r="F478" s="659" t="s">
        <v>2290</v>
      </c>
      <c r="G478" s="659" t="s">
        <v>2391</v>
      </c>
      <c r="H478" s="659" t="s">
        <v>2161</v>
      </c>
      <c r="I478" s="659" t="s">
        <v>1636</v>
      </c>
      <c r="J478" s="659" t="s">
        <v>2159</v>
      </c>
      <c r="K478" s="662" t="str">
        <f t="shared" si="39"/>
        <v>Integration</v>
      </c>
      <c r="L478" s="660" t="str">
        <f t="shared" si="40"/>
        <v>HR</v>
      </c>
      <c r="M478" s="660" t="str">
        <f t="shared" si="41"/>
        <v>UC</v>
      </c>
      <c r="N478" s="660" t="str">
        <f t="shared" si="42"/>
        <v>PAAS</v>
      </c>
      <c r="O478" s="659" t="str">
        <f t="shared" si="43"/>
        <v/>
      </c>
    </row>
    <row r="479" spans="1:15">
      <c r="A479" s="659" t="s">
        <v>1056</v>
      </c>
      <c r="B479" s="659" t="s">
        <v>1077</v>
      </c>
      <c r="C479" s="659">
        <v>0</v>
      </c>
      <c r="D479" s="659">
        <v>0.4839</v>
      </c>
      <c r="E479" s="659" t="s">
        <v>49</v>
      </c>
      <c r="F479" s="659" t="s">
        <v>2290</v>
      </c>
      <c r="G479" s="659" t="s">
        <v>2391</v>
      </c>
      <c r="H479" s="659" t="s">
        <v>2161</v>
      </c>
      <c r="I479" s="659" t="s">
        <v>1636</v>
      </c>
      <c r="J479" s="659" t="s">
        <v>2159</v>
      </c>
      <c r="K479" s="662" t="str">
        <f t="shared" si="39"/>
        <v>Integration</v>
      </c>
      <c r="L479" s="660" t="str">
        <f t="shared" si="40"/>
        <v>HR</v>
      </c>
      <c r="M479" s="660" t="str">
        <f t="shared" si="41"/>
        <v>UC</v>
      </c>
      <c r="N479" s="660" t="str">
        <f t="shared" si="42"/>
        <v>PAAS</v>
      </c>
      <c r="O479" s="659" t="str">
        <f t="shared" si="43"/>
        <v/>
      </c>
    </row>
    <row r="480" spans="1:15">
      <c r="A480" s="659" t="s">
        <v>1078</v>
      </c>
      <c r="B480" s="659" t="s">
        <v>1079</v>
      </c>
      <c r="C480" s="659">
        <v>0</v>
      </c>
      <c r="D480" s="659">
        <v>0.19350000000000001</v>
      </c>
      <c r="E480" s="659" t="s">
        <v>49</v>
      </c>
      <c r="F480" s="659" t="s">
        <v>2290</v>
      </c>
      <c r="G480" s="659" t="s">
        <v>2391</v>
      </c>
      <c r="H480" s="659" t="s">
        <v>2161</v>
      </c>
      <c r="I480" s="659" t="s">
        <v>1636</v>
      </c>
      <c r="J480" s="659" t="s">
        <v>1338</v>
      </c>
      <c r="K480" s="662" t="str">
        <f t="shared" si="39"/>
        <v>Integration</v>
      </c>
      <c r="L480" s="660" t="str">
        <f t="shared" si="40"/>
        <v>HR</v>
      </c>
      <c r="M480" s="660" t="str">
        <f t="shared" si="41"/>
        <v>UC</v>
      </c>
      <c r="N480" s="660" t="str">
        <f t="shared" si="42"/>
        <v>BYOL</v>
      </c>
      <c r="O480" s="659" t="str">
        <f t="shared" si="43"/>
        <v/>
      </c>
    </row>
    <row r="481" spans="1:15">
      <c r="A481" s="659" t="s">
        <v>1057</v>
      </c>
      <c r="B481" s="659" t="s">
        <v>1058</v>
      </c>
      <c r="C481" s="659">
        <v>0</v>
      </c>
      <c r="D481" s="659">
        <v>0.7742</v>
      </c>
      <c r="E481" s="659" t="s">
        <v>49</v>
      </c>
      <c r="F481" s="659" t="s">
        <v>2290</v>
      </c>
      <c r="G481" s="659" t="s">
        <v>2400</v>
      </c>
      <c r="H481" s="659" t="s">
        <v>2161</v>
      </c>
      <c r="I481" s="659" t="s">
        <v>1636</v>
      </c>
      <c r="J481" s="659" t="s">
        <v>2159</v>
      </c>
      <c r="K481" s="662" t="str">
        <f t="shared" si="39"/>
        <v>Government</v>
      </c>
      <c r="L481" s="660" t="str">
        <f t="shared" si="40"/>
        <v>HR</v>
      </c>
      <c r="M481" s="660" t="str">
        <f t="shared" si="41"/>
        <v>UC</v>
      </c>
      <c r="N481" s="660" t="str">
        <f t="shared" si="42"/>
        <v>PAAS</v>
      </c>
      <c r="O481" s="659" t="str">
        <f t="shared" si="43"/>
        <v/>
      </c>
    </row>
    <row r="482" spans="1:15">
      <c r="A482" s="659" t="s">
        <v>1080</v>
      </c>
      <c r="B482" s="659" t="s">
        <v>1081</v>
      </c>
      <c r="C482" s="659">
        <v>0</v>
      </c>
      <c r="D482" s="659">
        <v>0.19350000000000001</v>
      </c>
      <c r="E482" s="659" t="s">
        <v>49</v>
      </c>
      <c r="F482" s="659" t="s">
        <v>2290</v>
      </c>
      <c r="G482" s="659" t="s">
        <v>2400</v>
      </c>
      <c r="H482" s="659" t="s">
        <v>2161</v>
      </c>
      <c r="I482" s="659" t="s">
        <v>1636</v>
      </c>
      <c r="J482" s="659" t="s">
        <v>1338</v>
      </c>
      <c r="K482" s="662" t="str">
        <f t="shared" si="39"/>
        <v>Government</v>
      </c>
      <c r="L482" s="660" t="str">
        <f t="shared" si="40"/>
        <v>HR</v>
      </c>
      <c r="M482" s="660" t="str">
        <f t="shared" si="41"/>
        <v>UC</v>
      </c>
      <c r="N482" s="660" t="str">
        <f t="shared" si="42"/>
        <v>BYOL</v>
      </c>
      <c r="O482" s="659" t="str">
        <f t="shared" si="43"/>
        <v/>
      </c>
    </row>
    <row r="483" spans="1:15">
      <c r="A483" s="659" t="s">
        <v>1082</v>
      </c>
      <c r="B483" s="659" t="s">
        <v>1243</v>
      </c>
      <c r="C483" s="659">
        <v>0</v>
      </c>
      <c r="D483" s="659">
        <v>0.19350000000000001</v>
      </c>
      <c r="E483" s="659" t="s">
        <v>49</v>
      </c>
      <c r="F483" s="659" t="s">
        <v>2290</v>
      </c>
      <c r="G483" s="659" t="s">
        <v>2391</v>
      </c>
      <c r="H483" s="659" t="s">
        <v>2161</v>
      </c>
      <c r="I483" s="659" t="s">
        <v>1636</v>
      </c>
      <c r="J483" s="659" t="s">
        <v>1338</v>
      </c>
      <c r="K483" s="662" t="str">
        <f t="shared" si="39"/>
        <v>Integration</v>
      </c>
      <c r="L483" s="660" t="str">
        <f t="shared" si="40"/>
        <v>HR</v>
      </c>
      <c r="M483" s="660" t="str">
        <f t="shared" si="41"/>
        <v>UC</v>
      </c>
      <c r="N483" s="660" t="str">
        <f t="shared" si="42"/>
        <v>BYOL</v>
      </c>
      <c r="O483" s="659" t="str">
        <f t="shared" si="43"/>
        <v/>
      </c>
    </row>
    <row r="484" spans="1:15">
      <c r="A484" s="659" t="s">
        <v>1139</v>
      </c>
      <c r="B484" s="659" t="s">
        <v>1140</v>
      </c>
      <c r="C484" s="659">
        <v>0</v>
      </c>
      <c r="D484" s="659">
        <v>0.3226</v>
      </c>
      <c r="E484" s="659" t="s">
        <v>49</v>
      </c>
      <c r="F484" s="659" t="s">
        <v>2290</v>
      </c>
      <c r="G484" s="659" t="s">
        <v>1836</v>
      </c>
      <c r="H484" s="659" t="s">
        <v>2161</v>
      </c>
      <c r="I484" s="659" t="s">
        <v>1636</v>
      </c>
      <c r="J484" s="659" t="s">
        <v>1338</v>
      </c>
      <c r="K484" s="662" t="str">
        <f t="shared" si="39"/>
        <v>ADW</v>
      </c>
      <c r="L484" s="660" t="str">
        <f t="shared" si="40"/>
        <v>HR</v>
      </c>
      <c r="M484" s="660" t="str">
        <f t="shared" si="41"/>
        <v>UC</v>
      </c>
      <c r="N484" s="660" t="str">
        <f t="shared" si="42"/>
        <v>BYOL</v>
      </c>
      <c r="O484" s="659" t="str">
        <f t="shared" si="43"/>
        <v/>
      </c>
    </row>
    <row r="485" spans="1:15">
      <c r="A485" s="659" t="s">
        <v>1083</v>
      </c>
      <c r="B485" s="659" t="s">
        <v>1084</v>
      </c>
      <c r="C485" s="659">
        <v>0</v>
      </c>
      <c r="D485" s="659">
        <v>0.19350000000000001</v>
      </c>
      <c r="E485" s="659" t="s">
        <v>49</v>
      </c>
      <c r="F485" s="659" t="s">
        <v>2290</v>
      </c>
      <c r="G485" s="659" t="s">
        <v>2400</v>
      </c>
      <c r="H485" s="659" t="s">
        <v>2161</v>
      </c>
      <c r="I485" s="659" t="s">
        <v>1636</v>
      </c>
      <c r="J485" s="659" t="s">
        <v>1338</v>
      </c>
      <c r="K485" s="662" t="str">
        <f t="shared" si="39"/>
        <v>Government</v>
      </c>
      <c r="L485" s="660" t="str">
        <f t="shared" si="40"/>
        <v>HR</v>
      </c>
      <c r="M485" s="660" t="str">
        <f t="shared" si="41"/>
        <v>UC</v>
      </c>
      <c r="N485" s="660" t="str">
        <f t="shared" si="42"/>
        <v>BYOL</v>
      </c>
      <c r="O485" s="659" t="str">
        <f t="shared" si="43"/>
        <v/>
      </c>
    </row>
    <row r="486" spans="1:15">
      <c r="A486" s="659" t="s">
        <v>1085</v>
      </c>
      <c r="B486" s="659" t="s">
        <v>1086</v>
      </c>
      <c r="C486" s="659">
        <v>0</v>
      </c>
      <c r="D486" s="659">
        <v>0.19350000000000001</v>
      </c>
      <c r="E486" s="659" t="s">
        <v>49</v>
      </c>
      <c r="F486" s="659" t="s">
        <v>2290</v>
      </c>
      <c r="G486" s="659" t="s">
        <v>2400</v>
      </c>
      <c r="H486" s="659" t="s">
        <v>2161</v>
      </c>
      <c r="I486" s="659" t="s">
        <v>1636</v>
      </c>
      <c r="J486" s="659" t="s">
        <v>1338</v>
      </c>
      <c r="K486" s="662" t="str">
        <f t="shared" si="39"/>
        <v>Government</v>
      </c>
      <c r="L486" s="660" t="str">
        <f t="shared" si="40"/>
        <v>HR</v>
      </c>
      <c r="M486" s="660" t="str">
        <f t="shared" si="41"/>
        <v>UC</v>
      </c>
      <c r="N486" s="660" t="str">
        <f t="shared" si="42"/>
        <v>BYOL</v>
      </c>
      <c r="O486" s="659" t="str">
        <f t="shared" si="43"/>
        <v/>
      </c>
    </row>
    <row r="487" spans="1:15">
      <c r="A487" s="659" t="s">
        <v>1087</v>
      </c>
      <c r="B487" s="659" t="s">
        <v>1088</v>
      </c>
      <c r="C487" s="659">
        <v>0</v>
      </c>
      <c r="D487" s="659">
        <v>0.19350000000000001</v>
      </c>
      <c r="E487" s="659" t="s">
        <v>49</v>
      </c>
      <c r="F487" s="659" t="s">
        <v>2290</v>
      </c>
      <c r="G487" s="659" t="s">
        <v>2309</v>
      </c>
      <c r="H487" s="659" t="s">
        <v>2161</v>
      </c>
      <c r="I487" s="659" t="s">
        <v>1636</v>
      </c>
      <c r="J487" s="659" t="s">
        <v>1338</v>
      </c>
      <c r="K487" s="662" t="str">
        <f t="shared" si="39"/>
        <v>DBaaS</v>
      </c>
      <c r="L487" s="660" t="str">
        <f t="shared" si="40"/>
        <v>HR</v>
      </c>
      <c r="M487" s="660" t="str">
        <f t="shared" si="41"/>
        <v>UC</v>
      </c>
      <c r="N487" s="660" t="str">
        <f t="shared" si="42"/>
        <v>BYOL</v>
      </c>
      <c r="O487" s="659" t="str">
        <f t="shared" si="43"/>
        <v/>
      </c>
    </row>
    <row r="488" spans="1:15">
      <c r="A488" s="659" t="s">
        <v>1089</v>
      </c>
      <c r="B488" s="659" t="s">
        <v>1244</v>
      </c>
      <c r="C488" s="659">
        <v>0</v>
      </c>
      <c r="D488" s="659">
        <v>0.19350000000000001</v>
      </c>
      <c r="E488" s="659" t="s">
        <v>49</v>
      </c>
      <c r="F488" s="659" t="s">
        <v>2290</v>
      </c>
      <c r="G488" s="659" t="s">
        <v>1839</v>
      </c>
      <c r="H488" s="659" t="s">
        <v>2161</v>
      </c>
      <c r="I488" s="659" t="s">
        <v>1636</v>
      </c>
      <c r="J488" s="659" t="s">
        <v>1338</v>
      </c>
      <c r="K488" s="662" t="str">
        <f t="shared" si="39"/>
        <v>Analytics</v>
      </c>
      <c r="L488" s="660" t="str">
        <f t="shared" si="40"/>
        <v>HR</v>
      </c>
      <c r="M488" s="660" t="str">
        <f t="shared" si="41"/>
        <v>UC</v>
      </c>
      <c r="N488" s="660" t="str">
        <f t="shared" si="42"/>
        <v>BYOL</v>
      </c>
      <c r="O488" s="659" t="str">
        <f t="shared" si="43"/>
        <v/>
      </c>
    </row>
    <row r="489" spans="1:15">
      <c r="A489" s="659" t="s">
        <v>1091</v>
      </c>
      <c r="B489" s="659" t="s">
        <v>1245</v>
      </c>
      <c r="C489" s="659">
        <v>0</v>
      </c>
      <c r="D489" s="659">
        <v>0.19350000000000001</v>
      </c>
      <c r="E489" s="659" t="s">
        <v>49</v>
      </c>
      <c r="F489" s="659" t="s">
        <v>2290</v>
      </c>
      <c r="G489" s="659" t="s">
        <v>1839</v>
      </c>
      <c r="H489" s="659" t="s">
        <v>2161</v>
      </c>
      <c r="I489" s="659" t="s">
        <v>1636</v>
      </c>
      <c r="J489" s="659" t="s">
        <v>1338</v>
      </c>
      <c r="K489" s="662" t="str">
        <f t="shared" si="39"/>
        <v>Analytics</v>
      </c>
      <c r="L489" s="660" t="str">
        <f t="shared" si="40"/>
        <v>HR</v>
      </c>
      <c r="M489" s="660" t="str">
        <f t="shared" si="41"/>
        <v>UC</v>
      </c>
      <c r="N489" s="660" t="str">
        <f t="shared" si="42"/>
        <v>BYOL</v>
      </c>
      <c r="O489" s="659" t="str">
        <f t="shared" si="43"/>
        <v/>
      </c>
    </row>
    <row r="490" spans="1:15">
      <c r="A490" s="659" t="s">
        <v>1093</v>
      </c>
      <c r="B490" s="659" t="s">
        <v>1094</v>
      </c>
      <c r="C490" s="659">
        <v>0</v>
      </c>
      <c r="D490" s="659">
        <v>0.19350000000000001</v>
      </c>
      <c r="E490" s="659" t="s">
        <v>49</v>
      </c>
      <c r="F490" s="659" t="s">
        <v>2290</v>
      </c>
      <c r="G490" s="659" t="s">
        <v>2309</v>
      </c>
      <c r="H490" s="659" t="s">
        <v>2161</v>
      </c>
      <c r="I490" s="659" t="s">
        <v>1636</v>
      </c>
      <c r="J490" s="659" t="s">
        <v>1338</v>
      </c>
      <c r="K490" s="662" t="str">
        <f t="shared" si="39"/>
        <v>DBaaS</v>
      </c>
      <c r="L490" s="660" t="str">
        <f t="shared" si="40"/>
        <v>HR</v>
      </c>
      <c r="M490" s="660" t="str">
        <f t="shared" si="41"/>
        <v>UC</v>
      </c>
      <c r="N490" s="660" t="str">
        <f t="shared" si="42"/>
        <v>BYOL</v>
      </c>
      <c r="O490" s="659" t="str">
        <f t="shared" si="43"/>
        <v/>
      </c>
    </row>
    <row r="491" spans="1:15">
      <c r="A491" s="659" t="s">
        <v>2528</v>
      </c>
      <c r="B491" s="659" t="s">
        <v>2529</v>
      </c>
      <c r="C491" s="659">
        <v>0</v>
      </c>
      <c r="D491" s="659">
        <v>10758.53</v>
      </c>
      <c r="E491" s="659" t="s">
        <v>1154</v>
      </c>
      <c r="F491" s="659" t="s">
        <v>2290</v>
      </c>
      <c r="G491" s="659" t="s">
        <v>2558</v>
      </c>
      <c r="H491" s="659" t="s">
        <v>2397</v>
      </c>
      <c r="I491" s="659" t="s">
        <v>1637</v>
      </c>
      <c r="J491" s="659" t="s">
        <v>1637</v>
      </c>
      <c r="K491" s="662" t="str">
        <f t="shared" si="39"/>
        <v>Consulting</v>
      </c>
      <c r="L491" s="660" t="str">
        <f t="shared" si="40"/>
        <v>EA</v>
      </c>
      <c r="M491" s="660" t="str">
        <f t="shared" si="41"/>
        <v>SRV</v>
      </c>
      <c r="N491" s="660" t="str">
        <f t="shared" si="42"/>
        <v>SRV</v>
      </c>
      <c r="O491" s="659" t="str">
        <f t="shared" si="43"/>
        <v/>
      </c>
    </row>
    <row r="492" spans="1:15">
      <c r="A492" s="659" t="s">
        <v>2530</v>
      </c>
      <c r="B492" s="659" t="s">
        <v>2531</v>
      </c>
      <c r="C492" s="659">
        <v>0</v>
      </c>
      <c r="D492" s="659">
        <v>80.69</v>
      </c>
      <c r="E492" s="659" t="s">
        <v>1154</v>
      </c>
      <c r="F492" s="659" t="s">
        <v>2290</v>
      </c>
      <c r="G492" s="659" t="s">
        <v>2558</v>
      </c>
      <c r="H492" s="659" t="s">
        <v>2397</v>
      </c>
      <c r="I492" s="659" t="s">
        <v>1637</v>
      </c>
      <c r="J492" s="659" t="s">
        <v>1637</v>
      </c>
      <c r="K492" s="662" t="str">
        <f t="shared" si="39"/>
        <v>Consulting</v>
      </c>
      <c r="L492" s="660" t="str">
        <f t="shared" si="40"/>
        <v>EA</v>
      </c>
      <c r="M492" s="660" t="str">
        <f t="shared" si="41"/>
        <v>SRV</v>
      </c>
      <c r="N492" s="660" t="str">
        <f t="shared" si="42"/>
        <v>SRV</v>
      </c>
      <c r="O492" s="659" t="str">
        <f t="shared" si="43"/>
        <v/>
      </c>
    </row>
    <row r="493" spans="1:15">
      <c r="A493" s="659" t="s">
        <v>2532</v>
      </c>
      <c r="B493" s="659" t="s">
        <v>2533</v>
      </c>
      <c r="C493" s="659">
        <v>0</v>
      </c>
      <c r="D493" s="659">
        <v>18827.43</v>
      </c>
      <c r="E493" s="659" t="s">
        <v>1154</v>
      </c>
      <c r="F493" s="659" t="s">
        <v>2290</v>
      </c>
      <c r="G493" s="659" t="s">
        <v>2558</v>
      </c>
      <c r="H493" s="659" t="s">
        <v>2397</v>
      </c>
      <c r="I493" s="659" t="s">
        <v>1637</v>
      </c>
      <c r="J493" s="659" t="s">
        <v>1637</v>
      </c>
      <c r="K493" s="662" t="str">
        <f t="shared" si="39"/>
        <v>Consulting</v>
      </c>
      <c r="L493" s="660" t="str">
        <f t="shared" si="40"/>
        <v>EA</v>
      </c>
      <c r="M493" s="660" t="str">
        <f t="shared" si="41"/>
        <v>SRV</v>
      </c>
      <c r="N493" s="660" t="str">
        <f t="shared" si="42"/>
        <v>SRV</v>
      </c>
      <c r="O493" s="659" t="str">
        <f t="shared" si="43"/>
        <v/>
      </c>
    </row>
    <row r="494" spans="1:15">
      <c r="A494" s="659" t="s">
        <v>2534</v>
      </c>
      <c r="B494" s="659" t="s">
        <v>2535</v>
      </c>
      <c r="C494" s="659">
        <v>0</v>
      </c>
      <c r="D494" s="659">
        <v>76.650000000000006</v>
      </c>
      <c r="E494" s="659" t="s">
        <v>1154</v>
      </c>
      <c r="F494" s="659" t="s">
        <v>2290</v>
      </c>
      <c r="G494" s="659" t="s">
        <v>2558</v>
      </c>
      <c r="H494" s="659" t="s">
        <v>2397</v>
      </c>
      <c r="I494" s="659" t="s">
        <v>1637</v>
      </c>
      <c r="J494" s="659" t="s">
        <v>1637</v>
      </c>
      <c r="K494" s="662" t="str">
        <f t="shared" si="39"/>
        <v>Consulting</v>
      </c>
      <c r="L494" s="660" t="str">
        <f t="shared" si="40"/>
        <v>EA</v>
      </c>
      <c r="M494" s="660" t="str">
        <f t="shared" si="41"/>
        <v>SRV</v>
      </c>
      <c r="N494" s="660" t="str">
        <f t="shared" si="42"/>
        <v>SRV</v>
      </c>
      <c r="O494" s="659" t="str">
        <f t="shared" si="43"/>
        <v/>
      </c>
    </row>
    <row r="495" spans="1:15">
      <c r="A495" s="659" t="s">
        <v>2536</v>
      </c>
      <c r="B495" s="659" t="s">
        <v>2537</v>
      </c>
      <c r="C495" s="659">
        <v>0</v>
      </c>
      <c r="D495" s="659">
        <v>26896.33</v>
      </c>
      <c r="E495" s="659" t="s">
        <v>1154</v>
      </c>
      <c r="F495" s="659" t="s">
        <v>2290</v>
      </c>
      <c r="G495" s="659" t="s">
        <v>2558</v>
      </c>
      <c r="H495" s="659" t="s">
        <v>2397</v>
      </c>
      <c r="I495" s="659" t="s">
        <v>1637</v>
      </c>
      <c r="J495" s="659" t="s">
        <v>1637</v>
      </c>
      <c r="K495" s="662" t="str">
        <f t="shared" si="39"/>
        <v>Consulting</v>
      </c>
      <c r="L495" s="660" t="str">
        <f t="shared" si="40"/>
        <v>EA</v>
      </c>
      <c r="M495" s="660" t="str">
        <f t="shared" si="41"/>
        <v>SRV</v>
      </c>
      <c r="N495" s="660" t="str">
        <f t="shared" si="42"/>
        <v>SRV</v>
      </c>
      <c r="O495" s="659" t="str">
        <f t="shared" si="43"/>
        <v/>
      </c>
    </row>
    <row r="496" spans="1:15">
      <c r="A496" s="659" t="s">
        <v>2538</v>
      </c>
      <c r="B496" s="659" t="s">
        <v>2539</v>
      </c>
      <c r="C496" s="659">
        <v>0</v>
      </c>
      <c r="D496" s="659">
        <v>72.62</v>
      </c>
      <c r="E496" s="659" t="s">
        <v>1154</v>
      </c>
      <c r="F496" s="659" t="s">
        <v>2290</v>
      </c>
      <c r="G496" s="659" t="s">
        <v>2558</v>
      </c>
      <c r="H496" s="659" t="s">
        <v>2397</v>
      </c>
      <c r="I496" s="659" t="s">
        <v>1637</v>
      </c>
      <c r="J496" s="659" t="s">
        <v>1637</v>
      </c>
      <c r="K496" s="662" t="str">
        <f t="shared" si="39"/>
        <v>Consulting</v>
      </c>
      <c r="L496" s="660" t="str">
        <f t="shared" si="40"/>
        <v>EA</v>
      </c>
      <c r="M496" s="660" t="str">
        <f t="shared" si="41"/>
        <v>SRV</v>
      </c>
      <c r="N496" s="660" t="str">
        <f t="shared" si="42"/>
        <v>SRV</v>
      </c>
      <c r="O496" s="659" t="str">
        <f t="shared" si="43"/>
        <v/>
      </c>
    </row>
    <row r="497" spans="1:15">
      <c r="A497" s="659" t="s">
        <v>1096</v>
      </c>
      <c r="B497" s="659" t="s">
        <v>1097</v>
      </c>
      <c r="C497" s="659">
        <v>0</v>
      </c>
      <c r="D497" s="659">
        <v>0</v>
      </c>
      <c r="E497" s="659" t="s">
        <v>1154</v>
      </c>
      <c r="F497" s="659" t="s">
        <v>2290</v>
      </c>
      <c r="G497" s="659" t="s">
        <v>2393</v>
      </c>
      <c r="H497" s="659" t="s">
        <v>2397</v>
      </c>
      <c r="I497" s="659" t="s">
        <v>1636</v>
      </c>
      <c r="J497" s="659" t="s">
        <v>2159</v>
      </c>
      <c r="K497" s="662" t="str">
        <f t="shared" si="39"/>
        <v>Deprecated</v>
      </c>
      <c r="L497" s="660" t="str">
        <f t="shared" si="40"/>
        <v>EA</v>
      </c>
      <c r="M497" s="660" t="str">
        <f t="shared" si="41"/>
        <v>UC</v>
      </c>
      <c r="N497" s="660" t="str">
        <f t="shared" si="42"/>
        <v>PAAS</v>
      </c>
      <c r="O497" s="659" t="str">
        <f t="shared" si="43"/>
        <v/>
      </c>
    </row>
    <row r="498" spans="1:15">
      <c r="A498" s="659" t="s">
        <v>1062</v>
      </c>
      <c r="B498" s="659" t="s">
        <v>2273</v>
      </c>
      <c r="C498" s="659">
        <v>1.6</v>
      </c>
      <c r="D498" s="659">
        <v>1.6</v>
      </c>
      <c r="E498" s="659" t="s">
        <v>2175</v>
      </c>
      <c r="F498" s="659" t="s">
        <v>2290</v>
      </c>
      <c r="G498" s="659" t="s">
        <v>1840</v>
      </c>
      <c r="H498" s="659" t="s">
        <v>2162</v>
      </c>
      <c r="I498" s="659" t="s">
        <v>1636</v>
      </c>
      <c r="J498" s="659" t="s">
        <v>2158</v>
      </c>
      <c r="K498" s="662" t="str">
        <f t="shared" si="39"/>
        <v>Storage</v>
      </c>
      <c r="L498" s="660" t="str">
        <f t="shared" si="40"/>
        <v>GB</v>
      </c>
      <c r="M498" s="660" t="str">
        <f t="shared" si="41"/>
        <v>UC</v>
      </c>
      <c r="N498" s="660" t="str">
        <f t="shared" si="42"/>
        <v>IAAS</v>
      </c>
      <c r="O498" s="659" t="str">
        <f t="shared" si="43"/>
        <v/>
      </c>
    </row>
    <row r="499" spans="1:15">
      <c r="A499" s="659" t="s">
        <v>1098</v>
      </c>
      <c r="B499" s="659" t="s">
        <v>1927</v>
      </c>
      <c r="C499" s="659">
        <v>5.1000000000000004E-3</v>
      </c>
      <c r="D499" s="659">
        <v>5.1000000000000004E-3</v>
      </c>
      <c r="E499" s="659" t="s">
        <v>2175</v>
      </c>
      <c r="F499" s="659" t="s">
        <v>2290</v>
      </c>
      <c r="G499" s="659" t="s">
        <v>1840</v>
      </c>
      <c r="H499" s="659" t="s">
        <v>2162</v>
      </c>
      <c r="I499" s="659" t="s">
        <v>1636</v>
      </c>
      <c r="J499" s="659" t="s">
        <v>2158</v>
      </c>
      <c r="K499" s="662" t="str">
        <f t="shared" si="39"/>
        <v>Storage</v>
      </c>
      <c r="L499" s="660" t="str">
        <f t="shared" si="40"/>
        <v>GB</v>
      </c>
      <c r="M499" s="660" t="str">
        <f t="shared" si="41"/>
        <v>UC</v>
      </c>
      <c r="N499" s="660" t="str">
        <f t="shared" si="42"/>
        <v>IAAS</v>
      </c>
      <c r="O499" s="659" t="str">
        <f t="shared" si="43"/>
        <v/>
      </c>
    </row>
    <row r="500" spans="1:15">
      <c r="A500" s="659" t="s">
        <v>1099</v>
      </c>
      <c r="B500" s="659" t="s">
        <v>1928</v>
      </c>
      <c r="C500" s="659">
        <v>5.0000000000000001E-4</v>
      </c>
      <c r="D500" s="659">
        <v>5.0000000000000001E-4</v>
      </c>
      <c r="E500" s="659" t="s">
        <v>2175</v>
      </c>
      <c r="F500" s="659" t="s">
        <v>2290</v>
      </c>
      <c r="G500" s="659" t="s">
        <v>1840</v>
      </c>
      <c r="H500" s="659" t="s">
        <v>2162</v>
      </c>
      <c r="I500" s="659" t="s">
        <v>1636</v>
      </c>
      <c r="J500" s="659" t="s">
        <v>2158</v>
      </c>
      <c r="K500" s="662" t="str">
        <f t="shared" si="39"/>
        <v>Storage</v>
      </c>
      <c r="L500" s="660" t="str">
        <f t="shared" si="40"/>
        <v>GB</v>
      </c>
      <c r="M500" s="660" t="str">
        <f t="shared" si="41"/>
        <v>UC</v>
      </c>
      <c r="N500" s="660" t="str">
        <f t="shared" si="42"/>
        <v>IAAS</v>
      </c>
      <c r="O500" s="659" t="str">
        <f t="shared" si="43"/>
        <v/>
      </c>
    </row>
    <row r="501" spans="1:15">
      <c r="A501" s="659" t="s">
        <v>1166</v>
      </c>
      <c r="B501" s="659" t="s">
        <v>1167</v>
      </c>
      <c r="C501" s="659">
        <v>0</v>
      </c>
      <c r="D501" s="659">
        <v>5.1999999999999998E-3</v>
      </c>
      <c r="E501" s="659" t="s">
        <v>2166</v>
      </c>
      <c r="F501" s="659" t="s">
        <v>2290</v>
      </c>
      <c r="G501" s="659" t="s">
        <v>1840</v>
      </c>
      <c r="H501" s="659" t="s">
        <v>2162</v>
      </c>
      <c r="I501" s="659" t="s">
        <v>1636</v>
      </c>
      <c r="J501" s="659" t="s">
        <v>2158</v>
      </c>
      <c r="K501" s="662" t="str">
        <f t="shared" si="39"/>
        <v>Storage</v>
      </c>
      <c r="L501" s="660" t="str">
        <f t="shared" si="40"/>
        <v>GB</v>
      </c>
      <c r="M501" s="660" t="str">
        <f t="shared" si="41"/>
        <v>UC</v>
      </c>
      <c r="N501" s="660" t="str">
        <f t="shared" si="42"/>
        <v>IAAS</v>
      </c>
      <c r="O501" s="659" t="str">
        <f t="shared" si="43"/>
        <v/>
      </c>
    </row>
    <row r="502" spans="1:15">
      <c r="A502" s="659" t="s">
        <v>1168</v>
      </c>
      <c r="B502" s="659" t="s">
        <v>1169</v>
      </c>
      <c r="C502" s="659">
        <v>0</v>
      </c>
      <c r="D502" s="659">
        <v>5.0000000000000001E-4</v>
      </c>
      <c r="E502" s="659" t="s">
        <v>2166</v>
      </c>
      <c r="F502" s="659" t="s">
        <v>2290</v>
      </c>
      <c r="G502" s="659" t="s">
        <v>1840</v>
      </c>
      <c r="H502" s="659" t="s">
        <v>2162</v>
      </c>
      <c r="I502" s="659" t="s">
        <v>1636</v>
      </c>
      <c r="J502" s="659" t="s">
        <v>2158</v>
      </c>
      <c r="K502" s="662" t="str">
        <f t="shared" si="39"/>
        <v>Storage</v>
      </c>
      <c r="L502" s="660" t="str">
        <f t="shared" si="40"/>
        <v>GB</v>
      </c>
      <c r="M502" s="660" t="str">
        <f t="shared" si="41"/>
        <v>UC</v>
      </c>
      <c r="N502" s="660" t="str">
        <f t="shared" si="42"/>
        <v>IAAS</v>
      </c>
      <c r="O502" s="659" t="str">
        <f t="shared" si="43"/>
        <v/>
      </c>
    </row>
    <row r="503" spans="1:15">
      <c r="A503" s="659" t="s">
        <v>2540</v>
      </c>
      <c r="B503" s="659" t="s">
        <v>2541</v>
      </c>
      <c r="C503" s="659">
        <v>0</v>
      </c>
      <c r="D503" s="659">
        <v>1250</v>
      </c>
      <c r="E503" s="659" t="s">
        <v>1154</v>
      </c>
      <c r="F503" s="659" t="s">
        <v>2290</v>
      </c>
      <c r="G503" s="659" t="s">
        <v>2558</v>
      </c>
      <c r="H503" s="659" t="s">
        <v>2397</v>
      </c>
      <c r="I503" s="659" t="s">
        <v>1637</v>
      </c>
      <c r="J503" s="659" t="s">
        <v>1637</v>
      </c>
      <c r="K503" s="662" t="str">
        <f t="shared" si="39"/>
        <v>Consulting</v>
      </c>
      <c r="L503" s="660" t="str">
        <f t="shared" si="40"/>
        <v>EA</v>
      </c>
      <c r="M503" s="660" t="str">
        <f t="shared" si="41"/>
        <v>SRV</v>
      </c>
      <c r="N503" s="660" t="str">
        <f t="shared" si="42"/>
        <v>SRV</v>
      </c>
      <c r="O503" s="659" t="str">
        <f t="shared" si="43"/>
        <v/>
      </c>
    </row>
    <row r="504" spans="1:15">
      <c r="A504" s="659" t="s">
        <v>1110</v>
      </c>
      <c r="B504" s="659" t="s">
        <v>1246</v>
      </c>
      <c r="C504" s="659">
        <v>2.3199999999999998E-2</v>
      </c>
      <c r="D504" s="659">
        <v>2.3199999999999998E-2</v>
      </c>
      <c r="E504" s="659" t="s">
        <v>2216</v>
      </c>
      <c r="F504" s="659" t="s">
        <v>2290</v>
      </c>
      <c r="G504" s="659" t="s">
        <v>2392</v>
      </c>
      <c r="H504" s="659" t="s">
        <v>2394</v>
      </c>
      <c r="I504" s="659" t="s">
        <v>1636</v>
      </c>
      <c r="J504" s="659" t="s">
        <v>2159</v>
      </c>
      <c r="K504" s="662" t="str">
        <f t="shared" si="39"/>
        <v>Platform</v>
      </c>
      <c r="L504" s="660" t="str">
        <f t="shared" si="40"/>
        <v>UNIT</v>
      </c>
      <c r="M504" s="660" t="str">
        <f t="shared" si="41"/>
        <v>UC</v>
      </c>
      <c r="N504" s="660" t="str">
        <f t="shared" si="42"/>
        <v>PAAS</v>
      </c>
      <c r="O504" s="659" t="str">
        <f t="shared" si="43"/>
        <v/>
      </c>
    </row>
    <row r="505" spans="1:15">
      <c r="A505" s="659" t="s">
        <v>1111</v>
      </c>
      <c r="B505" s="659" t="s">
        <v>1247</v>
      </c>
      <c r="C505" s="659">
        <v>0</v>
      </c>
      <c r="D505" s="659">
        <v>1.2903</v>
      </c>
      <c r="E505" s="659" t="s">
        <v>2212</v>
      </c>
      <c r="F505" s="659" t="s">
        <v>2290</v>
      </c>
      <c r="G505" s="659" t="s">
        <v>2391</v>
      </c>
      <c r="H505" s="659" t="s">
        <v>2161</v>
      </c>
      <c r="I505" s="659" t="s">
        <v>1636</v>
      </c>
      <c r="J505" s="659" t="s">
        <v>2159</v>
      </c>
      <c r="K505" s="662" t="str">
        <f t="shared" si="39"/>
        <v>Integration</v>
      </c>
      <c r="L505" s="660" t="str">
        <f t="shared" si="40"/>
        <v>HR</v>
      </c>
      <c r="M505" s="660" t="str">
        <f t="shared" si="41"/>
        <v>UC</v>
      </c>
      <c r="N505" s="660" t="str">
        <f t="shared" si="42"/>
        <v>PAAS</v>
      </c>
      <c r="O505" s="659" t="str">
        <f t="shared" si="43"/>
        <v/>
      </c>
    </row>
    <row r="506" spans="1:15">
      <c r="A506" s="659" t="s">
        <v>1112</v>
      </c>
      <c r="B506" s="659" t="s">
        <v>1248</v>
      </c>
      <c r="C506" s="659">
        <v>0</v>
      </c>
      <c r="D506" s="659">
        <v>1.9354</v>
      </c>
      <c r="E506" s="659" t="s">
        <v>2212</v>
      </c>
      <c r="F506" s="659" t="s">
        <v>2290</v>
      </c>
      <c r="G506" s="659" t="s">
        <v>2391</v>
      </c>
      <c r="H506" s="659" t="s">
        <v>2161</v>
      </c>
      <c r="I506" s="659" t="s">
        <v>1636</v>
      </c>
      <c r="J506" s="659" t="s">
        <v>2159</v>
      </c>
      <c r="K506" s="662" t="str">
        <f t="shared" si="39"/>
        <v>Integration</v>
      </c>
      <c r="L506" s="660" t="str">
        <f t="shared" si="40"/>
        <v>HR</v>
      </c>
      <c r="M506" s="660" t="str">
        <f t="shared" si="41"/>
        <v>UC</v>
      </c>
      <c r="N506" s="660" t="str">
        <f t="shared" si="42"/>
        <v>PAAS</v>
      </c>
      <c r="O506" s="659" t="str">
        <f t="shared" si="43"/>
        <v/>
      </c>
    </row>
    <row r="507" spans="1:15">
      <c r="A507" s="659" t="s">
        <v>1113</v>
      </c>
      <c r="B507" s="659" t="s">
        <v>1249</v>
      </c>
      <c r="C507" s="659">
        <v>0</v>
      </c>
      <c r="D507" s="659">
        <v>0.3226</v>
      </c>
      <c r="E507" s="659" t="s">
        <v>2212</v>
      </c>
      <c r="F507" s="659" t="s">
        <v>2290</v>
      </c>
      <c r="G507" s="659" t="s">
        <v>2391</v>
      </c>
      <c r="H507" s="659" t="s">
        <v>2161</v>
      </c>
      <c r="I507" s="659" t="s">
        <v>1636</v>
      </c>
      <c r="J507" s="659" t="s">
        <v>1338</v>
      </c>
      <c r="K507" s="662" t="str">
        <f t="shared" si="39"/>
        <v>Integration</v>
      </c>
      <c r="L507" s="660" t="str">
        <f t="shared" si="40"/>
        <v>HR</v>
      </c>
      <c r="M507" s="660" t="str">
        <f t="shared" si="41"/>
        <v>UC</v>
      </c>
      <c r="N507" s="660" t="str">
        <f t="shared" si="42"/>
        <v>BYOL</v>
      </c>
      <c r="O507" s="659" t="str">
        <f t="shared" si="43"/>
        <v/>
      </c>
    </row>
    <row r="508" spans="1:15">
      <c r="A508" s="659" t="s">
        <v>1114</v>
      </c>
      <c r="B508" s="659" t="s">
        <v>1250</v>
      </c>
      <c r="C508" s="659">
        <v>0</v>
      </c>
      <c r="D508" s="659">
        <v>0.3226</v>
      </c>
      <c r="E508" s="659" t="s">
        <v>2212</v>
      </c>
      <c r="F508" s="659" t="s">
        <v>2290</v>
      </c>
      <c r="G508" s="659" t="s">
        <v>2391</v>
      </c>
      <c r="H508" s="659" t="s">
        <v>2161</v>
      </c>
      <c r="I508" s="659" t="s">
        <v>1636</v>
      </c>
      <c r="J508" s="659" t="s">
        <v>1338</v>
      </c>
      <c r="K508" s="662" t="str">
        <f t="shared" si="39"/>
        <v>Integration</v>
      </c>
      <c r="L508" s="660" t="str">
        <f t="shared" si="40"/>
        <v>HR</v>
      </c>
      <c r="M508" s="660" t="str">
        <f t="shared" si="41"/>
        <v>UC</v>
      </c>
      <c r="N508" s="660" t="str">
        <f t="shared" si="42"/>
        <v>BYOL</v>
      </c>
      <c r="O508" s="659" t="str">
        <f t="shared" si="43"/>
        <v/>
      </c>
    </row>
    <row r="509" spans="1:15">
      <c r="A509" s="659" t="s">
        <v>1115</v>
      </c>
      <c r="B509" s="659" t="s">
        <v>1251</v>
      </c>
      <c r="C509" s="659">
        <v>0</v>
      </c>
      <c r="D509" s="659">
        <v>2.8E-3</v>
      </c>
      <c r="E509" s="659" t="s">
        <v>2216</v>
      </c>
      <c r="F509" s="659" t="s">
        <v>2290</v>
      </c>
      <c r="G509" s="659" t="s">
        <v>2400</v>
      </c>
      <c r="H509" s="659" t="s">
        <v>2394</v>
      </c>
      <c r="I509" s="659" t="s">
        <v>1636</v>
      </c>
      <c r="J509" s="659" t="s">
        <v>2159</v>
      </c>
      <c r="K509" s="662" t="str">
        <f t="shared" si="39"/>
        <v>Government</v>
      </c>
      <c r="L509" s="660" t="str">
        <f t="shared" si="40"/>
        <v>UNIT</v>
      </c>
      <c r="M509" s="660" t="str">
        <f t="shared" si="41"/>
        <v>UC</v>
      </c>
      <c r="N509" s="660" t="str">
        <f t="shared" si="42"/>
        <v>PAAS</v>
      </c>
      <c r="O509" s="659" t="str">
        <f t="shared" si="43"/>
        <v/>
      </c>
    </row>
    <row r="510" spans="1:15">
      <c r="A510" s="659" t="s">
        <v>1116</v>
      </c>
      <c r="B510" s="659" t="s">
        <v>1667</v>
      </c>
      <c r="C510" s="659">
        <v>0</v>
      </c>
      <c r="D510" s="659">
        <v>1.0752999999999999</v>
      </c>
      <c r="E510" s="659" t="s">
        <v>49</v>
      </c>
      <c r="F510" s="659" t="s">
        <v>2290</v>
      </c>
      <c r="G510" s="659" t="s">
        <v>1839</v>
      </c>
      <c r="H510" s="659" t="s">
        <v>2161</v>
      </c>
      <c r="I510" s="659" t="s">
        <v>1636</v>
      </c>
      <c r="J510" s="659" t="s">
        <v>2159</v>
      </c>
      <c r="K510" s="662" t="str">
        <f t="shared" si="39"/>
        <v>Analytics</v>
      </c>
      <c r="L510" s="660" t="str">
        <f t="shared" si="40"/>
        <v>HR</v>
      </c>
      <c r="M510" s="660" t="str">
        <f t="shared" si="41"/>
        <v>UC</v>
      </c>
      <c r="N510" s="660" t="str">
        <f t="shared" si="42"/>
        <v>PAAS</v>
      </c>
      <c r="O510" s="659" t="str">
        <f t="shared" si="43"/>
        <v/>
      </c>
    </row>
    <row r="511" spans="1:15">
      <c r="A511" s="659" t="s">
        <v>1117</v>
      </c>
      <c r="B511" s="659" t="s">
        <v>453</v>
      </c>
      <c r="C511" s="659">
        <v>0</v>
      </c>
      <c r="D511" s="659">
        <v>2.1505999999999998</v>
      </c>
      <c r="E511" s="659" t="s">
        <v>49</v>
      </c>
      <c r="F511" s="659" t="s">
        <v>2290</v>
      </c>
      <c r="G511" s="659" t="s">
        <v>1839</v>
      </c>
      <c r="H511" s="659" t="s">
        <v>2161</v>
      </c>
      <c r="I511" s="659" t="s">
        <v>1636</v>
      </c>
      <c r="J511" s="659" t="s">
        <v>2159</v>
      </c>
      <c r="K511" s="662" t="str">
        <f t="shared" si="39"/>
        <v>Analytics</v>
      </c>
      <c r="L511" s="660" t="str">
        <f t="shared" si="40"/>
        <v>HR</v>
      </c>
      <c r="M511" s="660" t="str">
        <f t="shared" si="41"/>
        <v>UC</v>
      </c>
      <c r="N511" s="660" t="str">
        <f t="shared" si="42"/>
        <v>PAAS</v>
      </c>
      <c r="O511" s="659" t="str">
        <f t="shared" si="43"/>
        <v/>
      </c>
    </row>
    <row r="512" spans="1:15">
      <c r="A512" s="659" t="s">
        <v>1118</v>
      </c>
      <c r="B512" s="659" t="s">
        <v>1090</v>
      </c>
      <c r="C512" s="659">
        <v>0</v>
      </c>
      <c r="D512" s="659">
        <v>0.3226</v>
      </c>
      <c r="E512" s="659" t="s">
        <v>49</v>
      </c>
      <c r="F512" s="659" t="s">
        <v>2290</v>
      </c>
      <c r="G512" s="659" t="s">
        <v>1839</v>
      </c>
      <c r="H512" s="659" t="s">
        <v>2161</v>
      </c>
      <c r="I512" s="659" t="s">
        <v>1636</v>
      </c>
      <c r="J512" s="659" t="s">
        <v>1338</v>
      </c>
      <c r="K512" s="662" t="str">
        <f t="shared" si="39"/>
        <v>Analytics</v>
      </c>
      <c r="L512" s="660" t="str">
        <f t="shared" si="40"/>
        <v>HR</v>
      </c>
      <c r="M512" s="660" t="str">
        <f t="shared" si="41"/>
        <v>UC</v>
      </c>
      <c r="N512" s="660" t="str">
        <f t="shared" si="42"/>
        <v>BYOL</v>
      </c>
      <c r="O512" s="659" t="str">
        <f t="shared" si="43"/>
        <v/>
      </c>
    </row>
    <row r="513" spans="1:15">
      <c r="A513" s="659" t="s">
        <v>1119</v>
      </c>
      <c r="B513" s="659" t="s">
        <v>1092</v>
      </c>
      <c r="C513" s="659">
        <v>0</v>
      </c>
      <c r="D513" s="659">
        <v>0.3226</v>
      </c>
      <c r="E513" s="659" t="s">
        <v>49</v>
      </c>
      <c r="F513" s="659" t="s">
        <v>2290</v>
      </c>
      <c r="G513" s="659" t="s">
        <v>1839</v>
      </c>
      <c r="H513" s="659" t="s">
        <v>2161</v>
      </c>
      <c r="I513" s="659" t="s">
        <v>1636</v>
      </c>
      <c r="J513" s="659" t="s">
        <v>1338</v>
      </c>
      <c r="K513" s="662" t="str">
        <f t="shared" si="39"/>
        <v>Analytics</v>
      </c>
      <c r="L513" s="660" t="str">
        <f t="shared" si="40"/>
        <v>HR</v>
      </c>
      <c r="M513" s="660" t="str">
        <f t="shared" si="41"/>
        <v>UC</v>
      </c>
      <c r="N513" s="660" t="str">
        <f t="shared" si="42"/>
        <v>BYOL</v>
      </c>
      <c r="O513" s="659" t="str">
        <f t="shared" si="43"/>
        <v/>
      </c>
    </row>
    <row r="514" spans="1:15" ht="16">
      <c r="A514" s="661" t="s">
        <v>1120</v>
      </c>
      <c r="B514" s="659" t="s">
        <v>1252</v>
      </c>
      <c r="C514" s="659">
        <v>0</v>
      </c>
      <c r="D514" s="659">
        <v>1.2903</v>
      </c>
      <c r="E514" s="659" t="s">
        <v>2210</v>
      </c>
      <c r="F514" s="659" t="s">
        <v>2290</v>
      </c>
      <c r="G514" s="659" t="s">
        <v>2391</v>
      </c>
      <c r="H514" s="659" t="s">
        <v>2161</v>
      </c>
      <c r="I514" s="659" t="s">
        <v>1636</v>
      </c>
      <c r="J514" s="659" t="s">
        <v>2159</v>
      </c>
      <c r="K514" s="662" t="str">
        <f t="shared" si="39"/>
        <v>Integration</v>
      </c>
      <c r="L514" s="660" t="str">
        <f t="shared" si="40"/>
        <v>HR</v>
      </c>
      <c r="M514" s="660" t="str">
        <f t="shared" si="41"/>
        <v>UC</v>
      </c>
      <c r="N514" s="660" t="str">
        <f t="shared" si="42"/>
        <v>PAAS</v>
      </c>
      <c r="O514" s="659" t="str">
        <f t="shared" si="43"/>
        <v/>
      </c>
    </row>
    <row r="515" spans="1:15" ht="16">
      <c r="A515" s="661" t="s">
        <v>1121</v>
      </c>
      <c r="B515" t="s">
        <v>1253</v>
      </c>
      <c r="C515" s="770">
        <v>0</v>
      </c>
      <c r="D515" s="770">
        <v>0.3226</v>
      </c>
      <c r="E515" s="659" t="s">
        <v>2211</v>
      </c>
      <c r="F515" t="s">
        <v>2290</v>
      </c>
      <c r="G515" s="659" t="s">
        <v>2391</v>
      </c>
      <c r="H515" s="659" t="s">
        <v>2161</v>
      </c>
      <c r="I515" s="659" t="s">
        <v>1636</v>
      </c>
      <c r="J515" s="659" t="s">
        <v>1338</v>
      </c>
      <c r="K515" s="662" t="str">
        <f t="shared" si="39"/>
        <v>Integration</v>
      </c>
      <c r="L515" s="660" t="str">
        <f t="shared" si="40"/>
        <v>HR</v>
      </c>
      <c r="M515" s="660" t="str">
        <f t="shared" si="41"/>
        <v>UC</v>
      </c>
      <c r="N515" s="660" t="str">
        <f t="shared" si="42"/>
        <v>BYOL</v>
      </c>
      <c r="O515" s="659" t="str">
        <f t="shared" si="43"/>
        <v/>
      </c>
    </row>
    <row r="516" spans="1:15" ht="16">
      <c r="A516" s="661" t="s">
        <v>1122</v>
      </c>
      <c r="B516" t="s">
        <v>3155</v>
      </c>
      <c r="C516" s="770">
        <v>0</v>
      </c>
      <c r="D516" s="770">
        <v>1.2365999999999999</v>
      </c>
      <c r="E516" s="659" t="s">
        <v>49</v>
      </c>
      <c r="F516" t="s">
        <v>2290</v>
      </c>
      <c r="G516" s="659" t="s">
        <v>2400</v>
      </c>
      <c r="H516" s="659" t="s">
        <v>2161</v>
      </c>
      <c r="I516" s="659" t="s">
        <v>1636</v>
      </c>
      <c r="J516" s="659" t="s">
        <v>2159</v>
      </c>
      <c r="K516" s="662" t="str">
        <f t="shared" ref="K516:K579" si="44">_xlfn.IFS(
ISNUMBER(SEARCH("Day",E516)),"Consulting",
ISNUMBER(SEARCH("Starter Pack",B516)),"Consulting",
ISNUMBER(SEARCH("Design",B516)),"Consulting",
ISNUMBER(SEARCH("Deploy",B516)),"Consulting",
ISNUMBER(SEARCH("Expert",B516)),"Consulting",
ISNUMBER(SEARCH("Installation",B516)),"Consulting",
ISNUMBER(SEARCH("Recommendation",B516)),"Consulting",
ISNUMBER(SEARCH("Transition",B516)),"Consulting",
ISNUMBER(SEARCH("Transition",B516)),"Support",
ISNUMBER(SEARCH("Transition",B516)),"Foundation Service",
ISNUMBER(SEARCH("Consulting",B516)),"Consulting",
ISNUMBER(SEARCH("in Advance",B516)),"New",
ISNUMBER(SEARCH("Universal Credits",B516)),"UC",
ISNUMBER(SEARCH("Ravello",B516)),"Deprecated",
ISNUMBER(SEARCH("Cloud Machine",B516)),"Deprecated",
ISNUMBER(SEARCH("Compute",B516)),"Compute",
ISNUMBER(SEARCH("Load Balancer",B516)),"Network",
ISNUMBER(SEARCH("FastConnect",B516)),"Network",
ISNUMBER(SEARCH("Database OCPU",B516)),"CC OCPU",
ISNUMBER(SEARCH("at Customer",B516)),"CC",
ISNUMBER(SEARCH("Cloud@Customer",B516)),"CC",
ISNUMBER(SEARCH("Exadata Storage",B516)),"Exa Storage",
ISNUMBER(SEARCH("Storage",B516)),"Storage",
ISNUMBER(SEARCH("Block ",B516)),"Storage",
ISNUMBER(SEARCH("Autonomous Data Warehouse",B516)),"ADW",
ISNUMBER(SEARCH("Autonomous Transaction Processing",B516)),"ATP",
ISNUMBER(SEARCH("Database Exadata",B516)),"ExaCS",
ISNUMBER(SEARCH("Database",B516)),"DBaaS",
ISNUMBER(SEARCH("Essbase",B516)),"DBaaS",
ISNUMBER(SEARCH("integration",B516)),"Integration",
ISNUMBER(SEARCH("SOA",B516)),"Integration",
ISNUMBER(SEARCH("Management Cloud",B516)),"Management",
ISNUMBER(SEARCH("Analytics",B516)),"Analytics",
ISNUMBER(SEARCH("Storage",B516)),"Storage",
ISNUMBER(SEARCH("Block ",B516)),"Storage",
ISNUMBER(SEARCH("Identity",B516)),"Platform",
ISNUMBER(SEARCH("Content",B516)),"Platform",
ISNUMBER(SEARCH("Weblogic",B516)),"Platform",
ISNUMBER(SEARCH("Digital Assistant",B516)),"Platform",
ISNUMBER(SEARCH("Limited",B516)),"Classic",
ISNUMBER(SEARCH("Classic",B516)),"Classic",
ISNUMBER(SEARCH("Government",B516)),"Government",
ISNUMBER(SEARCH("Metered",B516)),"Deprecated",
VALUE(RIGHT(A516,5))&lt;88206,"Deprecated",
TRUE,"Platform")</f>
        <v>Government</v>
      </c>
      <c r="L516" s="660" t="str">
        <f t="shared" si="40"/>
        <v>HR</v>
      </c>
      <c r="M516" s="660" t="str">
        <f t="shared" si="41"/>
        <v>UC</v>
      </c>
      <c r="N516" s="660" t="str">
        <f t="shared" si="42"/>
        <v>PAAS</v>
      </c>
      <c r="O516" s="659" t="str">
        <f t="shared" si="43"/>
        <v/>
      </c>
    </row>
    <row r="517" spans="1:15" ht="16">
      <c r="A517" s="661" t="s">
        <v>1565</v>
      </c>
      <c r="B517" t="s">
        <v>1566</v>
      </c>
      <c r="C517" s="770">
        <v>0</v>
      </c>
      <c r="D517" s="770">
        <v>57440</v>
      </c>
      <c r="E517" s="659" t="s">
        <v>1154</v>
      </c>
      <c r="F517" t="s">
        <v>2290</v>
      </c>
      <c r="G517" s="659" t="s">
        <v>2558</v>
      </c>
      <c r="H517" s="659" t="s">
        <v>2397</v>
      </c>
      <c r="I517" s="659" t="s">
        <v>1637</v>
      </c>
      <c r="J517" s="659" t="s">
        <v>1637</v>
      </c>
      <c r="K517" s="662" t="str">
        <f t="shared" si="44"/>
        <v>Consulting</v>
      </c>
      <c r="L517" s="660" t="str">
        <f t="shared" si="40"/>
        <v>EA</v>
      </c>
      <c r="M517" s="660" t="str">
        <f t="shared" si="41"/>
        <v>SRV</v>
      </c>
      <c r="N517" s="660" t="str">
        <f t="shared" si="42"/>
        <v>SRV</v>
      </c>
      <c r="O517" s="659" t="str">
        <f t="shared" si="43"/>
        <v/>
      </c>
    </row>
    <row r="518" spans="1:15" ht="16">
      <c r="A518" s="661" t="s">
        <v>1567</v>
      </c>
      <c r="B518" t="s">
        <v>1568</v>
      </c>
      <c r="C518" s="770">
        <v>0</v>
      </c>
      <c r="D518" s="770">
        <v>149703</v>
      </c>
      <c r="E518" s="659" t="s">
        <v>1154</v>
      </c>
      <c r="F518" t="s">
        <v>2290</v>
      </c>
      <c r="G518" s="659" t="s">
        <v>2558</v>
      </c>
      <c r="H518" s="659" t="s">
        <v>2397</v>
      </c>
      <c r="I518" s="659" t="s">
        <v>1637</v>
      </c>
      <c r="J518" s="659" t="s">
        <v>1637</v>
      </c>
      <c r="K518" s="662" t="str">
        <f t="shared" si="44"/>
        <v>Consulting</v>
      </c>
      <c r="L518" s="660" t="str">
        <f t="shared" si="40"/>
        <v>EA</v>
      </c>
      <c r="M518" s="660" t="str">
        <f t="shared" si="41"/>
        <v>SRV</v>
      </c>
      <c r="N518" s="660" t="str">
        <f t="shared" si="42"/>
        <v>SRV</v>
      </c>
      <c r="O518" s="659" t="str">
        <f t="shared" si="43"/>
        <v/>
      </c>
    </row>
    <row r="519" spans="1:15" ht="16">
      <c r="A519" s="661" t="s">
        <v>1569</v>
      </c>
      <c r="B519" t="s">
        <v>1570</v>
      </c>
      <c r="C519" s="770">
        <v>0</v>
      </c>
      <c r="D519" s="770">
        <v>689280</v>
      </c>
      <c r="E519" s="659" t="s">
        <v>1154</v>
      </c>
      <c r="F519" t="s">
        <v>2290</v>
      </c>
      <c r="G519" s="659" t="s">
        <v>2558</v>
      </c>
      <c r="H519" s="659" t="s">
        <v>2397</v>
      </c>
      <c r="I519" s="659" t="s">
        <v>1637</v>
      </c>
      <c r="J519" s="659" t="s">
        <v>1637</v>
      </c>
      <c r="K519" s="662" t="str">
        <f t="shared" si="44"/>
        <v>Consulting</v>
      </c>
      <c r="L519" s="660" t="str">
        <f t="shared" si="40"/>
        <v>EA</v>
      </c>
      <c r="M519" s="660" t="str">
        <f t="shared" si="41"/>
        <v>SRV</v>
      </c>
      <c r="N519" s="660" t="str">
        <f t="shared" si="42"/>
        <v>SRV</v>
      </c>
      <c r="O519" s="659" t="str">
        <f t="shared" si="43"/>
        <v/>
      </c>
    </row>
    <row r="520" spans="1:15" ht="16">
      <c r="A520" s="661" t="s">
        <v>1123</v>
      </c>
      <c r="B520" t="s">
        <v>1124</v>
      </c>
      <c r="C520" s="770">
        <v>0</v>
      </c>
      <c r="D520" s="770">
        <v>0</v>
      </c>
      <c r="E520" s="659" t="s">
        <v>1154</v>
      </c>
      <c r="F520" t="s">
        <v>2290</v>
      </c>
      <c r="G520" s="659" t="s">
        <v>2400</v>
      </c>
      <c r="H520" s="659" t="s">
        <v>2397</v>
      </c>
      <c r="I520" s="659" t="s">
        <v>1636</v>
      </c>
      <c r="J520" s="659" t="s">
        <v>2159</v>
      </c>
      <c r="K520" s="662" t="str">
        <f t="shared" si="44"/>
        <v>Government</v>
      </c>
      <c r="L520" s="660" t="str">
        <f t="shared" si="40"/>
        <v>EA</v>
      </c>
      <c r="M520" s="660" t="str">
        <f t="shared" si="41"/>
        <v>UC</v>
      </c>
      <c r="N520" s="660" t="str">
        <f t="shared" si="42"/>
        <v>PAAS</v>
      </c>
      <c r="O520" s="659" t="str">
        <f t="shared" si="43"/>
        <v/>
      </c>
    </row>
    <row r="521" spans="1:15" ht="16">
      <c r="A521" s="661" t="s">
        <v>1125</v>
      </c>
      <c r="B521" t="s">
        <v>1359</v>
      </c>
      <c r="C521" s="770">
        <v>2.8E-3</v>
      </c>
      <c r="D521" s="770">
        <v>2.8E-3</v>
      </c>
      <c r="E521" s="659" t="s">
        <v>2216</v>
      </c>
      <c r="F521" t="s">
        <v>2290</v>
      </c>
      <c r="G521" s="659" t="s">
        <v>2392</v>
      </c>
      <c r="H521" s="659" t="s">
        <v>2394</v>
      </c>
      <c r="I521" s="659" t="s">
        <v>1636</v>
      </c>
      <c r="J521" s="659" t="s">
        <v>2159</v>
      </c>
      <c r="K521" s="662" t="str">
        <f t="shared" si="44"/>
        <v>Platform</v>
      </c>
      <c r="L521" s="660" t="str">
        <f t="shared" si="40"/>
        <v>UNIT</v>
      </c>
      <c r="M521" s="660" t="str">
        <f t="shared" si="41"/>
        <v>UC</v>
      </c>
      <c r="N521" s="660" t="str">
        <f t="shared" si="42"/>
        <v>PAAS</v>
      </c>
      <c r="O521" s="659" t="str">
        <f t="shared" si="43"/>
        <v/>
      </c>
    </row>
    <row r="522" spans="1:15" ht="16">
      <c r="A522" s="661" t="s">
        <v>1126</v>
      </c>
      <c r="B522" t="s">
        <v>1255</v>
      </c>
      <c r="C522" s="770">
        <v>0</v>
      </c>
      <c r="D522" s="770">
        <v>2.3199999999999998E-2</v>
      </c>
      <c r="E522" s="659" t="s">
        <v>2216</v>
      </c>
      <c r="F522" t="s">
        <v>2290</v>
      </c>
      <c r="G522" s="659" t="s">
        <v>2392</v>
      </c>
      <c r="H522" s="659" t="s">
        <v>2394</v>
      </c>
      <c r="I522" s="659" t="s">
        <v>1636</v>
      </c>
      <c r="J522" s="659" t="s">
        <v>2159</v>
      </c>
      <c r="K522" s="662" t="str">
        <f t="shared" si="44"/>
        <v>Platform</v>
      </c>
      <c r="L522" s="660" t="str">
        <f t="shared" si="40"/>
        <v>UNIT</v>
      </c>
      <c r="M522" s="660" t="str">
        <f t="shared" si="41"/>
        <v>UC</v>
      </c>
      <c r="N522" s="660" t="str">
        <f t="shared" si="42"/>
        <v>PAAS</v>
      </c>
      <c r="O522" s="659" t="str">
        <f t="shared" si="43"/>
        <v/>
      </c>
    </row>
    <row r="523" spans="1:15" ht="16">
      <c r="A523" s="661" t="s">
        <v>1262</v>
      </c>
      <c r="B523" t="s">
        <v>1263</v>
      </c>
      <c r="C523" s="770">
        <v>0.3</v>
      </c>
      <c r="D523" s="770">
        <v>0.3</v>
      </c>
      <c r="E523" s="659" t="s">
        <v>2217</v>
      </c>
      <c r="F523" t="s">
        <v>2290</v>
      </c>
      <c r="G523" s="659" t="s">
        <v>2392</v>
      </c>
      <c r="H523" s="659" t="s">
        <v>2394</v>
      </c>
      <c r="I523" s="659" t="s">
        <v>1636</v>
      </c>
      <c r="J523" s="659" t="s">
        <v>2159</v>
      </c>
      <c r="K523" s="662" t="str">
        <f t="shared" si="44"/>
        <v>Platform</v>
      </c>
      <c r="L523" s="660" t="str">
        <f t="shared" ref="L523:L586" si="45">_xlfn.IFS(ISNUMBER(SEARCH("Hour",E523)),"HR",ISNUMBER(SEARCH("Gigabyte",E523)),"GB",ISNUMBER(SEARCH("Terabyte",E523)),"TB",ISNUMBER(SEARCH("Requests",E523)),"REQ",ISNUMBER(SEARCH("Each",E523)),"EA",ISNUMBER(SEARCH("Day",E523)),"DAY","TRUE","UNIT")</f>
        <v>UNIT</v>
      </c>
      <c r="M523" s="660" t="str">
        <f t="shared" ref="M523:M586" si="46">_xlfn.IFS(K523="CC","CC",K523="Consulting","SRV",F523="Y","UC0",TRUE,"UC")</f>
        <v>UC</v>
      </c>
      <c r="N523" s="660" t="str">
        <f t="shared" ref="N523:N586" si="47">_xlfn.IFS(ISNUMBER(SEARCH("BYOL",B523)),"BYOL",K523="Storage","IAAS",K523="Compute","IAAS",K523="Network","IAAS",K523="Service","IAAS",M523="SRV","SRV",M523="CC","CC",L523="REQ","IAAS",TRUE,"PAAS")</f>
        <v>PAAS</v>
      </c>
      <c r="O523" s="659" t="str">
        <f t="shared" ref="O523:O586" si="48">IF(G523=K523,"","error")</f>
        <v/>
      </c>
    </row>
    <row r="524" spans="1:15" ht="16">
      <c r="A524" s="661" t="s">
        <v>1264</v>
      </c>
      <c r="B524" t="s">
        <v>1265</v>
      </c>
      <c r="C524" s="770">
        <v>1.3</v>
      </c>
      <c r="D524" s="770">
        <v>1.3</v>
      </c>
      <c r="E524" s="659" t="s">
        <v>2217</v>
      </c>
      <c r="F524" t="s">
        <v>2290</v>
      </c>
      <c r="G524" s="659" t="s">
        <v>2392</v>
      </c>
      <c r="H524" s="659" t="s">
        <v>2394</v>
      </c>
      <c r="I524" s="659" t="s">
        <v>1636</v>
      </c>
      <c r="J524" s="659" t="s">
        <v>2159</v>
      </c>
      <c r="K524" s="662" t="str">
        <f t="shared" si="44"/>
        <v>Platform</v>
      </c>
      <c r="L524" s="660" t="str">
        <f t="shared" si="45"/>
        <v>UNIT</v>
      </c>
      <c r="M524" s="660" t="str">
        <f t="shared" si="46"/>
        <v>UC</v>
      </c>
      <c r="N524" s="660" t="str">
        <f t="shared" si="47"/>
        <v>PAAS</v>
      </c>
      <c r="O524" s="659" t="str">
        <f t="shared" si="48"/>
        <v/>
      </c>
    </row>
    <row r="525" spans="1:15" ht="16">
      <c r="A525" s="661" t="s">
        <v>1266</v>
      </c>
      <c r="B525" s="659" t="s">
        <v>1267</v>
      </c>
      <c r="C525" s="664">
        <v>4</v>
      </c>
      <c r="D525">
        <v>4</v>
      </c>
      <c r="E525" t="s">
        <v>2218</v>
      </c>
      <c r="F525" t="s">
        <v>2290</v>
      </c>
      <c r="G525" s="659" t="s">
        <v>2392</v>
      </c>
      <c r="H525" s="659" t="s">
        <v>2394</v>
      </c>
      <c r="I525" s="659" t="s">
        <v>1636</v>
      </c>
      <c r="J525" s="659" t="s">
        <v>2159</v>
      </c>
      <c r="K525" s="662" t="str">
        <f t="shared" si="44"/>
        <v>Platform</v>
      </c>
      <c r="L525" s="660" t="str">
        <f t="shared" si="45"/>
        <v>UNIT</v>
      </c>
      <c r="M525" s="660" t="str">
        <f t="shared" si="46"/>
        <v>UC</v>
      </c>
      <c r="N525" s="660" t="str">
        <f t="shared" si="47"/>
        <v>PAAS</v>
      </c>
      <c r="O525" s="659" t="str">
        <f t="shared" si="48"/>
        <v/>
      </c>
    </row>
    <row r="526" spans="1:15">
      <c r="A526" t="s">
        <v>1141</v>
      </c>
      <c r="B526" t="s">
        <v>1142</v>
      </c>
      <c r="C526">
        <v>3.7240000000000002</v>
      </c>
      <c r="D526">
        <v>3.7240000000000002</v>
      </c>
      <c r="E526" t="s">
        <v>2219</v>
      </c>
      <c r="F526" t="s">
        <v>2290</v>
      </c>
      <c r="G526" s="659" t="s">
        <v>2392</v>
      </c>
      <c r="H526" s="659" t="s">
        <v>2161</v>
      </c>
      <c r="I526" s="659" t="s">
        <v>1636</v>
      </c>
      <c r="J526" s="659" t="s">
        <v>2159</v>
      </c>
      <c r="K526" s="662" t="str">
        <f t="shared" si="44"/>
        <v>Platform</v>
      </c>
      <c r="L526" s="660" t="str">
        <f t="shared" si="45"/>
        <v>HR</v>
      </c>
      <c r="M526" s="660" t="str">
        <f t="shared" si="46"/>
        <v>UC</v>
      </c>
      <c r="N526" s="660" t="str">
        <f t="shared" si="47"/>
        <v>PAAS</v>
      </c>
      <c r="O526" s="659" t="str">
        <f t="shared" si="48"/>
        <v/>
      </c>
    </row>
    <row r="527" spans="1:15">
      <c r="A527" t="s">
        <v>1341</v>
      </c>
      <c r="B527" t="s">
        <v>1342</v>
      </c>
      <c r="C527">
        <v>0</v>
      </c>
      <c r="D527">
        <v>0.3</v>
      </c>
      <c r="E527" t="s">
        <v>2217</v>
      </c>
      <c r="F527" t="s">
        <v>2290</v>
      </c>
      <c r="G527" s="659" t="s">
        <v>2400</v>
      </c>
      <c r="H527" s="659" t="s">
        <v>2394</v>
      </c>
      <c r="I527" s="659" t="s">
        <v>1636</v>
      </c>
      <c r="J527" s="659" t="s">
        <v>2159</v>
      </c>
      <c r="K527" s="662" t="str">
        <f t="shared" si="44"/>
        <v>Government</v>
      </c>
      <c r="L527" s="660" t="str">
        <f t="shared" si="45"/>
        <v>UNIT</v>
      </c>
      <c r="M527" s="660" t="str">
        <f t="shared" si="46"/>
        <v>UC</v>
      </c>
      <c r="N527" s="660" t="str">
        <f t="shared" si="47"/>
        <v>PAAS</v>
      </c>
      <c r="O527" s="659" t="str">
        <f t="shared" si="48"/>
        <v/>
      </c>
    </row>
    <row r="528" spans="1:15">
      <c r="A528" t="s">
        <v>1343</v>
      </c>
      <c r="B528" t="s">
        <v>1344</v>
      </c>
      <c r="C528">
        <v>0</v>
      </c>
      <c r="D528">
        <v>1.3</v>
      </c>
      <c r="E528" t="s">
        <v>2217</v>
      </c>
      <c r="F528" t="s">
        <v>2290</v>
      </c>
      <c r="G528" s="659" t="s">
        <v>2400</v>
      </c>
      <c r="H528" s="659" t="s">
        <v>2394</v>
      </c>
      <c r="I528" s="659" t="s">
        <v>1636</v>
      </c>
      <c r="J528" s="659" t="s">
        <v>2159</v>
      </c>
      <c r="K528" s="662" t="str">
        <f t="shared" si="44"/>
        <v>Government</v>
      </c>
      <c r="L528" s="660" t="str">
        <f t="shared" si="45"/>
        <v>UNIT</v>
      </c>
      <c r="M528" s="660" t="str">
        <f t="shared" si="46"/>
        <v>UC</v>
      </c>
      <c r="N528" s="660" t="str">
        <f t="shared" si="47"/>
        <v>PAAS</v>
      </c>
      <c r="O528" s="659" t="str">
        <f t="shared" si="48"/>
        <v/>
      </c>
    </row>
    <row r="529" spans="1:15">
      <c r="A529" t="s">
        <v>1345</v>
      </c>
      <c r="B529" t="s">
        <v>1346</v>
      </c>
      <c r="C529">
        <v>0</v>
      </c>
      <c r="D529">
        <v>4</v>
      </c>
      <c r="E529" t="s">
        <v>2218</v>
      </c>
      <c r="F529" t="s">
        <v>2290</v>
      </c>
      <c r="G529" s="659" t="s">
        <v>2400</v>
      </c>
      <c r="H529" s="659" t="s">
        <v>2394</v>
      </c>
      <c r="I529" s="659" t="s">
        <v>1636</v>
      </c>
      <c r="J529" s="659" t="s">
        <v>2159</v>
      </c>
      <c r="K529" s="662" t="str">
        <f t="shared" si="44"/>
        <v>Government</v>
      </c>
      <c r="L529" s="660" t="str">
        <f t="shared" si="45"/>
        <v>UNIT</v>
      </c>
      <c r="M529" s="660" t="str">
        <f t="shared" si="46"/>
        <v>UC</v>
      </c>
      <c r="N529" s="660" t="str">
        <f t="shared" si="47"/>
        <v>PAAS</v>
      </c>
      <c r="O529" s="659" t="str">
        <f t="shared" si="48"/>
        <v/>
      </c>
    </row>
    <row r="530" spans="1:15">
      <c r="A530" t="s">
        <v>1143</v>
      </c>
      <c r="B530" t="s">
        <v>1144</v>
      </c>
      <c r="C530">
        <v>0</v>
      </c>
      <c r="D530">
        <v>3.7240000000000002</v>
      </c>
      <c r="E530" t="s">
        <v>2219</v>
      </c>
      <c r="F530" t="s">
        <v>2290</v>
      </c>
      <c r="G530" s="659" t="s">
        <v>2400</v>
      </c>
      <c r="H530" s="659" t="s">
        <v>2161</v>
      </c>
      <c r="I530" s="659" t="s">
        <v>1636</v>
      </c>
      <c r="J530" s="659" t="s">
        <v>2159</v>
      </c>
      <c r="K530" s="662" t="str">
        <f t="shared" si="44"/>
        <v>Government</v>
      </c>
      <c r="L530" s="660" t="str">
        <f t="shared" si="45"/>
        <v>HR</v>
      </c>
      <c r="M530" s="660" t="str">
        <f t="shared" si="46"/>
        <v>UC</v>
      </c>
      <c r="N530" s="660" t="str">
        <f t="shared" si="47"/>
        <v>PAAS</v>
      </c>
      <c r="O530" s="659" t="str">
        <f t="shared" si="48"/>
        <v/>
      </c>
    </row>
    <row r="531" spans="1:15">
      <c r="A531" t="s">
        <v>1571</v>
      </c>
      <c r="B531" t="s">
        <v>1572</v>
      </c>
      <c r="C531">
        <v>0</v>
      </c>
      <c r="D531">
        <v>15000</v>
      </c>
      <c r="E531" t="s">
        <v>1154</v>
      </c>
      <c r="F531" t="s">
        <v>2290</v>
      </c>
      <c r="G531" s="659" t="s">
        <v>2558</v>
      </c>
      <c r="H531" s="659" t="s">
        <v>2397</v>
      </c>
      <c r="I531" s="659" t="s">
        <v>1637</v>
      </c>
      <c r="J531" s="659" t="s">
        <v>1637</v>
      </c>
      <c r="K531" s="662" t="str">
        <f t="shared" si="44"/>
        <v>Consulting</v>
      </c>
      <c r="L531" s="660" t="str">
        <f t="shared" si="45"/>
        <v>EA</v>
      </c>
      <c r="M531" s="660" t="str">
        <f t="shared" si="46"/>
        <v>SRV</v>
      </c>
      <c r="N531" s="660" t="str">
        <f t="shared" si="47"/>
        <v>SRV</v>
      </c>
      <c r="O531" s="659" t="str">
        <f t="shared" si="48"/>
        <v/>
      </c>
    </row>
    <row r="532" spans="1:15">
      <c r="A532" t="s">
        <v>1573</v>
      </c>
      <c r="B532" t="s">
        <v>1574</v>
      </c>
      <c r="C532">
        <v>0</v>
      </c>
      <c r="D532">
        <v>25000</v>
      </c>
      <c r="E532" t="s">
        <v>1154</v>
      </c>
      <c r="F532" t="s">
        <v>2290</v>
      </c>
      <c r="G532" s="659" t="s">
        <v>2558</v>
      </c>
      <c r="H532" s="659" t="s">
        <v>2397</v>
      </c>
      <c r="I532" s="659" t="s">
        <v>1637</v>
      </c>
      <c r="J532" s="659" t="s">
        <v>1637</v>
      </c>
      <c r="K532" s="662" t="str">
        <f t="shared" si="44"/>
        <v>Consulting</v>
      </c>
      <c r="L532" s="660" t="str">
        <f t="shared" si="45"/>
        <v>EA</v>
      </c>
      <c r="M532" s="660" t="str">
        <f t="shared" si="46"/>
        <v>SRV</v>
      </c>
      <c r="N532" s="660" t="str">
        <f t="shared" si="47"/>
        <v>SRV</v>
      </c>
      <c r="O532" s="659" t="str">
        <f t="shared" si="48"/>
        <v/>
      </c>
    </row>
    <row r="533" spans="1:15">
      <c r="A533" t="s">
        <v>1575</v>
      </c>
      <c r="B533" t="s">
        <v>1576</v>
      </c>
      <c r="C533">
        <v>0</v>
      </c>
      <c r="D533">
        <v>50000</v>
      </c>
      <c r="E533" t="s">
        <v>1154</v>
      </c>
      <c r="F533" t="s">
        <v>2290</v>
      </c>
      <c r="G533" s="659" t="s">
        <v>2558</v>
      </c>
      <c r="H533" s="659" t="s">
        <v>2397</v>
      </c>
      <c r="I533" s="659" t="s">
        <v>1637</v>
      </c>
      <c r="J533" s="659" t="s">
        <v>1637</v>
      </c>
      <c r="K533" s="662" t="str">
        <f t="shared" si="44"/>
        <v>Consulting</v>
      </c>
      <c r="L533" s="660" t="str">
        <f t="shared" si="45"/>
        <v>EA</v>
      </c>
      <c r="M533" s="660" t="str">
        <f t="shared" si="46"/>
        <v>SRV</v>
      </c>
      <c r="N533" s="660" t="str">
        <f t="shared" si="47"/>
        <v>SRV</v>
      </c>
      <c r="O533" s="659" t="str">
        <f t="shared" si="48"/>
        <v/>
      </c>
    </row>
    <row r="534" spans="1:15">
      <c r="A534" t="s">
        <v>1577</v>
      </c>
      <c r="B534" t="s">
        <v>1578</v>
      </c>
      <c r="C534">
        <v>0</v>
      </c>
      <c r="D534">
        <v>75000</v>
      </c>
      <c r="E534" t="s">
        <v>1154</v>
      </c>
      <c r="F534" t="s">
        <v>2290</v>
      </c>
      <c r="G534" s="659" t="s">
        <v>2558</v>
      </c>
      <c r="H534" s="659" t="s">
        <v>2397</v>
      </c>
      <c r="I534" s="659" t="s">
        <v>1637</v>
      </c>
      <c r="J534" s="659" t="s">
        <v>1637</v>
      </c>
      <c r="K534" s="662" t="str">
        <f t="shared" si="44"/>
        <v>Consulting</v>
      </c>
      <c r="L534" s="660" t="str">
        <f t="shared" si="45"/>
        <v>EA</v>
      </c>
      <c r="M534" s="660" t="str">
        <f t="shared" si="46"/>
        <v>SRV</v>
      </c>
      <c r="N534" s="660" t="str">
        <f t="shared" si="47"/>
        <v>SRV</v>
      </c>
      <c r="O534" s="659" t="str">
        <f t="shared" si="48"/>
        <v/>
      </c>
    </row>
    <row r="535" spans="1:15">
      <c r="A535" t="s">
        <v>1170</v>
      </c>
      <c r="B535" t="s">
        <v>1171</v>
      </c>
      <c r="C535">
        <v>7.4999999999999997E-2</v>
      </c>
      <c r="D535">
        <v>7.4999999999999997E-2</v>
      </c>
      <c r="E535" t="s">
        <v>49</v>
      </c>
      <c r="F535" t="s">
        <v>2290</v>
      </c>
      <c r="G535" s="659" t="s">
        <v>1835</v>
      </c>
      <c r="H535" s="659" t="s">
        <v>2161</v>
      </c>
      <c r="I535" s="659" t="s">
        <v>1636</v>
      </c>
      <c r="J535" s="659" t="s">
        <v>2158</v>
      </c>
      <c r="K535" s="662" t="str">
        <f t="shared" si="44"/>
        <v>Compute</v>
      </c>
      <c r="L535" s="660" t="str">
        <f t="shared" si="45"/>
        <v>HR</v>
      </c>
      <c r="M535" s="660" t="str">
        <f t="shared" si="46"/>
        <v>UC</v>
      </c>
      <c r="N535" s="660" t="str">
        <f t="shared" si="47"/>
        <v>IAAS</v>
      </c>
      <c r="O535" s="659" t="str">
        <f t="shared" si="48"/>
        <v/>
      </c>
    </row>
    <row r="536" spans="1:15">
      <c r="A536" t="s">
        <v>1172</v>
      </c>
      <c r="B536" t="s">
        <v>1194</v>
      </c>
      <c r="C536">
        <v>0</v>
      </c>
      <c r="D536">
        <v>7.4999999999999997E-2</v>
      </c>
      <c r="E536" t="s">
        <v>49</v>
      </c>
      <c r="F536" t="s">
        <v>2290</v>
      </c>
      <c r="G536" s="659" t="s">
        <v>1835</v>
      </c>
      <c r="H536" s="659" t="s">
        <v>2161</v>
      </c>
      <c r="I536" s="659" t="s">
        <v>1636</v>
      </c>
      <c r="J536" s="659" t="s">
        <v>2158</v>
      </c>
      <c r="K536" s="662" t="str">
        <f t="shared" si="44"/>
        <v>Compute</v>
      </c>
      <c r="L536" s="660" t="str">
        <f t="shared" si="45"/>
        <v>HR</v>
      </c>
      <c r="M536" s="660" t="str">
        <f t="shared" si="46"/>
        <v>UC</v>
      </c>
      <c r="N536" s="660" t="str">
        <f t="shared" si="47"/>
        <v>IAAS</v>
      </c>
      <c r="O536" s="659" t="str">
        <f t="shared" si="48"/>
        <v/>
      </c>
    </row>
    <row r="537" spans="1:15">
      <c r="A537" t="s">
        <v>1195</v>
      </c>
      <c r="B537" t="s">
        <v>1196</v>
      </c>
      <c r="C537">
        <v>0</v>
      </c>
      <c r="D537">
        <v>3.1800000000000002E-2</v>
      </c>
      <c r="E537" t="s">
        <v>49</v>
      </c>
      <c r="F537" t="s">
        <v>2290</v>
      </c>
      <c r="G537" s="659" t="s">
        <v>2393</v>
      </c>
      <c r="H537" s="659" t="s">
        <v>2161</v>
      </c>
      <c r="I537" s="659" t="s">
        <v>1636</v>
      </c>
      <c r="J537" s="659" t="s">
        <v>2159</v>
      </c>
      <c r="K537" s="662" t="str">
        <f t="shared" si="44"/>
        <v>Deprecated</v>
      </c>
      <c r="L537" s="660" t="str">
        <f t="shared" si="45"/>
        <v>HR</v>
      </c>
      <c r="M537" s="660" t="str">
        <f t="shared" si="46"/>
        <v>UC</v>
      </c>
      <c r="N537" s="660" t="str">
        <f t="shared" si="47"/>
        <v>PAAS</v>
      </c>
      <c r="O537" s="659" t="str">
        <f t="shared" si="48"/>
        <v/>
      </c>
    </row>
    <row r="538" spans="1:15">
      <c r="A538" t="s">
        <v>1197</v>
      </c>
      <c r="B538" t="s">
        <v>1198</v>
      </c>
      <c r="C538">
        <v>0</v>
      </c>
      <c r="D538">
        <v>8.8200000000000001E-2</v>
      </c>
      <c r="E538" t="s">
        <v>49</v>
      </c>
      <c r="F538" t="s">
        <v>2290</v>
      </c>
      <c r="G538" s="659" t="s">
        <v>2393</v>
      </c>
      <c r="H538" s="659" t="s">
        <v>2161</v>
      </c>
      <c r="I538" s="659" t="s">
        <v>1636</v>
      </c>
      <c r="J538" s="659" t="s">
        <v>2159</v>
      </c>
      <c r="K538" s="662" t="str">
        <f t="shared" si="44"/>
        <v>Deprecated</v>
      </c>
      <c r="L538" s="660" t="str">
        <f t="shared" si="45"/>
        <v>HR</v>
      </c>
      <c r="M538" s="660" t="str">
        <f t="shared" si="46"/>
        <v>UC</v>
      </c>
      <c r="N538" s="660" t="str">
        <f t="shared" si="47"/>
        <v>PAAS</v>
      </c>
      <c r="O538" s="659" t="str">
        <f t="shared" si="48"/>
        <v/>
      </c>
    </row>
    <row r="539" spans="1:15">
      <c r="A539" t="s">
        <v>1199</v>
      </c>
      <c r="B539" t="s">
        <v>1200</v>
      </c>
      <c r="C539">
        <v>0</v>
      </c>
      <c r="D539">
        <v>8.8200000000000001E-2</v>
      </c>
      <c r="E539" t="s">
        <v>49</v>
      </c>
      <c r="F539" t="s">
        <v>2290</v>
      </c>
      <c r="G539" s="659" t="s">
        <v>2393</v>
      </c>
      <c r="H539" s="659" t="s">
        <v>2161</v>
      </c>
      <c r="I539" s="659" t="s">
        <v>1636</v>
      </c>
      <c r="J539" s="659" t="s">
        <v>2159</v>
      </c>
      <c r="K539" s="662" t="str">
        <f t="shared" si="44"/>
        <v>Deprecated</v>
      </c>
      <c r="L539" s="660" t="str">
        <f t="shared" si="45"/>
        <v>HR</v>
      </c>
      <c r="M539" s="660" t="str">
        <f t="shared" si="46"/>
        <v>UC</v>
      </c>
      <c r="N539" s="660" t="str">
        <f t="shared" si="47"/>
        <v>PAAS</v>
      </c>
      <c r="O539" s="659" t="str">
        <f t="shared" si="48"/>
        <v/>
      </c>
    </row>
    <row r="540" spans="1:15">
      <c r="A540" t="s">
        <v>1201</v>
      </c>
      <c r="B540" t="s">
        <v>1202</v>
      </c>
      <c r="C540">
        <v>0</v>
      </c>
      <c r="D540">
        <v>0.12</v>
      </c>
      <c r="E540" t="s">
        <v>2175</v>
      </c>
      <c r="F540" t="s">
        <v>2290</v>
      </c>
      <c r="G540" s="659" t="s">
        <v>2393</v>
      </c>
      <c r="H540" s="659" t="s">
        <v>2162</v>
      </c>
      <c r="I540" s="659" t="s">
        <v>1636</v>
      </c>
      <c r="J540" s="659" t="s">
        <v>2159</v>
      </c>
      <c r="K540" s="662" t="str">
        <f t="shared" si="44"/>
        <v>Deprecated</v>
      </c>
      <c r="L540" s="660" t="str">
        <f t="shared" si="45"/>
        <v>GB</v>
      </c>
      <c r="M540" s="660" t="str">
        <f t="shared" si="46"/>
        <v>UC</v>
      </c>
      <c r="N540" s="660" t="str">
        <f t="shared" si="47"/>
        <v>PAAS</v>
      </c>
      <c r="O540" s="659" t="str">
        <f t="shared" si="48"/>
        <v/>
      </c>
    </row>
    <row r="541" spans="1:15">
      <c r="A541" t="s">
        <v>1203</v>
      </c>
      <c r="B541" t="s">
        <v>1204</v>
      </c>
      <c r="C541">
        <v>0</v>
      </c>
      <c r="D541">
        <v>0.12</v>
      </c>
      <c r="E541" t="s">
        <v>2175</v>
      </c>
      <c r="F541" t="s">
        <v>2290</v>
      </c>
      <c r="G541" s="659" t="s">
        <v>2393</v>
      </c>
      <c r="H541" s="659" t="s">
        <v>2162</v>
      </c>
      <c r="I541" s="659" t="s">
        <v>1636</v>
      </c>
      <c r="J541" s="659" t="s">
        <v>2159</v>
      </c>
      <c r="K541" s="662" t="str">
        <f t="shared" si="44"/>
        <v>Deprecated</v>
      </c>
      <c r="L541" s="660" t="str">
        <f t="shared" si="45"/>
        <v>GB</v>
      </c>
      <c r="M541" s="660" t="str">
        <f t="shared" si="46"/>
        <v>UC</v>
      </c>
      <c r="N541" s="660" t="str">
        <f t="shared" si="47"/>
        <v>PAAS</v>
      </c>
      <c r="O541" s="659" t="str">
        <f t="shared" si="48"/>
        <v/>
      </c>
    </row>
    <row r="542" spans="1:15">
      <c r="A542" t="s">
        <v>1205</v>
      </c>
      <c r="B542" t="s">
        <v>1206</v>
      </c>
      <c r="C542">
        <v>0</v>
      </c>
      <c r="D542">
        <v>0.15</v>
      </c>
      <c r="E542" t="s">
        <v>2187</v>
      </c>
      <c r="F542" t="s">
        <v>2290</v>
      </c>
      <c r="G542" s="659" t="s">
        <v>2393</v>
      </c>
      <c r="H542" s="659" t="s">
        <v>2162</v>
      </c>
      <c r="I542" s="659" t="s">
        <v>1636</v>
      </c>
      <c r="J542" s="659" t="s">
        <v>2159</v>
      </c>
      <c r="K542" s="662" t="str">
        <f t="shared" si="44"/>
        <v>Deprecated</v>
      </c>
      <c r="L542" s="660" t="str">
        <f t="shared" si="45"/>
        <v>GB</v>
      </c>
      <c r="M542" s="660" t="str">
        <f t="shared" si="46"/>
        <v>UC</v>
      </c>
      <c r="N542" s="660" t="str">
        <f t="shared" si="47"/>
        <v>PAAS</v>
      </c>
      <c r="O542" s="659" t="str">
        <f t="shared" si="48"/>
        <v/>
      </c>
    </row>
    <row r="543" spans="1:15">
      <c r="A543" t="s">
        <v>1207</v>
      </c>
      <c r="B543" t="s">
        <v>1208</v>
      </c>
      <c r="C543">
        <v>0</v>
      </c>
      <c r="D543">
        <v>0.01</v>
      </c>
      <c r="E543" t="s">
        <v>2188</v>
      </c>
      <c r="F543" t="s">
        <v>2290</v>
      </c>
      <c r="G543" s="659" t="s">
        <v>2393</v>
      </c>
      <c r="H543" s="659" t="s">
        <v>2161</v>
      </c>
      <c r="I543" s="659" t="s">
        <v>1636</v>
      </c>
      <c r="J543" s="659" t="s">
        <v>2159</v>
      </c>
      <c r="K543" s="662" t="str">
        <f t="shared" si="44"/>
        <v>Deprecated</v>
      </c>
      <c r="L543" s="660" t="str">
        <f t="shared" si="45"/>
        <v>HR</v>
      </c>
      <c r="M543" s="660" t="str">
        <f t="shared" si="46"/>
        <v>UC</v>
      </c>
      <c r="N543" s="660" t="str">
        <f t="shared" si="47"/>
        <v>PAAS</v>
      </c>
      <c r="O543" s="659" t="str">
        <f t="shared" si="48"/>
        <v/>
      </c>
    </row>
    <row r="544" spans="1:15">
      <c r="A544" t="s">
        <v>1209</v>
      </c>
      <c r="B544" t="s">
        <v>1210</v>
      </c>
      <c r="C544">
        <v>0</v>
      </c>
      <c r="D544">
        <v>8.8200000000000001E-2</v>
      </c>
      <c r="E544" t="s">
        <v>2224</v>
      </c>
      <c r="F544" t="s">
        <v>2290</v>
      </c>
      <c r="G544" s="659" t="s">
        <v>2393</v>
      </c>
      <c r="H544" s="659" t="s">
        <v>2161</v>
      </c>
      <c r="I544" s="659" t="s">
        <v>1636</v>
      </c>
      <c r="J544" s="659" t="s">
        <v>2159</v>
      </c>
      <c r="K544" s="662" t="str">
        <f t="shared" si="44"/>
        <v>Deprecated</v>
      </c>
      <c r="L544" s="660" t="str">
        <f t="shared" si="45"/>
        <v>HR</v>
      </c>
      <c r="M544" s="660" t="str">
        <f t="shared" si="46"/>
        <v>UC</v>
      </c>
      <c r="N544" s="660" t="str">
        <f t="shared" si="47"/>
        <v>PAAS</v>
      </c>
      <c r="O544" s="659" t="str">
        <f t="shared" si="48"/>
        <v/>
      </c>
    </row>
    <row r="545" spans="1:15">
      <c r="A545" t="s">
        <v>1211</v>
      </c>
      <c r="B545" t="s">
        <v>1212</v>
      </c>
      <c r="C545">
        <v>0</v>
      </c>
      <c r="D545">
        <v>0.17649999999999999</v>
      </c>
      <c r="E545" t="s">
        <v>2224</v>
      </c>
      <c r="F545" t="s">
        <v>2290</v>
      </c>
      <c r="G545" s="659" t="s">
        <v>2393</v>
      </c>
      <c r="H545" s="659" t="s">
        <v>2161</v>
      </c>
      <c r="I545" s="659" t="s">
        <v>1636</v>
      </c>
      <c r="J545" s="659" t="s">
        <v>2159</v>
      </c>
      <c r="K545" s="662" t="str">
        <f t="shared" si="44"/>
        <v>Deprecated</v>
      </c>
      <c r="L545" s="660" t="str">
        <f t="shared" si="45"/>
        <v>HR</v>
      </c>
      <c r="M545" s="660" t="str">
        <f t="shared" si="46"/>
        <v>UC</v>
      </c>
      <c r="N545" s="660" t="str">
        <f t="shared" si="47"/>
        <v>PAAS</v>
      </c>
      <c r="O545" s="659" t="str">
        <f t="shared" si="48"/>
        <v/>
      </c>
    </row>
    <row r="546" spans="1:15">
      <c r="A546" t="s">
        <v>1213</v>
      </c>
      <c r="B546" t="s">
        <v>1214</v>
      </c>
      <c r="C546">
        <v>0</v>
      </c>
      <c r="D546">
        <v>0.12</v>
      </c>
      <c r="E546" t="s">
        <v>2175</v>
      </c>
      <c r="F546" t="s">
        <v>2290</v>
      </c>
      <c r="G546" s="659" t="s">
        <v>2393</v>
      </c>
      <c r="H546" s="659" t="s">
        <v>2162</v>
      </c>
      <c r="I546" s="659" t="s">
        <v>1636</v>
      </c>
      <c r="J546" s="659" t="s">
        <v>2159</v>
      </c>
      <c r="K546" s="662" t="str">
        <f t="shared" si="44"/>
        <v>Deprecated</v>
      </c>
      <c r="L546" s="660" t="str">
        <f t="shared" si="45"/>
        <v>GB</v>
      </c>
      <c r="M546" s="660" t="str">
        <f t="shared" si="46"/>
        <v>UC</v>
      </c>
      <c r="N546" s="660" t="str">
        <f t="shared" si="47"/>
        <v>PAAS</v>
      </c>
      <c r="O546" s="659" t="str">
        <f t="shared" si="48"/>
        <v/>
      </c>
    </row>
    <row r="547" spans="1:15">
      <c r="A547" t="s">
        <v>1215</v>
      </c>
      <c r="B547" t="s">
        <v>1216</v>
      </c>
      <c r="C547">
        <v>0</v>
      </c>
      <c r="D547">
        <v>0.15</v>
      </c>
      <c r="E547" t="s">
        <v>2187</v>
      </c>
      <c r="F547" t="s">
        <v>2290</v>
      </c>
      <c r="G547" s="659" t="s">
        <v>2393</v>
      </c>
      <c r="H547" s="659" t="s">
        <v>2162</v>
      </c>
      <c r="I547" s="659" t="s">
        <v>1636</v>
      </c>
      <c r="J547" s="659" t="s">
        <v>2159</v>
      </c>
      <c r="K547" s="662" t="str">
        <f t="shared" si="44"/>
        <v>Deprecated</v>
      </c>
      <c r="L547" s="660" t="str">
        <f t="shared" si="45"/>
        <v>GB</v>
      </c>
      <c r="M547" s="660" t="str">
        <f t="shared" si="46"/>
        <v>UC</v>
      </c>
      <c r="N547" s="660" t="str">
        <f t="shared" si="47"/>
        <v>PAAS</v>
      </c>
      <c r="O547" s="659" t="str">
        <f t="shared" si="48"/>
        <v/>
      </c>
    </row>
    <row r="548" spans="1:15">
      <c r="A548" t="s">
        <v>1217</v>
      </c>
      <c r="B548" t="s">
        <v>1218</v>
      </c>
      <c r="C548">
        <v>0</v>
      </c>
      <c r="D548">
        <v>0.01</v>
      </c>
      <c r="E548" t="s">
        <v>2188</v>
      </c>
      <c r="F548" t="s">
        <v>2290</v>
      </c>
      <c r="G548" s="659" t="s">
        <v>2393</v>
      </c>
      <c r="H548" s="659" t="s">
        <v>2161</v>
      </c>
      <c r="I548" s="659" t="s">
        <v>1636</v>
      </c>
      <c r="J548" s="659" t="s">
        <v>2159</v>
      </c>
      <c r="K548" s="662" t="str">
        <f t="shared" si="44"/>
        <v>Deprecated</v>
      </c>
      <c r="L548" s="660" t="str">
        <f t="shared" si="45"/>
        <v>HR</v>
      </c>
      <c r="M548" s="660" t="str">
        <f t="shared" si="46"/>
        <v>UC</v>
      </c>
      <c r="N548" s="660" t="str">
        <f t="shared" si="47"/>
        <v>PAAS</v>
      </c>
      <c r="O548" s="659" t="str">
        <f t="shared" si="48"/>
        <v/>
      </c>
    </row>
    <row r="549" spans="1:15">
      <c r="A549" t="s">
        <v>1173</v>
      </c>
      <c r="B549" t="s">
        <v>1174</v>
      </c>
      <c r="C549">
        <v>0.03</v>
      </c>
      <c r="D549">
        <v>0.03</v>
      </c>
      <c r="E549" t="s">
        <v>49</v>
      </c>
      <c r="F549" t="s">
        <v>2290</v>
      </c>
      <c r="G549" s="659" t="s">
        <v>1835</v>
      </c>
      <c r="H549" s="659" t="s">
        <v>2161</v>
      </c>
      <c r="I549" s="659" t="s">
        <v>1636</v>
      </c>
      <c r="J549" s="659" t="s">
        <v>2158</v>
      </c>
      <c r="K549" s="662" t="str">
        <f t="shared" si="44"/>
        <v>Compute</v>
      </c>
      <c r="L549" s="660" t="str">
        <f t="shared" si="45"/>
        <v>HR</v>
      </c>
      <c r="M549" s="660" t="str">
        <f t="shared" si="46"/>
        <v>UC</v>
      </c>
      <c r="N549" s="660" t="str">
        <f t="shared" si="47"/>
        <v>IAAS</v>
      </c>
      <c r="O549" s="659" t="str">
        <f t="shared" si="48"/>
        <v/>
      </c>
    </row>
    <row r="550" spans="1:15">
      <c r="A550" t="s">
        <v>1175</v>
      </c>
      <c r="B550" t="s">
        <v>1176</v>
      </c>
      <c r="C550">
        <v>0</v>
      </c>
      <c r="D550">
        <v>0.03</v>
      </c>
      <c r="E550" t="s">
        <v>49</v>
      </c>
      <c r="F550" t="s">
        <v>2290</v>
      </c>
      <c r="G550" s="659" t="s">
        <v>1835</v>
      </c>
      <c r="H550" s="659" t="s">
        <v>2161</v>
      </c>
      <c r="I550" s="659" t="s">
        <v>1636</v>
      </c>
      <c r="J550" s="659" t="s">
        <v>2158</v>
      </c>
      <c r="K550" s="662" t="str">
        <f t="shared" si="44"/>
        <v>Compute</v>
      </c>
      <c r="L550" s="660" t="str">
        <f t="shared" si="45"/>
        <v>HR</v>
      </c>
      <c r="M550" s="660" t="str">
        <f t="shared" si="46"/>
        <v>UC</v>
      </c>
      <c r="N550" s="660" t="str">
        <f t="shared" si="47"/>
        <v>IAAS</v>
      </c>
      <c r="O550" s="659" t="str">
        <f t="shared" si="48"/>
        <v/>
      </c>
    </row>
    <row r="551" spans="1:15">
      <c r="A551" t="s">
        <v>1127</v>
      </c>
      <c r="B551" t="s">
        <v>1128</v>
      </c>
      <c r="C551">
        <v>1.3441000000000001</v>
      </c>
      <c r="D551">
        <v>1.3441000000000001</v>
      </c>
      <c r="E551" t="s">
        <v>49</v>
      </c>
      <c r="F551" t="s">
        <v>2290</v>
      </c>
      <c r="G551" s="659" t="s">
        <v>1837</v>
      </c>
      <c r="H551" s="659" t="s">
        <v>2161</v>
      </c>
      <c r="I551" s="659" t="s">
        <v>1636</v>
      </c>
      <c r="J551" s="659" t="s">
        <v>2159</v>
      </c>
      <c r="K551" s="662" t="str">
        <f t="shared" si="44"/>
        <v>ATP</v>
      </c>
      <c r="L551" s="660" t="str">
        <f t="shared" si="45"/>
        <v>HR</v>
      </c>
      <c r="M551" s="660" t="str">
        <f t="shared" si="46"/>
        <v>UC</v>
      </c>
      <c r="N551" s="660" t="str">
        <f t="shared" si="47"/>
        <v>PAAS</v>
      </c>
      <c r="O551" s="659" t="str">
        <f t="shared" si="48"/>
        <v/>
      </c>
    </row>
    <row r="552" spans="1:15">
      <c r="A552" t="s">
        <v>1129</v>
      </c>
      <c r="B552" t="s">
        <v>1130</v>
      </c>
      <c r="C552">
        <v>0.3226</v>
      </c>
      <c r="D552">
        <v>0.3226</v>
      </c>
      <c r="E552" t="s">
        <v>49</v>
      </c>
      <c r="F552" t="s">
        <v>2290</v>
      </c>
      <c r="G552" s="659" t="s">
        <v>1837</v>
      </c>
      <c r="H552" s="659" t="s">
        <v>2161</v>
      </c>
      <c r="I552" s="659" t="s">
        <v>1636</v>
      </c>
      <c r="J552" s="659" t="s">
        <v>1338</v>
      </c>
      <c r="K552" s="662" t="str">
        <f t="shared" si="44"/>
        <v>ATP</v>
      </c>
      <c r="L552" s="660" t="str">
        <f t="shared" si="45"/>
        <v>HR</v>
      </c>
      <c r="M552" s="660" t="str">
        <f t="shared" si="46"/>
        <v>UC</v>
      </c>
      <c r="N552" s="660" t="str">
        <f t="shared" si="47"/>
        <v>BYOL</v>
      </c>
      <c r="O552" s="659" t="str">
        <f t="shared" si="48"/>
        <v/>
      </c>
    </row>
    <row r="553" spans="1:15">
      <c r="A553" t="s">
        <v>1131</v>
      </c>
      <c r="B553" t="s">
        <v>1668</v>
      </c>
      <c r="C553">
        <v>118.4</v>
      </c>
      <c r="D553">
        <v>118.4</v>
      </c>
      <c r="E553" t="s">
        <v>2209</v>
      </c>
      <c r="F553" t="s">
        <v>2290</v>
      </c>
      <c r="G553" s="659" t="s">
        <v>2132</v>
      </c>
      <c r="H553" s="659" t="s">
        <v>2401</v>
      </c>
      <c r="I553" s="659" t="s">
        <v>1636</v>
      </c>
      <c r="J553" s="659" t="s">
        <v>2159</v>
      </c>
      <c r="K553" s="662" t="str">
        <f t="shared" si="44"/>
        <v>Exa Storage</v>
      </c>
      <c r="L553" s="660" t="str">
        <f t="shared" si="45"/>
        <v>TB</v>
      </c>
      <c r="M553" s="660" t="str">
        <f t="shared" si="46"/>
        <v>UC</v>
      </c>
      <c r="N553" s="660" t="str">
        <f t="shared" si="47"/>
        <v>PAAS</v>
      </c>
      <c r="O553" s="659" t="str">
        <f t="shared" si="48"/>
        <v/>
      </c>
    </row>
    <row r="554" spans="1:15">
      <c r="A554" t="s">
        <v>1146</v>
      </c>
      <c r="B554" t="s">
        <v>1147</v>
      </c>
      <c r="C554">
        <v>0</v>
      </c>
      <c r="D554">
        <v>16000</v>
      </c>
      <c r="E554" t="s">
        <v>2178</v>
      </c>
      <c r="F554" t="s">
        <v>2290</v>
      </c>
      <c r="G554" s="659" t="s">
        <v>1838</v>
      </c>
      <c r="H554" s="659" t="s">
        <v>2394</v>
      </c>
      <c r="I554" s="659" t="s">
        <v>1636</v>
      </c>
      <c r="J554" s="659" t="s">
        <v>2159</v>
      </c>
      <c r="K554" s="662" t="str">
        <f t="shared" si="44"/>
        <v>ExaCS</v>
      </c>
      <c r="L554" s="660" t="str">
        <f t="shared" si="45"/>
        <v>UNIT</v>
      </c>
      <c r="M554" s="660" t="str">
        <f t="shared" si="46"/>
        <v>UC</v>
      </c>
      <c r="N554" s="660" t="str">
        <f t="shared" si="47"/>
        <v>PAAS</v>
      </c>
      <c r="O554" s="659" t="str">
        <f t="shared" si="48"/>
        <v/>
      </c>
    </row>
    <row r="555" spans="1:15">
      <c r="A555" t="s">
        <v>1148</v>
      </c>
      <c r="B555" t="s">
        <v>1149</v>
      </c>
      <c r="C555">
        <v>0</v>
      </c>
      <c r="D555">
        <v>32000</v>
      </c>
      <c r="E555" t="s">
        <v>2178</v>
      </c>
      <c r="F555" t="s">
        <v>2290</v>
      </c>
      <c r="G555" s="659" t="s">
        <v>1838</v>
      </c>
      <c r="H555" s="659" t="s">
        <v>2394</v>
      </c>
      <c r="I555" s="659" t="s">
        <v>1636</v>
      </c>
      <c r="J555" s="659" t="s">
        <v>2159</v>
      </c>
      <c r="K555" s="662" t="str">
        <f t="shared" si="44"/>
        <v>ExaCS</v>
      </c>
      <c r="L555" s="660" t="str">
        <f t="shared" si="45"/>
        <v>UNIT</v>
      </c>
      <c r="M555" s="660" t="str">
        <f t="shared" si="46"/>
        <v>UC</v>
      </c>
      <c r="N555" s="660" t="str">
        <f t="shared" si="47"/>
        <v>PAAS</v>
      </c>
      <c r="O555" s="659" t="str">
        <f t="shared" si="48"/>
        <v/>
      </c>
    </row>
    <row r="556" spans="1:15">
      <c r="A556" t="s">
        <v>1150</v>
      </c>
      <c r="B556" t="s">
        <v>1151</v>
      </c>
      <c r="C556">
        <v>0</v>
      </c>
      <c r="D556">
        <v>64000</v>
      </c>
      <c r="E556" t="s">
        <v>2178</v>
      </c>
      <c r="F556" t="s">
        <v>2290</v>
      </c>
      <c r="G556" s="659" t="s">
        <v>1838</v>
      </c>
      <c r="H556" s="659" t="s">
        <v>2394</v>
      </c>
      <c r="I556" s="659" t="s">
        <v>1636</v>
      </c>
      <c r="J556" s="659" t="s">
        <v>2159</v>
      </c>
      <c r="K556" s="662" t="str">
        <f t="shared" si="44"/>
        <v>ExaCS</v>
      </c>
      <c r="L556" s="660" t="str">
        <f t="shared" si="45"/>
        <v>UNIT</v>
      </c>
      <c r="M556" s="660" t="str">
        <f t="shared" si="46"/>
        <v>UC</v>
      </c>
      <c r="N556" s="660" t="str">
        <f t="shared" si="47"/>
        <v>PAAS</v>
      </c>
      <c r="O556" s="659" t="str">
        <f t="shared" si="48"/>
        <v/>
      </c>
    </row>
    <row r="557" spans="1:15">
      <c r="A557" t="s">
        <v>1152</v>
      </c>
      <c r="B557" t="s">
        <v>1579</v>
      </c>
      <c r="C557">
        <v>0</v>
      </c>
      <c r="D557">
        <v>1.3441000000000001</v>
      </c>
      <c r="E557" t="s">
        <v>49</v>
      </c>
      <c r="F557" t="s">
        <v>2290</v>
      </c>
      <c r="G557" s="659" t="s">
        <v>1838</v>
      </c>
      <c r="H557" s="659" t="s">
        <v>2161</v>
      </c>
      <c r="I557" s="659" t="s">
        <v>1636</v>
      </c>
      <c r="J557" s="659" t="s">
        <v>2159</v>
      </c>
      <c r="K557" s="662" t="str">
        <f t="shared" si="44"/>
        <v>ExaCS</v>
      </c>
      <c r="L557" s="660" t="str">
        <f t="shared" si="45"/>
        <v>HR</v>
      </c>
      <c r="M557" s="660" t="str">
        <f t="shared" si="46"/>
        <v>UC</v>
      </c>
      <c r="N557" s="660" t="str">
        <f t="shared" si="47"/>
        <v>PAAS</v>
      </c>
      <c r="O557" s="659" t="str">
        <f t="shared" si="48"/>
        <v/>
      </c>
    </row>
    <row r="558" spans="1:15">
      <c r="A558" t="s">
        <v>1153</v>
      </c>
      <c r="B558" t="s">
        <v>1580</v>
      </c>
      <c r="C558">
        <v>0</v>
      </c>
      <c r="D558">
        <v>0.3226</v>
      </c>
      <c r="E558" t="s">
        <v>49</v>
      </c>
      <c r="F558" t="s">
        <v>2290</v>
      </c>
      <c r="G558" s="659" t="s">
        <v>1838</v>
      </c>
      <c r="H558" s="659" t="s">
        <v>2161</v>
      </c>
      <c r="I558" s="659" t="s">
        <v>1636</v>
      </c>
      <c r="J558" s="659" t="s">
        <v>1338</v>
      </c>
      <c r="K558" s="662" t="str">
        <f t="shared" si="44"/>
        <v>ExaCS</v>
      </c>
      <c r="L558" s="660" t="str">
        <f t="shared" si="45"/>
        <v>HR</v>
      </c>
      <c r="M558" s="660" t="str">
        <f t="shared" si="46"/>
        <v>UC</v>
      </c>
      <c r="N558" s="660" t="str">
        <f t="shared" si="47"/>
        <v>BYOL</v>
      </c>
      <c r="O558" s="659" t="str">
        <f t="shared" si="48"/>
        <v/>
      </c>
    </row>
    <row r="559" spans="1:15">
      <c r="A559" t="s">
        <v>1177</v>
      </c>
      <c r="B559" t="s">
        <v>1178</v>
      </c>
      <c r="C559">
        <v>0</v>
      </c>
      <c r="D559">
        <v>1.3441000000000001</v>
      </c>
      <c r="E559" t="s">
        <v>49</v>
      </c>
      <c r="F559" t="s">
        <v>2290</v>
      </c>
      <c r="G559" s="659" t="s">
        <v>1837</v>
      </c>
      <c r="H559" s="659" t="s">
        <v>2161</v>
      </c>
      <c r="I559" s="659" t="s">
        <v>1636</v>
      </c>
      <c r="J559" s="659" t="s">
        <v>2159</v>
      </c>
      <c r="K559" s="662" t="str">
        <f t="shared" si="44"/>
        <v>ATP</v>
      </c>
      <c r="L559" s="660" t="str">
        <f t="shared" si="45"/>
        <v>HR</v>
      </c>
      <c r="M559" s="660" t="str">
        <f t="shared" si="46"/>
        <v>UC</v>
      </c>
      <c r="N559" s="660" t="str">
        <f t="shared" si="47"/>
        <v>PAAS</v>
      </c>
      <c r="O559" s="659" t="str">
        <f t="shared" si="48"/>
        <v/>
      </c>
    </row>
    <row r="560" spans="1:15">
      <c r="A560" t="s">
        <v>1179</v>
      </c>
      <c r="B560" t="s">
        <v>1669</v>
      </c>
      <c r="C560">
        <v>0</v>
      </c>
      <c r="D560">
        <v>118.4</v>
      </c>
      <c r="E560" t="s">
        <v>2209</v>
      </c>
      <c r="F560" t="s">
        <v>2290</v>
      </c>
      <c r="G560" s="659" t="s">
        <v>2132</v>
      </c>
      <c r="H560" s="659" t="s">
        <v>2401</v>
      </c>
      <c r="I560" s="659" t="s">
        <v>1636</v>
      </c>
      <c r="J560" s="659" t="s">
        <v>2159</v>
      </c>
      <c r="K560" s="662" t="str">
        <f t="shared" si="44"/>
        <v>Exa Storage</v>
      </c>
      <c r="L560" s="660" t="str">
        <f t="shared" si="45"/>
        <v>TB</v>
      </c>
      <c r="M560" s="660" t="str">
        <f t="shared" si="46"/>
        <v>UC</v>
      </c>
      <c r="N560" s="660" t="str">
        <f t="shared" si="47"/>
        <v>PAAS</v>
      </c>
      <c r="O560" s="659" t="str">
        <f t="shared" si="48"/>
        <v/>
      </c>
    </row>
    <row r="561" spans="1:15">
      <c r="A561" t="s">
        <v>1180</v>
      </c>
      <c r="B561" t="s">
        <v>1181</v>
      </c>
      <c r="C561">
        <v>0</v>
      </c>
      <c r="D561">
        <v>0.3226</v>
      </c>
      <c r="E561" t="s">
        <v>49</v>
      </c>
      <c r="F561" t="s">
        <v>2290</v>
      </c>
      <c r="G561" s="659" t="s">
        <v>1837</v>
      </c>
      <c r="H561" s="659" t="s">
        <v>2161</v>
      </c>
      <c r="I561" s="659" t="s">
        <v>1636</v>
      </c>
      <c r="J561" s="659" t="s">
        <v>1338</v>
      </c>
      <c r="K561" s="662" t="str">
        <f t="shared" si="44"/>
        <v>ATP</v>
      </c>
      <c r="L561" s="660" t="str">
        <f t="shared" si="45"/>
        <v>HR</v>
      </c>
      <c r="M561" s="660" t="str">
        <f t="shared" si="46"/>
        <v>UC</v>
      </c>
      <c r="N561" s="660" t="str">
        <f t="shared" si="47"/>
        <v>BYOL</v>
      </c>
      <c r="O561" s="659" t="str">
        <f t="shared" si="48"/>
        <v/>
      </c>
    </row>
    <row r="562" spans="1:15">
      <c r="A562" t="s">
        <v>1274</v>
      </c>
      <c r="B562" t="s">
        <v>1929</v>
      </c>
      <c r="C562">
        <v>3.2</v>
      </c>
      <c r="D562">
        <v>3.2</v>
      </c>
      <c r="E562" t="s">
        <v>2203</v>
      </c>
      <c r="F562" t="s">
        <v>2290</v>
      </c>
      <c r="G562" s="659" t="s">
        <v>2392</v>
      </c>
      <c r="H562" s="659" t="s">
        <v>2394</v>
      </c>
      <c r="I562" s="659" t="s">
        <v>1636</v>
      </c>
      <c r="J562" s="659" t="s">
        <v>2159</v>
      </c>
      <c r="K562" s="662" t="str">
        <f t="shared" si="44"/>
        <v>Platform</v>
      </c>
      <c r="L562" s="660" t="str">
        <f t="shared" si="45"/>
        <v>UNIT</v>
      </c>
      <c r="M562" s="660" t="str">
        <f t="shared" si="46"/>
        <v>UC</v>
      </c>
      <c r="N562" s="660" t="str">
        <f t="shared" si="47"/>
        <v>PAAS</v>
      </c>
      <c r="O562" s="659" t="str">
        <f t="shared" si="48"/>
        <v/>
      </c>
    </row>
    <row r="563" spans="1:15">
      <c r="A563" t="s">
        <v>1275</v>
      </c>
      <c r="B563" t="s">
        <v>1930</v>
      </c>
      <c r="C563">
        <v>1.6E-2</v>
      </c>
      <c r="D563">
        <v>1.6E-2</v>
      </c>
      <c r="E563" t="s">
        <v>2203</v>
      </c>
      <c r="F563" t="s">
        <v>2290</v>
      </c>
      <c r="G563" s="659" t="s">
        <v>2392</v>
      </c>
      <c r="H563" s="659" t="s">
        <v>2394</v>
      </c>
      <c r="I563" s="659" t="s">
        <v>1636</v>
      </c>
      <c r="J563" s="659" t="s">
        <v>2159</v>
      </c>
      <c r="K563" s="662" t="str">
        <f t="shared" si="44"/>
        <v>Platform</v>
      </c>
      <c r="L563" s="660" t="str">
        <f t="shared" si="45"/>
        <v>UNIT</v>
      </c>
      <c r="M563" s="660" t="str">
        <f t="shared" si="46"/>
        <v>UC</v>
      </c>
      <c r="N563" s="660" t="str">
        <f t="shared" si="47"/>
        <v>PAAS</v>
      </c>
      <c r="O563" s="659" t="str">
        <f t="shared" si="48"/>
        <v/>
      </c>
    </row>
    <row r="564" spans="1:15">
      <c r="A564" t="s">
        <v>1276</v>
      </c>
      <c r="B564" t="s">
        <v>1931</v>
      </c>
      <c r="C564">
        <v>0.8</v>
      </c>
      <c r="D564">
        <v>0.8</v>
      </c>
      <c r="E564" t="s">
        <v>2203</v>
      </c>
      <c r="F564" t="s">
        <v>2290</v>
      </c>
      <c r="G564" s="659" t="s">
        <v>2392</v>
      </c>
      <c r="H564" s="659" t="s">
        <v>2394</v>
      </c>
      <c r="I564" s="659" t="s">
        <v>1636</v>
      </c>
      <c r="J564" s="659" t="s">
        <v>1338</v>
      </c>
      <c r="K564" s="662" t="str">
        <f t="shared" si="44"/>
        <v>Platform</v>
      </c>
      <c r="L564" s="660" t="str">
        <f t="shared" si="45"/>
        <v>UNIT</v>
      </c>
      <c r="M564" s="660" t="str">
        <f t="shared" si="46"/>
        <v>UC</v>
      </c>
      <c r="N564" s="660" t="str">
        <f t="shared" si="47"/>
        <v>BYOL</v>
      </c>
      <c r="O564" s="659" t="str">
        <f t="shared" si="48"/>
        <v/>
      </c>
    </row>
    <row r="565" spans="1:15">
      <c r="A565" t="s">
        <v>1277</v>
      </c>
      <c r="B565" t="s">
        <v>1932</v>
      </c>
      <c r="C565">
        <v>4.0000000000000001E-3</v>
      </c>
      <c r="D565">
        <v>4.0000000000000001E-3</v>
      </c>
      <c r="E565" t="s">
        <v>2203</v>
      </c>
      <c r="F565" t="s">
        <v>2290</v>
      </c>
      <c r="G565" s="659" t="s">
        <v>2392</v>
      </c>
      <c r="H565" s="659" t="s">
        <v>2394</v>
      </c>
      <c r="I565" s="659" t="s">
        <v>1636</v>
      </c>
      <c r="J565" s="659" t="s">
        <v>1338</v>
      </c>
      <c r="K565" s="662" t="str">
        <f t="shared" si="44"/>
        <v>Platform</v>
      </c>
      <c r="L565" s="660" t="str">
        <f t="shared" si="45"/>
        <v>UNIT</v>
      </c>
      <c r="M565" s="660" t="str">
        <f t="shared" si="46"/>
        <v>UC</v>
      </c>
      <c r="N565" s="660" t="str">
        <f t="shared" si="47"/>
        <v>BYOL</v>
      </c>
      <c r="O565" s="659" t="str">
        <f t="shared" si="48"/>
        <v/>
      </c>
    </row>
    <row r="566" spans="1:15">
      <c r="A566" t="s">
        <v>1182</v>
      </c>
      <c r="B566" t="s">
        <v>1183</v>
      </c>
      <c r="C566">
        <v>0</v>
      </c>
      <c r="D566">
        <v>0.43009999999999998</v>
      </c>
      <c r="E566" t="s">
        <v>49</v>
      </c>
      <c r="F566" t="s">
        <v>2290</v>
      </c>
      <c r="G566" s="659" t="s">
        <v>2309</v>
      </c>
      <c r="H566" s="659" t="s">
        <v>2161</v>
      </c>
      <c r="I566" s="659" t="s">
        <v>1636</v>
      </c>
      <c r="J566" s="659" t="s">
        <v>2159</v>
      </c>
      <c r="K566" s="662" t="str">
        <f t="shared" si="44"/>
        <v>DBaaS</v>
      </c>
      <c r="L566" s="660" t="str">
        <f t="shared" si="45"/>
        <v>HR</v>
      </c>
      <c r="M566" s="660" t="str">
        <f t="shared" si="46"/>
        <v>UC</v>
      </c>
      <c r="N566" s="660" t="str">
        <f t="shared" si="47"/>
        <v>PAAS</v>
      </c>
      <c r="O566" s="659" t="str">
        <f t="shared" si="48"/>
        <v/>
      </c>
    </row>
    <row r="567" spans="1:15">
      <c r="A567" t="s">
        <v>1184</v>
      </c>
      <c r="B567" t="s">
        <v>1185</v>
      </c>
      <c r="C567">
        <v>0</v>
      </c>
      <c r="D567">
        <v>1.3441000000000001</v>
      </c>
      <c r="E567" t="s">
        <v>49</v>
      </c>
      <c r="F567" t="s">
        <v>2290</v>
      </c>
      <c r="G567" s="659" t="s">
        <v>2309</v>
      </c>
      <c r="H567" s="659" t="s">
        <v>2161</v>
      </c>
      <c r="I567" s="659" t="s">
        <v>1636</v>
      </c>
      <c r="J567" s="659" t="s">
        <v>2159</v>
      </c>
      <c r="K567" s="662" t="str">
        <f t="shared" si="44"/>
        <v>DBaaS</v>
      </c>
      <c r="L567" s="660" t="str">
        <f t="shared" si="45"/>
        <v>HR</v>
      </c>
      <c r="M567" s="660" t="str">
        <f t="shared" si="46"/>
        <v>UC</v>
      </c>
      <c r="N567" s="660" t="str">
        <f t="shared" si="47"/>
        <v>PAAS</v>
      </c>
      <c r="O567" s="659" t="str">
        <f t="shared" si="48"/>
        <v/>
      </c>
    </row>
    <row r="568" spans="1:15">
      <c r="A568" t="s">
        <v>1186</v>
      </c>
      <c r="B568" t="s">
        <v>1187</v>
      </c>
      <c r="C568">
        <v>0</v>
      </c>
      <c r="D568">
        <v>0.19350000000000001</v>
      </c>
      <c r="E568" t="s">
        <v>49</v>
      </c>
      <c r="F568" t="s">
        <v>2290</v>
      </c>
      <c r="G568" s="659" t="s">
        <v>2309</v>
      </c>
      <c r="H568" s="659" t="s">
        <v>2161</v>
      </c>
      <c r="I568" s="659" t="s">
        <v>1636</v>
      </c>
      <c r="J568" s="659" t="s">
        <v>1338</v>
      </c>
      <c r="K568" s="662" t="str">
        <f t="shared" si="44"/>
        <v>DBaaS</v>
      </c>
      <c r="L568" s="660" t="str">
        <f t="shared" si="45"/>
        <v>HR</v>
      </c>
      <c r="M568" s="660" t="str">
        <f t="shared" si="46"/>
        <v>UC</v>
      </c>
      <c r="N568" s="660" t="str">
        <f t="shared" si="47"/>
        <v>BYOL</v>
      </c>
      <c r="O568" s="659" t="str">
        <f t="shared" si="48"/>
        <v/>
      </c>
    </row>
    <row r="569" spans="1:15">
      <c r="A569" t="s">
        <v>1278</v>
      </c>
      <c r="B569" t="s">
        <v>1933</v>
      </c>
      <c r="C569">
        <v>0</v>
      </c>
      <c r="D569">
        <v>3.2</v>
      </c>
      <c r="E569" t="s">
        <v>2203</v>
      </c>
      <c r="F569" t="s">
        <v>2290</v>
      </c>
      <c r="G569" s="659" t="s">
        <v>2392</v>
      </c>
      <c r="H569" s="659" t="s">
        <v>2394</v>
      </c>
      <c r="I569" s="659" t="s">
        <v>1636</v>
      </c>
      <c r="J569" s="659" t="s">
        <v>2159</v>
      </c>
      <c r="K569" s="662" t="str">
        <f t="shared" si="44"/>
        <v>Platform</v>
      </c>
      <c r="L569" s="660" t="str">
        <f t="shared" si="45"/>
        <v>UNIT</v>
      </c>
      <c r="M569" s="660" t="str">
        <f t="shared" si="46"/>
        <v>UC</v>
      </c>
      <c r="N569" s="660" t="str">
        <f t="shared" si="47"/>
        <v>PAAS</v>
      </c>
      <c r="O569" s="659" t="str">
        <f t="shared" si="48"/>
        <v/>
      </c>
    </row>
    <row r="570" spans="1:15">
      <c r="A570" t="s">
        <v>1279</v>
      </c>
      <c r="B570" t="s">
        <v>1934</v>
      </c>
      <c r="C570">
        <v>0</v>
      </c>
      <c r="D570">
        <v>1.6E-2</v>
      </c>
      <c r="E570" t="s">
        <v>2203</v>
      </c>
      <c r="F570" t="s">
        <v>2290</v>
      </c>
      <c r="G570" s="659" t="s">
        <v>2392</v>
      </c>
      <c r="H570" s="659" t="s">
        <v>2394</v>
      </c>
      <c r="I570" s="659" t="s">
        <v>1636</v>
      </c>
      <c r="J570" s="659" t="s">
        <v>2159</v>
      </c>
      <c r="K570" s="662" t="str">
        <f t="shared" si="44"/>
        <v>Platform</v>
      </c>
      <c r="L570" s="660" t="str">
        <f t="shared" si="45"/>
        <v>UNIT</v>
      </c>
      <c r="M570" s="660" t="str">
        <f t="shared" si="46"/>
        <v>UC</v>
      </c>
      <c r="N570" s="660" t="str">
        <f t="shared" si="47"/>
        <v>PAAS</v>
      </c>
      <c r="O570" s="659" t="str">
        <f t="shared" si="48"/>
        <v/>
      </c>
    </row>
    <row r="571" spans="1:15">
      <c r="A571" t="s">
        <v>1280</v>
      </c>
      <c r="B571" t="s">
        <v>1935</v>
      </c>
      <c r="C571">
        <v>0</v>
      </c>
      <c r="D571">
        <v>0.8</v>
      </c>
      <c r="E571" t="s">
        <v>2203</v>
      </c>
      <c r="F571" t="s">
        <v>2290</v>
      </c>
      <c r="G571" s="659" t="s">
        <v>2392</v>
      </c>
      <c r="H571" s="659" t="s">
        <v>2394</v>
      </c>
      <c r="I571" s="659" t="s">
        <v>1636</v>
      </c>
      <c r="J571" s="659" t="s">
        <v>1338</v>
      </c>
      <c r="K571" s="662" t="str">
        <f t="shared" si="44"/>
        <v>Platform</v>
      </c>
      <c r="L571" s="660" t="str">
        <f t="shared" si="45"/>
        <v>UNIT</v>
      </c>
      <c r="M571" s="660" t="str">
        <f t="shared" si="46"/>
        <v>UC</v>
      </c>
      <c r="N571" s="660" t="str">
        <f t="shared" si="47"/>
        <v>BYOL</v>
      </c>
      <c r="O571" s="659" t="str">
        <f t="shared" si="48"/>
        <v/>
      </c>
    </row>
    <row r="572" spans="1:15">
      <c r="A572" t="s">
        <v>1281</v>
      </c>
      <c r="B572" t="s">
        <v>1936</v>
      </c>
      <c r="C572">
        <v>0</v>
      </c>
      <c r="D572">
        <v>4.0000000000000001E-3</v>
      </c>
      <c r="E572" t="s">
        <v>2203</v>
      </c>
      <c r="F572" t="s">
        <v>2290</v>
      </c>
      <c r="G572" s="659" t="s">
        <v>2392</v>
      </c>
      <c r="H572" s="659" t="s">
        <v>2394</v>
      </c>
      <c r="I572" s="659" t="s">
        <v>1636</v>
      </c>
      <c r="J572" s="659" t="s">
        <v>1338</v>
      </c>
      <c r="K572" s="662" t="str">
        <f t="shared" si="44"/>
        <v>Platform</v>
      </c>
      <c r="L572" s="660" t="str">
        <f t="shared" si="45"/>
        <v>UNIT</v>
      </c>
      <c r="M572" s="660" t="str">
        <f t="shared" si="46"/>
        <v>UC</v>
      </c>
      <c r="N572" s="660" t="str">
        <f t="shared" si="47"/>
        <v>BYOL</v>
      </c>
      <c r="O572" s="659" t="str">
        <f t="shared" si="48"/>
        <v/>
      </c>
    </row>
    <row r="573" spans="1:15">
      <c r="A573" t="s">
        <v>1188</v>
      </c>
      <c r="B573" t="s">
        <v>3196</v>
      </c>
      <c r="C573">
        <v>0.215</v>
      </c>
      <c r="D573">
        <v>0.215</v>
      </c>
      <c r="E573" t="s">
        <v>49</v>
      </c>
      <c r="F573" t="s">
        <v>2290</v>
      </c>
      <c r="G573" s="659" t="s">
        <v>2309</v>
      </c>
      <c r="H573" s="659" t="s">
        <v>2161</v>
      </c>
      <c r="I573" s="659" t="s">
        <v>1636</v>
      </c>
      <c r="J573" s="659" t="s">
        <v>2159</v>
      </c>
      <c r="K573" s="662" t="str">
        <f t="shared" si="44"/>
        <v>DBaaS</v>
      </c>
      <c r="L573" s="660" t="str">
        <f t="shared" si="45"/>
        <v>HR</v>
      </c>
      <c r="M573" s="660" t="str">
        <f t="shared" si="46"/>
        <v>UC</v>
      </c>
      <c r="N573" s="660" t="str">
        <f t="shared" si="47"/>
        <v>PAAS</v>
      </c>
      <c r="O573" s="659" t="str">
        <f t="shared" si="48"/>
        <v/>
      </c>
    </row>
    <row r="574" spans="1:15">
      <c r="A574" t="s">
        <v>1189</v>
      </c>
      <c r="B574" t="s">
        <v>1938</v>
      </c>
      <c r="C574">
        <v>0.43009999999999998</v>
      </c>
      <c r="D574">
        <v>0.43009999999999998</v>
      </c>
      <c r="E574" t="s">
        <v>49</v>
      </c>
      <c r="F574" t="s">
        <v>2290</v>
      </c>
      <c r="G574" s="659" t="s">
        <v>2309</v>
      </c>
      <c r="H574" s="659" t="s">
        <v>2161</v>
      </c>
      <c r="I574" s="659" t="s">
        <v>1636</v>
      </c>
      <c r="J574" s="659" t="s">
        <v>2159</v>
      </c>
      <c r="K574" s="662" t="str">
        <f t="shared" si="44"/>
        <v>DBaaS</v>
      </c>
      <c r="L574" s="660" t="str">
        <f t="shared" si="45"/>
        <v>HR</v>
      </c>
      <c r="M574" s="660" t="str">
        <f t="shared" si="46"/>
        <v>UC</v>
      </c>
      <c r="N574" s="660" t="str">
        <f t="shared" si="47"/>
        <v>PAAS</v>
      </c>
      <c r="O574" s="659" t="str">
        <f t="shared" si="48"/>
        <v/>
      </c>
    </row>
    <row r="575" spans="1:15">
      <c r="A575" t="s">
        <v>1190</v>
      </c>
      <c r="B575" t="s">
        <v>1939</v>
      </c>
      <c r="C575">
        <v>0.8871</v>
      </c>
      <c r="D575">
        <v>0.8871</v>
      </c>
      <c r="E575" t="s">
        <v>49</v>
      </c>
      <c r="F575" t="s">
        <v>2290</v>
      </c>
      <c r="G575" s="659" t="s">
        <v>2309</v>
      </c>
      <c r="H575" s="659" t="s">
        <v>2161</v>
      </c>
      <c r="I575" s="659" t="s">
        <v>1636</v>
      </c>
      <c r="J575" s="659" t="s">
        <v>2159</v>
      </c>
      <c r="K575" s="662" t="str">
        <f t="shared" si="44"/>
        <v>DBaaS</v>
      </c>
      <c r="L575" s="660" t="str">
        <f t="shared" si="45"/>
        <v>HR</v>
      </c>
      <c r="M575" s="660" t="str">
        <f t="shared" si="46"/>
        <v>UC</v>
      </c>
      <c r="N575" s="660" t="str">
        <f t="shared" si="47"/>
        <v>PAAS</v>
      </c>
      <c r="O575" s="659" t="str">
        <f t="shared" si="48"/>
        <v/>
      </c>
    </row>
    <row r="576" spans="1:15">
      <c r="A576" t="s">
        <v>1191</v>
      </c>
      <c r="B576" t="s">
        <v>1940</v>
      </c>
      <c r="C576">
        <v>1.3441000000000001</v>
      </c>
      <c r="D576">
        <v>1.3441000000000001</v>
      </c>
      <c r="E576" t="s">
        <v>49</v>
      </c>
      <c r="F576" t="s">
        <v>2290</v>
      </c>
      <c r="G576" s="659" t="s">
        <v>2309</v>
      </c>
      <c r="H576" s="659" t="s">
        <v>2161</v>
      </c>
      <c r="I576" s="659" t="s">
        <v>1636</v>
      </c>
      <c r="J576" s="659" t="s">
        <v>2159</v>
      </c>
      <c r="K576" s="662" t="str">
        <f t="shared" si="44"/>
        <v>DBaaS</v>
      </c>
      <c r="L576" s="660" t="str">
        <f t="shared" si="45"/>
        <v>HR</v>
      </c>
      <c r="M576" s="660" t="str">
        <f t="shared" si="46"/>
        <v>UC</v>
      </c>
      <c r="N576" s="660" t="str">
        <f t="shared" si="47"/>
        <v>PAAS</v>
      </c>
      <c r="O576" s="659" t="str">
        <f t="shared" si="48"/>
        <v/>
      </c>
    </row>
    <row r="577" spans="1:15">
      <c r="A577" t="s">
        <v>1192</v>
      </c>
      <c r="B577" t="s">
        <v>1193</v>
      </c>
      <c r="C577">
        <v>0.19350000000000001</v>
      </c>
      <c r="D577">
        <v>0.19350000000000001</v>
      </c>
      <c r="E577" t="s">
        <v>49</v>
      </c>
      <c r="F577" t="s">
        <v>2290</v>
      </c>
      <c r="G577" s="659" t="s">
        <v>2309</v>
      </c>
      <c r="H577" s="659" t="s">
        <v>2161</v>
      </c>
      <c r="I577" s="659" t="s">
        <v>1636</v>
      </c>
      <c r="J577" s="659" t="s">
        <v>1338</v>
      </c>
      <c r="K577" s="662" t="str">
        <f t="shared" si="44"/>
        <v>DBaaS</v>
      </c>
      <c r="L577" s="660" t="str">
        <f t="shared" si="45"/>
        <v>HR</v>
      </c>
      <c r="M577" s="660" t="str">
        <f t="shared" si="46"/>
        <v>UC</v>
      </c>
      <c r="N577" s="660" t="str">
        <f t="shared" si="47"/>
        <v>BYOL</v>
      </c>
      <c r="O577" s="659" t="str">
        <f t="shared" si="48"/>
        <v/>
      </c>
    </row>
    <row r="578" spans="1:15">
      <c r="A578" t="s">
        <v>1393</v>
      </c>
      <c r="B578" t="s">
        <v>2339</v>
      </c>
      <c r="C578">
        <v>0</v>
      </c>
      <c r="D578">
        <v>0.14169999999999999</v>
      </c>
      <c r="E578" t="s">
        <v>2340</v>
      </c>
      <c r="F578" t="s">
        <v>2290</v>
      </c>
      <c r="G578" s="659" t="s">
        <v>2392</v>
      </c>
      <c r="H578" s="659" t="s">
        <v>2162</v>
      </c>
      <c r="I578" s="659" t="s">
        <v>1636</v>
      </c>
      <c r="J578" s="659" t="s">
        <v>2159</v>
      </c>
      <c r="K578" s="662" t="str">
        <f t="shared" si="44"/>
        <v>Platform</v>
      </c>
      <c r="L578" s="660" t="str">
        <f t="shared" si="45"/>
        <v>GB</v>
      </c>
      <c r="M578" s="660" t="str">
        <f t="shared" si="46"/>
        <v>UC</v>
      </c>
      <c r="N578" s="660" t="str">
        <f t="shared" si="47"/>
        <v>PAAS</v>
      </c>
      <c r="O578" s="659" t="str">
        <f t="shared" si="48"/>
        <v/>
      </c>
    </row>
    <row r="579" spans="1:15">
      <c r="A579" t="s">
        <v>1394</v>
      </c>
      <c r="B579" t="s">
        <v>2341</v>
      </c>
      <c r="C579">
        <v>0</v>
      </c>
      <c r="D579">
        <v>0.2</v>
      </c>
      <c r="E579" t="s">
        <v>2342</v>
      </c>
      <c r="F579" t="s">
        <v>2290</v>
      </c>
      <c r="G579" s="659" t="s">
        <v>2392</v>
      </c>
      <c r="H579" s="659" t="s">
        <v>2394</v>
      </c>
      <c r="I579" s="659" t="s">
        <v>1636</v>
      </c>
      <c r="J579" s="659" t="s">
        <v>2159</v>
      </c>
      <c r="K579" s="662" t="str">
        <f t="shared" si="44"/>
        <v>Platform</v>
      </c>
      <c r="L579" s="660" t="str">
        <f t="shared" si="45"/>
        <v>UNIT</v>
      </c>
      <c r="M579" s="660" t="str">
        <f t="shared" si="46"/>
        <v>UC</v>
      </c>
      <c r="N579" s="660" t="str">
        <f t="shared" si="47"/>
        <v>PAAS</v>
      </c>
      <c r="O579" s="659" t="str">
        <f t="shared" si="48"/>
        <v/>
      </c>
    </row>
    <row r="580" spans="1:15">
      <c r="A580" t="s">
        <v>1329</v>
      </c>
      <c r="B580" t="s">
        <v>1372</v>
      </c>
      <c r="C580">
        <v>10.752700000000001</v>
      </c>
      <c r="D580">
        <v>10.752700000000001</v>
      </c>
      <c r="E580" t="s">
        <v>2192</v>
      </c>
      <c r="F580" t="s">
        <v>2290</v>
      </c>
      <c r="G580" s="659" t="s">
        <v>1838</v>
      </c>
      <c r="H580" s="659" t="s">
        <v>2161</v>
      </c>
      <c r="I580" s="659" t="s">
        <v>1636</v>
      </c>
      <c r="J580" s="659" t="s">
        <v>2159</v>
      </c>
      <c r="K580" s="662" t="str">
        <f t="shared" ref="K580:K643" si="49">_xlfn.IFS(
ISNUMBER(SEARCH("Day",E580)),"Consulting",
ISNUMBER(SEARCH("Starter Pack",B580)),"Consulting",
ISNUMBER(SEARCH("Design",B580)),"Consulting",
ISNUMBER(SEARCH("Deploy",B580)),"Consulting",
ISNUMBER(SEARCH("Expert",B580)),"Consulting",
ISNUMBER(SEARCH("Installation",B580)),"Consulting",
ISNUMBER(SEARCH("Recommendation",B580)),"Consulting",
ISNUMBER(SEARCH("Transition",B580)),"Consulting",
ISNUMBER(SEARCH("Transition",B580)),"Support",
ISNUMBER(SEARCH("Transition",B580)),"Foundation Service",
ISNUMBER(SEARCH("Consulting",B580)),"Consulting",
ISNUMBER(SEARCH("in Advance",B580)),"New",
ISNUMBER(SEARCH("Universal Credits",B580)),"UC",
ISNUMBER(SEARCH("Ravello",B580)),"Deprecated",
ISNUMBER(SEARCH("Cloud Machine",B580)),"Deprecated",
ISNUMBER(SEARCH("Compute",B580)),"Compute",
ISNUMBER(SEARCH("Load Balancer",B580)),"Network",
ISNUMBER(SEARCH("FastConnect",B580)),"Network",
ISNUMBER(SEARCH("Database OCPU",B580)),"CC OCPU",
ISNUMBER(SEARCH("at Customer",B580)),"CC",
ISNUMBER(SEARCH("Cloud@Customer",B580)),"CC",
ISNUMBER(SEARCH("Exadata Storage",B580)),"Exa Storage",
ISNUMBER(SEARCH("Storage",B580)),"Storage",
ISNUMBER(SEARCH("Block ",B580)),"Storage",
ISNUMBER(SEARCH("Autonomous Data Warehouse",B580)),"ADW",
ISNUMBER(SEARCH("Autonomous Transaction Processing",B580)),"ATP",
ISNUMBER(SEARCH("Database Exadata",B580)),"ExaCS",
ISNUMBER(SEARCH("Database",B580)),"DBaaS",
ISNUMBER(SEARCH("Essbase",B580)),"DBaaS",
ISNUMBER(SEARCH("integration",B580)),"Integration",
ISNUMBER(SEARCH("SOA",B580)),"Integration",
ISNUMBER(SEARCH("Management Cloud",B580)),"Management",
ISNUMBER(SEARCH("Analytics",B580)),"Analytics",
ISNUMBER(SEARCH("Storage",B580)),"Storage",
ISNUMBER(SEARCH("Block ",B580)),"Storage",
ISNUMBER(SEARCH("Identity",B580)),"Platform",
ISNUMBER(SEARCH("Content",B580)),"Platform",
ISNUMBER(SEARCH("Weblogic",B580)),"Platform",
ISNUMBER(SEARCH("Digital Assistant",B580)),"Platform",
ISNUMBER(SEARCH("Limited",B580)),"Classic",
ISNUMBER(SEARCH("Classic",B580)),"Classic",
ISNUMBER(SEARCH("Government",B580)),"Government",
ISNUMBER(SEARCH("Metered",B580)),"Deprecated",
VALUE(RIGHT(A580,5))&lt;88206,"Deprecated",
TRUE,"Platform")</f>
        <v>ExaCS</v>
      </c>
      <c r="L580" s="660" t="str">
        <f t="shared" si="45"/>
        <v>HR</v>
      </c>
      <c r="M580" s="660" t="str">
        <f t="shared" si="46"/>
        <v>UC</v>
      </c>
      <c r="N580" s="660" t="str">
        <f t="shared" si="47"/>
        <v>PAAS</v>
      </c>
      <c r="O580" s="659" t="str">
        <f t="shared" si="48"/>
        <v/>
      </c>
    </row>
    <row r="581" spans="1:15">
      <c r="A581" t="s">
        <v>1373</v>
      </c>
      <c r="B581" t="s">
        <v>1374</v>
      </c>
      <c r="C581">
        <v>0</v>
      </c>
      <c r="D581">
        <v>8000</v>
      </c>
      <c r="E581" t="s">
        <v>2178</v>
      </c>
      <c r="F581" t="s">
        <v>2290</v>
      </c>
      <c r="G581" s="659" t="s">
        <v>1838</v>
      </c>
      <c r="H581" s="659" t="s">
        <v>2394</v>
      </c>
      <c r="I581" s="659" t="s">
        <v>1636</v>
      </c>
      <c r="J581" s="659" t="s">
        <v>2159</v>
      </c>
      <c r="K581" s="662" t="str">
        <f t="shared" si="49"/>
        <v>ExaCS</v>
      </c>
      <c r="L581" s="660" t="str">
        <f t="shared" si="45"/>
        <v>UNIT</v>
      </c>
      <c r="M581" s="660" t="str">
        <f t="shared" si="46"/>
        <v>UC</v>
      </c>
      <c r="N581" s="660" t="str">
        <f t="shared" si="47"/>
        <v>PAAS</v>
      </c>
      <c r="O581" s="659" t="str">
        <f t="shared" si="48"/>
        <v/>
      </c>
    </row>
    <row r="582" spans="1:15">
      <c r="A582" t="s">
        <v>1581</v>
      </c>
      <c r="B582" t="s">
        <v>1582</v>
      </c>
      <c r="C582">
        <v>0</v>
      </c>
      <c r="D582">
        <v>10000</v>
      </c>
      <c r="E582" t="s">
        <v>1154</v>
      </c>
      <c r="F582" t="s">
        <v>2290</v>
      </c>
      <c r="G582" s="659" t="s">
        <v>2392</v>
      </c>
      <c r="H582" s="659" t="s">
        <v>2397</v>
      </c>
      <c r="I582" s="659" t="s">
        <v>1636</v>
      </c>
      <c r="J582" s="659" t="s">
        <v>2159</v>
      </c>
      <c r="K582" s="662" t="str">
        <f t="shared" si="49"/>
        <v>Platform</v>
      </c>
      <c r="L582" s="660" t="str">
        <f t="shared" si="45"/>
        <v>EA</v>
      </c>
      <c r="M582" s="660" t="str">
        <f t="shared" si="46"/>
        <v>UC</v>
      </c>
      <c r="N582" s="660" t="str">
        <f t="shared" si="47"/>
        <v>PAAS</v>
      </c>
      <c r="O582" s="659" t="str">
        <f t="shared" si="48"/>
        <v/>
      </c>
    </row>
    <row r="583" spans="1:15">
      <c r="A583" t="s">
        <v>1583</v>
      </c>
      <c r="B583" t="s">
        <v>1584</v>
      </c>
      <c r="C583">
        <v>0</v>
      </c>
      <c r="D583">
        <v>0</v>
      </c>
      <c r="E583">
        <v>0</v>
      </c>
      <c r="F583" t="s">
        <v>2290</v>
      </c>
      <c r="G583" s="659" t="s">
        <v>2392</v>
      </c>
      <c r="H583" s="659" t="s">
        <v>2394</v>
      </c>
      <c r="I583" s="659" t="s">
        <v>1636</v>
      </c>
      <c r="J583" s="659" t="s">
        <v>2159</v>
      </c>
      <c r="K583" s="662" t="str">
        <f t="shared" si="49"/>
        <v>Platform</v>
      </c>
      <c r="L583" s="660" t="str">
        <f t="shared" si="45"/>
        <v>UNIT</v>
      </c>
      <c r="M583" s="660" t="str">
        <f t="shared" si="46"/>
        <v>UC</v>
      </c>
      <c r="N583" s="660" t="str">
        <f t="shared" si="47"/>
        <v>PAAS</v>
      </c>
      <c r="O583" s="659" t="str">
        <f t="shared" si="48"/>
        <v/>
      </c>
    </row>
    <row r="584" spans="1:15">
      <c r="A584" t="s">
        <v>1221</v>
      </c>
      <c r="B584" t="s">
        <v>1257</v>
      </c>
      <c r="C584">
        <v>0</v>
      </c>
      <c r="D584">
        <v>9000</v>
      </c>
      <c r="E584" t="s">
        <v>1154</v>
      </c>
      <c r="F584" t="s">
        <v>2290</v>
      </c>
      <c r="G584" s="659" t="s">
        <v>2160</v>
      </c>
      <c r="H584" s="659" t="s">
        <v>2397</v>
      </c>
      <c r="I584" s="659" t="s">
        <v>2160</v>
      </c>
      <c r="J584" s="659" t="s">
        <v>2160</v>
      </c>
      <c r="K584" s="662" t="str">
        <f t="shared" si="49"/>
        <v>CC</v>
      </c>
      <c r="L584" s="660" t="str">
        <f t="shared" si="45"/>
        <v>EA</v>
      </c>
      <c r="M584" s="660" t="str">
        <f t="shared" si="46"/>
        <v>CC</v>
      </c>
      <c r="N584" s="660" t="str">
        <f t="shared" si="47"/>
        <v>CC</v>
      </c>
      <c r="O584" s="659" t="str">
        <f t="shared" si="48"/>
        <v/>
      </c>
    </row>
    <row r="585" spans="1:15">
      <c r="A585" t="s">
        <v>1222</v>
      </c>
      <c r="B585" t="s">
        <v>1258</v>
      </c>
      <c r="C585">
        <v>0</v>
      </c>
      <c r="D585">
        <v>3000</v>
      </c>
      <c r="E585" t="s">
        <v>1154</v>
      </c>
      <c r="F585" t="s">
        <v>2290</v>
      </c>
      <c r="G585" s="659" t="s">
        <v>2160</v>
      </c>
      <c r="H585" s="659" t="s">
        <v>2397</v>
      </c>
      <c r="I585" s="659" t="s">
        <v>2160</v>
      </c>
      <c r="J585" s="659" t="s">
        <v>2160</v>
      </c>
      <c r="K585" s="662" t="str">
        <f t="shared" si="49"/>
        <v>CC</v>
      </c>
      <c r="L585" s="660" t="str">
        <f t="shared" si="45"/>
        <v>EA</v>
      </c>
      <c r="M585" s="660" t="str">
        <f t="shared" si="46"/>
        <v>CC</v>
      </c>
      <c r="N585" s="660" t="str">
        <f t="shared" si="47"/>
        <v>CC</v>
      </c>
      <c r="O585" s="659" t="str">
        <f t="shared" si="48"/>
        <v/>
      </c>
    </row>
    <row r="586" spans="1:15">
      <c r="A586" t="s">
        <v>1223</v>
      </c>
      <c r="B586" t="s">
        <v>1941</v>
      </c>
      <c r="C586">
        <v>0</v>
      </c>
      <c r="D586">
        <v>4200</v>
      </c>
      <c r="E586" t="s">
        <v>1154</v>
      </c>
      <c r="F586" t="s">
        <v>2290</v>
      </c>
      <c r="G586" s="659" t="s">
        <v>2160</v>
      </c>
      <c r="H586" s="659" t="s">
        <v>2397</v>
      </c>
      <c r="I586" s="659" t="s">
        <v>2160</v>
      </c>
      <c r="J586" s="659" t="s">
        <v>2160</v>
      </c>
      <c r="K586" s="662" t="str">
        <f t="shared" si="49"/>
        <v>CC</v>
      </c>
      <c r="L586" s="660" t="str">
        <f t="shared" si="45"/>
        <v>EA</v>
      </c>
      <c r="M586" s="660" t="str">
        <f t="shared" si="46"/>
        <v>CC</v>
      </c>
      <c r="N586" s="660" t="str">
        <f t="shared" si="47"/>
        <v>CC</v>
      </c>
      <c r="O586" s="659" t="str">
        <f t="shared" si="48"/>
        <v/>
      </c>
    </row>
    <row r="587" spans="1:15">
      <c r="A587" t="s">
        <v>1360</v>
      </c>
      <c r="B587" t="s">
        <v>1585</v>
      </c>
      <c r="C587">
        <v>0</v>
      </c>
      <c r="D587">
        <v>4000</v>
      </c>
      <c r="E587" t="s">
        <v>2178</v>
      </c>
      <c r="F587" t="s">
        <v>2290</v>
      </c>
      <c r="G587" s="659" t="s">
        <v>2160</v>
      </c>
      <c r="H587" s="659" t="s">
        <v>2394</v>
      </c>
      <c r="I587" s="659" t="s">
        <v>2160</v>
      </c>
      <c r="J587" s="659" t="s">
        <v>2160</v>
      </c>
      <c r="K587" s="662" t="str">
        <f t="shared" si="49"/>
        <v>CC</v>
      </c>
      <c r="L587" s="660" t="str">
        <f t="shared" ref="L587:L650" si="50">_xlfn.IFS(ISNUMBER(SEARCH("Hour",E587)),"HR",ISNUMBER(SEARCH("Gigabyte",E587)),"GB",ISNUMBER(SEARCH("Terabyte",E587)),"TB",ISNUMBER(SEARCH("Requests",E587)),"REQ",ISNUMBER(SEARCH("Each",E587)),"EA",ISNUMBER(SEARCH("Day",E587)),"DAY","TRUE","UNIT")</f>
        <v>UNIT</v>
      </c>
      <c r="M587" s="660" t="str">
        <f t="shared" ref="M587:M650" si="51">_xlfn.IFS(K587="CC","CC",K587="Consulting","SRV",F587="Y","UC0",TRUE,"UC")</f>
        <v>CC</v>
      </c>
      <c r="N587" s="660" t="str">
        <f t="shared" ref="N587:N650" si="52">_xlfn.IFS(ISNUMBER(SEARCH("BYOL",B587)),"BYOL",K587="Storage","IAAS",K587="Compute","IAAS",K587="Network","IAAS",K587="Service","IAAS",M587="SRV","SRV",M587="CC","CC",L587="REQ","IAAS",TRUE,"PAAS")</f>
        <v>CC</v>
      </c>
      <c r="O587" s="659" t="str">
        <f t="shared" ref="O587:O650" si="53">IF(G587=K587,"","error")</f>
        <v/>
      </c>
    </row>
    <row r="588" spans="1:15">
      <c r="A588" t="s">
        <v>1361</v>
      </c>
      <c r="B588" t="s">
        <v>1586</v>
      </c>
      <c r="C588">
        <v>0</v>
      </c>
      <c r="D588">
        <v>3000</v>
      </c>
      <c r="E588" t="s">
        <v>2178</v>
      </c>
      <c r="F588" t="s">
        <v>2290</v>
      </c>
      <c r="G588" s="659" t="s">
        <v>2160</v>
      </c>
      <c r="H588" s="659" t="s">
        <v>2394</v>
      </c>
      <c r="I588" s="659" t="s">
        <v>2160</v>
      </c>
      <c r="J588" s="659" t="s">
        <v>2160</v>
      </c>
      <c r="K588" s="662" t="str">
        <f t="shared" si="49"/>
        <v>CC</v>
      </c>
      <c r="L588" s="660" t="str">
        <f t="shared" si="50"/>
        <v>UNIT</v>
      </c>
      <c r="M588" s="660" t="str">
        <f t="shared" si="51"/>
        <v>CC</v>
      </c>
      <c r="N588" s="660" t="str">
        <f t="shared" si="52"/>
        <v>CC</v>
      </c>
      <c r="O588" s="659" t="str">
        <f t="shared" si="53"/>
        <v/>
      </c>
    </row>
    <row r="589" spans="1:15">
      <c r="A589" t="s">
        <v>1587</v>
      </c>
      <c r="B589" t="s">
        <v>1588</v>
      </c>
      <c r="C589">
        <v>0</v>
      </c>
      <c r="D589">
        <v>4000</v>
      </c>
      <c r="E589" t="s">
        <v>2178</v>
      </c>
      <c r="F589" t="s">
        <v>2290</v>
      </c>
      <c r="G589" s="659" t="s">
        <v>2160</v>
      </c>
      <c r="H589" s="659" t="s">
        <v>2394</v>
      </c>
      <c r="I589" s="659" t="s">
        <v>2160</v>
      </c>
      <c r="J589" s="659" t="s">
        <v>2160</v>
      </c>
      <c r="K589" s="662" t="str">
        <f t="shared" si="49"/>
        <v>CC</v>
      </c>
      <c r="L589" s="660" t="str">
        <f t="shared" si="50"/>
        <v>UNIT</v>
      </c>
      <c r="M589" s="660" t="str">
        <f t="shared" si="51"/>
        <v>CC</v>
      </c>
      <c r="N589" s="660" t="str">
        <f t="shared" si="52"/>
        <v>CC</v>
      </c>
      <c r="O589" s="659" t="str">
        <f t="shared" si="53"/>
        <v/>
      </c>
    </row>
    <row r="590" spans="1:15">
      <c r="A590" t="s">
        <v>1589</v>
      </c>
      <c r="B590" t="s">
        <v>1590</v>
      </c>
      <c r="C590">
        <v>0</v>
      </c>
      <c r="D590">
        <v>3000</v>
      </c>
      <c r="E590" t="s">
        <v>2178</v>
      </c>
      <c r="F590" t="s">
        <v>2290</v>
      </c>
      <c r="G590" s="659" t="s">
        <v>2160</v>
      </c>
      <c r="H590" s="659" t="s">
        <v>2394</v>
      </c>
      <c r="I590" s="659" t="s">
        <v>2160</v>
      </c>
      <c r="J590" s="659" t="s">
        <v>2160</v>
      </c>
      <c r="K590" s="662" t="str">
        <f t="shared" si="49"/>
        <v>CC</v>
      </c>
      <c r="L590" s="660" t="str">
        <f t="shared" si="50"/>
        <v>UNIT</v>
      </c>
      <c r="M590" s="660" t="str">
        <f t="shared" si="51"/>
        <v>CC</v>
      </c>
      <c r="N590" s="660" t="str">
        <f t="shared" si="52"/>
        <v>CC</v>
      </c>
      <c r="O590" s="659" t="str">
        <f t="shared" si="53"/>
        <v/>
      </c>
    </row>
    <row r="591" spans="1:15">
      <c r="A591" t="s">
        <v>1259</v>
      </c>
      <c r="B591" t="s">
        <v>1670</v>
      </c>
      <c r="C591">
        <v>0</v>
      </c>
      <c r="D591">
        <v>20</v>
      </c>
      <c r="E591" t="s">
        <v>2176</v>
      </c>
      <c r="F591" t="s">
        <v>2290</v>
      </c>
      <c r="G591" s="659" t="s">
        <v>1839</v>
      </c>
      <c r="H591" s="659" t="s">
        <v>2394</v>
      </c>
      <c r="I591" s="659" t="s">
        <v>1636</v>
      </c>
      <c r="J591" s="659" t="s">
        <v>2159</v>
      </c>
      <c r="K591" s="662" t="str">
        <f t="shared" si="49"/>
        <v>Analytics</v>
      </c>
      <c r="L591" s="660" t="str">
        <f t="shared" si="50"/>
        <v>UNIT</v>
      </c>
      <c r="M591" s="660" t="str">
        <f t="shared" si="51"/>
        <v>UC</v>
      </c>
      <c r="N591" s="660" t="str">
        <f t="shared" si="52"/>
        <v>PAAS</v>
      </c>
      <c r="O591" s="659" t="str">
        <f t="shared" si="53"/>
        <v/>
      </c>
    </row>
    <row r="592" spans="1:15">
      <c r="A592" t="s">
        <v>1353</v>
      </c>
      <c r="B592" t="s">
        <v>1670</v>
      </c>
      <c r="C592">
        <v>0</v>
      </c>
      <c r="D592">
        <v>1000</v>
      </c>
      <c r="E592" t="s">
        <v>2168</v>
      </c>
      <c r="F592" t="s">
        <v>2290</v>
      </c>
      <c r="G592" s="659" t="s">
        <v>1839</v>
      </c>
      <c r="H592" s="659" t="s">
        <v>2394</v>
      </c>
      <c r="I592" s="659" t="s">
        <v>1636</v>
      </c>
      <c r="J592" s="659" t="s">
        <v>2159</v>
      </c>
      <c r="K592" s="662" t="str">
        <f t="shared" si="49"/>
        <v>Analytics</v>
      </c>
      <c r="L592" s="660" t="str">
        <f t="shared" si="50"/>
        <v>UNIT</v>
      </c>
      <c r="M592" s="660" t="str">
        <f t="shared" si="51"/>
        <v>UC</v>
      </c>
      <c r="N592" s="660" t="str">
        <f t="shared" si="52"/>
        <v>PAAS</v>
      </c>
      <c r="O592" s="659" t="str">
        <f t="shared" si="53"/>
        <v/>
      </c>
    </row>
    <row r="593" spans="1:15">
      <c r="A593" t="s">
        <v>1260</v>
      </c>
      <c r="B593" t="s">
        <v>1261</v>
      </c>
      <c r="C593">
        <v>0</v>
      </c>
      <c r="D593">
        <v>100</v>
      </c>
      <c r="E593" t="s">
        <v>2176</v>
      </c>
      <c r="F593" t="s">
        <v>2290</v>
      </c>
      <c r="G593" s="659" t="s">
        <v>1839</v>
      </c>
      <c r="H593" s="659" t="s">
        <v>2394</v>
      </c>
      <c r="I593" s="659" t="s">
        <v>1636</v>
      </c>
      <c r="J593" s="659" t="s">
        <v>2159</v>
      </c>
      <c r="K593" s="662" t="str">
        <f t="shared" si="49"/>
        <v>Analytics</v>
      </c>
      <c r="L593" s="660" t="str">
        <f t="shared" si="50"/>
        <v>UNIT</v>
      </c>
      <c r="M593" s="660" t="str">
        <f t="shared" si="51"/>
        <v>UC</v>
      </c>
      <c r="N593" s="660" t="str">
        <f t="shared" si="52"/>
        <v>PAAS</v>
      </c>
      <c r="O593" s="659" t="str">
        <f t="shared" si="53"/>
        <v/>
      </c>
    </row>
    <row r="594" spans="1:15">
      <c r="A594" t="s">
        <v>1354</v>
      </c>
      <c r="B594" t="s">
        <v>1261</v>
      </c>
      <c r="C594">
        <v>0</v>
      </c>
      <c r="D594">
        <v>2000</v>
      </c>
      <c r="E594" t="s">
        <v>2168</v>
      </c>
      <c r="F594" t="s">
        <v>2290</v>
      </c>
      <c r="G594" s="659" t="s">
        <v>1839</v>
      </c>
      <c r="H594" s="659" t="s">
        <v>2394</v>
      </c>
      <c r="I594" s="659" t="s">
        <v>1636</v>
      </c>
      <c r="J594" s="659" t="s">
        <v>2159</v>
      </c>
      <c r="K594" s="662" t="str">
        <f t="shared" si="49"/>
        <v>Analytics</v>
      </c>
      <c r="L594" s="660" t="str">
        <f t="shared" si="50"/>
        <v>UNIT</v>
      </c>
      <c r="M594" s="660" t="str">
        <f t="shared" si="51"/>
        <v>UC</v>
      </c>
      <c r="N594" s="660" t="str">
        <f t="shared" si="52"/>
        <v>PAAS</v>
      </c>
      <c r="O594" s="659" t="str">
        <f t="shared" si="53"/>
        <v/>
      </c>
    </row>
    <row r="595" spans="1:15">
      <c r="A595" t="s">
        <v>1362</v>
      </c>
      <c r="B595" t="s">
        <v>1591</v>
      </c>
      <c r="C595">
        <v>0</v>
      </c>
      <c r="D595">
        <v>4000</v>
      </c>
      <c r="E595" t="s">
        <v>2178</v>
      </c>
      <c r="F595" t="s">
        <v>2290</v>
      </c>
      <c r="G595" s="659" t="s">
        <v>2160</v>
      </c>
      <c r="H595" s="659" t="s">
        <v>2394</v>
      </c>
      <c r="I595" s="659" t="s">
        <v>2160</v>
      </c>
      <c r="J595" s="659" t="s">
        <v>2160</v>
      </c>
      <c r="K595" s="662" t="str">
        <f t="shared" si="49"/>
        <v>CC</v>
      </c>
      <c r="L595" s="660" t="str">
        <f t="shared" si="50"/>
        <v>UNIT</v>
      </c>
      <c r="M595" s="660" t="str">
        <f t="shared" si="51"/>
        <v>CC</v>
      </c>
      <c r="N595" s="660" t="str">
        <f t="shared" si="52"/>
        <v>CC</v>
      </c>
      <c r="O595" s="659" t="str">
        <f t="shared" si="53"/>
        <v/>
      </c>
    </row>
    <row r="596" spans="1:15">
      <c r="A596" t="s">
        <v>1363</v>
      </c>
      <c r="B596" t="s">
        <v>1592</v>
      </c>
      <c r="C596">
        <v>0</v>
      </c>
      <c r="D596">
        <v>3000</v>
      </c>
      <c r="E596" t="s">
        <v>2178</v>
      </c>
      <c r="F596" t="s">
        <v>2290</v>
      </c>
      <c r="G596" s="659" t="s">
        <v>2160</v>
      </c>
      <c r="H596" s="659" t="s">
        <v>2394</v>
      </c>
      <c r="I596" s="659" t="s">
        <v>2160</v>
      </c>
      <c r="J596" s="659" t="s">
        <v>2160</v>
      </c>
      <c r="K596" s="662" t="str">
        <f t="shared" si="49"/>
        <v>CC</v>
      </c>
      <c r="L596" s="660" t="str">
        <f t="shared" si="50"/>
        <v>UNIT</v>
      </c>
      <c r="M596" s="660" t="str">
        <f t="shared" si="51"/>
        <v>CC</v>
      </c>
      <c r="N596" s="660" t="str">
        <f t="shared" si="52"/>
        <v>CC</v>
      </c>
      <c r="O596" s="659" t="str">
        <f t="shared" si="53"/>
        <v/>
      </c>
    </row>
    <row r="597" spans="1:15">
      <c r="A597" t="s">
        <v>1593</v>
      </c>
      <c r="B597" t="s">
        <v>1594</v>
      </c>
      <c r="C597">
        <v>0</v>
      </c>
      <c r="D597">
        <v>17750</v>
      </c>
      <c r="E597" t="s">
        <v>1154</v>
      </c>
      <c r="F597" t="s">
        <v>2290</v>
      </c>
      <c r="G597" s="659" t="s">
        <v>2160</v>
      </c>
      <c r="H597" s="659" t="s">
        <v>2397</v>
      </c>
      <c r="I597" s="659" t="s">
        <v>2160</v>
      </c>
      <c r="J597" s="659" t="s">
        <v>2160</v>
      </c>
      <c r="K597" s="662" t="str">
        <f t="shared" si="49"/>
        <v>CC</v>
      </c>
      <c r="L597" s="660" t="str">
        <f t="shared" si="50"/>
        <v>EA</v>
      </c>
      <c r="M597" s="660" t="str">
        <f t="shared" si="51"/>
        <v>CC</v>
      </c>
      <c r="N597" s="660" t="str">
        <f t="shared" si="52"/>
        <v>CC</v>
      </c>
      <c r="O597" s="659" t="str">
        <f t="shared" si="53"/>
        <v/>
      </c>
    </row>
    <row r="598" spans="1:15">
      <c r="A598" t="s">
        <v>1595</v>
      </c>
      <c r="B598" t="s">
        <v>1596</v>
      </c>
      <c r="C598">
        <v>0</v>
      </c>
      <c r="D598">
        <v>13000</v>
      </c>
      <c r="E598" t="s">
        <v>1154</v>
      </c>
      <c r="F598" t="s">
        <v>2290</v>
      </c>
      <c r="G598" s="659" t="s">
        <v>2160</v>
      </c>
      <c r="H598" s="659" t="s">
        <v>2397</v>
      </c>
      <c r="I598" s="659" t="s">
        <v>2160</v>
      </c>
      <c r="J598" s="659" t="s">
        <v>2160</v>
      </c>
      <c r="K598" s="662" t="str">
        <f t="shared" si="49"/>
        <v>CC</v>
      </c>
      <c r="L598" s="660" t="str">
        <f t="shared" si="50"/>
        <v>EA</v>
      </c>
      <c r="M598" s="660" t="str">
        <f t="shared" si="51"/>
        <v>CC</v>
      </c>
      <c r="N598" s="660" t="str">
        <f t="shared" si="52"/>
        <v>CC</v>
      </c>
      <c r="O598" s="659" t="str">
        <f t="shared" si="53"/>
        <v/>
      </c>
    </row>
    <row r="599" spans="1:15">
      <c r="A599" t="s">
        <v>1597</v>
      </c>
      <c r="B599" t="s">
        <v>1598</v>
      </c>
      <c r="C599">
        <v>0</v>
      </c>
      <c r="D599">
        <v>6640</v>
      </c>
      <c r="E599" t="s">
        <v>1154</v>
      </c>
      <c r="F599" t="s">
        <v>2290</v>
      </c>
      <c r="G599" s="659" t="s">
        <v>2160</v>
      </c>
      <c r="H599" s="659" t="s">
        <v>2397</v>
      </c>
      <c r="I599" s="659" t="s">
        <v>2160</v>
      </c>
      <c r="J599" s="659" t="s">
        <v>1338</v>
      </c>
      <c r="K599" s="662" t="str">
        <f t="shared" si="49"/>
        <v>CC</v>
      </c>
      <c r="L599" s="660" t="str">
        <f t="shared" si="50"/>
        <v>EA</v>
      </c>
      <c r="M599" s="660" t="str">
        <f t="shared" si="51"/>
        <v>CC</v>
      </c>
      <c r="N599" s="660" t="str">
        <f t="shared" si="52"/>
        <v>BYOL</v>
      </c>
      <c r="O599" s="659" t="str">
        <f t="shared" si="53"/>
        <v/>
      </c>
    </row>
    <row r="600" spans="1:15">
      <c r="A600" t="s">
        <v>1599</v>
      </c>
      <c r="B600" t="s">
        <v>1600</v>
      </c>
      <c r="C600">
        <v>0</v>
      </c>
      <c r="D600">
        <v>4920</v>
      </c>
      <c r="E600" t="s">
        <v>1154</v>
      </c>
      <c r="F600" t="s">
        <v>2290</v>
      </c>
      <c r="G600" s="659" t="s">
        <v>2160</v>
      </c>
      <c r="H600" s="659" t="s">
        <v>2397</v>
      </c>
      <c r="I600" s="659" t="s">
        <v>2160</v>
      </c>
      <c r="J600" s="659" t="s">
        <v>1338</v>
      </c>
      <c r="K600" s="662" t="str">
        <f t="shared" si="49"/>
        <v>CC</v>
      </c>
      <c r="L600" s="660" t="str">
        <f t="shared" si="50"/>
        <v>EA</v>
      </c>
      <c r="M600" s="660" t="str">
        <f t="shared" si="51"/>
        <v>CC</v>
      </c>
      <c r="N600" s="660" t="str">
        <f t="shared" si="52"/>
        <v>BYOL</v>
      </c>
      <c r="O600" s="659" t="str">
        <f t="shared" si="53"/>
        <v/>
      </c>
    </row>
    <row r="601" spans="1:15">
      <c r="A601" t="s">
        <v>1601</v>
      </c>
      <c r="B601" t="s">
        <v>1602</v>
      </c>
      <c r="C601">
        <v>0</v>
      </c>
      <c r="D601">
        <v>4000</v>
      </c>
      <c r="E601" t="s">
        <v>2178</v>
      </c>
      <c r="F601" t="s">
        <v>2290</v>
      </c>
      <c r="G601" s="659" t="s">
        <v>2160</v>
      </c>
      <c r="H601" s="659" t="s">
        <v>2394</v>
      </c>
      <c r="I601" s="659" t="s">
        <v>2160</v>
      </c>
      <c r="J601" s="659" t="s">
        <v>2160</v>
      </c>
      <c r="K601" s="662" t="str">
        <f t="shared" si="49"/>
        <v>CC</v>
      </c>
      <c r="L601" s="660" t="str">
        <f t="shared" si="50"/>
        <v>UNIT</v>
      </c>
      <c r="M601" s="660" t="str">
        <f t="shared" si="51"/>
        <v>CC</v>
      </c>
      <c r="N601" s="660" t="str">
        <f t="shared" si="52"/>
        <v>CC</v>
      </c>
      <c r="O601" s="659" t="str">
        <f t="shared" si="53"/>
        <v/>
      </c>
    </row>
    <row r="602" spans="1:15">
      <c r="A602" t="s">
        <v>1603</v>
      </c>
      <c r="B602" t="s">
        <v>1604</v>
      </c>
      <c r="C602">
        <v>0</v>
      </c>
      <c r="D602">
        <v>3000</v>
      </c>
      <c r="E602" t="s">
        <v>2178</v>
      </c>
      <c r="F602" t="s">
        <v>2290</v>
      </c>
      <c r="G602" s="659" t="s">
        <v>2160</v>
      </c>
      <c r="H602" s="659" t="s">
        <v>2394</v>
      </c>
      <c r="I602" s="659" t="s">
        <v>2160</v>
      </c>
      <c r="J602" s="659" t="s">
        <v>2160</v>
      </c>
      <c r="K602" s="662" t="str">
        <f t="shared" si="49"/>
        <v>CC</v>
      </c>
      <c r="L602" s="660" t="str">
        <f t="shared" si="50"/>
        <v>UNIT</v>
      </c>
      <c r="M602" s="660" t="str">
        <f t="shared" si="51"/>
        <v>CC</v>
      </c>
      <c r="N602" s="660" t="str">
        <f t="shared" si="52"/>
        <v>CC</v>
      </c>
      <c r="O602" s="659" t="str">
        <f t="shared" si="53"/>
        <v/>
      </c>
    </row>
    <row r="603" spans="1:15">
      <c r="A603" t="s">
        <v>1605</v>
      </c>
      <c r="B603" t="s">
        <v>1606</v>
      </c>
      <c r="C603">
        <v>0</v>
      </c>
      <c r="D603">
        <v>17750</v>
      </c>
      <c r="E603" t="s">
        <v>1154</v>
      </c>
      <c r="F603" t="s">
        <v>2290</v>
      </c>
      <c r="G603" s="659" t="s">
        <v>2160</v>
      </c>
      <c r="H603" s="659" t="s">
        <v>2397</v>
      </c>
      <c r="I603" s="659" t="s">
        <v>2160</v>
      </c>
      <c r="J603" s="659" t="s">
        <v>2160</v>
      </c>
      <c r="K603" s="662" t="str">
        <f t="shared" si="49"/>
        <v>CC</v>
      </c>
      <c r="L603" s="660" t="str">
        <f t="shared" si="50"/>
        <v>EA</v>
      </c>
      <c r="M603" s="660" t="str">
        <f t="shared" si="51"/>
        <v>CC</v>
      </c>
      <c r="N603" s="660" t="str">
        <f t="shared" si="52"/>
        <v>CC</v>
      </c>
      <c r="O603" s="659" t="str">
        <f t="shared" si="53"/>
        <v/>
      </c>
    </row>
    <row r="604" spans="1:15">
      <c r="A604" t="s">
        <v>1607</v>
      </c>
      <c r="B604" t="s">
        <v>1608</v>
      </c>
      <c r="C604">
        <v>0</v>
      </c>
      <c r="D604">
        <v>13000</v>
      </c>
      <c r="E604" t="s">
        <v>1154</v>
      </c>
      <c r="F604" t="s">
        <v>2290</v>
      </c>
      <c r="G604" s="659" t="s">
        <v>2160</v>
      </c>
      <c r="H604" s="659" t="s">
        <v>2397</v>
      </c>
      <c r="I604" s="659" t="s">
        <v>2160</v>
      </c>
      <c r="J604" s="659" t="s">
        <v>2160</v>
      </c>
      <c r="K604" s="662" t="str">
        <f t="shared" si="49"/>
        <v>CC</v>
      </c>
      <c r="L604" s="660" t="str">
        <f t="shared" si="50"/>
        <v>EA</v>
      </c>
      <c r="M604" s="660" t="str">
        <f t="shared" si="51"/>
        <v>CC</v>
      </c>
      <c r="N604" s="660" t="str">
        <f t="shared" si="52"/>
        <v>CC</v>
      </c>
      <c r="O604" s="659" t="str">
        <f t="shared" si="53"/>
        <v/>
      </c>
    </row>
    <row r="605" spans="1:15">
      <c r="A605" t="s">
        <v>1609</v>
      </c>
      <c r="B605" t="s">
        <v>1610</v>
      </c>
      <c r="C605">
        <v>0</v>
      </c>
      <c r="D605">
        <v>6640</v>
      </c>
      <c r="E605" t="s">
        <v>1154</v>
      </c>
      <c r="F605" t="s">
        <v>2290</v>
      </c>
      <c r="G605" s="659" t="s">
        <v>2160</v>
      </c>
      <c r="H605" s="659" t="s">
        <v>2397</v>
      </c>
      <c r="I605" s="659" t="s">
        <v>2160</v>
      </c>
      <c r="J605" s="659" t="s">
        <v>1338</v>
      </c>
      <c r="K605" s="662" t="str">
        <f t="shared" si="49"/>
        <v>CC</v>
      </c>
      <c r="L605" s="660" t="str">
        <f t="shared" si="50"/>
        <v>EA</v>
      </c>
      <c r="M605" s="660" t="str">
        <f t="shared" si="51"/>
        <v>CC</v>
      </c>
      <c r="N605" s="660" t="str">
        <f t="shared" si="52"/>
        <v>BYOL</v>
      </c>
      <c r="O605" s="659" t="str">
        <f t="shared" si="53"/>
        <v/>
      </c>
    </row>
    <row r="606" spans="1:15">
      <c r="A606" t="s">
        <v>1611</v>
      </c>
      <c r="B606" t="s">
        <v>1612</v>
      </c>
      <c r="C606">
        <v>0</v>
      </c>
      <c r="D606">
        <v>4920</v>
      </c>
      <c r="E606" t="s">
        <v>1154</v>
      </c>
      <c r="F606" t="s">
        <v>2290</v>
      </c>
      <c r="G606" s="659" t="s">
        <v>2160</v>
      </c>
      <c r="H606" s="659" t="s">
        <v>2397</v>
      </c>
      <c r="I606" s="659" t="s">
        <v>2160</v>
      </c>
      <c r="J606" s="659" t="s">
        <v>1338</v>
      </c>
      <c r="K606" s="662" t="str">
        <f t="shared" si="49"/>
        <v>CC</v>
      </c>
      <c r="L606" s="660" t="str">
        <f t="shared" si="50"/>
        <v>EA</v>
      </c>
      <c r="M606" s="660" t="str">
        <f t="shared" si="51"/>
        <v>CC</v>
      </c>
      <c r="N606" s="660" t="str">
        <f t="shared" si="52"/>
        <v>BYOL</v>
      </c>
      <c r="O606" s="659" t="str">
        <f t="shared" si="53"/>
        <v/>
      </c>
    </row>
    <row r="607" spans="1:15">
      <c r="A607" t="s">
        <v>1330</v>
      </c>
      <c r="B607" t="s">
        <v>2343</v>
      </c>
      <c r="C607">
        <v>0</v>
      </c>
      <c r="D607">
        <v>2.5000000000000001E-3</v>
      </c>
      <c r="E607" t="s">
        <v>2344</v>
      </c>
      <c r="F607" t="s">
        <v>2290</v>
      </c>
      <c r="G607" s="659" t="s">
        <v>2392</v>
      </c>
      <c r="H607" s="659" t="s">
        <v>2394</v>
      </c>
      <c r="I607" s="659" t="s">
        <v>1636</v>
      </c>
      <c r="J607" s="659" t="s">
        <v>2159</v>
      </c>
      <c r="K607" s="662" t="str">
        <f t="shared" si="49"/>
        <v>Platform</v>
      </c>
      <c r="L607" s="660" t="str">
        <f t="shared" si="50"/>
        <v>UNIT</v>
      </c>
      <c r="M607" s="660" t="str">
        <f t="shared" si="51"/>
        <v>UC</v>
      </c>
      <c r="N607" s="660" t="str">
        <f t="shared" si="52"/>
        <v>PAAS</v>
      </c>
      <c r="O607" s="659" t="str">
        <f t="shared" si="53"/>
        <v/>
      </c>
    </row>
    <row r="608" spans="1:15">
      <c r="A608" t="s">
        <v>1331</v>
      </c>
      <c r="B608" t="s">
        <v>2345</v>
      </c>
      <c r="C608">
        <v>0</v>
      </c>
      <c r="D608">
        <v>1.5E-3</v>
      </c>
      <c r="E608" t="s">
        <v>2344</v>
      </c>
      <c r="F608" t="s">
        <v>2290</v>
      </c>
      <c r="G608" s="659" t="s">
        <v>2392</v>
      </c>
      <c r="H608" s="659" t="s">
        <v>2394</v>
      </c>
      <c r="I608" s="659" t="s">
        <v>1636</v>
      </c>
      <c r="J608" s="659" t="s">
        <v>2159</v>
      </c>
      <c r="K608" s="662" t="str">
        <f t="shared" si="49"/>
        <v>Platform</v>
      </c>
      <c r="L608" s="660" t="str">
        <f t="shared" si="50"/>
        <v>UNIT</v>
      </c>
      <c r="M608" s="660" t="str">
        <f t="shared" si="51"/>
        <v>UC</v>
      </c>
      <c r="N608" s="660" t="str">
        <f t="shared" si="52"/>
        <v>PAAS</v>
      </c>
      <c r="O608" s="659" t="str">
        <f t="shared" si="53"/>
        <v/>
      </c>
    </row>
    <row r="609" spans="1:15">
      <c r="A609" t="s">
        <v>1282</v>
      </c>
      <c r="B609" t="s">
        <v>1945</v>
      </c>
      <c r="C609">
        <v>0</v>
      </c>
      <c r="D609">
        <v>0</v>
      </c>
      <c r="E609" t="s">
        <v>1154</v>
      </c>
      <c r="F609" t="s">
        <v>2290</v>
      </c>
      <c r="G609" s="659" t="s">
        <v>2392</v>
      </c>
      <c r="H609" s="659" t="s">
        <v>2397</v>
      </c>
      <c r="I609" s="659" t="s">
        <v>1636</v>
      </c>
      <c r="J609" s="659" t="s">
        <v>2159</v>
      </c>
      <c r="K609" s="662" t="str">
        <f t="shared" si="49"/>
        <v>Platform</v>
      </c>
      <c r="L609" s="660" t="str">
        <f t="shared" si="50"/>
        <v>EA</v>
      </c>
      <c r="M609" s="660" t="str">
        <f t="shared" si="51"/>
        <v>UC</v>
      </c>
      <c r="N609" s="660" t="str">
        <f t="shared" si="52"/>
        <v>PAAS</v>
      </c>
      <c r="O609" s="659" t="str">
        <f t="shared" si="53"/>
        <v/>
      </c>
    </row>
    <row r="610" spans="1:15">
      <c r="A610" t="s">
        <v>1283</v>
      </c>
      <c r="B610" t="s">
        <v>1946</v>
      </c>
      <c r="C610">
        <v>0</v>
      </c>
      <c r="D610">
        <v>0</v>
      </c>
      <c r="E610" t="s">
        <v>1154</v>
      </c>
      <c r="F610" t="s">
        <v>2290</v>
      </c>
      <c r="G610" s="659" t="s">
        <v>2392</v>
      </c>
      <c r="H610" s="659" t="s">
        <v>2397</v>
      </c>
      <c r="I610" s="659" t="s">
        <v>1636</v>
      </c>
      <c r="J610" s="659" t="s">
        <v>2159</v>
      </c>
      <c r="K610" s="662" t="str">
        <f t="shared" si="49"/>
        <v>Platform</v>
      </c>
      <c r="L610" s="660" t="str">
        <f t="shared" si="50"/>
        <v>EA</v>
      </c>
      <c r="M610" s="660" t="str">
        <f t="shared" si="51"/>
        <v>UC</v>
      </c>
      <c r="N610" s="660" t="str">
        <f t="shared" si="52"/>
        <v>PAAS</v>
      </c>
      <c r="O610" s="659" t="str">
        <f t="shared" si="53"/>
        <v/>
      </c>
    </row>
    <row r="611" spans="1:15">
      <c r="A611" t="s">
        <v>1332</v>
      </c>
      <c r="B611" t="s">
        <v>1333</v>
      </c>
      <c r="C611">
        <v>2.5000000000000001E-2</v>
      </c>
      <c r="D611">
        <v>2.5000000000000001E-2</v>
      </c>
      <c r="E611" t="s">
        <v>2225</v>
      </c>
      <c r="F611" t="s">
        <v>2290</v>
      </c>
      <c r="G611" s="659" t="s">
        <v>2392</v>
      </c>
      <c r="H611" s="659" t="s">
        <v>2162</v>
      </c>
      <c r="I611" s="659" t="s">
        <v>1636</v>
      </c>
      <c r="J611" s="659" t="s">
        <v>2159</v>
      </c>
      <c r="K611" s="662" t="str">
        <f t="shared" si="49"/>
        <v>Platform</v>
      </c>
      <c r="L611" s="660" t="str">
        <f t="shared" si="50"/>
        <v>GB</v>
      </c>
      <c r="M611" s="660" t="str">
        <f t="shared" si="51"/>
        <v>UC</v>
      </c>
      <c r="N611" s="660" t="str">
        <f t="shared" si="52"/>
        <v>PAAS</v>
      </c>
      <c r="O611" s="659" t="str">
        <f t="shared" si="53"/>
        <v/>
      </c>
    </row>
    <row r="612" spans="1:15">
      <c r="A612" t="s">
        <v>1334</v>
      </c>
      <c r="B612" t="s">
        <v>1335</v>
      </c>
      <c r="C612">
        <v>2.0000000000000001E-4</v>
      </c>
      <c r="D612">
        <v>2.0000000000000001E-4</v>
      </c>
      <c r="E612" t="s">
        <v>2294</v>
      </c>
      <c r="F612" t="s">
        <v>2290</v>
      </c>
      <c r="G612" s="659" t="s">
        <v>1840</v>
      </c>
      <c r="H612" s="659" t="s">
        <v>2161</v>
      </c>
      <c r="I612" s="659" t="s">
        <v>1636</v>
      </c>
      <c r="J612" s="659" t="s">
        <v>2158</v>
      </c>
      <c r="K612" s="662" t="str">
        <f t="shared" si="49"/>
        <v>Storage</v>
      </c>
      <c r="L612" s="660" t="str">
        <f t="shared" si="50"/>
        <v>HR</v>
      </c>
      <c r="M612" s="660" t="str">
        <f t="shared" si="51"/>
        <v>UC</v>
      </c>
      <c r="N612" s="660" t="str">
        <f t="shared" si="52"/>
        <v>IAAS</v>
      </c>
      <c r="O612" s="659" t="str">
        <f t="shared" si="53"/>
        <v/>
      </c>
    </row>
    <row r="613" spans="1:15">
      <c r="A613" t="s">
        <v>1336</v>
      </c>
      <c r="B613" t="s">
        <v>2346</v>
      </c>
      <c r="C613">
        <v>0</v>
      </c>
      <c r="D613">
        <v>0.6</v>
      </c>
      <c r="E613" t="s">
        <v>2347</v>
      </c>
      <c r="F613" t="s">
        <v>2290</v>
      </c>
      <c r="G613" s="659" t="s">
        <v>2392</v>
      </c>
      <c r="H613" s="659" t="s">
        <v>2394</v>
      </c>
      <c r="I613" s="659" t="s">
        <v>1636</v>
      </c>
      <c r="J613" s="659" t="s">
        <v>2159</v>
      </c>
      <c r="K613" s="662" t="str">
        <f t="shared" si="49"/>
        <v>Platform</v>
      </c>
      <c r="L613" s="660" t="str">
        <f t="shared" si="50"/>
        <v>UNIT</v>
      </c>
      <c r="M613" s="660" t="str">
        <f t="shared" si="51"/>
        <v>UC</v>
      </c>
      <c r="N613" s="660" t="str">
        <f t="shared" si="52"/>
        <v>PAAS</v>
      </c>
      <c r="O613" s="659" t="str">
        <f t="shared" si="53"/>
        <v/>
      </c>
    </row>
    <row r="614" spans="1:15">
      <c r="A614" t="s">
        <v>1337</v>
      </c>
      <c r="B614" t="s">
        <v>2348</v>
      </c>
      <c r="C614">
        <v>0</v>
      </c>
      <c r="D614">
        <v>0.02</v>
      </c>
      <c r="E614" t="s">
        <v>2200</v>
      </c>
      <c r="F614" t="s">
        <v>2290</v>
      </c>
      <c r="G614" s="659" t="s">
        <v>2392</v>
      </c>
      <c r="H614" s="659" t="s">
        <v>2394</v>
      </c>
      <c r="I614" s="659" t="s">
        <v>1636</v>
      </c>
      <c r="J614" s="659" t="s">
        <v>2159</v>
      </c>
      <c r="K614" s="662" t="str">
        <f t="shared" si="49"/>
        <v>Platform</v>
      </c>
      <c r="L614" s="660" t="str">
        <f t="shared" si="50"/>
        <v>UNIT</v>
      </c>
      <c r="M614" s="660" t="str">
        <f t="shared" si="51"/>
        <v>UC</v>
      </c>
      <c r="N614" s="660" t="str">
        <f t="shared" si="52"/>
        <v>PAAS</v>
      </c>
      <c r="O614" s="659" t="str">
        <f t="shared" si="53"/>
        <v/>
      </c>
    </row>
    <row r="615" spans="1:15" ht="16">
      <c r="A615" s="661" t="s">
        <v>1613</v>
      </c>
      <c r="B615" s="659" t="s">
        <v>1614</v>
      </c>
      <c r="C615" s="659">
        <v>0</v>
      </c>
      <c r="D615" s="659">
        <v>30000</v>
      </c>
      <c r="E615" s="659" t="s">
        <v>1154</v>
      </c>
      <c r="F615" s="659" t="s">
        <v>2290</v>
      </c>
      <c r="G615" s="659" t="s">
        <v>2558</v>
      </c>
      <c r="H615" s="659" t="s">
        <v>2397</v>
      </c>
      <c r="I615" s="659" t="s">
        <v>1637</v>
      </c>
      <c r="J615" s="659" t="s">
        <v>1637</v>
      </c>
      <c r="K615" s="662" t="str">
        <f t="shared" si="49"/>
        <v>Consulting</v>
      </c>
      <c r="L615" s="660" t="str">
        <f t="shared" si="50"/>
        <v>EA</v>
      </c>
      <c r="M615" s="660" t="str">
        <f t="shared" si="51"/>
        <v>SRV</v>
      </c>
      <c r="N615" s="660" t="str">
        <f t="shared" si="52"/>
        <v>SRV</v>
      </c>
      <c r="O615" s="659" t="str">
        <f t="shared" si="53"/>
        <v/>
      </c>
    </row>
    <row r="616" spans="1:15" ht="16">
      <c r="A616" s="661" t="s">
        <v>2135</v>
      </c>
      <c r="B616" s="659" t="s">
        <v>2136</v>
      </c>
      <c r="C616" s="659">
        <v>0</v>
      </c>
      <c r="D616" s="659">
        <v>2700</v>
      </c>
      <c r="E616" s="659" t="s">
        <v>2178</v>
      </c>
      <c r="F616" s="659" t="s">
        <v>2290</v>
      </c>
      <c r="G616" s="659" t="s">
        <v>2160</v>
      </c>
      <c r="H616" s="659" t="s">
        <v>2394</v>
      </c>
      <c r="I616" s="659" t="s">
        <v>2160</v>
      </c>
      <c r="J616" s="659" t="s">
        <v>2160</v>
      </c>
      <c r="K616" s="662" t="str">
        <f t="shared" si="49"/>
        <v>CC</v>
      </c>
      <c r="L616" s="660" t="str">
        <f t="shared" si="50"/>
        <v>UNIT</v>
      </c>
      <c r="M616" s="660" t="str">
        <f t="shared" si="51"/>
        <v>CC</v>
      </c>
      <c r="N616" s="660" t="str">
        <f t="shared" si="52"/>
        <v>CC</v>
      </c>
      <c r="O616" s="659" t="str">
        <f t="shared" si="53"/>
        <v/>
      </c>
    </row>
    <row r="617" spans="1:15" ht="16">
      <c r="A617" s="661" t="s">
        <v>2137</v>
      </c>
      <c r="B617" s="659" t="s">
        <v>2138</v>
      </c>
      <c r="C617" s="659">
        <v>0</v>
      </c>
      <c r="D617" s="659">
        <v>2000</v>
      </c>
      <c r="E617" s="659" t="s">
        <v>2178</v>
      </c>
      <c r="F617" s="659" t="s">
        <v>2290</v>
      </c>
      <c r="G617" s="659" t="s">
        <v>2160</v>
      </c>
      <c r="H617" s="659" t="s">
        <v>2394</v>
      </c>
      <c r="I617" s="659" t="s">
        <v>2160</v>
      </c>
      <c r="J617" s="659" t="s">
        <v>2160</v>
      </c>
      <c r="K617" s="662" t="str">
        <f t="shared" si="49"/>
        <v>CC</v>
      </c>
      <c r="L617" s="660" t="str">
        <f t="shared" si="50"/>
        <v>UNIT</v>
      </c>
      <c r="M617" s="660" t="str">
        <f t="shared" si="51"/>
        <v>CC</v>
      </c>
      <c r="N617" s="660" t="str">
        <f t="shared" si="52"/>
        <v>CC</v>
      </c>
      <c r="O617" s="659" t="str">
        <f t="shared" si="53"/>
        <v/>
      </c>
    </row>
    <row r="618" spans="1:15" ht="16">
      <c r="A618" s="661" t="s">
        <v>2139</v>
      </c>
      <c r="B618" s="659" t="s">
        <v>2140</v>
      </c>
      <c r="C618" s="659">
        <v>0</v>
      </c>
      <c r="D618" s="659">
        <v>2700</v>
      </c>
      <c r="E618" s="659" t="s">
        <v>2178</v>
      </c>
      <c r="F618" s="659" t="s">
        <v>2290</v>
      </c>
      <c r="G618" s="659" t="s">
        <v>2160</v>
      </c>
      <c r="H618" s="659" t="s">
        <v>2394</v>
      </c>
      <c r="I618" s="659" t="s">
        <v>2160</v>
      </c>
      <c r="J618" s="659" t="s">
        <v>2160</v>
      </c>
      <c r="K618" s="662" t="str">
        <f t="shared" si="49"/>
        <v>CC</v>
      </c>
      <c r="L618" s="660" t="str">
        <f t="shared" si="50"/>
        <v>UNIT</v>
      </c>
      <c r="M618" s="660" t="str">
        <f t="shared" si="51"/>
        <v>CC</v>
      </c>
      <c r="N618" s="660" t="str">
        <f t="shared" si="52"/>
        <v>CC</v>
      </c>
      <c r="O618" s="659" t="str">
        <f t="shared" si="53"/>
        <v/>
      </c>
    </row>
    <row r="619" spans="1:15" ht="16">
      <c r="A619" s="661" t="s">
        <v>2141</v>
      </c>
      <c r="B619" s="659" t="s">
        <v>2142</v>
      </c>
      <c r="C619" s="659">
        <v>0</v>
      </c>
      <c r="D619" s="659">
        <v>2000</v>
      </c>
      <c r="E619" s="659" t="s">
        <v>2178</v>
      </c>
      <c r="F619" s="659" t="s">
        <v>2290</v>
      </c>
      <c r="G619" s="659" t="s">
        <v>2160</v>
      </c>
      <c r="H619" s="659" t="s">
        <v>2394</v>
      </c>
      <c r="I619" s="659" t="s">
        <v>2160</v>
      </c>
      <c r="J619" s="659" t="s">
        <v>2160</v>
      </c>
      <c r="K619" s="662" t="str">
        <f t="shared" si="49"/>
        <v>CC</v>
      </c>
      <c r="L619" s="660" t="str">
        <f t="shared" si="50"/>
        <v>UNIT</v>
      </c>
      <c r="M619" s="660" t="str">
        <f t="shared" si="51"/>
        <v>CC</v>
      </c>
      <c r="N619" s="660" t="str">
        <f t="shared" si="52"/>
        <v>CC</v>
      </c>
      <c r="O619" s="659" t="str">
        <f t="shared" si="53"/>
        <v/>
      </c>
    </row>
    <row r="620" spans="1:15" ht="16">
      <c r="A620" s="661" t="s">
        <v>1734</v>
      </c>
      <c r="B620" s="659" t="s">
        <v>2658</v>
      </c>
      <c r="C620" s="659">
        <v>0</v>
      </c>
      <c r="D620" s="659">
        <v>1.3411</v>
      </c>
      <c r="E620" s="659" t="s">
        <v>49</v>
      </c>
      <c r="F620" s="659" t="s">
        <v>2290</v>
      </c>
      <c r="G620" s="659" t="s">
        <v>2238</v>
      </c>
      <c r="H620" s="659" t="s">
        <v>2161</v>
      </c>
      <c r="I620" s="659" t="s">
        <v>1636</v>
      </c>
      <c r="J620" s="659" t="s">
        <v>2159</v>
      </c>
      <c r="K620" s="662" t="str">
        <f t="shared" si="49"/>
        <v>CC OCPU</v>
      </c>
      <c r="L620" s="660" t="str">
        <f t="shared" si="50"/>
        <v>HR</v>
      </c>
      <c r="M620" s="660" t="str">
        <f t="shared" si="51"/>
        <v>UC</v>
      </c>
      <c r="N620" s="660" t="str">
        <f t="shared" si="52"/>
        <v>PAAS</v>
      </c>
      <c r="O620" s="659" t="str">
        <f t="shared" si="53"/>
        <v/>
      </c>
    </row>
    <row r="621" spans="1:15" ht="16">
      <c r="A621" s="661" t="s">
        <v>1735</v>
      </c>
      <c r="B621" s="659" t="s">
        <v>2659</v>
      </c>
      <c r="C621" s="659">
        <v>0</v>
      </c>
      <c r="D621" s="659">
        <v>0.3226</v>
      </c>
      <c r="E621" s="659" t="s">
        <v>49</v>
      </c>
      <c r="F621" s="659" t="s">
        <v>2290</v>
      </c>
      <c r="G621" s="659" t="s">
        <v>2238</v>
      </c>
      <c r="H621" s="659" t="s">
        <v>2161</v>
      </c>
      <c r="I621" s="659" t="s">
        <v>1636</v>
      </c>
      <c r="J621" s="659" t="s">
        <v>1338</v>
      </c>
      <c r="K621" s="662" t="str">
        <f t="shared" si="49"/>
        <v>CC OCPU</v>
      </c>
      <c r="L621" s="660" t="str">
        <f t="shared" si="50"/>
        <v>HR</v>
      </c>
      <c r="M621" s="660" t="str">
        <f t="shared" si="51"/>
        <v>UC</v>
      </c>
      <c r="N621" s="660" t="str">
        <f t="shared" si="52"/>
        <v>BYOL</v>
      </c>
      <c r="O621" s="659" t="str">
        <f t="shared" si="53"/>
        <v/>
      </c>
    </row>
    <row r="622" spans="1:15" ht="16">
      <c r="A622" s="661" t="s">
        <v>1375</v>
      </c>
      <c r="B622" s="659" t="s">
        <v>1376</v>
      </c>
      <c r="C622" s="659">
        <v>0</v>
      </c>
      <c r="D622" s="659">
        <v>0</v>
      </c>
      <c r="E622" s="659">
        <v>0</v>
      </c>
      <c r="F622" s="659" t="s">
        <v>2290</v>
      </c>
      <c r="G622" s="659" t="s">
        <v>2400</v>
      </c>
      <c r="H622" s="659" t="s">
        <v>2394</v>
      </c>
      <c r="I622" s="659" t="s">
        <v>1636</v>
      </c>
      <c r="J622" s="659" t="s">
        <v>2159</v>
      </c>
      <c r="K622" s="662" t="str">
        <f t="shared" si="49"/>
        <v>Government</v>
      </c>
      <c r="L622" s="660" t="str">
        <f t="shared" si="50"/>
        <v>UNIT</v>
      </c>
      <c r="M622" s="660" t="str">
        <f t="shared" si="51"/>
        <v>UC</v>
      </c>
      <c r="N622" s="660" t="str">
        <f t="shared" si="52"/>
        <v>PAAS</v>
      </c>
      <c r="O622" s="659" t="str">
        <f t="shared" si="53"/>
        <v/>
      </c>
    </row>
    <row r="623" spans="1:15" ht="16">
      <c r="A623" s="661" t="s">
        <v>1377</v>
      </c>
      <c r="B623" s="659" t="s">
        <v>1378</v>
      </c>
      <c r="C623" s="659">
        <v>0</v>
      </c>
      <c r="D623" s="659">
        <v>0</v>
      </c>
      <c r="E623" s="659">
        <v>0</v>
      </c>
      <c r="F623" s="659" t="s">
        <v>2290</v>
      </c>
      <c r="G623" s="659" t="s">
        <v>2400</v>
      </c>
      <c r="H623" s="659" t="s">
        <v>2394</v>
      </c>
      <c r="I623" s="659" t="s">
        <v>1636</v>
      </c>
      <c r="J623" s="659" t="s">
        <v>2159</v>
      </c>
      <c r="K623" s="662" t="str">
        <f t="shared" si="49"/>
        <v>Government</v>
      </c>
      <c r="L623" s="660" t="str">
        <f t="shared" si="50"/>
        <v>UNIT</v>
      </c>
      <c r="M623" s="660" t="str">
        <f t="shared" si="51"/>
        <v>UC</v>
      </c>
      <c r="N623" s="660" t="str">
        <f t="shared" si="52"/>
        <v>PAAS</v>
      </c>
      <c r="O623" s="659" t="str">
        <f t="shared" si="53"/>
        <v/>
      </c>
    </row>
    <row r="624" spans="1:15" ht="16">
      <c r="A624" s="661" t="s">
        <v>1379</v>
      </c>
      <c r="B624" s="659" t="s">
        <v>1380</v>
      </c>
      <c r="C624" s="659">
        <v>0</v>
      </c>
      <c r="D624" s="659">
        <v>2.5000000000000001E-2</v>
      </c>
      <c r="E624" s="659" t="s">
        <v>2225</v>
      </c>
      <c r="F624" s="659" t="s">
        <v>2290</v>
      </c>
      <c r="G624" s="659" t="s">
        <v>2400</v>
      </c>
      <c r="H624" s="659" t="s">
        <v>2162</v>
      </c>
      <c r="I624" s="659" t="s">
        <v>1636</v>
      </c>
      <c r="J624" s="659" t="s">
        <v>2159</v>
      </c>
      <c r="K624" s="662" t="str">
        <f t="shared" si="49"/>
        <v>Government</v>
      </c>
      <c r="L624" s="660" t="str">
        <f t="shared" si="50"/>
        <v>GB</v>
      </c>
      <c r="M624" s="660" t="str">
        <f t="shared" si="51"/>
        <v>UC</v>
      </c>
      <c r="N624" s="660" t="str">
        <f t="shared" si="52"/>
        <v>PAAS</v>
      </c>
      <c r="O624" s="659" t="str">
        <f t="shared" si="53"/>
        <v/>
      </c>
    </row>
    <row r="625" spans="1:15" ht="16">
      <c r="A625" s="661" t="s">
        <v>1381</v>
      </c>
      <c r="B625" s="659" t="s">
        <v>1382</v>
      </c>
      <c r="C625" s="659">
        <v>0</v>
      </c>
      <c r="D625" s="659">
        <v>2.0000000000000001E-4</v>
      </c>
      <c r="E625" s="659" t="s">
        <v>2294</v>
      </c>
      <c r="F625" s="659" t="s">
        <v>2290</v>
      </c>
      <c r="G625" s="659" t="s">
        <v>1840</v>
      </c>
      <c r="H625" s="659" t="s">
        <v>2161</v>
      </c>
      <c r="I625" s="659" t="s">
        <v>1636</v>
      </c>
      <c r="J625" s="659" t="s">
        <v>2158</v>
      </c>
      <c r="K625" s="662" t="str">
        <f t="shared" si="49"/>
        <v>Storage</v>
      </c>
      <c r="L625" s="660" t="str">
        <f t="shared" si="50"/>
        <v>HR</v>
      </c>
      <c r="M625" s="660" t="str">
        <f t="shared" si="51"/>
        <v>UC</v>
      </c>
      <c r="N625" s="660" t="str">
        <f t="shared" si="52"/>
        <v>IAAS</v>
      </c>
      <c r="O625" s="659" t="str">
        <f t="shared" si="53"/>
        <v/>
      </c>
    </row>
    <row r="626" spans="1:15" ht="16">
      <c r="A626" s="661" t="s">
        <v>1383</v>
      </c>
      <c r="B626" s="659" t="s">
        <v>1384</v>
      </c>
      <c r="C626" s="659">
        <v>0</v>
      </c>
      <c r="D626" s="659">
        <v>0</v>
      </c>
      <c r="E626" s="659">
        <v>0</v>
      </c>
      <c r="F626" s="659" t="s">
        <v>2290</v>
      </c>
      <c r="G626" s="659" t="s">
        <v>2400</v>
      </c>
      <c r="H626" s="659" t="s">
        <v>2394</v>
      </c>
      <c r="I626" s="659" t="s">
        <v>1636</v>
      </c>
      <c r="J626" s="659" t="s">
        <v>2159</v>
      </c>
      <c r="K626" s="662" t="str">
        <f t="shared" si="49"/>
        <v>Government</v>
      </c>
      <c r="L626" s="660" t="str">
        <f t="shared" si="50"/>
        <v>UNIT</v>
      </c>
      <c r="M626" s="660" t="str">
        <f t="shared" si="51"/>
        <v>UC</v>
      </c>
      <c r="N626" s="660" t="str">
        <f t="shared" si="52"/>
        <v>PAAS</v>
      </c>
      <c r="O626" s="659" t="str">
        <f t="shared" si="53"/>
        <v/>
      </c>
    </row>
    <row r="627" spans="1:15" ht="16">
      <c r="A627" s="661" t="s">
        <v>1385</v>
      </c>
      <c r="B627" s="659" t="s">
        <v>1386</v>
      </c>
      <c r="C627" s="664">
        <v>0</v>
      </c>
      <c r="D627" s="664">
        <v>0</v>
      </c>
      <c r="E627" s="664">
        <v>0</v>
      </c>
      <c r="F627" s="664" t="s">
        <v>2290</v>
      </c>
      <c r="G627" s="659" t="s">
        <v>2400</v>
      </c>
      <c r="H627" s="659" t="s">
        <v>2394</v>
      </c>
      <c r="I627" s="659" t="s">
        <v>1636</v>
      </c>
      <c r="J627" s="659" t="s">
        <v>2159</v>
      </c>
      <c r="K627" s="662" t="str">
        <f t="shared" si="49"/>
        <v>Government</v>
      </c>
      <c r="L627" s="660" t="str">
        <f t="shared" si="50"/>
        <v>UNIT</v>
      </c>
      <c r="M627" s="660" t="str">
        <f t="shared" si="51"/>
        <v>UC</v>
      </c>
      <c r="N627" s="660" t="str">
        <f t="shared" si="52"/>
        <v>PAAS</v>
      </c>
      <c r="O627" s="659" t="str">
        <f t="shared" si="53"/>
        <v/>
      </c>
    </row>
    <row r="628" spans="1:15" ht="16">
      <c r="A628" s="661" t="s">
        <v>1364</v>
      </c>
      <c r="B628" s="659" t="s">
        <v>1365</v>
      </c>
      <c r="C628" s="664">
        <v>0</v>
      </c>
      <c r="D628" s="664">
        <v>600</v>
      </c>
      <c r="E628" s="664" t="s">
        <v>2227</v>
      </c>
      <c r="F628" s="664" t="s">
        <v>2290</v>
      </c>
      <c r="G628" s="659" t="s">
        <v>2391</v>
      </c>
      <c r="H628" s="659" t="s">
        <v>2394</v>
      </c>
      <c r="I628" s="659" t="s">
        <v>1636</v>
      </c>
      <c r="J628" s="659" t="s">
        <v>2159</v>
      </c>
      <c r="K628" s="662" t="str">
        <f t="shared" si="49"/>
        <v>Integration</v>
      </c>
      <c r="L628" s="660" t="str">
        <f t="shared" si="50"/>
        <v>UNIT</v>
      </c>
      <c r="M628" s="660" t="str">
        <f t="shared" si="51"/>
        <v>UC</v>
      </c>
      <c r="N628" s="660" t="str">
        <f t="shared" si="52"/>
        <v>PAAS</v>
      </c>
      <c r="O628" s="659" t="str">
        <f t="shared" si="53"/>
        <v/>
      </c>
    </row>
    <row r="629" spans="1:15">
      <c r="A629" t="s">
        <v>1366</v>
      </c>
      <c r="B629" t="s">
        <v>1367</v>
      </c>
      <c r="C629">
        <v>0</v>
      </c>
      <c r="D629">
        <v>1200</v>
      </c>
      <c r="E629" t="s">
        <v>2227</v>
      </c>
      <c r="F629" t="s">
        <v>2290</v>
      </c>
      <c r="G629" s="659" t="s">
        <v>2391</v>
      </c>
      <c r="H629" s="659" t="s">
        <v>2394</v>
      </c>
      <c r="I629" s="659" t="s">
        <v>1636</v>
      </c>
      <c r="J629" s="659" t="s">
        <v>2159</v>
      </c>
      <c r="K629" s="662" t="str">
        <f t="shared" si="49"/>
        <v>Integration</v>
      </c>
      <c r="L629" s="660" t="str">
        <f t="shared" si="50"/>
        <v>UNIT</v>
      </c>
      <c r="M629" s="660" t="str">
        <f t="shared" si="51"/>
        <v>UC</v>
      </c>
      <c r="N629" s="660" t="str">
        <f t="shared" si="52"/>
        <v>PAAS</v>
      </c>
      <c r="O629" s="659" t="str">
        <f t="shared" si="53"/>
        <v/>
      </c>
    </row>
    <row r="630" spans="1:15">
      <c r="A630" t="s">
        <v>1368</v>
      </c>
      <c r="B630" t="s">
        <v>1369</v>
      </c>
      <c r="C630">
        <v>6.3799999999999996E-2</v>
      </c>
      <c r="D630">
        <v>6.3799999999999996E-2</v>
      </c>
      <c r="E630" t="s">
        <v>49</v>
      </c>
      <c r="F630" t="s">
        <v>2290</v>
      </c>
      <c r="G630" s="659" t="s">
        <v>1835</v>
      </c>
      <c r="H630" s="659" t="s">
        <v>2161</v>
      </c>
      <c r="I630" s="659" t="s">
        <v>1636</v>
      </c>
      <c r="J630" s="659" t="s">
        <v>2158</v>
      </c>
      <c r="K630" s="662" t="str">
        <f t="shared" si="49"/>
        <v>Compute</v>
      </c>
      <c r="L630" s="660" t="str">
        <f t="shared" si="50"/>
        <v>HR</v>
      </c>
      <c r="M630" s="660" t="str">
        <f t="shared" si="51"/>
        <v>UC</v>
      </c>
      <c r="N630" s="660" t="str">
        <f t="shared" si="52"/>
        <v>IAAS</v>
      </c>
      <c r="O630" s="659" t="str">
        <f t="shared" si="53"/>
        <v/>
      </c>
    </row>
    <row r="631" spans="1:15">
      <c r="A631" t="s">
        <v>1387</v>
      </c>
      <c r="B631" t="s">
        <v>1388</v>
      </c>
      <c r="C631">
        <v>6.3799999999999996E-2</v>
      </c>
      <c r="D631">
        <v>6.3799999999999996E-2</v>
      </c>
      <c r="E631" t="s">
        <v>49</v>
      </c>
      <c r="F631" t="s">
        <v>2290</v>
      </c>
      <c r="G631" s="659" t="s">
        <v>1835</v>
      </c>
      <c r="H631" s="659" t="s">
        <v>2161</v>
      </c>
      <c r="I631" s="659" t="s">
        <v>1636</v>
      </c>
      <c r="J631" s="659" t="s">
        <v>2158</v>
      </c>
      <c r="K631" s="662" t="str">
        <f t="shared" si="49"/>
        <v>Compute</v>
      </c>
      <c r="L631" s="660" t="str">
        <f t="shared" si="50"/>
        <v>HR</v>
      </c>
      <c r="M631" s="660" t="str">
        <f t="shared" si="51"/>
        <v>UC</v>
      </c>
      <c r="N631" s="660" t="str">
        <f t="shared" si="52"/>
        <v>IAAS</v>
      </c>
      <c r="O631" s="659" t="str">
        <f t="shared" si="53"/>
        <v/>
      </c>
    </row>
    <row r="632" spans="1:15">
      <c r="A632" t="s">
        <v>1671</v>
      </c>
      <c r="B632" t="s">
        <v>1967</v>
      </c>
      <c r="C632">
        <v>0.1075</v>
      </c>
      <c r="D632">
        <v>0.1075</v>
      </c>
      <c r="E632" t="s">
        <v>49</v>
      </c>
      <c r="F632" t="s">
        <v>2290</v>
      </c>
      <c r="G632" s="659" t="s">
        <v>1835</v>
      </c>
      <c r="H632" s="659" t="s">
        <v>2161</v>
      </c>
      <c r="I632" s="659" t="s">
        <v>1636</v>
      </c>
      <c r="J632" s="659" t="s">
        <v>2158</v>
      </c>
      <c r="K632" s="662" t="str">
        <f t="shared" si="49"/>
        <v>Compute</v>
      </c>
      <c r="L632" s="660" t="str">
        <f t="shared" si="50"/>
        <v>HR</v>
      </c>
      <c r="M632" s="660" t="str">
        <f t="shared" si="51"/>
        <v>UC</v>
      </c>
      <c r="N632" s="660" t="str">
        <f t="shared" si="52"/>
        <v>IAAS</v>
      </c>
      <c r="O632" s="659" t="str">
        <f t="shared" si="53"/>
        <v/>
      </c>
    </row>
    <row r="633" spans="1:15">
      <c r="A633" t="s">
        <v>1672</v>
      </c>
      <c r="B633" t="s">
        <v>2349</v>
      </c>
      <c r="C633">
        <v>0</v>
      </c>
      <c r="D633">
        <v>0.1075</v>
      </c>
      <c r="E633" t="s">
        <v>49</v>
      </c>
      <c r="F633" t="s">
        <v>2290</v>
      </c>
      <c r="G633" s="659" t="s">
        <v>1835</v>
      </c>
      <c r="H633" s="659" t="s">
        <v>2161</v>
      </c>
      <c r="I633" s="659" t="s">
        <v>1636</v>
      </c>
      <c r="J633" s="659" t="s">
        <v>2158</v>
      </c>
      <c r="K633" s="662" t="str">
        <f t="shared" si="49"/>
        <v>Compute</v>
      </c>
      <c r="L633" s="660" t="str">
        <f t="shared" si="50"/>
        <v>HR</v>
      </c>
      <c r="M633" s="660" t="str">
        <f t="shared" si="51"/>
        <v>UC</v>
      </c>
      <c r="N633" s="660" t="str">
        <f t="shared" si="52"/>
        <v>IAAS</v>
      </c>
      <c r="O633" s="659" t="str">
        <f t="shared" si="53"/>
        <v/>
      </c>
    </row>
    <row r="634" spans="1:15">
      <c r="A634" t="s">
        <v>1673</v>
      </c>
      <c r="B634" t="s">
        <v>2350</v>
      </c>
      <c r="C634">
        <v>0</v>
      </c>
      <c r="D634">
        <v>0.13439999999999999</v>
      </c>
      <c r="E634" t="s">
        <v>49</v>
      </c>
      <c r="F634" t="s">
        <v>2290</v>
      </c>
      <c r="G634" s="659" t="s">
        <v>1835</v>
      </c>
      <c r="H634" s="659" t="s">
        <v>2161</v>
      </c>
      <c r="I634" s="659" t="s">
        <v>1636</v>
      </c>
      <c r="J634" s="659" t="s">
        <v>2158</v>
      </c>
      <c r="K634" s="662" t="str">
        <f t="shared" si="49"/>
        <v>Compute</v>
      </c>
      <c r="L634" s="660" t="str">
        <f t="shared" si="50"/>
        <v>HR</v>
      </c>
      <c r="M634" s="660" t="str">
        <f t="shared" si="51"/>
        <v>UC</v>
      </c>
      <c r="N634" s="660" t="str">
        <f t="shared" si="52"/>
        <v>IAAS</v>
      </c>
      <c r="O634" s="659" t="str">
        <f t="shared" si="53"/>
        <v/>
      </c>
    </row>
    <row r="635" spans="1:15">
      <c r="A635" t="s">
        <v>1674</v>
      </c>
      <c r="B635" t="s">
        <v>2351</v>
      </c>
      <c r="C635">
        <v>0</v>
      </c>
      <c r="D635">
        <v>0.214</v>
      </c>
      <c r="E635" t="s">
        <v>49</v>
      </c>
      <c r="F635" t="s">
        <v>2290</v>
      </c>
      <c r="G635" s="659" t="s">
        <v>1835</v>
      </c>
      <c r="H635" s="659" t="s">
        <v>2161</v>
      </c>
      <c r="I635" s="659" t="s">
        <v>1636</v>
      </c>
      <c r="J635" s="659" t="s">
        <v>2158</v>
      </c>
      <c r="K635" s="662" t="str">
        <f t="shared" si="49"/>
        <v>Compute</v>
      </c>
      <c r="L635" s="660" t="str">
        <f t="shared" si="50"/>
        <v>HR</v>
      </c>
      <c r="M635" s="660" t="str">
        <f t="shared" si="51"/>
        <v>UC</v>
      </c>
      <c r="N635" s="660" t="str">
        <f t="shared" si="52"/>
        <v>IAAS</v>
      </c>
      <c r="O635" s="659" t="str">
        <f t="shared" si="53"/>
        <v/>
      </c>
    </row>
    <row r="636" spans="1:15">
      <c r="A636" t="s">
        <v>1675</v>
      </c>
      <c r="B636" t="s">
        <v>2352</v>
      </c>
      <c r="C636">
        <v>0</v>
      </c>
      <c r="D636">
        <v>0.15359999999999999</v>
      </c>
      <c r="E636" t="s">
        <v>49</v>
      </c>
      <c r="F636" t="s">
        <v>2290</v>
      </c>
      <c r="G636" s="659" t="s">
        <v>1835</v>
      </c>
      <c r="H636" s="659" t="s">
        <v>2161</v>
      </c>
      <c r="I636" s="659" t="s">
        <v>1636</v>
      </c>
      <c r="J636" s="659" t="s">
        <v>2158</v>
      </c>
      <c r="K636" s="662" t="str">
        <f t="shared" si="49"/>
        <v>Compute</v>
      </c>
      <c r="L636" s="660" t="str">
        <f t="shared" si="50"/>
        <v>HR</v>
      </c>
      <c r="M636" s="660" t="str">
        <f t="shared" si="51"/>
        <v>UC</v>
      </c>
      <c r="N636" s="660" t="str">
        <f t="shared" si="52"/>
        <v>IAAS</v>
      </c>
      <c r="O636" s="659" t="str">
        <f t="shared" si="53"/>
        <v/>
      </c>
    </row>
    <row r="637" spans="1:15">
      <c r="A637" t="s">
        <v>1676</v>
      </c>
      <c r="B637" t="s">
        <v>1968</v>
      </c>
      <c r="C637">
        <v>0.13439999999999999</v>
      </c>
      <c r="D637">
        <v>0.13439999999999999</v>
      </c>
      <c r="E637" t="s">
        <v>49</v>
      </c>
      <c r="F637" t="s">
        <v>2290</v>
      </c>
      <c r="G637" s="659" t="s">
        <v>1835</v>
      </c>
      <c r="H637" s="659" t="s">
        <v>2161</v>
      </c>
      <c r="I637" s="659" t="s">
        <v>1636</v>
      </c>
      <c r="J637" s="659" t="s">
        <v>2158</v>
      </c>
      <c r="K637" s="662" t="str">
        <f t="shared" si="49"/>
        <v>Compute</v>
      </c>
      <c r="L637" s="660" t="str">
        <f t="shared" si="50"/>
        <v>HR</v>
      </c>
      <c r="M637" s="660" t="str">
        <f t="shared" si="51"/>
        <v>UC</v>
      </c>
      <c r="N637" s="660" t="str">
        <f t="shared" si="52"/>
        <v>IAAS</v>
      </c>
      <c r="O637" s="659" t="str">
        <f t="shared" si="53"/>
        <v/>
      </c>
    </row>
    <row r="638" spans="1:15">
      <c r="A638" t="s">
        <v>1677</v>
      </c>
      <c r="B638" t="s">
        <v>1969</v>
      </c>
      <c r="C638">
        <v>0.214</v>
      </c>
      <c r="D638">
        <v>0.214</v>
      </c>
      <c r="E638" t="s">
        <v>49</v>
      </c>
      <c r="F638" t="s">
        <v>2290</v>
      </c>
      <c r="G638" s="659" t="s">
        <v>1835</v>
      </c>
      <c r="H638" s="659" t="s">
        <v>2161</v>
      </c>
      <c r="I638" s="659" t="s">
        <v>1636</v>
      </c>
      <c r="J638" s="659" t="s">
        <v>2158</v>
      </c>
      <c r="K638" s="662" t="str">
        <f t="shared" si="49"/>
        <v>Compute</v>
      </c>
      <c r="L638" s="660" t="str">
        <f t="shared" si="50"/>
        <v>HR</v>
      </c>
      <c r="M638" s="660" t="str">
        <f t="shared" si="51"/>
        <v>UC</v>
      </c>
      <c r="N638" s="660" t="str">
        <f t="shared" si="52"/>
        <v>IAAS</v>
      </c>
      <c r="O638" s="659" t="str">
        <f t="shared" si="53"/>
        <v/>
      </c>
    </row>
    <row r="639" spans="1:15">
      <c r="A639" t="s">
        <v>1678</v>
      </c>
      <c r="B639" t="s">
        <v>1970</v>
      </c>
      <c r="C639">
        <v>0.15359999999999999</v>
      </c>
      <c r="D639">
        <v>0.15359999999999999</v>
      </c>
      <c r="E639" t="s">
        <v>49</v>
      </c>
      <c r="F639" t="s">
        <v>2290</v>
      </c>
      <c r="G639" s="659" t="s">
        <v>1835</v>
      </c>
      <c r="H639" s="659" t="s">
        <v>2161</v>
      </c>
      <c r="I639" s="659" t="s">
        <v>1636</v>
      </c>
      <c r="J639" s="659" t="s">
        <v>2158</v>
      </c>
      <c r="K639" s="662" t="str">
        <f t="shared" si="49"/>
        <v>Compute</v>
      </c>
      <c r="L639" s="660" t="str">
        <f t="shared" si="50"/>
        <v>HR</v>
      </c>
      <c r="M639" s="660" t="str">
        <f t="shared" si="51"/>
        <v>UC</v>
      </c>
      <c r="N639" s="660" t="str">
        <f t="shared" si="52"/>
        <v>IAAS</v>
      </c>
      <c r="O639" s="659" t="str">
        <f t="shared" si="53"/>
        <v/>
      </c>
    </row>
    <row r="640" spans="1:15">
      <c r="A640" t="s">
        <v>1628</v>
      </c>
      <c r="B640" t="s">
        <v>2353</v>
      </c>
      <c r="C640">
        <v>0</v>
      </c>
      <c r="D640">
        <v>106.66</v>
      </c>
      <c r="E640" t="s">
        <v>2228</v>
      </c>
      <c r="F640" t="s">
        <v>2290</v>
      </c>
      <c r="G640" s="659" t="s">
        <v>2392</v>
      </c>
      <c r="H640" s="659" t="s">
        <v>2394</v>
      </c>
      <c r="I640" s="659" t="s">
        <v>1636</v>
      </c>
      <c r="J640" s="659" t="s">
        <v>2159</v>
      </c>
      <c r="K640" s="662" t="str">
        <f t="shared" si="49"/>
        <v>Platform</v>
      </c>
      <c r="L640" s="660" t="str">
        <f t="shared" si="50"/>
        <v>UNIT</v>
      </c>
      <c r="M640" s="660" t="str">
        <f t="shared" si="51"/>
        <v>UC</v>
      </c>
      <c r="N640" s="660" t="str">
        <f t="shared" si="52"/>
        <v>PAAS</v>
      </c>
      <c r="O640" s="659" t="str">
        <f t="shared" si="53"/>
        <v/>
      </c>
    </row>
    <row r="641" spans="1:15">
      <c r="A641" t="s">
        <v>1629</v>
      </c>
      <c r="B641" t="s">
        <v>3101</v>
      </c>
      <c r="C641">
        <v>0.04</v>
      </c>
      <c r="D641">
        <v>0.04</v>
      </c>
      <c r="E641" t="s">
        <v>2187</v>
      </c>
      <c r="F641" t="s">
        <v>2290</v>
      </c>
      <c r="G641" s="659" t="s">
        <v>2392</v>
      </c>
      <c r="H641" s="659" t="s">
        <v>2162</v>
      </c>
      <c r="I641" s="659" t="s">
        <v>1636</v>
      </c>
      <c r="J641" s="659" t="s">
        <v>2159</v>
      </c>
      <c r="K641" s="662" t="str">
        <f t="shared" si="49"/>
        <v>Platform</v>
      </c>
      <c r="L641" s="660" t="str">
        <f t="shared" si="50"/>
        <v>GB</v>
      </c>
      <c r="M641" s="660" t="str">
        <f t="shared" si="51"/>
        <v>UC</v>
      </c>
      <c r="N641" s="660" t="str">
        <f t="shared" si="52"/>
        <v>PAAS</v>
      </c>
      <c r="O641" s="659" t="str">
        <f t="shared" si="53"/>
        <v/>
      </c>
    </row>
    <row r="642" spans="1:15">
      <c r="A642" t="s">
        <v>1971</v>
      </c>
      <c r="B642" t="s">
        <v>3102</v>
      </c>
      <c r="C642">
        <v>0</v>
      </c>
      <c r="D642">
        <v>0</v>
      </c>
      <c r="E642">
        <v>0</v>
      </c>
      <c r="F642" t="s">
        <v>2290</v>
      </c>
      <c r="G642" s="659" t="s">
        <v>2392</v>
      </c>
      <c r="H642" s="659" t="s">
        <v>2394</v>
      </c>
      <c r="I642" s="659" t="s">
        <v>1636</v>
      </c>
      <c r="J642" s="659" t="s">
        <v>2159</v>
      </c>
      <c r="K642" s="662" t="str">
        <f t="shared" si="49"/>
        <v>Platform</v>
      </c>
      <c r="L642" s="660" t="str">
        <f t="shared" si="50"/>
        <v>UNIT</v>
      </c>
      <c r="M642" s="660" t="str">
        <f t="shared" si="51"/>
        <v>UC</v>
      </c>
      <c r="N642" s="660" t="str">
        <f t="shared" si="52"/>
        <v>PAAS</v>
      </c>
      <c r="O642" s="659" t="str">
        <f t="shared" si="53"/>
        <v/>
      </c>
    </row>
    <row r="643" spans="1:15">
      <c r="A643" t="s">
        <v>1973</v>
      </c>
      <c r="B643" t="s">
        <v>3103</v>
      </c>
      <c r="C643">
        <v>0</v>
      </c>
      <c r="D643">
        <v>0.04</v>
      </c>
      <c r="E643" t="s">
        <v>2187</v>
      </c>
      <c r="F643" t="s">
        <v>2290</v>
      </c>
      <c r="G643" s="659" t="s">
        <v>2392</v>
      </c>
      <c r="H643" s="659" t="s">
        <v>2162</v>
      </c>
      <c r="I643" s="659" t="s">
        <v>1636</v>
      </c>
      <c r="J643" s="659" t="s">
        <v>2159</v>
      </c>
      <c r="K643" s="662" t="str">
        <f t="shared" si="49"/>
        <v>Platform</v>
      </c>
      <c r="L643" s="660" t="str">
        <f t="shared" si="50"/>
        <v>GB</v>
      </c>
      <c r="M643" s="660" t="str">
        <f t="shared" si="51"/>
        <v>UC</v>
      </c>
      <c r="N643" s="660" t="str">
        <f t="shared" si="52"/>
        <v>PAAS</v>
      </c>
      <c r="O643" s="659" t="str">
        <f t="shared" si="53"/>
        <v/>
      </c>
    </row>
    <row r="644" spans="1:15">
      <c r="A644" t="s">
        <v>2133</v>
      </c>
      <c r="B644" t="s">
        <v>2292</v>
      </c>
      <c r="C644">
        <v>0.2581</v>
      </c>
      <c r="D644">
        <v>0.2581</v>
      </c>
      <c r="E644" t="s">
        <v>49</v>
      </c>
      <c r="F644" t="s">
        <v>2290</v>
      </c>
      <c r="G644" s="659" t="s">
        <v>2392</v>
      </c>
      <c r="H644" s="659" t="s">
        <v>2161</v>
      </c>
      <c r="I644" s="659" t="s">
        <v>1636</v>
      </c>
      <c r="J644" s="659" t="s">
        <v>2159</v>
      </c>
      <c r="K644" s="662" t="str">
        <f t="shared" ref="K644:K707" si="54">_xlfn.IFS(
ISNUMBER(SEARCH("Day",E644)),"Consulting",
ISNUMBER(SEARCH("Starter Pack",B644)),"Consulting",
ISNUMBER(SEARCH("Design",B644)),"Consulting",
ISNUMBER(SEARCH("Deploy",B644)),"Consulting",
ISNUMBER(SEARCH("Expert",B644)),"Consulting",
ISNUMBER(SEARCH("Installation",B644)),"Consulting",
ISNUMBER(SEARCH("Recommendation",B644)),"Consulting",
ISNUMBER(SEARCH("Transition",B644)),"Consulting",
ISNUMBER(SEARCH("Transition",B644)),"Support",
ISNUMBER(SEARCH("Transition",B644)),"Foundation Service",
ISNUMBER(SEARCH("Consulting",B644)),"Consulting",
ISNUMBER(SEARCH("in Advance",B644)),"New",
ISNUMBER(SEARCH("Universal Credits",B644)),"UC",
ISNUMBER(SEARCH("Ravello",B644)),"Deprecated",
ISNUMBER(SEARCH("Cloud Machine",B644)),"Deprecated",
ISNUMBER(SEARCH("Compute",B644)),"Compute",
ISNUMBER(SEARCH("Load Balancer",B644)),"Network",
ISNUMBER(SEARCH("FastConnect",B644)),"Network",
ISNUMBER(SEARCH("Database OCPU",B644)),"CC OCPU",
ISNUMBER(SEARCH("at Customer",B644)),"CC",
ISNUMBER(SEARCH("Cloud@Customer",B644)),"CC",
ISNUMBER(SEARCH("Exadata Storage",B644)),"Exa Storage",
ISNUMBER(SEARCH("Storage",B644)),"Storage",
ISNUMBER(SEARCH("Block ",B644)),"Storage",
ISNUMBER(SEARCH("Autonomous Data Warehouse",B644)),"ADW",
ISNUMBER(SEARCH("Autonomous Transaction Processing",B644)),"ATP",
ISNUMBER(SEARCH("Database Exadata",B644)),"ExaCS",
ISNUMBER(SEARCH("Database",B644)),"DBaaS",
ISNUMBER(SEARCH("Essbase",B644)),"DBaaS",
ISNUMBER(SEARCH("integration",B644)),"Integration",
ISNUMBER(SEARCH("SOA",B644)),"Integration",
ISNUMBER(SEARCH("Management Cloud",B644)),"Management",
ISNUMBER(SEARCH("Analytics",B644)),"Analytics",
ISNUMBER(SEARCH("Storage",B644)),"Storage",
ISNUMBER(SEARCH("Block ",B644)),"Storage",
ISNUMBER(SEARCH("Identity",B644)),"Platform",
ISNUMBER(SEARCH("Content",B644)),"Platform",
ISNUMBER(SEARCH("Weblogic",B644)),"Platform",
ISNUMBER(SEARCH("Digital Assistant",B644)),"Platform",
ISNUMBER(SEARCH("Limited",B644)),"Classic",
ISNUMBER(SEARCH("Classic",B644)),"Classic",
ISNUMBER(SEARCH("Government",B644)),"Government",
ISNUMBER(SEARCH("Metered",B644)),"Deprecated",
VALUE(RIGHT(A644,5))&lt;88206,"Deprecated",
TRUE,"Platform")</f>
        <v>Platform</v>
      </c>
      <c r="L644" s="660" t="str">
        <f t="shared" si="50"/>
        <v>HR</v>
      </c>
      <c r="M644" s="660" t="str">
        <f t="shared" si="51"/>
        <v>UC</v>
      </c>
      <c r="N644" s="660" t="str">
        <f t="shared" si="52"/>
        <v>PAAS</v>
      </c>
      <c r="O644" s="659" t="str">
        <f t="shared" si="53"/>
        <v/>
      </c>
    </row>
    <row r="645" spans="1:15">
      <c r="A645" t="s">
        <v>2134</v>
      </c>
      <c r="B645" t="s">
        <v>2293</v>
      </c>
      <c r="C645">
        <v>0.72270000000000001</v>
      </c>
      <c r="D645">
        <v>0.72270000000000001</v>
      </c>
      <c r="E645" t="s">
        <v>49</v>
      </c>
      <c r="F645" t="s">
        <v>2290</v>
      </c>
      <c r="G645" s="659" t="s">
        <v>2392</v>
      </c>
      <c r="H645" s="659" t="s">
        <v>2161</v>
      </c>
      <c r="I645" s="659" t="s">
        <v>1636</v>
      </c>
      <c r="J645" s="659" t="s">
        <v>2159</v>
      </c>
      <c r="K645" s="662" t="str">
        <f t="shared" si="54"/>
        <v>Platform</v>
      </c>
      <c r="L645" s="660" t="str">
        <f t="shared" si="50"/>
        <v>HR</v>
      </c>
      <c r="M645" s="660" t="str">
        <f t="shared" si="51"/>
        <v>UC</v>
      </c>
      <c r="N645" s="660" t="str">
        <f t="shared" si="52"/>
        <v>PAAS</v>
      </c>
      <c r="O645" s="659" t="str">
        <f t="shared" si="53"/>
        <v/>
      </c>
    </row>
    <row r="646" spans="1:15">
      <c r="A646" t="s">
        <v>1395</v>
      </c>
      <c r="B646" t="s">
        <v>1396</v>
      </c>
      <c r="C646">
        <v>0</v>
      </c>
      <c r="D646">
        <v>0.14169999999999999</v>
      </c>
      <c r="E646" t="s">
        <v>2229</v>
      </c>
      <c r="F646" t="s">
        <v>2290</v>
      </c>
      <c r="G646" s="659" t="s">
        <v>2400</v>
      </c>
      <c r="H646" s="659" t="s">
        <v>2162</v>
      </c>
      <c r="I646" s="659" t="s">
        <v>1636</v>
      </c>
      <c r="J646" s="659" t="s">
        <v>2159</v>
      </c>
      <c r="K646" s="662" t="str">
        <f t="shared" si="54"/>
        <v>Government</v>
      </c>
      <c r="L646" s="660" t="str">
        <f t="shared" si="50"/>
        <v>GB</v>
      </c>
      <c r="M646" s="660" t="str">
        <f t="shared" si="51"/>
        <v>UC</v>
      </c>
      <c r="N646" s="660" t="str">
        <f t="shared" si="52"/>
        <v>PAAS</v>
      </c>
      <c r="O646" s="659" t="str">
        <f t="shared" si="53"/>
        <v/>
      </c>
    </row>
    <row r="647" spans="1:15">
      <c r="A647" t="s">
        <v>1397</v>
      </c>
      <c r="B647" t="s">
        <v>1398</v>
      </c>
      <c r="C647">
        <v>0</v>
      </c>
      <c r="D647">
        <v>0.2</v>
      </c>
      <c r="E647" t="s">
        <v>2230</v>
      </c>
      <c r="F647" t="s">
        <v>2290</v>
      </c>
      <c r="G647" s="659" t="s">
        <v>2400</v>
      </c>
      <c r="H647" s="659" t="s">
        <v>2394</v>
      </c>
      <c r="I647" s="659" t="s">
        <v>1636</v>
      </c>
      <c r="J647" s="659" t="s">
        <v>2159</v>
      </c>
      <c r="K647" s="662" t="str">
        <f t="shared" si="54"/>
        <v>Government</v>
      </c>
      <c r="L647" s="660" t="str">
        <f t="shared" si="50"/>
        <v>UNIT</v>
      </c>
      <c r="M647" s="660" t="str">
        <f t="shared" si="51"/>
        <v>UC</v>
      </c>
      <c r="N647" s="660" t="str">
        <f t="shared" si="52"/>
        <v>PAAS</v>
      </c>
      <c r="O647" s="659" t="str">
        <f t="shared" si="53"/>
        <v/>
      </c>
    </row>
    <row r="648" spans="1:15">
      <c r="A648" t="s">
        <v>1680</v>
      </c>
      <c r="B648" t="s">
        <v>2660</v>
      </c>
      <c r="C648" t="s">
        <v>133</v>
      </c>
      <c r="D648">
        <v>1.3441000000000001</v>
      </c>
      <c r="E648" t="s">
        <v>49</v>
      </c>
      <c r="F648" t="s">
        <v>2290</v>
      </c>
      <c r="G648" s="659" t="s">
        <v>2238</v>
      </c>
      <c r="H648" s="659" t="s">
        <v>2161</v>
      </c>
      <c r="I648" s="659" t="s">
        <v>1636</v>
      </c>
      <c r="J648" s="659" t="s">
        <v>2159</v>
      </c>
      <c r="K648" s="662" t="str">
        <f t="shared" si="54"/>
        <v>CC OCPU</v>
      </c>
      <c r="L648" s="660" t="str">
        <f t="shared" si="50"/>
        <v>HR</v>
      </c>
      <c r="M648" s="660" t="str">
        <f t="shared" si="51"/>
        <v>UC</v>
      </c>
      <c r="N648" s="660" t="str">
        <f t="shared" si="52"/>
        <v>PAAS</v>
      </c>
      <c r="O648" s="659" t="str">
        <f t="shared" si="53"/>
        <v/>
      </c>
    </row>
    <row r="649" spans="1:15">
      <c r="A649" t="s">
        <v>1682</v>
      </c>
      <c r="B649" t="s">
        <v>2661</v>
      </c>
      <c r="C649" t="s">
        <v>133</v>
      </c>
      <c r="D649">
        <v>0.3226</v>
      </c>
      <c r="E649" t="s">
        <v>49</v>
      </c>
      <c r="F649" t="s">
        <v>2290</v>
      </c>
      <c r="G649" s="659" t="s">
        <v>2238</v>
      </c>
      <c r="H649" s="659" t="s">
        <v>2161</v>
      </c>
      <c r="I649" s="659" t="s">
        <v>1636</v>
      </c>
      <c r="J649" s="659" t="s">
        <v>1338</v>
      </c>
      <c r="K649" s="662" t="str">
        <f t="shared" si="54"/>
        <v>CC OCPU</v>
      </c>
      <c r="L649" s="660" t="str">
        <f t="shared" si="50"/>
        <v>HR</v>
      </c>
      <c r="M649" s="660" t="str">
        <f t="shared" si="51"/>
        <v>UC</v>
      </c>
      <c r="N649" s="660" t="str">
        <f t="shared" si="52"/>
        <v>BYOL</v>
      </c>
      <c r="O649" s="659" t="str">
        <f t="shared" si="53"/>
        <v/>
      </c>
    </row>
    <row r="650" spans="1:15">
      <c r="A650" t="s">
        <v>1617</v>
      </c>
      <c r="B650" t="s">
        <v>2143</v>
      </c>
      <c r="C650">
        <v>1.47</v>
      </c>
      <c r="D650">
        <v>1.47</v>
      </c>
      <c r="E650" t="s">
        <v>49</v>
      </c>
      <c r="F650" t="s">
        <v>2290</v>
      </c>
      <c r="G650" s="659" t="s">
        <v>1835</v>
      </c>
      <c r="H650" s="659" t="s">
        <v>2161</v>
      </c>
      <c r="I650" s="659" t="s">
        <v>1636</v>
      </c>
      <c r="J650" s="659" t="s">
        <v>2158</v>
      </c>
      <c r="K650" s="662" t="str">
        <f t="shared" si="54"/>
        <v>Compute</v>
      </c>
      <c r="L650" s="660" t="str">
        <f t="shared" si="50"/>
        <v>HR</v>
      </c>
      <c r="M650" s="660" t="str">
        <f t="shared" si="51"/>
        <v>UC</v>
      </c>
      <c r="N650" s="660" t="str">
        <f t="shared" si="52"/>
        <v>IAAS</v>
      </c>
      <c r="O650" s="659" t="str">
        <f t="shared" si="53"/>
        <v/>
      </c>
    </row>
    <row r="651" spans="1:15">
      <c r="A651" t="s">
        <v>1618</v>
      </c>
      <c r="B651" t="s">
        <v>2144</v>
      </c>
      <c r="C651">
        <v>0.37</v>
      </c>
      <c r="D651">
        <v>0.37</v>
      </c>
      <c r="E651" t="s">
        <v>49</v>
      </c>
      <c r="F651" t="s">
        <v>2290</v>
      </c>
      <c r="G651" s="659" t="s">
        <v>1835</v>
      </c>
      <c r="H651" s="659" t="s">
        <v>2161</v>
      </c>
      <c r="I651" s="659" t="s">
        <v>1636</v>
      </c>
      <c r="J651" s="659" t="s">
        <v>2158</v>
      </c>
      <c r="K651" s="662" t="str">
        <f t="shared" si="54"/>
        <v>Compute</v>
      </c>
      <c r="L651" s="660" t="str">
        <f t="shared" ref="L651:L714" si="55">_xlfn.IFS(ISNUMBER(SEARCH("Hour",E651)),"HR",ISNUMBER(SEARCH("Gigabyte",E651)),"GB",ISNUMBER(SEARCH("Terabyte",E651)),"TB",ISNUMBER(SEARCH("Requests",E651)),"REQ",ISNUMBER(SEARCH("Each",E651)),"EA",ISNUMBER(SEARCH("Day",E651)),"DAY","TRUE","UNIT")</f>
        <v>HR</v>
      </c>
      <c r="M651" s="660" t="str">
        <f t="shared" ref="M651:M714" si="56">_xlfn.IFS(K651="CC","CC",K651="Consulting","SRV",F651="Y","UC0",TRUE,"UC")</f>
        <v>UC</v>
      </c>
      <c r="N651" s="660" t="str">
        <f t="shared" ref="N651:N714" si="57">_xlfn.IFS(ISNUMBER(SEARCH("BYOL",B651)),"BYOL",K651="Storage","IAAS",K651="Compute","IAAS",K651="Network","IAAS",K651="Service","IAAS",M651="SRV","SRV",M651="CC","CC",L651="REQ","IAAS",TRUE,"PAAS")</f>
        <v>IAAS</v>
      </c>
      <c r="O651" s="659" t="str">
        <f t="shared" ref="O651:O714" si="58">IF(G651=K651,"","error")</f>
        <v/>
      </c>
    </row>
    <row r="652" spans="1:15">
      <c r="A652" t="s">
        <v>1619</v>
      </c>
      <c r="B652" t="s">
        <v>1620</v>
      </c>
      <c r="C652">
        <v>0</v>
      </c>
      <c r="D652">
        <v>7000</v>
      </c>
      <c r="E652" t="s">
        <v>1154</v>
      </c>
      <c r="F652" t="s">
        <v>2290</v>
      </c>
      <c r="G652" s="659" t="s">
        <v>2160</v>
      </c>
      <c r="H652" s="659" t="s">
        <v>2397</v>
      </c>
      <c r="I652" s="659" t="s">
        <v>2160</v>
      </c>
      <c r="J652" s="659" t="s">
        <v>2160</v>
      </c>
      <c r="K652" s="662" t="str">
        <f t="shared" si="54"/>
        <v>CC</v>
      </c>
      <c r="L652" s="660" t="str">
        <f t="shared" si="55"/>
        <v>EA</v>
      </c>
      <c r="M652" s="660" t="str">
        <f t="shared" si="56"/>
        <v>CC</v>
      </c>
      <c r="N652" s="660" t="str">
        <f t="shared" si="57"/>
        <v>CC</v>
      </c>
      <c r="O652" s="659" t="str">
        <f t="shared" si="58"/>
        <v/>
      </c>
    </row>
    <row r="653" spans="1:15">
      <c r="A653" t="s">
        <v>2843</v>
      </c>
      <c r="B653" t="s">
        <v>1621</v>
      </c>
      <c r="C653">
        <v>0</v>
      </c>
      <c r="D653">
        <v>3000</v>
      </c>
      <c r="E653" t="s">
        <v>1154</v>
      </c>
      <c r="F653" t="s">
        <v>2290</v>
      </c>
      <c r="G653" s="659" t="s">
        <v>2160</v>
      </c>
      <c r="H653" s="659" t="s">
        <v>2397</v>
      </c>
      <c r="I653" s="659" t="s">
        <v>2160</v>
      </c>
      <c r="J653" s="659" t="s">
        <v>2160</v>
      </c>
      <c r="K653" s="662" t="str">
        <f t="shared" si="54"/>
        <v>CC</v>
      </c>
      <c r="L653" s="660" t="str">
        <f t="shared" si="55"/>
        <v>EA</v>
      </c>
      <c r="M653" s="660" t="str">
        <f t="shared" si="56"/>
        <v>CC</v>
      </c>
      <c r="N653" s="660" t="str">
        <f t="shared" si="57"/>
        <v>CC</v>
      </c>
      <c r="O653" s="659" t="str">
        <f t="shared" si="58"/>
        <v/>
      </c>
    </row>
    <row r="654" spans="1:15">
      <c r="A654" t="s">
        <v>1622</v>
      </c>
      <c r="B654" t="s">
        <v>1623</v>
      </c>
      <c r="C654">
        <v>0</v>
      </c>
      <c r="D654">
        <v>1100</v>
      </c>
      <c r="E654" t="s">
        <v>1154</v>
      </c>
      <c r="F654" t="s">
        <v>2290</v>
      </c>
      <c r="G654" s="659" t="s">
        <v>2160</v>
      </c>
      <c r="H654" s="659" t="s">
        <v>2397</v>
      </c>
      <c r="I654" s="659" t="s">
        <v>2160</v>
      </c>
      <c r="J654" s="659" t="s">
        <v>2160</v>
      </c>
      <c r="K654" s="662" t="str">
        <f t="shared" si="54"/>
        <v>CC</v>
      </c>
      <c r="L654" s="660" t="str">
        <f t="shared" si="55"/>
        <v>EA</v>
      </c>
      <c r="M654" s="660" t="str">
        <f t="shared" si="56"/>
        <v>CC</v>
      </c>
      <c r="N654" s="660" t="str">
        <f t="shared" si="57"/>
        <v>CC</v>
      </c>
      <c r="O654" s="659" t="str">
        <f t="shared" si="58"/>
        <v/>
      </c>
    </row>
    <row r="655" spans="1:15">
      <c r="A655" t="s">
        <v>1624</v>
      </c>
      <c r="B655" t="s">
        <v>1625</v>
      </c>
      <c r="C655">
        <v>0</v>
      </c>
      <c r="D655">
        <v>4000</v>
      </c>
      <c r="E655" t="s">
        <v>1154</v>
      </c>
      <c r="F655" t="s">
        <v>2290</v>
      </c>
      <c r="G655" s="659" t="s">
        <v>2160</v>
      </c>
      <c r="H655" s="659" t="s">
        <v>2397</v>
      </c>
      <c r="I655" s="659" t="s">
        <v>2160</v>
      </c>
      <c r="J655" s="659" t="s">
        <v>2160</v>
      </c>
      <c r="K655" s="662" t="str">
        <f t="shared" si="54"/>
        <v>CC</v>
      </c>
      <c r="L655" s="660" t="str">
        <f t="shared" si="55"/>
        <v>EA</v>
      </c>
      <c r="M655" s="660" t="str">
        <f t="shared" si="56"/>
        <v>CC</v>
      </c>
      <c r="N655" s="660" t="str">
        <f t="shared" si="57"/>
        <v>CC</v>
      </c>
      <c r="O655" s="659" t="str">
        <f t="shared" si="58"/>
        <v/>
      </c>
    </row>
    <row r="656" spans="1:15">
      <c r="A656" t="s">
        <v>1684</v>
      </c>
      <c r="B656" t="s">
        <v>1949</v>
      </c>
      <c r="C656">
        <v>0</v>
      </c>
      <c r="D656">
        <v>30000</v>
      </c>
      <c r="E656" t="s">
        <v>1154</v>
      </c>
      <c r="F656" t="s">
        <v>2290</v>
      </c>
      <c r="G656" s="659" t="s">
        <v>2558</v>
      </c>
      <c r="H656" s="659" t="s">
        <v>2397</v>
      </c>
      <c r="I656" s="659" t="s">
        <v>1637</v>
      </c>
      <c r="J656" s="659" t="s">
        <v>1637</v>
      </c>
      <c r="K656" s="662" t="str">
        <f t="shared" si="54"/>
        <v>Consulting</v>
      </c>
      <c r="L656" s="660" t="str">
        <f t="shared" si="55"/>
        <v>EA</v>
      </c>
      <c r="M656" s="660" t="str">
        <f t="shared" si="56"/>
        <v>SRV</v>
      </c>
      <c r="N656" s="660" t="str">
        <f t="shared" si="57"/>
        <v>SRV</v>
      </c>
      <c r="O656" s="659" t="str">
        <f t="shared" si="58"/>
        <v/>
      </c>
    </row>
    <row r="657" spans="1:15">
      <c r="A657" t="s">
        <v>1685</v>
      </c>
      <c r="B657" t="s">
        <v>1686</v>
      </c>
      <c r="C657">
        <v>0</v>
      </c>
      <c r="D657">
        <v>0</v>
      </c>
      <c r="E657" t="s">
        <v>49</v>
      </c>
      <c r="F657" t="s">
        <v>2290</v>
      </c>
      <c r="G657" s="659" t="s">
        <v>1836</v>
      </c>
      <c r="H657" s="659" t="s">
        <v>2394</v>
      </c>
      <c r="I657" s="659" t="s">
        <v>1636</v>
      </c>
      <c r="J657" s="659" t="s">
        <v>2159</v>
      </c>
      <c r="K657" s="662" t="str">
        <f t="shared" si="54"/>
        <v>ADW</v>
      </c>
      <c r="L657" s="660" t="str">
        <f t="shared" si="55"/>
        <v>HR</v>
      </c>
      <c r="M657" s="660" t="str">
        <f t="shared" si="56"/>
        <v>UC</v>
      </c>
      <c r="N657" s="660" t="str">
        <f t="shared" si="57"/>
        <v>PAAS</v>
      </c>
      <c r="O657" s="659" t="str">
        <f t="shared" si="58"/>
        <v/>
      </c>
    </row>
    <row r="658" spans="1:15">
      <c r="A658" t="s">
        <v>1687</v>
      </c>
      <c r="B658" t="s">
        <v>1688</v>
      </c>
      <c r="C658">
        <v>0</v>
      </c>
      <c r="D658">
        <v>0</v>
      </c>
      <c r="E658" t="s">
        <v>2209</v>
      </c>
      <c r="F658" t="s">
        <v>2290</v>
      </c>
      <c r="G658" s="659" t="s">
        <v>2132</v>
      </c>
      <c r="H658" s="659" t="s">
        <v>2394</v>
      </c>
      <c r="I658" s="659" t="s">
        <v>1636</v>
      </c>
      <c r="J658" s="659" t="s">
        <v>2159</v>
      </c>
      <c r="K658" s="662" t="str">
        <f t="shared" si="54"/>
        <v>Exa Storage</v>
      </c>
      <c r="L658" s="660" t="str">
        <f t="shared" si="55"/>
        <v>TB</v>
      </c>
      <c r="M658" s="660" t="str">
        <f t="shared" si="56"/>
        <v>UC</v>
      </c>
      <c r="N658" s="660" t="str">
        <f t="shared" si="57"/>
        <v>PAAS</v>
      </c>
      <c r="O658" s="659" t="str">
        <f t="shared" si="58"/>
        <v/>
      </c>
    </row>
    <row r="659" spans="1:15">
      <c r="A659" t="s">
        <v>1689</v>
      </c>
      <c r="B659" t="s">
        <v>1690</v>
      </c>
      <c r="C659">
        <v>0</v>
      </c>
      <c r="D659">
        <v>0</v>
      </c>
      <c r="E659" t="s">
        <v>49</v>
      </c>
      <c r="F659" t="s">
        <v>2290</v>
      </c>
      <c r="G659" s="659" t="s">
        <v>1837</v>
      </c>
      <c r="H659" s="659" t="s">
        <v>2394</v>
      </c>
      <c r="I659" s="659" t="s">
        <v>1636</v>
      </c>
      <c r="J659" s="659" t="s">
        <v>2159</v>
      </c>
      <c r="K659" s="662" t="str">
        <f t="shared" si="54"/>
        <v>ATP</v>
      </c>
      <c r="L659" s="660" t="str">
        <f t="shared" si="55"/>
        <v>HR</v>
      </c>
      <c r="M659" s="660" t="str">
        <f t="shared" si="56"/>
        <v>UC</v>
      </c>
      <c r="N659" s="660" t="str">
        <f t="shared" si="57"/>
        <v>PAAS</v>
      </c>
      <c r="O659" s="659" t="str">
        <f t="shared" si="58"/>
        <v/>
      </c>
    </row>
    <row r="660" spans="1:15">
      <c r="A660" t="s">
        <v>1691</v>
      </c>
      <c r="B660" t="s">
        <v>1692</v>
      </c>
      <c r="C660">
        <v>0</v>
      </c>
      <c r="D660">
        <v>0</v>
      </c>
      <c r="E660" t="s">
        <v>2209</v>
      </c>
      <c r="F660" t="s">
        <v>2290</v>
      </c>
      <c r="G660" s="659" t="s">
        <v>2132</v>
      </c>
      <c r="H660" s="659" t="s">
        <v>2394</v>
      </c>
      <c r="I660" s="659" t="s">
        <v>1636</v>
      </c>
      <c r="J660" s="659" t="s">
        <v>2159</v>
      </c>
      <c r="K660" s="662" t="str">
        <f t="shared" si="54"/>
        <v>Exa Storage</v>
      </c>
      <c r="L660" s="660" t="str">
        <f t="shared" si="55"/>
        <v>TB</v>
      </c>
      <c r="M660" s="660" t="str">
        <f t="shared" si="56"/>
        <v>UC</v>
      </c>
      <c r="N660" s="660" t="str">
        <f t="shared" si="57"/>
        <v>PAAS</v>
      </c>
      <c r="O660" s="659" t="str">
        <f t="shared" si="58"/>
        <v/>
      </c>
    </row>
    <row r="661" spans="1:15">
      <c r="A661" t="s">
        <v>1693</v>
      </c>
      <c r="B661" t="s">
        <v>1694</v>
      </c>
      <c r="C661">
        <v>0</v>
      </c>
      <c r="D661">
        <v>0</v>
      </c>
      <c r="E661" t="s">
        <v>49</v>
      </c>
      <c r="F661" t="s">
        <v>2290</v>
      </c>
      <c r="G661" s="659" t="s">
        <v>1835</v>
      </c>
      <c r="H661" s="659" t="s">
        <v>2394</v>
      </c>
      <c r="I661" s="659" t="s">
        <v>1636</v>
      </c>
      <c r="J661" s="659" t="s">
        <v>2158</v>
      </c>
      <c r="K661" s="662" t="str">
        <f t="shared" si="54"/>
        <v>Compute</v>
      </c>
      <c r="L661" s="660" t="str">
        <f t="shared" si="55"/>
        <v>HR</v>
      </c>
      <c r="M661" s="660" t="str">
        <f t="shared" si="56"/>
        <v>UC</v>
      </c>
      <c r="N661" s="660" t="str">
        <f t="shared" si="57"/>
        <v>IAAS</v>
      </c>
      <c r="O661" s="659" t="str">
        <f t="shared" si="58"/>
        <v/>
      </c>
    </row>
    <row r="662" spans="1:15">
      <c r="A662" t="s">
        <v>1695</v>
      </c>
      <c r="B662" t="s">
        <v>1696</v>
      </c>
      <c r="C662">
        <v>0</v>
      </c>
      <c r="D662">
        <v>0</v>
      </c>
      <c r="E662" t="s">
        <v>2175</v>
      </c>
      <c r="F662" t="s">
        <v>2290</v>
      </c>
      <c r="G662" s="659" t="s">
        <v>1840</v>
      </c>
      <c r="H662" s="659" t="s">
        <v>2394</v>
      </c>
      <c r="I662" s="659" t="s">
        <v>1636</v>
      </c>
      <c r="J662" s="659" t="s">
        <v>2158</v>
      </c>
      <c r="K662" s="662" t="str">
        <f t="shared" si="54"/>
        <v>Storage</v>
      </c>
      <c r="L662" s="660" t="str">
        <f t="shared" si="55"/>
        <v>GB</v>
      </c>
      <c r="M662" s="660" t="str">
        <f t="shared" si="56"/>
        <v>UC</v>
      </c>
      <c r="N662" s="660" t="str">
        <f t="shared" si="57"/>
        <v>IAAS</v>
      </c>
      <c r="O662" s="659" t="str">
        <f t="shared" si="58"/>
        <v/>
      </c>
    </row>
    <row r="663" spans="1:15">
      <c r="A663" t="s">
        <v>1950</v>
      </c>
      <c r="B663" t="s">
        <v>2231</v>
      </c>
      <c r="C663">
        <v>14.5162</v>
      </c>
      <c r="D663">
        <v>14.5162</v>
      </c>
      <c r="E663" t="s">
        <v>2192</v>
      </c>
      <c r="F663" t="s">
        <v>2290</v>
      </c>
      <c r="G663" s="659" t="s">
        <v>1838</v>
      </c>
      <c r="H663" s="659" t="s">
        <v>2161</v>
      </c>
      <c r="I663" s="659" t="s">
        <v>1636</v>
      </c>
      <c r="J663" s="659" t="s">
        <v>2159</v>
      </c>
      <c r="K663" s="662" t="str">
        <f t="shared" si="54"/>
        <v>ExaCS</v>
      </c>
      <c r="L663" s="660" t="str">
        <f t="shared" si="55"/>
        <v>HR</v>
      </c>
      <c r="M663" s="660" t="str">
        <f t="shared" si="56"/>
        <v>UC</v>
      </c>
      <c r="N663" s="660" t="str">
        <f t="shared" si="57"/>
        <v>PAAS</v>
      </c>
      <c r="O663" s="659" t="str">
        <f t="shared" si="58"/>
        <v/>
      </c>
    </row>
    <row r="664" spans="1:15">
      <c r="A664" t="s">
        <v>1951</v>
      </c>
      <c r="B664" t="s">
        <v>2354</v>
      </c>
      <c r="C664">
        <v>29.032299999999999</v>
      </c>
      <c r="D664">
        <v>29.032299999999999</v>
      </c>
      <c r="E664" t="s">
        <v>2192</v>
      </c>
      <c r="F664" t="s">
        <v>2290</v>
      </c>
      <c r="G664" s="659" t="s">
        <v>1838</v>
      </c>
      <c r="H664" s="659" t="s">
        <v>2161</v>
      </c>
      <c r="I664" s="659" t="s">
        <v>1636</v>
      </c>
      <c r="J664" s="659" t="s">
        <v>2159</v>
      </c>
      <c r="K664" s="662" t="str">
        <f t="shared" si="54"/>
        <v>ExaCS</v>
      </c>
      <c r="L664" s="660" t="str">
        <f t="shared" si="55"/>
        <v>HR</v>
      </c>
      <c r="M664" s="660" t="str">
        <f t="shared" si="56"/>
        <v>UC</v>
      </c>
      <c r="N664" s="660" t="str">
        <f t="shared" si="57"/>
        <v>PAAS</v>
      </c>
      <c r="O664" s="659" t="str">
        <f t="shared" si="58"/>
        <v/>
      </c>
    </row>
    <row r="665" spans="1:15">
      <c r="A665" t="s">
        <v>1952</v>
      </c>
      <c r="B665" t="s">
        <v>2355</v>
      </c>
      <c r="C665">
        <v>58.064500000000002</v>
      </c>
      <c r="D665">
        <v>58.064500000000002</v>
      </c>
      <c r="E665" t="s">
        <v>2192</v>
      </c>
      <c r="F665" t="s">
        <v>2290</v>
      </c>
      <c r="G665" s="659" t="s">
        <v>1838</v>
      </c>
      <c r="H665" s="659" t="s">
        <v>2161</v>
      </c>
      <c r="I665" s="659" t="s">
        <v>1636</v>
      </c>
      <c r="J665" s="659" t="s">
        <v>2159</v>
      </c>
      <c r="K665" s="662" t="str">
        <f t="shared" si="54"/>
        <v>ExaCS</v>
      </c>
      <c r="L665" s="660" t="str">
        <f t="shared" si="55"/>
        <v>HR</v>
      </c>
      <c r="M665" s="660" t="str">
        <f t="shared" si="56"/>
        <v>UC</v>
      </c>
      <c r="N665" s="660" t="str">
        <f t="shared" si="57"/>
        <v>PAAS</v>
      </c>
      <c r="O665" s="659" t="str">
        <f t="shared" si="58"/>
        <v/>
      </c>
    </row>
    <row r="666" spans="1:15">
      <c r="A666" t="s">
        <v>2844</v>
      </c>
      <c r="B666" t="s">
        <v>1975</v>
      </c>
      <c r="C666">
        <v>0</v>
      </c>
      <c r="D666">
        <v>10800</v>
      </c>
      <c r="E666" t="s">
        <v>2178</v>
      </c>
      <c r="F666" t="s">
        <v>2290</v>
      </c>
      <c r="G666" s="659" t="s">
        <v>1838</v>
      </c>
      <c r="H666" s="659" t="s">
        <v>2394</v>
      </c>
      <c r="I666" s="659" t="s">
        <v>1636</v>
      </c>
      <c r="J666" s="659" t="s">
        <v>2159</v>
      </c>
      <c r="K666" s="662" t="str">
        <f t="shared" si="54"/>
        <v>ExaCS</v>
      </c>
      <c r="L666" s="660" t="str">
        <f t="shared" si="55"/>
        <v>UNIT</v>
      </c>
      <c r="M666" s="660" t="str">
        <f t="shared" si="56"/>
        <v>UC</v>
      </c>
      <c r="N666" s="660" t="str">
        <f t="shared" si="57"/>
        <v>PAAS</v>
      </c>
      <c r="O666" s="659" t="str">
        <f t="shared" si="58"/>
        <v/>
      </c>
    </row>
    <row r="667" spans="1:15">
      <c r="A667" t="s">
        <v>1976</v>
      </c>
      <c r="B667" t="s">
        <v>1977</v>
      </c>
      <c r="C667">
        <v>0</v>
      </c>
      <c r="D667">
        <v>21600</v>
      </c>
      <c r="E667" t="s">
        <v>2178</v>
      </c>
      <c r="F667" t="s">
        <v>2290</v>
      </c>
      <c r="G667" s="659" t="s">
        <v>1838</v>
      </c>
      <c r="H667" s="659" t="s">
        <v>2394</v>
      </c>
      <c r="I667" s="659" t="s">
        <v>1636</v>
      </c>
      <c r="J667" s="659" t="s">
        <v>2159</v>
      </c>
      <c r="K667" s="662" t="str">
        <f t="shared" si="54"/>
        <v>ExaCS</v>
      </c>
      <c r="L667" s="660" t="str">
        <f t="shared" si="55"/>
        <v>UNIT</v>
      </c>
      <c r="M667" s="660" t="str">
        <f t="shared" si="56"/>
        <v>UC</v>
      </c>
      <c r="N667" s="660" t="str">
        <f t="shared" si="57"/>
        <v>PAAS</v>
      </c>
      <c r="O667" s="659" t="str">
        <f t="shared" si="58"/>
        <v/>
      </c>
    </row>
    <row r="668" spans="1:15">
      <c r="A668" t="s">
        <v>1978</v>
      </c>
      <c r="B668" t="s">
        <v>1979</v>
      </c>
      <c r="C668">
        <v>0</v>
      </c>
      <c r="D668">
        <v>43200</v>
      </c>
      <c r="E668" t="s">
        <v>2178</v>
      </c>
      <c r="F668" t="s">
        <v>2290</v>
      </c>
      <c r="G668" s="659" t="s">
        <v>1838</v>
      </c>
      <c r="H668" s="659" t="s">
        <v>2394</v>
      </c>
      <c r="I668" s="659" t="s">
        <v>1636</v>
      </c>
      <c r="J668" s="659" t="s">
        <v>2159</v>
      </c>
      <c r="K668" s="662" t="str">
        <f t="shared" si="54"/>
        <v>ExaCS</v>
      </c>
      <c r="L668" s="660" t="str">
        <f t="shared" si="55"/>
        <v>UNIT</v>
      </c>
      <c r="M668" s="660" t="str">
        <f t="shared" si="56"/>
        <v>UC</v>
      </c>
      <c r="N668" s="660" t="str">
        <f t="shared" si="57"/>
        <v>PAAS</v>
      </c>
      <c r="O668" s="659" t="str">
        <f t="shared" si="58"/>
        <v/>
      </c>
    </row>
    <row r="669" spans="1:15">
      <c r="A669" t="s">
        <v>1699</v>
      </c>
      <c r="B669" t="s">
        <v>1829</v>
      </c>
      <c r="C669">
        <v>0</v>
      </c>
      <c r="D669">
        <v>3.3999999999999998E-3</v>
      </c>
      <c r="E669" t="s">
        <v>2189</v>
      </c>
      <c r="F669" t="s">
        <v>2290</v>
      </c>
      <c r="G669" s="659" t="s">
        <v>1840</v>
      </c>
      <c r="H669" s="659" t="s">
        <v>2395</v>
      </c>
      <c r="I669" s="659" t="s">
        <v>1636</v>
      </c>
      <c r="J669" s="659" t="s">
        <v>2158</v>
      </c>
      <c r="K669" s="662" t="str">
        <f t="shared" si="54"/>
        <v>Storage</v>
      </c>
      <c r="L669" s="660" t="str">
        <f t="shared" si="55"/>
        <v>REQ</v>
      </c>
      <c r="M669" s="660" t="str">
        <f t="shared" si="56"/>
        <v>UC</v>
      </c>
      <c r="N669" s="660" t="str">
        <f t="shared" si="57"/>
        <v>IAAS</v>
      </c>
      <c r="O669" s="659" t="str">
        <f t="shared" si="58"/>
        <v/>
      </c>
    </row>
    <row r="670" spans="1:15">
      <c r="A670" t="s">
        <v>1700</v>
      </c>
      <c r="B670" t="s">
        <v>1830</v>
      </c>
      <c r="C670">
        <v>0</v>
      </c>
      <c r="D670">
        <v>2.5499999999999998E-2</v>
      </c>
      <c r="E670" t="s">
        <v>2175</v>
      </c>
      <c r="F670" t="s">
        <v>2290</v>
      </c>
      <c r="G670" s="659" t="s">
        <v>1840</v>
      </c>
      <c r="H670" s="659" t="s">
        <v>2162</v>
      </c>
      <c r="I670" s="659" t="s">
        <v>1636</v>
      </c>
      <c r="J670" s="659" t="s">
        <v>2158</v>
      </c>
      <c r="K670" s="662" t="str">
        <f t="shared" si="54"/>
        <v>Storage</v>
      </c>
      <c r="L670" s="660" t="str">
        <f t="shared" si="55"/>
        <v>GB</v>
      </c>
      <c r="M670" s="660" t="str">
        <f t="shared" si="56"/>
        <v>UC</v>
      </c>
      <c r="N670" s="660" t="str">
        <f t="shared" si="57"/>
        <v>IAAS</v>
      </c>
      <c r="O670" s="659" t="str">
        <f t="shared" si="58"/>
        <v/>
      </c>
    </row>
    <row r="671" spans="1:15">
      <c r="A671" t="s">
        <v>1701</v>
      </c>
      <c r="B671" t="s">
        <v>1953</v>
      </c>
      <c r="C671">
        <v>0.1</v>
      </c>
      <c r="D671">
        <v>0.1</v>
      </c>
      <c r="E671" t="s">
        <v>2232</v>
      </c>
      <c r="F671" t="s">
        <v>2290</v>
      </c>
      <c r="G671" s="659" t="s">
        <v>2309</v>
      </c>
      <c r="H671" s="659" t="s">
        <v>2394</v>
      </c>
      <c r="I671" s="659" t="s">
        <v>1636</v>
      </c>
      <c r="J671" s="659" t="s">
        <v>2159</v>
      </c>
      <c r="K671" s="662" t="str">
        <f t="shared" si="54"/>
        <v>DBaaS</v>
      </c>
      <c r="L671" s="660" t="str">
        <f t="shared" si="55"/>
        <v>UNIT</v>
      </c>
      <c r="M671" s="660" t="str">
        <f t="shared" si="56"/>
        <v>UC</v>
      </c>
      <c r="N671" s="660" t="str">
        <f t="shared" si="57"/>
        <v>PAAS</v>
      </c>
      <c r="O671" s="659" t="str">
        <f t="shared" si="58"/>
        <v/>
      </c>
    </row>
    <row r="672" spans="1:15">
      <c r="A672" t="s">
        <v>2845</v>
      </c>
      <c r="B672" t="s">
        <v>1954</v>
      </c>
      <c r="C672">
        <v>0</v>
      </c>
      <c r="D672">
        <v>0</v>
      </c>
      <c r="E672" t="s">
        <v>1154</v>
      </c>
      <c r="F672" t="s">
        <v>2290</v>
      </c>
      <c r="G672" s="659" t="s">
        <v>2309</v>
      </c>
      <c r="H672" s="659" t="s">
        <v>2397</v>
      </c>
      <c r="I672" s="659" t="s">
        <v>1636</v>
      </c>
      <c r="J672" s="659" t="s">
        <v>2159</v>
      </c>
      <c r="K672" s="662" t="str">
        <f t="shared" si="54"/>
        <v>DBaaS</v>
      </c>
      <c r="L672" s="660" t="str">
        <f t="shared" si="55"/>
        <v>EA</v>
      </c>
      <c r="M672" s="660" t="str">
        <f t="shared" si="56"/>
        <v>UC</v>
      </c>
      <c r="N672" s="660" t="str">
        <f t="shared" si="57"/>
        <v>PAAS</v>
      </c>
      <c r="O672" s="659" t="str">
        <f t="shared" si="58"/>
        <v/>
      </c>
    </row>
    <row r="673" spans="1:15">
      <c r="A673" t="s">
        <v>1702</v>
      </c>
      <c r="B673" t="s">
        <v>1831</v>
      </c>
      <c r="C673">
        <v>0</v>
      </c>
      <c r="D673">
        <v>2.5999999999999999E-3</v>
      </c>
      <c r="E673" t="s">
        <v>2175</v>
      </c>
      <c r="F673" t="s">
        <v>2290</v>
      </c>
      <c r="G673" s="659" t="s">
        <v>1840</v>
      </c>
      <c r="H673" s="659" t="s">
        <v>2162</v>
      </c>
      <c r="I673" s="659" t="s">
        <v>1636</v>
      </c>
      <c r="J673" s="659" t="s">
        <v>2158</v>
      </c>
      <c r="K673" s="662" t="str">
        <f t="shared" si="54"/>
        <v>Storage</v>
      </c>
      <c r="L673" s="660" t="str">
        <f t="shared" si="55"/>
        <v>GB</v>
      </c>
      <c r="M673" s="660" t="str">
        <f t="shared" si="56"/>
        <v>UC</v>
      </c>
      <c r="N673" s="660" t="str">
        <f t="shared" si="57"/>
        <v>IAAS</v>
      </c>
      <c r="O673" s="659" t="str">
        <f t="shared" si="58"/>
        <v/>
      </c>
    </row>
    <row r="674" spans="1:15">
      <c r="A674" t="s">
        <v>1665</v>
      </c>
      <c r="B674" t="s">
        <v>1666</v>
      </c>
      <c r="C674">
        <v>6500</v>
      </c>
      <c r="D674">
        <v>8450</v>
      </c>
      <c r="E674">
        <v>0</v>
      </c>
      <c r="F674" t="s">
        <v>2290</v>
      </c>
      <c r="G674" s="659" t="s">
        <v>2558</v>
      </c>
      <c r="H674" s="659" t="s">
        <v>2394</v>
      </c>
      <c r="I674" s="659" t="s">
        <v>1637</v>
      </c>
      <c r="J674" s="659" t="s">
        <v>1637</v>
      </c>
      <c r="K674" s="662" t="str">
        <f t="shared" si="54"/>
        <v>Consulting</v>
      </c>
      <c r="L674" s="660" t="str">
        <f t="shared" si="55"/>
        <v>UNIT</v>
      </c>
      <c r="M674" s="660" t="str">
        <f t="shared" si="56"/>
        <v>SRV</v>
      </c>
      <c r="N674" s="660" t="str">
        <f t="shared" si="57"/>
        <v>SRV</v>
      </c>
      <c r="O674" s="659" t="str">
        <f t="shared" si="58"/>
        <v/>
      </c>
    </row>
    <row r="675" spans="1:15">
      <c r="A675" t="s">
        <v>1703</v>
      </c>
      <c r="B675" t="s">
        <v>1704</v>
      </c>
      <c r="C675">
        <v>80000</v>
      </c>
      <c r="D675">
        <v>104000</v>
      </c>
      <c r="E675">
        <v>0</v>
      </c>
      <c r="F675" t="s">
        <v>2290</v>
      </c>
      <c r="G675" s="659" t="s">
        <v>2160</v>
      </c>
      <c r="H675" s="659" t="s">
        <v>2394</v>
      </c>
      <c r="I675" s="659" t="s">
        <v>2160</v>
      </c>
      <c r="J675" s="659" t="s">
        <v>2160</v>
      </c>
      <c r="K675" s="662" t="str">
        <f t="shared" si="54"/>
        <v>CC</v>
      </c>
      <c r="L675" s="660" t="str">
        <f t="shared" si="55"/>
        <v>UNIT</v>
      </c>
      <c r="M675" s="660" t="str">
        <f t="shared" si="56"/>
        <v>CC</v>
      </c>
      <c r="N675" s="660" t="str">
        <f t="shared" si="57"/>
        <v>CC</v>
      </c>
      <c r="O675" s="659" t="str">
        <f t="shared" si="58"/>
        <v/>
      </c>
    </row>
    <row r="676" spans="1:15">
      <c r="A676" t="s">
        <v>1842</v>
      </c>
      <c r="B676" t="s">
        <v>1843</v>
      </c>
      <c r="C676">
        <v>2.5499999999999998E-2</v>
      </c>
      <c r="D676">
        <v>2.5499999999999998E-2</v>
      </c>
      <c r="E676" t="s">
        <v>2175</v>
      </c>
      <c r="F676" t="s">
        <v>2290</v>
      </c>
      <c r="G676" s="659" t="s">
        <v>1840</v>
      </c>
      <c r="H676" s="659" t="s">
        <v>2162</v>
      </c>
      <c r="I676" s="659" t="s">
        <v>1636</v>
      </c>
      <c r="J676" s="659" t="s">
        <v>2158</v>
      </c>
      <c r="K676" s="662" t="str">
        <f t="shared" si="54"/>
        <v>Storage</v>
      </c>
      <c r="L676" s="660" t="str">
        <f t="shared" si="55"/>
        <v>GB</v>
      </c>
      <c r="M676" s="660" t="str">
        <f t="shared" si="56"/>
        <v>UC</v>
      </c>
      <c r="N676" s="660" t="str">
        <f t="shared" si="57"/>
        <v>IAAS</v>
      </c>
      <c r="O676" s="659" t="str">
        <f t="shared" si="58"/>
        <v/>
      </c>
    </row>
    <row r="677" spans="1:15">
      <c r="A677" t="s">
        <v>1844</v>
      </c>
      <c r="B677" t="s">
        <v>1845</v>
      </c>
      <c r="C677">
        <v>1.6999999999999999E-3</v>
      </c>
      <c r="D677">
        <v>1.6999999999999999E-3</v>
      </c>
      <c r="E677" t="s">
        <v>2233</v>
      </c>
      <c r="F677" t="s">
        <v>2290</v>
      </c>
      <c r="G677" s="659" t="s">
        <v>1840</v>
      </c>
      <c r="H677" s="659" t="s">
        <v>2162</v>
      </c>
      <c r="I677" s="659" t="s">
        <v>1636</v>
      </c>
      <c r="J677" s="659" t="s">
        <v>2158</v>
      </c>
      <c r="K677" s="662" t="str">
        <f t="shared" si="54"/>
        <v>Storage</v>
      </c>
      <c r="L677" s="660" t="str">
        <f t="shared" si="55"/>
        <v>GB</v>
      </c>
      <c r="M677" s="660" t="str">
        <f t="shared" si="56"/>
        <v>UC</v>
      </c>
      <c r="N677" s="660" t="str">
        <f t="shared" si="57"/>
        <v>IAAS</v>
      </c>
      <c r="O677" s="659" t="str">
        <f t="shared" si="58"/>
        <v/>
      </c>
    </row>
    <row r="678" spans="1:15">
      <c r="A678" t="s">
        <v>1846</v>
      </c>
      <c r="B678" t="s">
        <v>1847</v>
      </c>
      <c r="C678">
        <v>0</v>
      </c>
      <c r="D678">
        <v>2.5499999999999998E-2</v>
      </c>
      <c r="E678" t="s">
        <v>2175</v>
      </c>
      <c r="F678" t="s">
        <v>2290</v>
      </c>
      <c r="G678" s="659" t="s">
        <v>1840</v>
      </c>
      <c r="H678" s="659" t="s">
        <v>2162</v>
      </c>
      <c r="I678" s="659" t="s">
        <v>1636</v>
      </c>
      <c r="J678" s="659" t="s">
        <v>2158</v>
      </c>
      <c r="K678" s="662" t="str">
        <f t="shared" si="54"/>
        <v>Storage</v>
      </c>
      <c r="L678" s="660" t="str">
        <f t="shared" si="55"/>
        <v>GB</v>
      </c>
      <c r="M678" s="660" t="str">
        <f t="shared" si="56"/>
        <v>UC</v>
      </c>
      <c r="N678" s="660" t="str">
        <f t="shared" si="57"/>
        <v>IAAS</v>
      </c>
      <c r="O678" s="659" t="str">
        <f t="shared" si="58"/>
        <v/>
      </c>
    </row>
    <row r="679" spans="1:15">
      <c r="A679" t="s">
        <v>1848</v>
      </c>
      <c r="B679" t="s">
        <v>1849</v>
      </c>
      <c r="C679">
        <v>0</v>
      </c>
      <c r="D679">
        <v>1.6999999999999999E-3</v>
      </c>
      <c r="E679" t="s">
        <v>2233</v>
      </c>
      <c r="F679" t="s">
        <v>2290</v>
      </c>
      <c r="G679" s="659" t="s">
        <v>1840</v>
      </c>
      <c r="H679" s="659" t="s">
        <v>2162</v>
      </c>
      <c r="I679" s="659" t="s">
        <v>1636</v>
      </c>
      <c r="J679" s="659" t="s">
        <v>2158</v>
      </c>
      <c r="K679" s="662" t="str">
        <f t="shared" si="54"/>
        <v>Storage</v>
      </c>
      <c r="L679" s="660" t="str">
        <f t="shared" si="55"/>
        <v>GB</v>
      </c>
      <c r="M679" s="660" t="str">
        <f t="shared" si="56"/>
        <v>UC</v>
      </c>
      <c r="N679" s="660" t="str">
        <f t="shared" si="57"/>
        <v>IAAS</v>
      </c>
      <c r="O679" s="659" t="str">
        <f t="shared" si="58"/>
        <v/>
      </c>
    </row>
    <row r="680" spans="1:15">
      <c r="A680" t="s">
        <v>2738</v>
      </c>
      <c r="B680" t="s">
        <v>2739</v>
      </c>
      <c r="C680">
        <v>0.35360000000000003</v>
      </c>
      <c r="D680">
        <v>0.35360000000000003</v>
      </c>
      <c r="E680" t="s">
        <v>2674</v>
      </c>
      <c r="F680" t="s">
        <v>2290</v>
      </c>
      <c r="G680" s="659" t="s">
        <v>2392</v>
      </c>
      <c r="H680" s="659" t="s">
        <v>2161</v>
      </c>
      <c r="I680" s="659" t="s">
        <v>1636</v>
      </c>
      <c r="J680" s="659" t="s">
        <v>2159</v>
      </c>
      <c r="K680" s="662" t="str">
        <f t="shared" si="54"/>
        <v>Platform</v>
      </c>
      <c r="L680" s="660" t="str">
        <f t="shared" si="55"/>
        <v>HR</v>
      </c>
      <c r="M680" s="660" t="str">
        <f t="shared" si="56"/>
        <v>UC</v>
      </c>
      <c r="N680" s="660" t="str">
        <f t="shared" si="57"/>
        <v>PAAS</v>
      </c>
      <c r="O680" s="659" t="str">
        <f t="shared" si="58"/>
        <v/>
      </c>
    </row>
    <row r="681" spans="1:15">
      <c r="A681" t="s">
        <v>2740</v>
      </c>
      <c r="B681" t="s">
        <v>2741</v>
      </c>
      <c r="C681">
        <v>0.35360000000000003</v>
      </c>
      <c r="D681">
        <v>0.35360000000000003</v>
      </c>
      <c r="E681" t="s">
        <v>2674</v>
      </c>
      <c r="F681" t="s">
        <v>2290</v>
      </c>
      <c r="G681" s="659" t="s">
        <v>2309</v>
      </c>
      <c r="H681" s="659" t="s">
        <v>2161</v>
      </c>
      <c r="I681" s="659" t="s">
        <v>1636</v>
      </c>
      <c r="J681" s="659" t="s">
        <v>2159</v>
      </c>
      <c r="K681" s="662" t="str">
        <f t="shared" si="54"/>
        <v>DBaaS</v>
      </c>
      <c r="L681" s="660" t="str">
        <f t="shared" si="55"/>
        <v>HR</v>
      </c>
      <c r="M681" s="660" t="str">
        <f t="shared" si="56"/>
        <v>UC</v>
      </c>
      <c r="N681" s="660" t="str">
        <f t="shared" si="57"/>
        <v>PAAS</v>
      </c>
      <c r="O681" s="659" t="str">
        <f t="shared" si="58"/>
        <v/>
      </c>
    </row>
    <row r="682" spans="1:15">
      <c r="A682" t="s">
        <v>1850</v>
      </c>
      <c r="B682" t="s">
        <v>2274</v>
      </c>
      <c r="C682">
        <v>0</v>
      </c>
      <c r="D682">
        <v>0</v>
      </c>
      <c r="E682" t="s">
        <v>1154</v>
      </c>
      <c r="F682" t="s">
        <v>2290</v>
      </c>
      <c r="G682" s="659" t="s">
        <v>2400</v>
      </c>
      <c r="H682" s="659" t="s">
        <v>2397</v>
      </c>
      <c r="I682" s="659" t="s">
        <v>1636</v>
      </c>
      <c r="J682" s="659" t="s">
        <v>2159</v>
      </c>
      <c r="K682" s="662" t="str">
        <f t="shared" si="54"/>
        <v>Government</v>
      </c>
      <c r="L682" s="660" t="str">
        <f t="shared" si="55"/>
        <v>EA</v>
      </c>
      <c r="M682" s="660" t="str">
        <f t="shared" si="56"/>
        <v>UC</v>
      </c>
      <c r="N682" s="660" t="str">
        <f t="shared" si="57"/>
        <v>PAAS</v>
      </c>
      <c r="O682" s="659" t="str">
        <f t="shared" si="58"/>
        <v/>
      </c>
    </row>
    <row r="683" spans="1:15">
      <c r="A683" t="s">
        <v>1980</v>
      </c>
      <c r="B683" t="s">
        <v>1981</v>
      </c>
      <c r="C683">
        <v>3</v>
      </c>
      <c r="D683">
        <v>3</v>
      </c>
      <c r="E683" t="s">
        <v>2183</v>
      </c>
      <c r="F683" t="s">
        <v>2290</v>
      </c>
      <c r="G683" s="659" t="s">
        <v>2392</v>
      </c>
      <c r="H683" s="659" t="s">
        <v>2394</v>
      </c>
      <c r="I683" s="659" t="s">
        <v>1636</v>
      </c>
      <c r="J683" s="659" t="s">
        <v>2159</v>
      </c>
      <c r="K683" s="662" t="str">
        <f t="shared" si="54"/>
        <v>Platform</v>
      </c>
      <c r="L683" s="660" t="str">
        <f t="shared" si="55"/>
        <v>UNIT</v>
      </c>
      <c r="M683" s="660" t="str">
        <f t="shared" si="56"/>
        <v>UC</v>
      </c>
      <c r="N683" s="660" t="str">
        <f t="shared" si="57"/>
        <v>PAAS</v>
      </c>
      <c r="O683" s="659" t="str">
        <f t="shared" si="58"/>
        <v/>
      </c>
    </row>
    <row r="684" spans="1:15">
      <c r="A684" t="s">
        <v>1982</v>
      </c>
      <c r="B684" t="s">
        <v>1983</v>
      </c>
      <c r="C684">
        <v>0</v>
      </c>
      <c r="D684">
        <v>3</v>
      </c>
      <c r="E684" t="s">
        <v>2183</v>
      </c>
      <c r="F684" t="s">
        <v>2290</v>
      </c>
      <c r="G684" s="659" t="s">
        <v>2400</v>
      </c>
      <c r="H684" s="659" t="s">
        <v>2394</v>
      </c>
      <c r="I684" s="659" t="s">
        <v>1636</v>
      </c>
      <c r="J684" s="659" t="s">
        <v>2159</v>
      </c>
      <c r="K684" s="662" t="str">
        <f t="shared" si="54"/>
        <v>Government</v>
      </c>
      <c r="L684" s="660" t="str">
        <f t="shared" si="55"/>
        <v>UNIT</v>
      </c>
      <c r="M684" s="660" t="str">
        <f t="shared" si="56"/>
        <v>UC</v>
      </c>
      <c r="N684" s="660" t="str">
        <f t="shared" si="57"/>
        <v>PAAS</v>
      </c>
      <c r="O684" s="659" t="str">
        <f t="shared" si="58"/>
        <v/>
      </c>
    </row>
    <row r="685" spans="1:15">
      <c r="A685" t="s">
        <v>2021</v>
      </c>
      <c r="B685" t="s">
        <v>2336</v>
      </c>
      <c r="C685">
        <v>0</v>
      </c>
      <c r="D685">
        <v>0.53339999999999999</v>
      </c>
      <c r="E685" t="s">
        <v>2234</v>
      </c>
      <c r="F685" t="s">
        <v>2290</v>
      </c>
      <c r="G685" s="659" t="s">
        <v>2392</v>
      </c>
      <c r="H685" s="659" t="s">
        <v>2394</v>
      </c>
      <c r="I685" s="659" t="s">
        <v>1636</v>
      </c>
      <c r="J685" s="659" t="s">
        <v>2159</v>
      </c>
      <c r="K685" s="662" t="str">
        <f t="shared" si="54"/>
        <v>Platform</v>
      </c>
      <c r="L685" s="660" t="str">
        <f t="shared" si="55"/>
        <v>UNIT</v>
      </c>
      <c r="M685" s="660" t="str">
        <f t="shared" si="56"/>
        <v>UC</v>
      </c>
      <c r="N685" s="660" t="str">
        <f t="shared" si="57"/>
        <v>PAAS</v>
      </c>
      <c r="O685" s="659" t="str">
        <f t="shared" si="58"/>
        <v/>
      </c>
    </row>
    <row r="686" spans="1:15">
      <c r="A686" t="s">
        <v>2022</v>
      </c>
      <c r="B686" t="s">
        <v>2023</v>
      </c>
      <c r="C686">
        <v>0</v>
      </c>
      <c r="D686">
        <v>0.8</v>
      </c>
      <c r="E686" t="s">
        <v>2234</v>
      </c>
      <c r="F686" t="s">
        <v>2290</v>
      </c>
      <c r="G686" s="659" t="s">
        <v>2400</v>
      </c>
      <c r="H686" s="659" t="s">
        <v>2394</v>
      </c>
      <c r="I686" s="659" t="s">
        <v>1636</v>
      </c>
      <c r="J686" s="659" t="s">
        <v>2159</v>
      </c>
      <c r="K686" s="662" t="str">
        <f t="shared" si="54"/>
        <v>Government</v>
      </c>
      <c r="L686" s="660" t="str">
        <f t="shared" si="55"/>
        <v>UNIT</v>
      </c>
      <c r="M686" s="660" t="str">
        <f t="shared" si="56"/>
        <v>UC</v>
      </c>
      <c r="N686" s="660" t="str">
        <f t="shared" si="57"/>
        <v>PAAS</v>
      </c>
      <c r="O686" s="659" t="str">
        <f t="shared" si="58"/>
        <v/>
      </c>
    </row>
    <row r="687" spans="1:15">
      <c r="A687" t="s">
        <v>2145</v>
      </c>
      <c r="B687" t="s">
        <v>2146</v>
      </c>
      <c r="C687">
        <v>1.3441000000000001</v>
      </c>
      <c r="D687">
        <v>1.3441000000000001</v>
      </c>
      <c r="E687" t="s">
        <v>49</v>
      </c>
      <c r="F687" t="s">
        <v>2290</v>
      </c>
      <c r="G687" s="659" t="s">
        <v>1837</v>
      </c>
      <c r="H687" s="659" t="s">
        <v>2161</v>
      </c>
      <c r="I687" s="659" t="s">
        <v>1636</v>
      </c>
      <c r="J687" s="659" t="s">
        <v>2159</v>
      </c>
      <c r="K687" s="662" t="str">
        <f t="shared" si="54"/>
        <v>ATP</v>
      </c>
      <c r="L687" s="660" t="str">
        <f t="shared" si="55"/>
        <v>HR</v>
      </c>
      <c r="M687" s="660" t="str">
        <f t="shared" si="56"/>
        <v>UC</v>
      </c>
      <c r="N687" s="660" t="str">
        <f t="shared" si="57"/>
        <v>PAAS</v>
      </c>
      <c r="O687" s="659" t="str">
        <f t="shared" si="58"/>
        <v/>
      </c>
    </row>
    <row r="688" spans="1:15">
      <c r="A688" t="s">
        <v>2147</v>
      </c>
      <c r="B688" t="s">
        <v>2148</v>
      </c>
      <c r="C688">
        <v>1.3441000000000001</v>
      </c>
      <c r="D688">
        <v>1.3441000000000001</v>
      </c>
      <c r="E688" t="s">
        <v>49</v>
      </c>
      <c r="F688" t="s">
        <v>2290</v>
      </c>
      <c r="G688" s="659" t="s">
        <v>1836</v>
      </c>
      <c r="H688" s="659" t="s">
        <v>2161</v>
      </c>
      <c r="I688" s="659" t="s">
        <v>1636</v>
      </c>
      <c r="J688" s="659" t="s">
        <v>2159</v>
      </c>
      <c r="K688" s="662" t="str">
        <f t="shared" si="54"/>
        <v>ADW</v>
      </c>
      <c r="L688" s="660" t="str">
        <f t="shared" si="55"/>
        <v>HR</v>
      </c>
      <c r="M688" s="660" t="str">
        <f t="shared" si="56"/>
        <v>UC</v>
      </c>
      <c r="N688" s="660" t="str">
        <f t="shared" si="57"/>
        <v>PAAS</v>
      </c>
      <c r="O688" s="659" t="str">
        <f t="shared" si="58"/>
        <v/>
      </c>
    </row>
    <row r="689" spans="1:15">
      <c r="A689" t="s">
        <v>2149</v>
      </c>
      <c r="B689" t="s">
        <v>2150</v>
      </c>
      <c r="C689">
        <v>0.3226</v>
      </c>
      <c r="D689">
        <v>0.3226</v>
      </c>
      <c r="E689" t="s">
        <v>49</v>
      </c>
      <c r="F689" t="s">
        <v>2290</v>
      </c>
      <c r="G689" s="659" t="s">
        <v>1837</v>
      </c>
      <c r="H689" s="659" t="s">
        <v>2161</v>
      </c>
      <c r="I689" s="659" t="s">
        <v>1636</v>
      </c>
      <c r="J689" s="659" t="s">
        <v>1338</v>
      </c>
      <c r="K689" s="662" t="str">
        <f t="shared" si="54"/>
        <v>ATP</v>
      </c>
      <c r="L689" s="660" t="str">
        <f t="shared" si="55"/>
        <v>HR</v>
      </c>
      <c r="M689" s="660" t="str">
        <f t="shared" si="56"/>
        <v>UC</v>
      </c>
      <c r="N689" s="660" t="str">
        <f t="shared" si="57"/>
        <v>BYOL</v>
      </c>
      <c r="O689" s="659" t="str">
        <f t="shared" si="58"/>
        <v/>
      </c>
    </row>
    <row r="690" spans="1:15">
      <c r="A690" t="s">
        <v>2151</v>
      </c>
      <c r="B690" t="s">
        <v>2152</v>
      </c>
      <c r="C690">
        <v>0.3226</v>
      </c>
      <c r="D690">
        <v>0.3226</v>
      </c>
      <c r="E690" t="s">
        <v>49</v>
      </c>
      <c r="F690" t="s">
        <v>2290</v>
      </c>
      <c r="G690" s="659" t="s">
        <v>1836</v>
      </c>
      <c r="H690" s="659" t="s">
        <v>2161</v>
      </c>
      <c r="I690" s="659" t="s">
        <v>1636</v>
      </c>
      <c r="J690" s="659" t="s">
        <v>1338</v>
      </c>
      <c r="K690" s="662" t="str">
        <f t="shared" si="54"/>
        <v>ADW</v>
      </c>
      <c r="L690" s="660" t="str">
        <f t="shared" si="55"/>
        <v>HR</v>
      </c>
      <c r="M690" s="660" t="str">
        <f t="shared" si="56"/>
        <v>UC</v>
      </c>
      <c r="N690" s="660" t="str">
        <f t="shared" si="57"/>
        <v>BYOL</v>
      </c>
      <c r="O690" s="659" t="str">
        <f t="shared" si="58"/>
        <v/>
      </c>
    </row>
    <row r="691" spans="1:15">
      <c r="A691" t="s">
        <v>2602</v>
      </c>
      <c r="B691" t="s">
        <v>2603</v>
      </c>
      <c r="C691">
        <v>0</v>
      </c>
      <c r="D691">
        <v>1.3441000000000001</v>
      </c>
      <c r="E691" t="s">
        <v>49</v>
      </c>
      <c r="F691" t="s">
        <v>2290</v>
      </c>
      <c r="G691" s="659" t="s">
        <v>1837</v>
      </c>
      <c r="H691" s="659" t="s">
        <v>2161</v>
      </c>
      <c r="I691" s="659" t="s">
        <v>1636</v>
      </c>
      <c r="J691" s="659" t="s">
        <v>2159</v>
      </c>
      <c r="K691" s="662" t="str">
        <f t="shared" si="54"/>
        <v>ATP</v>
      </c>
      <c r="L691" s="660" t="str">
        <f t="shared" si="55"/>
        <v>HR</v>
      </c>
      <c r="M691" s="660" t="str">
        <f t="shared" si="56"/>
        <v>UC</v>
      </c>
      <c r="N691" s="660" t="str">
        <f t="shared" si="57"/>
        <v>PAAS</v>
      </c>
      <c r="O691" s="659" t="str">
        <f t="shared" si="58"/>
        <v/>
      </c>
    </row>
    <row r="692" spans="1:15">
      <c r="A692" t="s">
        <v>2604</v>
      </c>
      <c r="B692" t="s">
        <v>2605</v>
      </c>
      <c r="C692">
        <v>0</v>
      </c>
      <c r="D692">
        <v>1.3441000000000001</v>
      </c>
      <c r="E692" t="s">
        <v>49</v>
      </c>
      <c r="F692" t="s">
        <v>2290</v>
      </c>
      <c r="G692" s="659" t="s">
        <v>1836</v>
      </c>
      <c r="H692" s="659" t="s">
        <v>2161</v>
      </c>
      <c r="I692" s="659" t="s">
        <v>1636</v>
      </c>
      <c r="J692" s="659" t="s">
        <v>2159</v>
      </c>
      <c r="K692" s="662" t="str">
        <f t="shared" si="54"/>
        <v>ADW</v>
      </c>
      <c r="L692" s="660" t="str">
        <f t="shared" si="55"/>
        <v>HR</v>
      </c>
      <c r="M692" s="660" t="str">
        <f t="shared" si="56"/>
        <v>UC</v>
      </c>
      <c r="N692" s="660" t="str">
        <f t="shared" si="57"/>
        <v>PAAS</v>
      </c>
      <c r="O692" s="659" t="str">
        <f t="shared" si="58"/>
        <v/>
      </c>
    </row>
    <row r="693" spans="1:15">
      <c r="A693" t="s">
        <v>2606</v>
      </c>
      <c r="B693" t="s">
        <v>2607</v>
      </c>
      <c r="C693">
        <v>0</v>
      </c>
      <c r="D693">
        <v>0.3226</v>
      </c>
      <c r="E693" t="s">
        <v>49</v>
      </c>
      <c r="F693" t="s">
        <v>2290</v>
      </c>
      <c r="G693" s="659" t="s">
        <v>1837</v>
      </c>
      <c r="H693" s="659" t="s">
        <v>2161</v>
      </c>
      <c r="I693" s="659" t="s">
        <v>1636</v>
      </c>
      <c r="J693" s="659" t="s">
        <v>1338</v>
      </c>
      <c r="K693" s="662" t="str">
        <f t="shared" si="54"/>
        <v>ATP</v>
      </c>
      <c r="L693" s="660" t="str">
        <f t="shared" si="55"/>
        <v>HR</v>
      </c>
      <c r="M693" s="660" t="str">
        <f t="shared" si="56"/>
        <v>UC</v>
      </c>
      <c r="N693" s="660" t="str">
        <f t="shared" si="57"/>
        <v>BYOL</v>
      </c>
      <c r="O693" s="659" t="str">
        <f t="shared" si="58"/>
        <v/>
      </c>
    </row>
    <row r="694" spans="1:15">
      <c r="A694" t="s">
        <v>2608</v>
      </c>
      <c r="B694" t="s">
        <v>2609</v>
      </c>
      <c r="C694">
        <v>0</v>
      </c>
      <c r="D694">
        <v>0.3226</v>
      </c>
      <c r="E694" t="s">
        <v>49</v>
      </c>
      <c r="F694" t="s">
        <v>2290</v>
      </c>
      <c r="G694" s="659" t="s">
        <v>1836</v>
      </c>
      <c r="H694" s="659" t="s">
        <v>2161</v>
      </c>
      <c r="I694" s="659" t="s">
        <v>1636</v>
      </c>
      <c r="J694" s="659" t="s">
        <v>1338</v>
      </c>
      <c r="K694" s="662" t="str">
        <f t="shared" si="54"/>
        <v>ADW</v>
      </c>
      <c r="L694" s="660" t="str">
        <f t="shared" si="55"/>
        <v>HR</v>
      </c>
      <c r="M694" s="660" t="str">
        <f t="shared" si="56"/>
        <v>UC</v>
      </c>
      <c r="N694" s="660" t="str">
        <f t="shared" si="57"/>
        <v>BYOL</v>
      </c>
      <c r="O694" s="659" t="str">
        <f t="shared" si="58"/>
        <v/>
      </c>
    </row>
    <row r="695" spans="1:15">
      <c r="A695" t="s">
        <v>2610</v>
      </c>
      <c r="B695" t="s">
        <v>2611</v>
      </c>
      <c r="C695">
        <v>0</v>
      </c>
      <c r="D695">
        <v>0.3226</v>
      </c>
      <c r="E695" t="s">
        <v>49</v>
      </c>
      <c r="F695" t="s">
        <v>2290</v>
      </c>
      <c r="G695" s="659" t="s">
        <v>2309</v>
      </c>
      <c r="H695" s="659" t="s">
        <v>2161</v>
      </c>
      <c r="I695" s="659" t="s">
        <v>1636</v>
      </c>
      <c r="J695" s="659" t="s">
        <v>2159</v>
      </c>
      <c r="K695" s="662" t="str">
        <f t="shared" si="54"/>
        <v>DBaaS</v>
      </c>
      <c r="L695" s="660" t="str">
        <f t="shared" si="55"/>
        <v>HR</v>
      </c>
      <c r="M695" s="660" t="str">
        <f t="shared" si="56"/>
        <v>UC</v>
      </c>
      <c r="N695" s="660" t="str">
        <f t="shared" si="57"/>
        <v>PAAS</v>
      </c>
      <c r="O695" s="659" t="str">
        <f t="shared" si="58"/>
        <v/>
      </c>
    </row>
    <row r="696" spans="1:15">
      <c r="A696" t="s">
        <v>2570</v>
      </c>
      <c r="B696" t="s">
        <v>2571</v>
      </c>
      <c r="C696">
        <v>0.3226</v>
      </c>
      <c r="D696">
        <v>0.3226</v>
      </c>
      <c r="E696" t="s">
        <v>49</v>
      </c>
      <c r="F696" t="s">
        <v>2290</v>
      </c>
      <c r="G696" s="659" t="s">
        <v>2309</v>
      </c>
      <c r="H696" s="659" t="s">
        <v>2161</v>
      </c>
      <c r="I696" s="659" t="s">
        <v>1636</v>
      </c>
      <c r="J696" s="659" t="s">
        <v>2159</v>
      </c>
      <c r="K696" s="662" t="str">
        <f t="shared" si="54"/>
        <v>DBaaS</v>
      </c>
      <c r="L696" s="660" t="str">
        <f t="shared" si="55"/>
        <v>HR</v>
      </c>
      <c r="M696" s="660" t="str">
        <f t="shared" si="56"/>
        <v>UC</v>
      </c>
      <c r="N696" s="660" t="str">
        <f t="shared" si="57"/>
        <v>PAAS</v>
      </c>
      <c r="O696" s="659" t="str">
        <f t="shared" si="58"/>
        <v/>
      </c>
    </row>
    <row r="697" spans="1:15">
      <c r="A697" t="s">
        <v>2275</v>
      </c>
      <c r="B697" t="s">
        <v>3104</v>
      </c>
      <c r="C697">
        <v>240</v>
      </c>
      <c r="D697">
        <v>240</v>
      </c>
      <c r="E697" t="s">
        <v>2277</v>
      </c>
      <c r="F697" t="s">
        <v>2290</v>
      </c>
      <c r="G697" s="659" t="s">
        <v>2392</v>
      </c>
      <c r="H697" s="659" t="s">
        <v>2394</v>
      </c>
      <c r="I697" s="659" t="s">
        <v>1636</v>
      </c>
      <c r="J697" s="659" t="s">
        <v>2159</v>
      </c>
      <c r="K697" s="662" t="str">
        <f t="shared" si="54"/>
        <v>Platform</v>
      </c>
      <c r="L697" s="660" t="str">
        <f t="shared" si="55"/>
        <v>UNIT</v>
      </c>
      <c r="M697" s="660" t="str">
        <f t="shared" si="56"/>
        <v>UC</v>
      </c>
      <c r="N697" s="660" t="str">
        <f t="shared" si="57"/>
        <v>PAAS</v>
      </c>
      <c r="O697" s="659" t="str">
        <f t="shared" si="58"/>
        <v/>
      </c>
    </row>
    <row r="698" spans="1:15">
      <c r="A698" t="s">
        <v>2278</v>
      </c>
      <c r="B698" t="s">
        <v>3105</v>
      </c>
      <c r="C698">
        <v>0</v>
      </c>
      <c r="D698">
        <v>240</v>
      </c>
      <c r="E698" t="s">
        <v>2277</v>
      </c>
      <c r="F698" t="s">
        <v>2290</v>
      </c>
      <c r="G698" s="659" t="s">
        <v>2392</v>
      </c>
      <c r="H698" s="659" t="s">
        <v>2394</v>
      </c>
      <c r="I698" s="659" t="s">
        <v>1636</v>
      </c>
      <c r="J698" s="659" t="s">
        <v>2159</v>
      </c>
      <c r="K698" s="662" t="str">
        <f t="shared" si="54"/>
        <v>Platform</v>
      </c>
      <c r="L698" s="660" t="str">
        <f t="shared" si="55"/>
        <v>UNIT</v>
      </c>
      <c r="M698" s="660" t="str">
        <f t="shared" si="56"/>
        <v>UC</v>
      </c>
      <c r="N698" s="660" t="str">
        <f t="shared" si="57"/>
        <v>PAAS</v>
      </c>
      <c r="O698" s="659" t="str">
        <f t="shared" si="58"/>
        <v/>
      </c>
    </row>
    <row r="699" spans="1:15">
      <c r="A699" t="s">
        <v>2542</v>
      </c>
      <c r="B699" t="s">
        <v>3120</v>
      </c>
      <c r="C699">
        <v>0</v>
      </c>
      <c r="D699">
        <v>4500</v>
      </c>
      <c r="E699" t="s">
        <v>1154</v>
      </c>
      <c r="F699" t="s">
        <v>2290</v>
      </c>
      <c r="G699" s="659" t="s">
        <v>2392</v>
      </c>
      <c r="H699" s="659" t="s">
        <v>2397</v>
      </c>
      <c r="I699" s="659" t="s">
        <v>1636</v>
      </c>
      <c r="J699" s="659" t="s">
        <v>2159</v>
      </c>
      <c r="K699" s="662" t="str">
        <f t="shared" si="54"/>
        <v>Platform</v>
      </c>
      <c r="L699" s="660" t="str">
        <f t="shared" si="55"/>
        <v>EA</v>
      </c>
      <c r="M699" s="660" t="str">
        <f t="shared" si="56"/>
        <v>UC</v>
      </c>
      <c r="N699" s="660" t="str">
        <f t="shared" si="57"/>
        <v>PAAS</v>
      </c>
      <c r="O699" s="659" t="str">
        <f t="shared" si="58"/>
        <v/>
      </c>
    </row>
    <row r="700" spans="1:15">
      <c r="A700" t="s">
        <v>2543</v>
      </c>
      <c r="B700" t="s">
        <v>3121</v>
      </c>
      <c r="C700">
        <v>0</v>
      </c>
      <c r="D700">
        <v>3375</v>
      </c>
      <c r="E700" t="s">
        <v>1154</v>
      </c>
      <c r="F700" t="s">
        <v>2290</v>
      </c>
      <c r="G700" s="659" t="s">
        <v>2160</v>
      </c>
      <c r="H700" s="659" t="s">
        <v>2397</v>
      </c>
      <c r="I700" s="659" t="s">
        <v>2160</v>
      </c>
      <c r="J700" s="659" t="s">
        <v>2160</v>
      </c>
      <c r="K700" s="662" t="str">
        <f t="shared" si="54"/>
        <v>CC</v>
      </c>
      <c r="L700" s="660" t="str">
        <f t="shared" si="55"/>
        <v>EA</v>
      </c>
      <c r="M700" s="660" t="str">
        <f t="shared" si="56"/>
        <v>CC</v>
      </c>
      <c r="N700" s="660" t="str">
        <f t="shared" si="57"/>
        <v>CC</v>
      </c>
      <c r="O700" s="659" t="str">
        <f t="shared" si="58"/>
        <v/>
      </c>
    </row>
    <row r="701" spans="1:15">
      <c r="A701" t="s">
        <v>2544</v>
      </c>
      <c r="B701" t="s">
        <v>3122</v>
      </c>
      <c r="C701">
        <v>0</v>
      </c>
      <c r="D701">
        <v>3375</v>
      </c>
      <c r="E701" t="s">
        <v>1154</v>
      </c>
      <c r="F701" t="s">
        <v>2290</v>
      </c>
      <c r="G701" s="659" t="s">
        <v>2160</v>
      </c>
      <c r="H701" s="659" t="s">
        <v>2397</v>
      </c>
      <c r="I701" s="659" t="s">
        <v>2160</v>
      </c>
      <c r="J701" s="659" t="s">
        <v>2160</v>
      </c>
      <c r="K701" s="662" t="str">
        <f t="shared" si="54"/>
        <v>CC</v>
      </c>
      <c r="L701" s="660" t="str">
        <f t="shared" si="55"/>
        <v>EA</v>
      </c>
      <c r="M701" s="660" t="str">
        <f t="shared" si="56"/>
        <v>CC</v>
      </c>
      <c r="N701" s="660" t="str">
        <f t="shared" si="57"/>
        <v>CC</v>
      </c>
      <c r="O701" s="659" t="str">
        <f t="shared" si="58"/>
        <v/>
      </c>
    </row>
    <row r="702" spans="1:15">
      <c r="A702" t="s">
        <v>2436</v>
      </c>
      <c r="B702" t="s">
        <v>2437</v>
      </c>
      <c r="C702">
        <v>0.215</v>
      </c>
      <c r="D702">
        <v>0.215</v>
      </c>
      <c r="E702" t="s">
        <v>49</v>
      </c>
      <c r="F702" t="s">
        <v>2290</v>
      </c>
      <c r="G702" s="659" t="s">
        <v>2392</v>
      </c>
      <c r="H702" s="659" t="s">
        <v>2161</v>
      </c>
      <c r="I702" s="659" t="s">
        <v>1636</v>
      </c>
      <c r="J702" s="659" t="s">
        <v>2159</v>
      </c>
      <c r="K702" s="662" t="str">
        <f t="shared" si="54"/>
        <v>Platform</v>
      </c>
      <c r="L702" s="660" t="str">
        <f t="shared" si="55"/>
        <v>HR</v>
      </c>
      <c r="M702" s="660" t="str">
        <f t="shared" si="56"/>
        <v>UC</v>
      </c>
      <c r="N702" s="660" t="str">
        <f t="shared" si="57"/>
        <v>PAAS</v>
      </c>
      <c r="O702" s="659" t="str">
        <f t="shared" si="58"/>
        <v/>
      </c>
    </row>
    <row r="703" spans="1:15">
      <c r="A703" t="s">
        <v>2438</v>
      </c>
      <c r="B703" t="s">
        <v>2439</v>
      </c>
      <c r="C703">
        <v>0.43009999999999998</v>
      </c>
      <c r="D703">
        <v>0.43009999999999998</v>
      </c>
      <c r="E703" t="s">
        <v>49</v>
      </c>
      <c r="F703" t="s">
        <v>2290</v>
      </c>
      <c r="G703" s="659" t="s">
        <v>2392</v>
      </c>
      <c r="H703" s="659" t="s">
        <v>2161</v>
      </c>
      <c r="I703" s="659" t="s">
        <v>1636</v>
      </c>
      <c r="J703" s="659" t="s">
        <v>2159</v>
      </c>
      <c r="K703" s="662" t="str">
        <f t="shared" si="54"/>
        <v>Platform</v>
      </c>
      <c r="L703" s="660" t="str">
        <f t="shared" si="55"/>
        <v>HR</v>
      </c>
      <c r="M703" s="660" t="str">
        <f t="shared" si="56"/>
        <v>UC</v>
      </c>
      <c r="N703" s="660" t="str">
        <f t="shared" si="57"/>
        <v>PAAS</v>
      </c>
      <c r="O703" s="659" t="str">
        <f t="shared" si="58"/>
        <v/>
      </c>
    </row>
    <row r="704" spans="1:15">
      <c r="A704" t="s">
        <v>2440</v>
      </c>
      <c r="B704" t="s">
        <v>2441</v>
      </c>
      <c r="C704">
        <v>70.400000000000006</v>
      </c>
      <c r="D704">
        <v>70.400000000000006</v>
      </c>
      <c r="E704" t="s">
        <v>2209</v>
      </c>
      <c r="F704" t="s">
        <v>2290</v>
      </c>
      <c r="G704" s="659" t="s">
        <v>1840</v>
      </c>
      <c r="H704" s="659" t="s">
        <v>2401</v>
      </c>
      <c r="I704" s="659" t="s">
        <v>1636</v>
      </c>
      <c r="J704" s="659" t="s">
        <v>2158</v>
      </c>
      <c r="K704" s="662" t="str">
        <f t="shared" si="54"/>
        <v>Storage</v>
      </c>
      <c r="L704" s="660" t="str">
        <f t="shared" si="55"/>
        <v>TB</v>
      </c>
      <c r="M704" s="660" t="str">
        <f t="shared" si="56"/>
        <v>UC</v>
      </c>
      <c r="N704" s="660" t="str">
        <f t="shared" si="57"/>
        <v>IAAS</v>
      </c>
      <c r="O704" s="659" t="str">
        <f t="shared" si="58"/>
        <v/>
      </c>
    </row>
    <row r="705" spans="1:15">
      <c r="A705" t="s">
        <v>2442</v>
      </c>
      <c r="B705" t="s">
        <v>2443</v>
      </c>
      <c r="C705">
        <v>0.3226</v>
      </c>
      <c r="D705">
        <v>0.3226</v>
      </c>
      <c r="E705" t="s">
        <v>49</v>
      </c>
      <c r="F705" t="s">
        <v>2290</v>
      </c>
      <c r="G705" s="659" t="s">
        <v>2392</v>
      </c>
      <c r="H705" s="659" t="s">
        <v>2161</v>
      </c>
      <c r="I705" s="659" t="s">
        <v>1636</v>
      </c>
      <c r="J705" s="659" t="s">
        <v>1338</v>
      </c>
      <c r="K705" s="662" t="str">
        <f t="shared" si="54"/>
        <v>Platform</v>
      </c>
      <c r="L705" s="660" t="str">
        <f t="shared" si="55"/>
        <v>HR</v>
      </c>
      <c r="M705" s="660" t="str">
        <f t="shared" si="56"/>
        <v>UC</v>
      </c>
      <c r="N705" s="660" t="str">
        <f t="shared" si="57"/>
        <v>BYOL</v>
      </c>
      <c r="O705" s="659" t="str">
        <f t="shared" si="58"/>
        <v/>
      </c>
    </row>
    <row r="706" spans="1:15">
      <c r="A706" t="s">
        <v>2280</v>
      </c>
      <c r="B706" t="s">
        <v>2281</v>
      </c>
      <c r="C706">
        <v>2.5000000000000001E-2</v>
      </c>
      <c r="D706">
        <v>2.5000000000000001E-2</v>
      </c>
      <c r="E706" t="s">
        <v>49</v>
      </c>
      <c r="F706" t="s">
        <v>2290</v>
      </c>
      <c r="G706" s="659" t="s">
        <v>1835</v>
      </c>
      <c r="H706" s="659" t="s">
        <v>2161</v>
      </c>
      <c r="I706" s="659" t="s">
        <v>1636</v>
      </c>
      <c r="J706" s="659" t="s">
        <v>2158</v>
      </c>
      <c r="K706" s="662" t="str">
        <f t="shared" si="54"/>
        <v>Compute</v>
      </c>
      <c r="L706" s="660" t="str">
        <f t="shared" si="55"/>
        <v>HR</v>
      </c>
      <c r="M706" s="660" t="str">
        <f t="shared" si="56"/>
        <v>UC</v>
      </c>
      <c r="N706" s="660" t="str">
        <f t="shared" si="57"/>
        <v>IAAS</v>
      </c>
      <c r="O706" s="659" t="str">
        <f t="shared" si="58"/>
        <v/>
      </c>
    </row>
    <row r="707" spans="1:15">
      <c r="A707" t="s">
        <v>2282</v>
      </c>
      <c r="B707" t="s">
        <v>2283</v>
      </c>
      <c r="C707">
        <v>1.5E-3</v>
      </c>
      <c r="D707">
        <v>1.5E-3</v>
      </c>
      <c r="E707" t="s">
        <v>2294</v>
      </c>
      <c r="F707" t="s">
        <v>2290</v>
      </c>
      <c r="G707" s="659" t="s">
        <v>1835</v>
      </c>
      <c r="H707" s="659" t="s">
        <v>2161</v>
      </c>
      <c r="I707" s="659" t="s">
        <v>1636</v>
      </c>
      <c r="J707" s="659" t="s">
        <v>2158</v>
      </c>
      <c r="K707" s="662" t="str">
        <f t="shared" si="54"/>
        <v>Compute</v>
      </c>
      <c r="L707" s="660" t="str">
        <f t="shared" si="55"/>
        <v>HR</v>
      </c>
      <c r="M707" s="660" t="str">
        <f t="shared" si="56"/>
        <v>UC</v>
      </c>
      <c r="N707" s="660" t="str">
        <f t="shared" si="57"/>
        <v>IAAS</v>
      </c>
      <c r="O707" s="659" t="str">
        <f t="shared" si="58"/>
        <v/>
      </c>
    </row>
    <row r="708" spans="1:15">
      <c r="A708" t="s">
        <v>2612</v>
      </c>
      <c r="B708" t="s">
        <v>2613</v>
      </c>
      <c r="C708">
        <v>0</v>
      </c>
      <c r="D708">
        <v>0.215</v>
      </c>
      <c r="E708" t="s">
        <v>49</v>
      </c>
      <c r="F708" t="s">
        <v>2290</v>
      </c>
      <c r="G708" s="659" t="s">
        <v>2400</v>
      </c>
      <c r="H708" s="659" t="s">
        <v>2161</v>
      </c>
      <c r="I708" s="659" t="s">
        <v>1636</v>
      </c>
      <c r="J708" s="659" t="s">
        <v>2159</v>
      </c>
      <c r="K708" s="662" t="str">
        <f t="shared" ref="K708:K771" si="59">_xlfn.IFS(
ISNUMBER(SEARCH("Day",E708)),"Consulting",
ISNUMBER(SEARCH("Starter Pack",B708)),"Consulting",
ISNUMBER(SEARCH("Design",B708)),"Consulting",
ISNUMBER(SEARCH("Deploy",B708)),"Consulting",
ISNUMBER(SEARCH("Expert",B708)),"Consulting",
ISNUMBER(SEARCH("Installation",B708)),"Consulting",
ISNUMBER(SEARCH("Recommendation",B708)),"Consulting",
ISNUMBER(SEARCH("Transition",B708)),"Consulting",
ISNUMBER(SEARCH("Transition",B708)),"Support",
ISNUMBER(SEARCH("Transition",B708)),"Foundation Service",
ISNUMBER(SEARCH("Consulting",B708)),"Consulting",
ISNUMBER(SEARCH("in Advance",B708)),"New",
ISNUMBER(SEARCH("Universal Credits",B708)),"UC",
ISNUMBER(SEARCH("Ravello",B708)),"Deprecated",
ISNUMBER(SEARCH("Cloud Machine",B708)),"Deprecated",
ISNUMBER(SEARCH("Compute",B708)),"Compute",
ISNUMBER(SEARCH("Load Balancer",B708)),"Network",
ISNUMBER(SEARCH("FastConnect",B708)),"Network",
ISNUMBER(SEARCH("Database OCPU",B708)),"CC OCPU",
ISNUMBER(SEARCH("at Customer",B708)),"CC",
ISNUMBER(SEARCH("Cloud@Customer",B708)),"CC",
ISNUMBER(SEARCH("Exadata Storage",B708)),"Exa Storage",
ISNUMBER(SEARCH("Storage",B708)),"Storage",
ISNUMBER(SEARCH("Block ",B708)),"Storage",
ISNUMBER(SEARCH("Autonomous Data Warehouse",B708)),"ADW",
ISNUMBER(SEARCH("Autonomous Transaction Processing",B708)),"ATP",
ISNUMBER(SEARCH("Database Exadata",B708)),"ExaCS",
ISNUMBER(SEARCH("Database",B708)),"DBaaS",
ISNUMBER(SEARCH("Essbase",B708)),"DBaaS",
ISNUMBER(SEARCH("integration",B708)),"Integration",
ISNUMBER(SEARCH("SOA",B708)),"Integration",
ISNUMBER(SEARCH("Management Cloud",B708)),"Management",
ISNUMBER(SEARCH("Analytics",B708)),"Analytics",
ISNUMBER(SEARCH("Storage",B708)),"Storage",
ISNUMBER(SEARCH("Block ",B708)),"Storage",
ISNUMBER(SEARCH("Identity",B708)),"Platform",
ISNUMBER(SEARCH("Content",B708)),"Platform",
ISNUMBER(SEARCH("Weblogic",B708)),"Platform",
ISNUMBER(SEARCH("Digital Assistant",B708)),"Platform",
ISNUMBER(SEARCH("Limited",B708)),"Classic",
ISNUMBER(SEARCH("Classic",B708)),"Classic",
ISNUMBER(SEARCH("Government",B708)),"Government",
ISNUMBER(SEARCH("Metered",B708)),"Deprecated",
VALUE(RIGHT(A708,5))&lt;88206,"Deprecated",
TRUE,"Platform")</f>
        <v>Government</v>
      </c>
      <c r="L708" s="660" t="str">
        <f t="shared" si="55"/>
        <v>HR</v>
      </c>
      <c r="M708" s="660" t="str">
        <f t="shared" si="56"/>
        <v>UC</v>
      </c>
      <c r="N708" s="660" t="str">
        <f t="shared" si="57"/>
        <v>PAAS</v>
      </c>
      <c r="O708" s="659" t="str">
        <f t="shared" si="58"/>
        <v/>
      </c>
    </row>
    <row r="709" spans="1:15">
      <c r="A709" t="s">
        <v>2614</v>
      </c>
      <c r="B709" t="s">
        <v>2615</v>
      </c>
      <c r="C709">
        <v>0</v>
      </c>
      <c r="D709">
        <v>0.43009999999999998</v>
      </c>
      <c r="E709" t="s">
        <v>49</v>
      </c>
      <c r="F709" t="s">
        <v>2290</v>
      </c>
      <c r="G709" s="659" t="s">
        <v>2400</v>
      </c>
      <c r="H709" s="659" t="s">
        <v>2161</v>
      </c>
      <c r="I709" s="659" t="s">
        <v>1636</v>
      </c>
      <c r="J709" s="659" t="s">
        <v>2159</v>
      </c>
      <c r="K709" s="662" t="str">
        <f t="shared" si="59"/>
        <v>Government</v>
      </c>
      <c r="L709" s="660" t="str">
        <f t="shared" si="55"/>
        <v>HR</v>
      </c>
      <c r="M709" s="660" t="str">
        <f t="shared" si="56"/>
        <v>UC</v>
      </c>
      <c r="N709" s="660" t="str">
        <f t="shared" si="57"/>
        <v>PAAS</v>
      </c>
      <c r="O709" s="659" t="str">
        <f t="shared" si="58"/>
        <v/>
      </c>
    </row>
    <row r="710" spans="1:15">
      <c r="A710" t="s">
        <v>2616</v>
      </c>
      <c r="B710" t="s">
        <v>2617</v>
      </c>
      <c r="C710">
        <v>0</v>
      </c>
      <c r="D710">
        <v>70.400000000000006</v>
      </c>
      <c r="E710" t="s">
        <v>2209</v>
      </c>
      <c r="F710" t="s">
        <v>2290</v>
      </c>
      <c r="G710" s="659" t="s">
        <v>1840</v>
      </c>
      <c r="H710" s="659" t="s">
        <v>2401</v>
      </c>
      <c r="I710" s="659" t="s">
        <v>1636</v>
      </c>
      <c r="J710" s="659" t="s">
        <v>2158</v>
      </c>
      <c r="K710" s="662" t="str">
        <f t="shared" si="59"/>
        <v>Storage</v>
      </c>
      <c r="L710" s="660" t="str">
        <f t="shared" si="55"/>
        <v>TB</v>
      </c>
      <c r="M710" s="660" t="str">
        <f t="shared" si="56"/>
        <v>UC</v>
      </c>
      <c r="N710" s="660" t="str">
        <f t="shared" si="57"/>
        <v>IAAS</v>
      </c>
      <c r="O710" s="659" t="str">
        <f t="shared" si="58"/>
        <v/>
      </c>
    </row>
    <row r="711" spans="1:15">
      <c r="A711" t="s">
        <v>2153</v>
      </c>
      <c r="B711" t="s">
        <v>2154</v>
      </c>
      <c r="C711">
        <v>1.3129</v>
      </c>
      <c r="D711">
        <v>1.3129</v>
      </c>
      <c r="E711" t="s">
        <v>49</v>
      </c>
      <c r="F711" t="s">
        <v>2290</v>
      </c>
      <c r="G711" s="659" t="s">
        <v>2309</v>
      </c>
      <c r="H711" s="659" t="s">
        <v>2161</v>
      </c>
      <c r="I711" s="659" t="s">
        <v>1636</v>
      </c>
      <c r="J711" s="659" t="s">
        <v>2159</v>
      </c>
      <c r="K711" s="662" t="str">
        <f t="shared" si="59"/>
        <v>DBaaS</v>
      </c>
      <c r="L711" s="660" t="str">
        <f t="shared" si="55"/>
        <v>HR</v>
      </c>
      <c r="M711" s="660" t="str">
        <f t="shared" si="56"/>
        <v>UC</v>
      </c>
      <c r="N711" s="660" t="str">
        <f t="shared" si="57"/>
        <v>PAAS</v>
      </c>
      <c r="O711" s="659" t="str">
        <f t="shared" si="58"/>
        <v/>
      </c>
    </row>
    <row r="712" spans="1:15">
      <c r="A712" t="s">
        <v>2356</v>
      </c>
      <c r="B712" t="s">
        <v>2357</v>
      </c>
      <c r="C712">
        <v>0</v>
      </c>
      <c r="D712">
        <v>2.5000000000000001E-2</v>
      </c>
      <c r="E712" t="s">
        <v>49</v>
      </c>
      <c r="F712" t="s">
        <v>2290</v>
      </c>
      <c r="G712" s="659" t="s">
        <v>1835</v>
      </c>
      <c r="H712" s="659" t="s">
        <v>2161</v>
      </c>
      <c r="I712" s="659" t="s">
        <v>1636</v>
      </c>
      <c r="J712" s="659" t="s">
        <v>2158</v>
      </c>
      <c r="K712" s="662" t="str">
        <f t="shared" si="59"/>
        <v>Compute</v>
      </c>
      <c r="L712" s="660" t="str">
        <f t="shared" si="55"/>
        <v>HR</v>
      </c>
      <c r="M712" s="660" t="str">
        <f t="shared" si="56"/>
        <v>UC</v>
      </c>
      <c r="N712" s="660" t="str">
        <f t="shared" si="57"/>
        <v>IAAS</v>
      </c>
      <c r="O712" s="659" t="str">
        <f t="shared" si="58"/>
        <v/>
      </c>
    </row>
    <row r="713" spans="1:15">
      <c r="A713" t="s">
        <v>2358</v>
      </c>
      <c r="B713" t="s">
        <v>2359</v>
      </c>
      <c r="C713">
        <v>0</v>
      </c>
      <c r="D713">
        <v>1.5E-3</v>
      </c>
      <c r="E713" t="s">
        <v>2294</v>
      </c>
      <c r="F713" t="s">
        <v>2290</v>
      </c>
      <c r="G713" s="659" t="s">
        <v>1835</v>
      </c>
      <c r="H713" s="659" t="s">
        <v>2161</v>
      </c>
      <c r="I713" s="659" t="s">
        <v>1636</v>
      </c>
      <c r="J713" s="659" t="s">
        <v>2158</v>
      </c>
      <c r="K713" s="662" t="str">
        <f t="shared" si="59"/>
        <v>Compute</v>
      </c>
      <c r="L713" s="660" t="str">
        <f t="shared" si="55"/>
        <v>HR</v>
      </c>
      <c r="M713" s="660" t="str">
        <f t="shared" si="56"/>
        <v>UC</v>
      </c>
      <c r="N713" s="660" t="str">
        <f t="shared" si="57"/>
        <v>IAAS</v>
      </c>
      <c r="O713" s="659" t="str">
        <f t="shared" si="58"/>
        <v/>
      </c>
    </row>
    <row r="714" spans="1:15">
      <c r="A714" t="s">
        <v>2625</v>
      </c>
      <c r="B714" t="s">
        <v>2662</v>
      </c>
      <c r="C714">
        <v>14.5162</v>
      </c>
      <c r="D714">
        <v>14.5162</v>
      </c>
      <c r="E714" t="s">
        <v>2192</v>
      </c>
      <c r="F714" t="s">
        <v>2290</v>
      </c>
      <c r="G714" s="659" t="s">
        <v>1838</v>
      </c>
      <c r="H714" s="659" t="s">
        <v>2161</v>
      </c>
      <c r="I714" s="659" t="s">
        <v>1636</v>
      </c>
      <c r="J714" s="659" t="s">
        <v>2159</v>
      </c>
      <c r="K714" s="662" t="str">
        <f t="shared" si="59"/>
        <v>ExaCS</v>
      </c>
      <c r="L714" s="660" t="str">
        <f t="shared" si="55"/>
        <v>HR</v>
      </c>
      <c r="M714" s="660" t="str">
        <f t="shared" si="56"/>
        <v>UC</v>
      </c>
      <c r="N714" s="660" t="str">
        <f t="shared" si="57"/>
        <v>PAAS</v>
      </c>
      <c r="O714" s="659" t="str">
        <f t="shared" si="58"/>
        <v/>
      </c>
    </row>
    <row r="715" spans="1:15">
      <c r="A715" t="s">
        <v>2623</v>
      </c>
      <c r="B715" t="s">
        <v>2663</v>
      </c>
      <c r="C715">
        <v>2.9032</v>
      </c>
      <c r="D715">
        <v>2.9032</v>
      </c>
      <c r="E715" t="s">
        <v>2192</v>
      </c>
      <c r="F715" t="s">
        <v>2290</v>
      </c>
      <c r="G715" s="659" t="s">
        <v>1838</v>
      </c>
      <c r="H715" s="659" t="s">
        <v>2161</v>
      </c>
      <c r="I715" s="659" t="s">
        <v>1636</v>
      </c>
      <c r="J715" s="659" t="s">
        <v>2159</v>
      </c>
      <c r="K715" s="662" t="str">
        <f t="shared" si="59"/>
        <v>ExaCS</v>
      </c>
      <c r="L715" s="660" t="str">
        <f t="shared" ref="L715:L778" si="60">_xlfn.IFS(ISNUMBER(SEARCH("Hour",E715)),"HR",ISNUMBER(SEARCH("Gigabyte",E715)),"GB",ISNUMBER(SEARCH("Terabyte",E715)),"TB",ISNUMBER(SEARCH("Requests",E715)),"REQ",ISNUMBER(SEARCH("Each",E715)),"EA",ISNUMBER(SEARCH("Day",E715)),"DAY","TRUE","UNIT")</f>
        <v>HR</v>
      </c>
      <c r="M715" s="660" t="str">
        <f t="shared" ref="M715:M778" si="61">_xlfn.IFS(K715="CC","CC",K715="Consulting","SRV",F715="Y","UC0",TRUE,"UC")</f>
        <v>UC</v>
      </c>
      <c r="N715" s="660" t="str">
        <f t="shared" ref="N715:N778" si="62">_xlfn.IFS(ISNUMBER(SEARCH("BYOL",B715)),"BYOL",K715="Storage","IAAS",K715="Compute","IAAS",K715="Network","IAAS",K715="Service","IAAS",M715="SRV","SRV",M715="CC","CC",L715="REQ","IAAS",TRUE,"PAAS")</f>
        <v>PAAS</v>
      </c>
      <c r="O715" s="659" t="str">
        <f t="shared" ref="O715:O778" si="63">IF(G715=K715,"","error")</f>
        <v/>
      </c>
    </row>
    <row r="716" spans="1:15">
      <c r="A716" t="s">
        <v>2624</v>
      </c>
      <c r="B716" t="s">
        <v>2664</v>
      </c>
      <c r="C716">
        <v>2.9032</v>
      </c>
      <c r="D716">
        <v>2.9032</v>
      </c>
      <c r="E716" t="s">
        <v>2192</v>
      </c>
      <c r="F716" t="s">
        <v>2290</v>
      </c>
      <c r="G716" s="659" t="s">
        <v>1840</v>
      </c>
      <c r="H716" s="659" t="s">
        <v>2161</v>
      </c>
      <c r="I716" s="659" t="s">
        <v>1636</v>
      </c>
      <c r="J716" s="659" t="s">
        <v>2158</v>
      </c>
      <c r="K716" s="662" t="str">
        <f t="shared" si="59"/>
        <v>Storage</v>
      </c>
      <c r="L716" s="660" t="str">
        <f t="shared" si="60"/>
        <v>HR</v>
      </c>
      <c r="M716" s="660" t="str">
        <f t="shared" si="61"/>
        <v>UC</v>
      </c>
      <c r="N716" s="660" t="str">
        <f t="shared" si="62"/>
        <v>IAAS</v>
      </c>
      <c r="O716" s="659" t="str">
        <f t="shared" si="63"/>
        <v/>
      </c>
    </row>
    <row r="717" spans="1:15">
      <c r="A717" t="s">
        <v>2665</v>
      </c>
      <c r="B717" t="s">
        <v>3156</v>
      </c>
      <c r="C717">
        <v>0</v>
      </c>
      <c r="D717">
        <v>10800</v>
      </c>
      <c r="E717" t="s">
        <v>2178</v>
      </c>
      <c r="F717" t="s">
        <v>2290</v>
      </c>
      <c r="G717" s="659" t="s">
        <v>1838</v>
      </c>
      <c r="H717" s="659" t="s">
        <v>2394</v>
      </c>
      <c r="I717" s="659" t="s">
        <v>1636</v>
      </c>
      <c r="J717" s="659" t="s">
        <v>2159</v>
      </c>
      <c r="K717" s="662" t="str">
        <f t="shared" si="59"/>
        <v>ExaCS</v>
      </c>
      <c r="L717" s="660" t="str">
        <f t="shared" si="60"/>
        <v>UNIT</v>
      </c>
      <c r="M717" s="660" t="str">
        <f t="shared" si="61"/>
        <v>UC</v>
      </c>
      <c r="N717" s="660" t="str">
        <f t="shared" si="62"/>
        <v>PAAS</v>
      </c>
      <c r="O717" s="659" t="str">
        <f t="shared" si="63"/>
        <v/>
      </c>
    </row>
    <row r="718" spans="1:15">
      <c r="A718" t="s">
        <v>2666</v>
      </c>
      <c r="B718" t="s">
        <v>2667</v>
      </c>
      <c r="C718">
        <v>2160</v>
      </c>
      <c r="D718">
        <v>2160</v>
      </c>
      <c r="E718" t="s">
        <v>2178</v>
      </c>
      <c r="F718" t="s">
        <v>2290</v>
      </c>
      <c r="G718" s="659" t="s">
        <v>1838</v>
      </c>
      <c r="H718" s="659" t="s">
        <v>2394</v>
      </c>
      <c r="I718" s="659" t="s">
        <v>1636</v>
      </c>
      <c r="J718" s="659" t="s">
        <v>2159</v>
      </c>
      <c r="K718" s="662" t="str">
        <f t="shared" si="59"/>
        <v>ExaCS</v>
      </c>
      <c r="L718" s="660" t="str">
        <f t="shared" si="60"/>
        <v>UNIT</v>
      </c>
      <c r="M718" s="660" t="str">
        <f t="shared" si="61"/>
        <v>UC</v>
      </c>
      <c r="N718" s="660" t="str">
        <f t="shared" si="62"/>
        <v>PAAS</v>
      </c>
      <c r="O718" s="659" t="str">
        <f t="shared" si="63"/>
        <v/>
      </c>
    </row>
    <row r="719" spans="1:15">
      <c r="A719" t="s">
        <v>2668</v>
      </c>
      <c r="B719" t="s">
        <v>2669</v>
      </c>
      <c r="C719">
        <v>2160</v>
      </c>
      <c r="D719">
        <v>2160</v>
      </c>
      <c r="E719" t="s">
        <v>2178</v>
      </c>
      <c r="F719" t="s">
        <v>2290</v>
      </c>
      <c r="G719" s="659" t="s">
        <v>1840</v>
      </c>
      <c r="H719" s="659" t="s">
        <v>2394</v>
      </c>
      <c r="I719" s="659" t="s">
        <v>1636</v>
      </c>
      <c r="J719" s="659" t="s">
        <v>2158</v>
      </c>
      <c r="K719" s="662" t="str">
        <f t="shared" si="59"/>
        <v>Storage</v>
      </c>
      <c r="L719" s="660" t="str">
        <f t="shared" si="60"/>
        <v>UNIT</v>
      </c>
      <c r="M719" s="660" t="str">
        <f t="shared" si="61"/>
        <v>UC</v>
      </c>
      <c r="N719" s="660" t="str">
        <f t="shared" si="62"/>
        <v>IAAS</v>
      </c>
      <c r="O719" s="659" t="str">
        <f t="shared" si="63"/>
        <v/>
      </c>
    </row>
    <row r="720" spans="1:15">
      <c r="A720" t="s">
        <v>2284</v>
      </c>
      <c r="B720" t="s">
        <v>2328</v>
      </c>
      <c r="C720" t="s">
        <v>133</v>
      </c>
      <c r="D720">
        <v>0.2031</v>
      </c>
      <c r="E720" t="s">
        <v>49</v>
      </c>
      <c r="F720" t="s">
        <v>588</v>
      </c>
      <c r="G720" s="659" t="s">
        <v>2392</v>
      </c>
      <c r="H720" s="659" t="s">
        <v>2394</v>
      </c>
      <c r="I720" s="659" t="s">
        <v>2398</v>
      </c>
      <c r="J720" s="659" t="s">
        <v>2159</v>
      </c>
      <c r="K720" s="662" t="str">
        <f t="shared" si="59"/>
        <v>Platform</v>
      </c>
      <c r="L720" s="660" t="str">
        <f t="shared" si="60"/>
        <v>HR</v>
      </c>
      <c r="M720" s="660" t="str">
        <f t="shared" si="61"/>
        <v>UC0</v>
      </c>
      <c r="N720" s="660" t="str">
        <f t="shared" si="62"/>
        <v>PAAS</v>
      </c>
      <c r="O720" s="659" t="str">
        <f t="shared" si="63"/>
        <v/>
      </c>
    </row>
    <row r="721" spans="1:15">
      <c r="A721" t="s">
        <v>2432</v>
      </c>
      <c r="B721" t="s">
        <v>2444</v>
      </c>
      <c r="C721">
        <v>0</v>
      </c>
      <c r="D721">
        <v>1.3411</v>
      </c>
      <c r="E721" t="s">
        <v>49</v>
      </c>
      <c r="F721" t="s">
        <v>2290</v>
      </c>
      <c r="G721" s="659" t="s">
        <v>2238</v>
      </c>
      <c r="H721" s="659" t="s">
        <v>2161</v>
      </c>
      <c r="I721" s="659" t="s">
        <v>1636</v>
      </c>
      <c r="J721" s="659" t="s">
        <v>2159</v>
      </c>
      <c r="K721" s="662" t="str">
        <f t="shared" si="59"/>
        <v>CC OCPU</v>
      </c>
      <c r="L721" s="660" t="str">
        <f t="shared" si="60"/>
        <v>HR</v>
      </c>
      <c r="M721" s="660" t="str">
        <f t="shared" si="61"/>
        <v>UC</v>
      </c>
      <c r="N721" s="660" t="str">
        <f t="shared" si="62"/>
        <v>PAAS</v>
      </c>
      <c r="O721" s="659" t="str">
        <f t="shared" si="63"/>
        <v/>
      </c>
    </row>
    <row r="722" spans="1:15">
      <c r="A722" t="s">
        <v>2433</v>
      </c>
      <c r="B722" t="s">
        <v>2445</v>
      </c>
      <c r="C722">
        <v>0</v>
      </c>
      <c r="D722">
        <v>0.3226</v>
      </c>
      <c r="E722" t="s">
        <v>49</v>
      </c>
      <c r="F722" t="s">
        <v>2290</v>
      </c>
      <c r="G722" s="659" t="s">
        <v>2238</v>
      </c>
      <c r="H722" s="659" t="s">
        <v>2161</v>
      </c>
      <c r="I722" s="659" t="s">
        <v>1636</v>
      </c>
      <c r="J722" s="659" t="s">
        <v>1338</v>
      </c>
      <c r="K722" s="662" t="str">
        <f t="shared" si="59"/>
        <v>CC OCPU</v>
      </c>
      <c r="L722" s="660" t="str">
        <f t="shared" si="60"/>
        <v>HR</v>
      </c>
      <c r="M722" s="660" t="str">
        <f t="shared" si="61"/>
        <v>UC</v>
      </c>
      <c r="N722" s="660" t="str">
        <f t="shared" si="62"/>
        <v>BYOL</v>
      </c>
      <c r="O722" s="659" t="str">
        <f t="shared" si="63"/>
        <v/>
      </c>
    </row>
    <row r="723" spans="1:15">
      <c r="A723" t="s">
        <v>2434</v>
      </c>
      <c r="B723" t="s">
        <v>2446</v>
      </c>
      <c r="C723">
        <v>0</v>
      </c>
      <c r="D723">
        <v>1.3411</v>
      </c>
      <c r="E723" t="s">
        <v>49</v>
      </c>
      <c r="F723" t="s">
        <v>2290</v>
      </c>
      <c r="G723" s="659" t="s">
        <v>2238</v>
      </c>
      <c r="H723" s="659" t="s">
        <v>2161</v>
      </c>
      <c r="I723" s="659" t="s">
        <v>1636</v>
      </c>
      <c r="J723" s="659" t="s">
        <v>2159</v>
      </c>
      <c r="K723" s="662" t="str">
        <f t="shared" si="59"/>
        <v>CC OCPU</v>
      </c>
      <c r="L723" s="660" t="str">
        <f t="shared" si="60"/>
        <v>HR</v>
      </c>
      <c r="M723" s="660" t="str">
        <f t="shared" si="61"/>
        <v>UC</v>
      </c>
      <c r="N723" s="660" t="str">
        <f t="shared" si="62"/>
        <v>PAAS</v>
      </c>
      <c r="O723" s="659" t="str">
        <f t="shared" si="63"/>
        <v/>
      </c>
    </row>
    <row r="724" spans="1:15">
      <c r="A724" t="s">
        <v>2435</v>
      </c>
      <c r="B724" t="s">
        <v>2447</v>
      </c>
      <c r="C724">
        <v>0</v>
      </c>
      <c r="D724">
        <v>0.3226</v>
      </c>
      <c r="E724" t="s">
        <v>49</v>
      </c>
      <c r="F724" t="s">
        <v>2290</v>
      </c>
      <c r="G724" s="659" t="s">
        <v>2238</v>
      </c>
      <c r="H724" s="659" t="s">
        <v>2161</v>
      </c>
      <c r="I724" s="659" t="s">
        <v>1636</v>
      </c>
      <c r="J724" s="659" t="s">
        <v>1338</v>
      </c>
      <c r="K724" s="662" t="str">
        <f t="shared" si="59"/>
        <v>CC OCPU</v>
      </c>
      <c r="L724" s="660" t="str">
        <f t="shared" si="60"/>
        <v>HR</v>
      </c>
      <c r="M724" s="660" t="str">
        <f t="shared" si="61"/>
        <v>UC</v>
      </c>
      <c r="N724" s="660" t="str">
        <f t="shared" si="62"/>
        <v>BYOL</v>
      </c>
      <c r="O724" s="659" t="str">
        <f t="shared" si="63"/>
        <v/>
      </c>
    </row>
    <row r="725" spans="1:15">
      <c r="A725" t="s">
        <v>2412</v>
      </c>
      <c r="B725" t="s">
        <v>2413</v>
      </c>
      <c r="C725">
        <v>0</v>
      </c>
      <c r="D725">
        <v>8000</v>
      </c>
      <c r="E725" t="s">
        <v>2178</v>
      </c>
      <c r="F725" t="s">
        <v>2290</v>
      </c>
      <c r="G725" s="659" t="s">
        <v>2160</v>
      </c>
      <c r="H725" s="659" t="s">
        <v>2394</v>
      </c>
      <c r="I725" s="659" t="s">
        <v>2160</v>
      </c>
      <c r="J725" s="659" t="s">
        <v>2160</v>
      </c>
      <c r="K725" s="662" t="str">
        <f t="shared" si="59"/>
        <v>CC</v>
      </c>
      <c r="L725" s="660" t="str">
        <f t="shared" si="60"/>
        <v>UNIT</v>
      </c>
      <c r="M725" s="660" t="str">
        <f t="shared" si="61"/>
        <v>CC</v>
      </c>
      <c r="N725" s="660" t="str">
        <f t="shared" si="62"/>
        <v>CC</v>
      </c>
      <c r="O725" s="659" t="str">
        <f t="shared" si="63"/>
        <v/>
      </c>
    </row>
    <row r="726" spans="1:15">
      <c r="A726" t="s">
        <v>2414</v>
      </c>
      <c r="B726" t="s">
        <v>2415</v>
      </c>
      <c r="C726">
        <v>0</v>
      </c>
      <c r="D726">
        <v>10800</v>
      </c>
      <c r="E726" t="s">
        <v>2178</v>
      </c>
      <c r="F726" t="s">
        <v>2290</v>
      </c>
      <c r="G726" s="659" t="s">
        <v>2160</v>
      </c>
      <c r="H726" s="659" t="s">
        <v>2394</v>
      </c>
      <c r="I726" s="659" t="s">
        <v>2160</v>
      </c>
      <c r="J726" s="659" t="s">
        <v>2160</v>
      </c>
      <c r="K726" s="662" t="str">
        <f t="shared" si="59"/>
        <v>CC</v>
      </c>
      <c r="L726" s="660" t="str">
        <f t="shared" si="60"/>
        <v>UNIT</v>
      </c>
      <c r="M726" s="660" t="str">
        <f t="shared" si="61"/>
        <v>CC</v>
      </c>
      <c r="N726" s="660" t="str">
        <f t="shared" si="62"/>
        <v>CC</v>
      </c>
      <c r="O726" s="659" t="str">
        <f t="shared" si="63"/>
        <v/>
      </c>
    </row>
    <row r="727" spans="1:15">
      <c r="A727" t="s">
        <v>2416</v>
      </c>
      <c r="B727" t="s">
        <v>2448</v>
      </c>
      <c r="C727">
        <v>0</v>
      </c>
      <c r="D727">
        <v>21600</v>
      </c>
      <c r="E727" t="s">
        <v>2178</v>
      </c>
      <c r="F727" t="s">
        <v>2290</v>
      </c>
      <c r="G727" s="659" t="s">
        <v>2160</v>
      </c>
      <c r="H727" s="659" t="s">
        <v>2394</v>
      </c>
      <c r="I727" s="659" t="s">
        <v>2160</v>
      </c>
      <c r="J727" s="659" t="s">
        <v>2160</v>
      </c>
      <c r="K727" s="662" t="str">
        <f t="shared" si="59"/>
        <v>CC</v>
      </c>
      <c r="L727" s="660" t="str">
        <f t="shared" si="60"/>
        <v>UNIT</v>
      </c>
      <c r="M727" s="660" t="str">
        <f t="shared" si="61"/>
        <v>CC</v>
      </c>
      <c r="N727" s="660" t="str">
        <f t="shared" si="62"/>
        <v>CC</v>
      </c>
      <c r="O727" s="659" t="str">
        <f t="shared" si="63"/>
        <v/>
      </c>
    </row>
    <row r="728" spans="1:15">
      <c r="A728" t="s">
        <v>2417</v>
      </c>
      <c r="B728" t="s">
        <v>2418</v>
      </c>
      <c r="C728">
        <v>0</v>
      </c>
      <c r="D728">
        <v>43200</v>
      </c>
      <c r="E728" t="s">
        <v>2178</v>
      </c>
      <c r="F728" t="s">
        <v>2290</v>
      </c>
      <c r="G728" s="659" t="s">
        <v>2160</v>
      </c>
      <c r="H728" s="659" t="s">
        <v>2394</v>
      </c>
      <c r="I728" s="659" t="s">
        <v>2160</v>
      </c>
      <c r="J728" s="659" t="s">
        <v>2160</v>
      </c>
      <c r="K728" s="662" t="str">
        <f t="shared" si="59"/>
        <v>CC</v>
      </c>
      <c r="L728" s="660" t="str">
        <f t="shared" si="60"/>
        <v>UNIT</v>
      </c>
      <c r="M728" s="660" t="str">
        <f t="shared" si="61"/>
        <v>CC</v>
      </c>
      <c r="N728" s="660" t="str">
        <f t="shared" si="62"/>
        <v>CC</v>
      </c>
      <c r="O728" s="659" t="str">
        <f t="shared" si="63"/>
        <v/>
      </c>
    </row>
    <row r="729" spans="1:15">
      <c r="A729" t="s">
        <v>2427</v>
      </c>
      <c r="B729" t="s">
        <v>2425</v>
      </c>
      <c r="C729">
        <v>0</v>
      </c>
      <c r="D729">
        <v>2160</v>
      </c>
      <c r="E729" t="s">
        <v>2178</v>
      </c>
      <c r="F729" t="s">
        <v>2290</v>
      </c>
      <c r="G729" s="659" t="s">
        <v>2160</v>
      </c>
      <c r="H729" s="659" t="s">
        <v>2394</v>
      </c>
      <c r="I729" s="659" t="s">
        <v>2160</v>
      </c>
      <c r="J729" s="659" t="s">
        <v>2160</v>
      </c>
      <c r="K729" s="662" t="str">
        <f t="shared" si="59"/>
        <v>CC</v>
      </c>
      <c r="L729" s="660" t="str">
        <f t="shared" si="60"/>
        <v>UNIT</v>
      </c>
      <c r="M729" s="660" t="str">
        <f t="shared" si="61"/>
        <v>CC</v>
      </c>
      <c r="N729" s="660" t="str">
        <f t="shared" si="62"/>
        <v>CC</v>
      </c>
      <c r="O729" s="659" t="str">
        <f t="shared" si="63"/>
        <v/>
      </c>
    </row>
    <row r="730" spans="1:15">
      <c r="A730" t="s">
        <v>2428</v>
      </c>
      <c r="B730" t="s">
        <v>2572</v>
      </c>
      <c r="C730">
        <v>0</v>
      </c>
      <c r="D730">
        <v>1600</v>
      </c>
      <c r="E730" t="s">
        <v>2178</v>
      </c>
      <c r="F730" t="s">
        <v>2290</v>
      </c>
      <c r="G730" s="659" t="s">
        <v>2160</v>
      </c>
      <c r="H730" s="659" t="s">
        <v>2394</v>
      </c>
      <c r="I730" s="659" t="s">
        <v>2160</v>
      </c>
      <c r="J730" s="659" t="s">
        <v>2160</v>
      </c>
      <c r="K730" s="662" t="str">
        <f t="shared" si="59"/>
        <v>CC</v>
      </c>
      <c r="L730" s="660" t="str">
        <f t="shared" si="60"/>
        <v>UNIT</v>
      </c>
      <c r="M730" s="660" t="str">
        <f t="shared" si="61"/>
        <v>CC</v>
      </c>
      <c r="N730" s="660" t="str">
        <f t="shared" si="62"/>
        <v>CC</v>
      </c>
      <c r="O730" s="659" t="str">
        <f t="shared" si="63"/>
        <v/>
      </c>
    </row>
    <row r="731" spans="1:15">
      <c r="A731" t="s">
        <v>2419</v>
      </c>
      <c r="B731" t="s">
        <v>2449</v>
      </c>
      <c r="C731">
        <v>0</v>
      </c>
      <c r="D731">
        <v>8000</v>
      </c>
      <c r="E731" t="s">
        <v>2178</v>
      </c>
      <c r="F731" t="s">
        <v>2290</v>
      </c>
      <c r="G731" s="659" t="s">
        <v>2160</v>
      </c>
      <c r="H731" s="659" t="s">
        <v>2394</v>
      </c>
      <c r="I731" s="659" t="s">
        <v>2160</v>
      </c>
      <c r="J731" s="659" t="s">
        <v>2160</v>
      </c>
      <c r="K731" s="662" t="str">
        <f t="shared" si="59"/>
        <v>CC</v>
      </c>
      <c r="L731" s="660" t="str">
        <f t="shared" si="60"/>
        <v>UNIT</v>
      </c>
      <c r="M731" s="660" t="str">
        <f t="shared" si="61"/>
        <v>CC</v>
      </c>
      <c r="N731" s="660" t="str">
        <f t="shared" si="62"/>
        <v>CC</v>
      </c>
      <c r="O731" s="659" t="str">
        <f t="shared" si="63"/>
        <v/>
      </c>
    </row>
    <row r="732" spans="1:15">
      <c r="A732" t="s">
        <v>2420</v>
      </c>
      <c r="B732" t="s">
        <v>2421</v>
      </c>
      <c r="C732">
        <v>0</v>
      </c>
      <c r="D732">
        <v>10800</v>
      </c>
      <c r="E732" t="s">
        <v>2178</v>
      </c>
      <c r="F732" t="s">
        <v>2290</v>
      </c>
      <c r="G732" s="659" t="s">
        <v>2160</v>
      </c>
      <c r="H732" s="659" t="s">
        <v>2394</v>
      </c>
      <c r="I732" s="659" t="s">
        <v>2160</v>
      </c>
      <c r="J732" s="659" t="s">
        <v>2160</v>
      </c>
      <c r="K732" s="662" t="str">
        <f t="shared" si="59"/>
        <v>CC</v>
      </c>
      <c r="L732" s="660" t="str">
        <f t="shared" si="60"/>
        <v>UNIT</v>
      </c>
      <c r="M732" s="660" t="str">
        <f t="shared" si="61"/>
        <v>CC</v>
      </c>
      <c r="N732" s="660" t="str">
        <f t="shared" si="62"/>
        <v>CC</v>
      </c>
      <c r="O732" s="659" t="str">
        <f t="shared" si="63"/>
        <v/>
      </c>
    </row>
    <row r="733" spans="1:15">
      <c r="A733" t="s">
        <v>2422</v>
      </c>
      <c r="B733" t="s">
        <v>2450</v>
      </c>
      <c r="C733">
        <v>0</v>
      </c>
      <c r="D733">
        <v>21600</v>
      </c>
      <c r="E733" t="s">
        <v>2178</v>
      </c>
      <c r="F733" t="s">
        <v>2290</v>
      </c>
      <c r="G733" s="659" t="s">
        <v>2160</v>
      </c>
      <c r="H733" s="659" t="s">
        <v>2394</v>
      </c>
      <c r="I733" s="659" t="s">
        <v>2160</v>
      </c>
      <c r="J733" s="659" t="s">
        <v>2160</v>
      </c>
      <c r="K733" s="662" t="str">
        <f t="shared" si="59"/>
        <v>CC</v>
      </c>
      <c r="L733" s="660" t="str">
        <f t="shared" si="60"/>
        <v>UNIT</v>
      </c>
      <c r="M733" s="660" t="str">
        <f t="shared" si="61"/>
        <v>CC</v>
      </c>
      <c r="N733" s="660" t="str">
        <f t="shared" si="62"/>
        <v>CC</v>
      </c>
      <c r="O733" s="659" t="str">
        <f t="shared" si="63"/>
        <v/>
      </c>
    </row>
    <row r="734" spans="1:15">
      <c r="A734" t="s">
        <v>2423</v>
      </c>
      <c r="B734" t="s">
        <v>2424</v>
      </c>
      <c r="C734">
        <v>0</v>
      </c>
      <c r="D734">
        <v>43200</v>
      </c>
      <c r="E734" t="s">
        <v>2178</v>
      </c>
      <c r="F734" t="s">
        <v>2290</v>
      </c>
      <c r="G734" s="659" t="s">
        <v>2160</v>
      </c>
      <c r="H734" s="659" t="s">
        <v>2394</v>
      </c>
      <c r="I734" s="659" t="s">
        <v>2160</v>
      </c>
      <c r="J734" s="659" t="s">
        <v>2160</v>
      </c>
      <c r="K734" s="662" t="str">
        <f t="shared" si="59"/>
        <v>CC</v>
      </c>
      <c r="L734" s="660" t="str">
        <f t="shared" si="60"/>
        <v>UNIT</v>
      </c>
      <c r="M734" s="660" t="str">
        <f t="shared" si="61"/>
        <v>CC</v>
      </c>
      <c r="N734" s="660" t="str">
        <f t="shared" si="62"/>
        <v>CC</v>
      </c>
      <c r="O734" s="659" t="str">
        <f t="shared" si="63"/>
        <v/>
      </c>
    </row>
    <row r="735" spans="1:15">
      <c r="A735" t="s">
        <v>2429</v>
      </c>
      <c r="B735" t="s">
        <v>2426</v>
      </c>
      <c r="C735">
        <v>0</v>
      </c>
      <c r="D735">
        <v>2160</v>
      </c>
      <c r="E735" t="s">
        <v>2178</v>
      </c>
      <c r="F735" t="s">
        <v>2290</v>
      </c>
      <c r="G735" s="659" t="s">
        <v>2160</v>
      </c>
      <c r="H735" s="659" t="s">
        <v>2394</v>
      </c>
      <c r="I735" s="659" t="s">
        <v>2160</v>
      </c>
      <c r="J735" s="659" t="s">
        <v>2160</v>
      </c>
      <c r="K735" s="662" t="str">
        <f t="shared" si="59"/>
        <v>CC</v>
      </c>
      <c r="L735" s="660" t="str">
        <f t="shared" si="60"/>
        <v>UNIT</v>
      </c>
      <c r="M735" s="660" t="str">
        <f t="shared" si="61"/>
        <v>CC</v>
      </c>
      <c r="N735" s="660" t="str">
        <f t="shared" si="62"/>
        <v>CC</v>
      </c>
      <c r="O735" s="659" t="str">
        <f t="shared" si="63"/>
        <v/>
      </c>
    </row>
    <row r="736" spans="1:15">
      <c r="A736" t="s">
        <v>2430</v>
      </c>
      <c r="B736" t="s">
        <v>2451</v>
      </c>
      <c r="C736">
        <v>0</v>
      </c>
      <c r="D736">
        <v>1600</v>
      </c>
      <c r="E736" t="s">
        <v>2178</v>
      </c>
      <c r="F736" t="s">
        <v>2290</v>
      </c>
      <c r="G736" s="659" t="s">
        <v>2160</v>
      </c>
      <c r="H736" s="659" t="s">
        <v>2394</v>
      </c>
      <c r="I736" s="659" t="s">
        <v>2160</v>
      </c>
      <c r="J736" s="659" t="s">
        <v>2160</v>
      </c>
      <c r="K736" s="662" t="str">
        <f t="shared" si="59"/>
        <v>CC</v>
      </c>
      <c r="L736" s="660" t="str">
        <f t="shared" si="60"/>
        <v>UNIT</v>
      </c>
      <c r="M736" s="660" t="str">
        <f t="shared" si="61"/>
        <v>CC</v>
      </c>
      <c r="N736" s="660" t="str">
        <f t="shared" si="62"/>
        <v>CC</v>
      </c>
      <c r="O736" s="659" t="str">
        <f t="shared" si="63"/>
        <v/>
      </c>
    </row>
    <row r="737" spans="1:15">
      <c r="A737" t="s">
        <v>2329</v>
      </c>
      <c r="B737" t="s">
        <v>2330</v>
      </c>
      <c r="C737" t="s">
        <v>133</v>
      </c>
      <c r="D737">
        <v>1.3441000000000001</v>
      </c>
      <c r="E737" t="s">
        <v>49</v>
      </c>
      <c r="F737" t="s">
        <v>2290</v>
      </c>
      <c r="G737" s="659" t="s">
        <v>2238</v>
      </c>
      <c r="H737" s="659" t="s">
        <v>2161</v>
      </c>
      <c r="I737" s="659" t="s">
        <v>1636</v>
      </c>
      <c r="J737" s="659" t="s">
        <v>2159</v>
      </c>
      <c r="K737" s="662" t="str">
        <f t="shared" si="59"/>
        <v>CC OCPU</v>
      </c>
      <c r="L737" s="660" t="str">
        <f t="shared" si="60"/>
        <v>HR</v>
      </c>
      <c r="M737" s="660" t="str">
        <f t="shared" si="61"/>
        <v>UC</v>
      </c>
      <c r="N737" s="660" t="str">
        <f t="shared" si="62"/>
        <v>PAAS</v>
      </c>
      <c r="O737" s="659" t="str">
        <f t="shared" si="63"/>
        <v/>
      </c>
    </row>
    <row r="738" spans="1:15">
      <c r="A738" t="s">
        <v>2331</v>
      </c>
      <c r="B738" t="s">
        <v>2332</v>
      </c>
      <c r="C738" t="s">
        <v>133</v>
      </c>
      <c r="D738">
        <v>1.3441000000000001</v>
      </c>
      <c r="E738" t="s">
        <v>49</v>
      </c>
      <c r="F738" t="s">
        <v>2290</v>
      </c>
      <c r="G738" s="659" t="s">
        <v>2238</v>
      </c>
      <c r="H738" s="659" t="s">
        <v>2161</v>
      </c>
      <c r="I738" s="659" t="s">
        <v>1636</v>
      </c>
      <c r="J738" s="659" t="s">
        <v>2159</v>
      </c>
      <c r="K738" s="662" t="str">
        <f t="shared" si="59"/>
        <v>CC OCPU</v>
      </c>
      <c r="L738" s="660" t="str">
        <f t="shared" si="60"/>
        <v>HR</v>
      </c>
      <c r="M738" s="660" t="str">
        <f t="shared" si="61"/>
        <v>UC</v>
      </c>
      <c r="N738" s="660" t="str">
        <f t="shared" si="62"/>
        <v>PAAS</v>
      </c>
      <c r="O738" s="659" t="str">
        <f t="shared" si="63"/>
        <v/>
      </c>
    </row>
    <row r="739" spans="1:15">
      <c r="A739" t="s">
        <v>2333</v>
      </c>
      <c r="B739" t="s">
        <v>2334</v>
      </c>
      <c r="C739" t="s">
        <v>133</v>
      </c>
      <c r="D739">
        <v>0.3226</v>
      </c>
      <c r="E739" t="s">
        <v>49</v>
      </c>
      <c r="F739" t="s">
        <v>2290</v>
      </c>
      <c r="G739" s="659" t="s">
        <v>2238</v>
      </c>
      <c r="H739" s="659" t="s">
        <v>2161</v>
      </c>
      <c r="I739" s="659" t="s">
        <v>1636</v>
      </c>
      <c r="J739" s="659" t="s">
        <v>1338</v>
      </c>
      <c r="K739" s="662" t="str">
        <f t="shared" si="59"/>
        <v>CC OCPU</v>
      </c>
      <c r="L739" s="660" t="str">
        <f t="shared" si="60"/>
        <v>HR</v>
      </c>
      <c r="M739" s="660" t="str">
        <f t="shared" si="61"/>
        <v>UC</v>
      </c>
      <c r="N739" s="660" t="str">
        <f t="shared" si="62"/>
        <v>BYOL</v>
      </c>
      <c r="O739" s="659" t="str">
        <f t="shared" si="63"/>
        <v/>
      </c>
    </row>
    <row r="740" spans="1:15">
      <c r="A740" t="s">
        <v>2335</v>
      </c>
      <c r="B740" t="s">
        <v>2431</v>
      </c>
      <c r="C740" t="s">
        <v>133</v>
      </c>
      <c r="D740">
        <v>0.3226</v>
      </c>
      <c r="E740" t="s">
        <v>49</v>
      </c>
      <c r="F740" t="s">
        <v>2290</v>
      </c>
      <c r="G740" s="659" t="s">
        <v>2238</v>
      </c>
      <c r="H740" s="659" t="s">
        <v>2161</v>
      </c>
      <c r="I740" s="659" t="s">
        <v>1636</v>
      </c>
      <c r="J740" s="659" t="s">
        <v>1338</v>
      </c>
      <c r="K740" s="662" t="str">
        <f t="shared" si="59"/>
        <v>CC OCPU</v>
      </c>
      <c r="L740" s="660" t="str">
        <f t="shared" si="60"/>
        <v>HR</v>
      </c>
      <c r="M740" s="660" t="str">
        <f t="shared" si="61"/>
        <v>UC</v>
      </c>
      <c r="N740" s="660" t="str">
        <f t="shared" si="62"/>
        <v>BYOL</v>
      </c>
      <c r="O740" s="659" t="str">
        <f t="shared" si="63"/>
        <v/>
      </c>
    </row>
    <row r="741" spans="1:15" ht="16">
      <c r="A741" s="661" t="s">
        <v>2285</v>
      </c>
      <c r="B741" s="659" t="s">
        <v>2286</v>
      </c>
      <c r="C741" s="664">
        <v>4.6699999999999998E-2</v>
      </c>
      <c r="D741" s="664">
        <v>4.6699999999999998E-2</v>
      </c>
      <c r="E741" s="664" t="s">
        <v>49</v>
      </c>
      <c r="F741" s="664" t="s">
        <v>2290</v>
      </c>
      <c r="G741" s="659" t="s">
        <v>2309</v>
      </c>
      <c r="H741" s="659" t="s">
        <v>2161</v>
      </c>
      <c r="I741" s="659" t="s">
        <v>1636</v>
      </c>
      <c r="J741" s="659" t="s">
        <v>2159</v>
      </c>
      <c r="K741" s="662" t="str">
        <f t="shared" si="59"/>
        <v>DBaaS</v>
      </c>
      <c r="L741" s="660" t="str">
        <f t="shared" si="60"/>
        <v>HR</v>
      </c>
      <c r="M741" s="660" t="str">
        <f t="shared" si="61"/>
        <v>UC</v>
      </c>
      <c r="N741" s="660" t="str">
        <f t="shared" si="62"/>
        <v>PAAS</v>
      </c>
      <c r="O741" s="659" t="str">
        <f t="shared" si="63"/>
        <v/>
      </c>
    </row>
    <row r="742" spans="1:15" ht="16">
      <c r="A742" s="661" t="s">
        <v>2287</v>
      </c>
      <c r="B742" s="659" t="s">
        <v>2288</v>
      </c>
      <c r="C742" s="664">
        <v>0.04</v>
      </c>
      <c r="D742" s="664">
        <v>0.04</v>
      </c>
      <c r="E742" s="664" t="s">
        <v>2175</v>
      </c>
      <c r="F742" s="664" t="s">
        <v>2290</v>
      </c>
      <c r="G742" s="659" t="s">
        <v>1840</v>
      </c>
      <c r="H742" s="659" t="s">
        <v>2162</v>
      </c>
      <c r="I742" s="659" t="s">
        <v>1636</v>
      </c>
      <c r="J742" s="659" t="s">
        <v>2158</v>
      </c>
      <c r="K742" s="662" t="str">
        <f t="shared" si="59"/>
        <v>Storage</v>
      </c>
      <c r="L742" s="660" t="str">
        <f t="shared" si="60"/>
        <v>GB</v>
      </c>
      <c r="M742" s="660" t="str">
        <f t="shared" si="61"/>
        <v>UC</v>
      </c>
      <c r="N742" s="660" t="str">
        <f t="shared" si="62"/>
        <v>IAAS</v>
      </c>
      <c r="O742" s="659" t="str">
        <f t="shared" si="63"/>
        <v/>
      </c>
    </row>
    <row r="743" spans="1:15" ht="16">
      <c r="A743" s="661" t="s">
        <v>2295</v>
      </c>
      <c r="B743" s="659" t="s">
        <v>2360</v>
      </c>
      <c r="C743" s="664">
        <v>0</v>
      </c>
      <c r="D743" s="664">
        <v>0.2031</v>
      </c>
      <c r="E743" s="664" t="s">
        <v>49</v>
      </c>
      <c r="F743" s="664" t="s">
        <v>588</v>
      </c>
      <c r="G743" s="659" t="s">
        <v>2400</v>
      </c>
      <c r="H743" s="659" t="s">
        <v>2161</v>
      </c>
      <c r="I743" s="659" t="s">
        <v>2398</v>
      </c>
      <c r="J743" s="659" t="s">
        <v>2159</v>
      </c>
      <c r="K743" s="662" t="str">
        <f t="shared" si="59"/>
        <v>Government</v>
      </c>
      <c r="L743" s="660" t="str">
        <f t="shared" si="60"/>
        <v>HR</v>
      </c>
      <c r="M743" s="660" t="str">
        <f t="shared" si="61"/>
        <v>UC0</v>
      </c>
      <c r="N743" s="660" t="str">
        <f t="shared" si="62"/>
        <v>PAAS</v>
      </c>
      <c r="O743" s="659" t="str">
        <f t="shared" si="63"/>
        <v/>
      </c>
    </row>
    <row r="744" spans="1:15" ht="16">
      <c r="A744" s="661" t="s">
        <v>2361</v>
      </c>
      <c r="B744" s="659" t="s">
        <v>2362</v>
      </c>
      <c r="C744" s="664">
        <v>0.72309999999999997</v>
      </c>
      <c r="D744" s="664">
        <v>0.72309999999999997</v>
      </c>
      <c r="E744" s="664" t="s">
        <v>49</v>
      </c>
      <c r="F744" s="664" t="s">
        <v>2290</v>
      </c>
      <c r="G744" s="659" t="s">
        <v>2391</v>
      </c>
      <c r="H744" s="659" t="s">
        <v>2161</v>
      </c>
      <c r="I744" s="659" t="s">
        <v>1636</v>
      </c>
      <c r="J744" s="659" t="s">
        <v>2159</v>
      </c>
      <c r="K744" s="662" t="str">
        <f t="shared" si="59"/>
        <v>Integration</v>
      </c>
      <c r="L744" s="660" t="str">
        <f t="shared" si="60"/>
        <v>HR</v>
      </c>
      <c r="M744" s="660" t="str">
        <f t="shared" si="61"/>
        <v>UC</v>
      </c>
      <c r="N744" s="660" t="str">
        <f t="shared" si="62"/>
        <v>PAAS</v>
      </c>
      <c r="O744" s="659" t="str">
        <f t="shared" si="63"/>
        <v/>
      </c>
    </row>
    <row r="745" spans="1:15" ht="16">
      <c r="A745" s="661" t="s">
        <v>2363</v>
      </c>
      <c r="B745" s="659" t="s">
        <v>2386</v>
      </c>
      <c r="C745" s="664">
        <v>1.2071000000000001</v>
      </c>
      <c r="D745" s="664">
        <v>1.2071000000000001</v>
      </c>
      <c r="E745" s="664" t="s">
        <v>49</v>
      </c>
      <c r="F745" s="664" t="s">
        <v>2290</v>
      </c>
      <c r="G745" s="659" t="s">
        <v>2391</v>
      </c>
      <c r="H745" s="659" t="s">
        <v>2161</v>
      </c>
      <c r="I745" s="659" t="s">
        <v>1636</v>
      </c>
      <c r="J745" s="659" t="s">
        <v>2159</v>
      </c>
      <c r="K745" s="662" t="str">
        <f t="shared" si="59"/>
        <v>Integration</v>
      </c>
      <c r="L745" s="660" t="str">
        <f t="shared" si="60"/>
        <v>HR</v>
      </c>
      <c r="M745" s="660" t="str">
        <f t="shared" si="61"/>
        <v>UC</v>
      </c>
      <c r="N745" s="660" t="str">
        <f t="shared" si="62"/>
        <v>PAAS</v>
      </c>
      <c r="O745" s="659" t="str">
        <f t="shared" si="63"/>
        <v/>
      </c>
    </row>
    <row r="746" spans="1:15" ht="16">
      <c r="A746" s="661" t="s">
        <v>2452</v>
      </c>
      <c r="B746" s="659" t="s">
        <v>2453</v>
      </c>
      <c r="C746" s="664">
        <v>0.04</v>
      </c>
      <c r="D746" s="664">
        <v>0.04</v>
      </c>
      <c r="E746" s="664" t="s">
        <v>2175</v>
      </c>
      <c r="F746" s="664" t="s">
        <v>2290</v>
      </c>
      <c r="G746" s="659" t="s">
        <v>1840</v>
      </c>
      <c r="H746" s="659" t="s">
        <v>2162</v>
      </c>
      <c r="I746" s="659" t="s">
        <v>1636</v>
      </c>
      <c r="J746" s="659" t="s">
        <v>2158</v>
      </c>
      <c r="K746" s="662" t="str">
        <f t="shared" si="59"/>
        <v>Storage</v>
      </c>
      <c r="L746" s="660" t="str">
        <f t="shared" si="60"/>
        <v>GB</v>
      </c>
      <c r="M746" s="660" t="str">
        <f t="shared" si="61"/>
        <v>UC</v>
      </c>
      <c r="N746" s="660" t="str">
        <f t="shared" si="62"/>
        <v>IAAS</v>
      </c>
      <c r="O746" s="659" t="str">
        <f t="shared" si="63"/>
        <v/>
      </c>
    </row>
    <row r="747" spans="1:15" ht="16">
      <c r="A747" s="661" t="s">
        <v>2364</v>
      </c>
      <c r="B747" s="659" t="s">
        <v>2365</v>
      </c>
      <c r="C747" s="664">
        <v>0</v>
      </c>
      <c r="D747" s="664">
        <v>0.05</v>
      </c>
      <c r="E747" s="664" t="s">
        <v>2366</v>
      </c>
      <c r="F747" s="664" t="s">
        <v>2290</v>
      </c>
      <c r="G747" s="659" t="s">
        <v>1840</v>
      </c>
      <c r="H747" s="659" t="s">
        <v>2162</v>
      </c>
      <c r="I747" s="659" t="s">
        <v>1636</v>
      </c>
      <c r="J747" s="659" t="s">
        <v>2158</v>
      </c>
      <c r="K747" s="662" t="str">
        <f t="shared" si="59"/>
        <v>Storage</v>
      </c>
      <c r="L747" s="660" t="str">
        <f t="shared" si="60"/>
        <v>GB</v>
      </c>
      <c r="M747" s="660" t="str">
        <f t="shared" si="61"/>
        <v>UC</v>
      </c>
      <c r="N747" s="660" t="str">
        <f t="shared" si="62"/>
        <v>IAAS</v>
      </c>
      <c r="O747" s="659" t="str">
        <f t="shared" si="63"/>
        <v/>
      </c>
    </row>
    <row r="748" spans="1:15" ht="16">
      <c r="A748" s="661" t="s">
        <v>2367</v>
      </c>
      <c r="B748" s="659" t="s">
        <v>2368</v>
      </c>
      <c r="C748" s="664">
        <v>0</v>
      </c>
      <c r="D748" s="664">
        <v>0.05</v>
      </c>
      <c r="E748" s="664" t="s">
        <v>2366</v>
      </c>
      <c r="F748" s="664" t="s">
        <v>2290</v>
      </c>
      <c r="G748" s="659" t="s">
        <v>1840</v>
      </c>
      <c r="H748" s="659" t="s">
        <v>2162</v>
      </c>
      <c r="I748" s="659" t="s">
        <v>1636</v>
      </c>
      <c r="J748" s="659" t="s">
        <v>2158</v>
      </c>
      <c r="K748" s="662" t="str">
        <f t="shared" si="59"/>
        <v>Storage</v>
      </c>
      <c r="L748" s="660" t="str">
        <f t="shared" si="60"/>
        <v>GB</v>
      </c>
      <c r="M748" s="660" t="str">
        <f t="shared" si="61"/>
        <v>UC</v>
      </c>
      <c r="N748" s="660" t="str">
        <f t="shared" si="62"/>
        <v>IAAS</v>
      </c>
      <c r="O748" s="659" t="str">
        <f t="shared" si="63"/>
        <v/>
      </c>
    </row>
    <row r="749" spans="1:15" ht="16">
      <c r="A749" s="661" t="s">
        <v>2369</v>
      </c>
      <c r="B749" s="659" t="s">
        <v>2387</v>
      </c>
      <c r="C749" s="664">
        <v>0.16</v>
      </c>
      <c r="D749" s="664">
        <v>0.16</v>
      </c>
      <c r="E749" s="664" t="s">
        <v>2370</v>
      </c>
      <c r="F749" s="664" t="s">
        <v>2290</v>
      </c>
      <c r="G749" s="659" t="s">
        <v>2391</v>
      </c>
      <c r="H749" s="659" t="s">
        <v>2161</v>
      </c>
      <c r="I749" s="659" t="s">
        <v>1636</v>
      </c>
      <c r="J749" s="659" t="s">
        <v>2159</v>
      </c>
      <c r="K749" s="662" t="str">
        <f t="shared" si="59"/>
        <v>Integration</v>
      </c>
      <c r="L749" s="660" t="str">
        <f t="shared" si="60"/>
        <v>HR</v>
      </c>
      <c r="M749" s="660" t="str">
        <f t="shared" si="61"/>
        <v>UC</v>
      </c>
      <c r="N749" s="660" t="str">
        <f t="shared" si="62"/>
        <v>PAAS</v>
      </c>
      <c r="O749" s="659" t="str">
        <f t="shared" si="63"/>
        <v/>
      </c>
    </row>
    <row r="750" spans="1:15" ht="16">
      <c r="A750" s="661" t="s">
        <v>2371</v>
      </c>
      <c r="B750" s="659" t="s">
        <v>2388</v>
      </c>
      <c r="C750" s="664">
        <v>0.04</v>
      </c>
      <c r="D750" s="664">
        <v>0.04</v>
      </c>
      <c r="E750" s="664" t="s">
        <v>2212</v>
      </c>
      <c r="F750" s="664" t="s">
        <v>2290</v>
      </c>
      <c r="G750" s="659" t="s">
        <v>2391</v>
      </c>
      <c r="H750" s="659" t="s">
        <v>2161</v>
      </c>
      <c r="I750" s="659" t="s">
        <v>1636</v>
      </c>
      <c r="J750" s="659" t="s">
        <v>2159</v>
      </c>
      <c r="K750" s="662" t="str">
        <f t="shared" si="59"/>
        <v>Integration</v>
      </c>
      <c r="L750" s="660" t="str">
        <f t="shared" si="60"/>
        <v>HR</v>
      </c>
      <c r="M750" s="660" t="str">
        <f t="shared" si="61"/>
        <v>UC</v>
      </c>
      <c r="N750" s="660" t="str">
        <f t="shared" si="62"/>
        <v>PAAS</v>
      </c>
      <c r="O750" s="659" t="str">
        <f t="shared" si="63"/>
        <v/>
      </c>
    </row>
    <row r="751" spans="1:15" ht="16">
      <c r="A751" s="661" t="s">
        <v>2689</v>
      </c>
      <c r="B751" s="659" t="s">
        <v>2690</v>
      </c>
      <c r="C751" s="664">
        <v>0</v>
      </c>
      <c r="D751" s="664">
        <v>0</v>
      </c>
      <c r="E751" s="664">
        <v>0</v>
      </c>
      <c r="F751" s="664" t="s">
        <v>2290</v>
      </c>
      <c r="G751" s="659" t="s">
        <v>2309</v>
      </c>
      <c r="H751" s="659" t="s">
        <v>2394</v>
      </c>
      <c r="I751" s="659" t="s">
        <v>1636</v>
      </c>
      <c r="J751" s="659" t="s">
        <v>2159</v>
      </c>
      <c r="K751" s="662" t="str">
        <f t="shared" si="59"/>
        <v>DBaaS</v>
      </c>
      <c r="L751" s="660" t="str">
        <f t="shared" si="60"/>
        <v>UNIT</v>
      </c>
      <c r="M751" s="660" t="str">
        <f t="shared" si="61"/>
        <v>UC</v>
      </c>
      <c r="N751" s="660" t="str">
        <f t="shared" si="62"/>
        <v>PAAS</v>
      </c>
      <c r="O751" s="659" t="str">
        <f t="shared" si="63"/>
        <v/>
      </c>
    </row>
    <row r="752" spans="1:15" ht="16">
      <c r="A752" s="661" t="s">
        <v>2691</v>
      </c>
      <c r="B752" s="659" t="s">
        <v>2692</v>
      </c>
      <c r="C752" s="664">
        <v>0</v>
      </c>
      <c r="D752" s="664">
        <v>0</v>
      </c>
      <c r="E752" s="664">
        <v>0</v>
      </c>
      <c r="F752" s="664" t="s">
        <v>2290</v>
      </c>
      <c r="G752" s="659" t="s">
        <v>2309</v>
      </c>
      <c r="H752" s="659" t="s">
        <v>2394</v>
      </c>
      <c r="I752" s="659" t="s">
        <v>1636</v>
      </c>
      <c r="J752" s="659" t="s">
        <v>2159</v>
      </c>
      <c r="K752" s="662" t="str">
        <f t="shared" si="59"/>
        <v>DBaaS</v>
      </c>
      <c r="L752" s="660" t="str">
        <f t="shared" si="60"/>
        <v>UNIT</v>
      </c>
      <c r="M752" s="660" t="str">
        <f t="shared" si="61"/>
        <v>UC</v>
      </c>
      <c r="N752" s="660" t="str">
        <f t="shared" si="62"/>
        <v>PAAS</v>
      </c>
      <c r="O752" s="659" t="str">
        <f t="shared" si="63"/>
        <v/>
      </c>
    </row>
    <row r="753" spans="1:15" ht="16">
      <c r="A753" s="661" t="s">
        <v>2693</v>
      </c>
      <c r="B753" s="659" t="s">
        <v>2694</v>
      </c>
      <c r="C753" s="664">
        <v>0</v>
      </c>
      <c r="D753" s="664">
        <v>0</v>
      </c>
      <c r="E753" s="664">
        <v>0</v>
      </c>
      <c r="F753" s="664" t="s">
        <v>2290</v>
      </c>
      <c r="G753" s="659" t="s">
        <v>1840</v>
      </c>
      <c r="H753" s="659" t="s">
        <v>2394</v>
      </c>
      <c r="I753" s="659" t="s">
        <v>1636</v>
      </c>
      <c r="J753" s="659" t="s">
        <v>2158</v>
      </c>
      <c r="K753" s="662" t="str">
        <f t="shared" si="59"/>
        <v>Storage</v>
      </c>
      <c r="L753" s="660" t="str">
        <f t="shared" si="60"/>
        <v>UNIT</v>
      </c>
      <c r="M753" s="660" t="str">
        <f t="shared" si="61"/>
        <v>UC</v>
      </c>
      <c r="N753" s="660" t="str">
        <f t="shared" si="62"/>
        <v>IAAS</v>
      </c>
      <c r="O753" s="659" t="str">
        <f t="shared" si="63"/>
        <v/>
      </c>
    </row>
    <row r="754" spans="1:15" ht="16">
      <c r="A754" s="661" t="s">
        <v>2634</v>
      </c>
      <c r="B754" s="659" t="s">
        <v>2742</v>
      </c>
      <c r="C754" s="664">
        <v>0</v>
      </c>
      <c r="D754" s="664">
        <v>120</v>
      </c>
      <c r="E754" s="664" t="s">
        <v>2228</v>
      </c>
      <c r="F754" s="664" t="s">
        <v>2290</v>
      </c>
      <c r="G754" s="659" t="s">
        <v>2392</v>
      </c>
      <c r="H754" s="659" t="s">
        <v>2394</v>
      </c>
      <c r="I754" s="659" t="s">
        <v>1636</v>
      </c>
      <c r="J754" s="659" t="s">
        <v>1338</v>
      </c>
      <c r="K754" s="662" t="str">
        <f t="shared" si="59"/>
        <v>Platform</v>
      </c>
      <c r="L754" s="660" t="str">
        <f t="shared" si="60"/>
        <v>UNIT</v>
      </c>
      <c r="M754" s="660" t="str">
        <f t="shared" si="61"/>
        <v>UC</v>
      </c>
      <c r="N754" s="660" t="str">
        <f t="shared" si="62"/>
        <v>BYOL</v>
      </c>
      <c r="O754" s="659" t="str">
        <f t="shared" si="63"/>
        <v/>
      </c>
    </row>
    <row r="755" spans="1:15" ht="16">
      <c r="A755" s="661" t="s">
        <v>2635</v>
      </c>
      <c r="B755" s="659" t="s">
        <v>2636</v>
      </c>
      <c r="C755" s="664">
        <v>16</v>
      </c>
      <c r="D755" s="664">
        <v>16</v>
      </c>
      <c r="E755" s="664" t="s">
        <v>2203</v>
      </c>
      <c r="F755" s="664" t="s">
        <v>2290</v>
      </c>
      <c r="G755" s="659" t="s">
        <v>1839</v>
      </c>
      <c r="H755" s="659" t="s">
        <v>2394</v>
      </c>
      <c r="I755" s="659" t="s">
        <v>1636</v>
      </c>
      <c r="J755" s="659" t="s">
        <v>2159</v>
      </c>
      <c r="K755" s="662" t="str">
        <f t="shared" si="59"/>
        <v>Analytics</v>
      </c>
      <c r="L755" s="660" t="str">
        <f t="shared" si="60"/>
        <v>UNIT</v>
      </c>
      <c r="M755" s="660" t="str">
        <f t="shared" si="61"/>
        <v>UC</v>
      </c>
      <c r="N755" s="660" t="str">
        <f t="shared" si="62"/>
        <v>PAAS</v>
      </c>
      <c r="O755" s="659" t="str">
        <f t="shared" si="63"/>
        <v/>
      </c>
    </row>
    <row r="756" spans="1:15" ht="16">
      <c r="A756" s="661" t="s">
        <v>2637</v>
      </c>
      <c r="B756" s="659" t="s">
        <v>2638</v>
      </c>
      <c r="C756" s="664">
        <v>80</v>
      </c>
      <c r="D756" s="664">
        <v>80</v>
      </c>
      <c r="E756" s="664" t="s">
        <v>2203</v>
      </c>
      <c r="F756" s="664" t="s">
        <v>2290</v>
      </c>
      <c r="G756" s="659" t="s">
        <v>1839</v>
      </c>
      <c r="H756" s="659" t="s">
        <v>2394</v>
      </c>
      <c r="I756" s="659" t="s">
        <v>1636</v>
      </c>
      <c r="J756" s="659" t="s">
        <v>2159</v>
      </c>
      <c r="K756" s="662" t="str">
        <f t="shared" si="59"/>
        <v>Analytics</v>
      </c>
      <c r="L756" s="660" t="str">
        <f t="shared" si="60"/>
        <v>UNIT</v>
      </c>
      <c r="M756" s="660" t="str">
        <f t="shared" si="61"/>
        <v>UC</v>
      </c>
      <c r="N756" s="660" t="str">
        <f t="shared" si="62"/>
        <v>PAAS</v>
      </c>
      <c r="O756" s="659" t="str">
        <f t="shared" si="63"/>
        <v/>
      </c>
    </row>
    <row r="757" spans="1:15" ht="16">
      <c r="A757" s="661" t="s">
        <v>2639</v>
      </c>
      <c r="B757" s="659" t="s">
        <v>2640</v>
      </c>
      <c r="C757" s="664">
        <v>0</v>
      </c>
      <c r="D757" s="664">
        <v>0</v>
      </c>
      <c r="E757" s="664" t="s">
        <v>2641</v>
      </c>
      <c r="F757" s="664" t="s">
        <v>2290</v>
      </c>
      <c r="G757" s="659" t="s">
        <v>1839</v>
      </c>
      <c r="H757" s="659" t="s">
        <v>2394</v>
      </c>
      <c r="I757" s="659" t="s">
        <v>1636</v>
      </c>
      <c r="J757" s="659" t="s">
        <v>2159</v>
      </c>
      <c r="K757" s="662" t="str">
        <f t="shared" si="59"/>
        <v>Analytics</v>
      </c>
      <c r="L757" s="660" t="str">
        <f t="shared" si="60"/>
        <v>UNIT</v>
      </c>
      <c r="M757" s="660" t="str">
        <f t="shared" si="61"/>
        <v>UC</v>
      </c>
      <c r="N757" s="660" t="str">
        <f t="shared" si="62"/>
        <v>PAAS</v>
      </c>
      <c r="O757" s="659" t="str">
        <f t="shared" si="63"/>
        <v/>
      </c>
    </row>
    <row r="758" spans="1:15" ht="16">
      <c r="A758" s="661" t="s">
        <v>2642</v>
      </c>
      <c r="B758" s="659" t="s">
        <v>2643</v>
      </c>
      <c r="C758" s="664">
        <v>30000</v>
      </c>
      <c r="D758" s="664">
        <v>39000</v>
      </c>
      <c r="E758" s="664">
        <v>0</v>
      </c>
      <c r="F758" s="664" t="s">
        <v>2290</v>
      </c>
      <c r="G758" s="659" t="s">
        <v>2558</v>
      </c>
      <c r="H758" s="659" t="s">
        <v>2394</v>
      </c>
      <c r="I758" s="659" t="s">
        <v>1637</v>
      </c>
      <c r="J758" s="659" t="s">
        <v>1637</v>
      </c>
      <c r="K758" s="662" t="str">
        <f t="shared" si="59"/>
        <v>Consulting</v>
      </c>
      <c r="L758" s="660" t="str">
        <f t="shared" si="60"/>
        <v>UNIT</v>
      </c>
      <c r="M758" s="660" t="str">
        <f t="shared" si="61"/>
        <v>SRV</v>
      </c>
      <c r="N758" s="660" t="str">
        <f t="shared" si="62"/>
        <v>SRV</v>
      </c>
      <c r="O758" s="659" t="str">
        <f t="shared" si="63"/>
        <v/>
      </c>
    </row>
    <row r="759" spans="1:15" ht="16">
      <c r="A759" s="661" t="s">
        <v>2644</v>
      </c>
      <c r="B759" s="659" t="s">
        <v>2645</v>
      </c>
      <c r="C759" s="664">
        <v>0.94979999999999998</v>
      </c>
      <c r="D759" s="664">
        <v>0.94979999999999998</v>
      </c>
      <c r="E759" s="664" t="s">
        <v>49</v>
      </c>
      <c r="F759" s="664" t="s">
        <v>2290</v>
      </c>
      <c r="G759" s="659" t="s">
        <v>1839</v>
      </c>
      <c r="H759" s="659" t="s">
        <v>2161</v>
      </c>
      <c r="I759" s="659" t="s">
        <v>1636</v>
      </c>
      <c r="J759" s="659" t="s">
        <v>2159</v>
      </c>
      <c r="K759" s="662" t="str">
        <f t="shared" si="59"/>
        <v>Analytics</v>
      </c>
      <c r="L759" s="660" t="str">
        <f t="shared" si="60"/>
        <v>HR</v>
      </c>
      <c r="M759" s="660" t="str">
        <f t="shared" si="61"/>
        <v>UC</v>
      </c>
      <c r="N759" s="660" t="str">
        <f t="shared" si="62"/>
        <v>PAAS</v>
      </c>
      <c r="O759" s="659" t="str">
        <f t="shared" si="63"/>
        <v/>
      </c>
    </row>
    <row r="760" spans="1:15" ht="16">
      <c r="A760" s="661" t="s">
        <v>2646</v>
      </c>
      <c r="B760" s="659" t="s">
        <v>2647</v>
      </c>
      <c r="C760" s="664">
        <v>69231</v>
      </c>
      <c r="D760" s="664">
        <v>90000.3</v>
      </c>
      <c r="E760" s="664">
        <v>0</v>
      </c>
      <c r="F760" s="664" t="s">
        <v>2290</v>
      </c>
      <c r="G760" s="659" t="s">
        <v>2558</v>
      </c>
      <c r="H760" s="659" t="s">
        <v>2394</v>
      </c>
      <c r="I760" s="659" t="s">
        <v>1637</v>
      </c>
      <c r="J760" s="659" t="s">
        <v>1637</v>
      </c>
      <c r="K760" s="662" t="str">
        <f t="shared" si="59"/>
        <v>Consulting</v>
      </c>
      <c r="L760" s="660" t="str">
        <f t="shared" si="60"/>
        <v>UNIT</v>
      </c>
      <c r="M760" s="660" t="str">
        <f t="shared" si="61"/>
        <v>SRV</v>
      </c>
      <c r="N760" s="660" t="str">
        <f t="shared" si="62"/>
        <v>SRV</v>
      </c>
      <c r="O760" s="659" t="str">
        <f t="shared" si="63"/>
        <v/>
      </c>
    </row>
    <row r="761" spans="1:15">
      <c r="A761" t="s">
        <v>2648</v>
      </c>
      <c r="B761" t="s">
        <v>3040</v>
      </c>
      <c r="C761">
        <v>200</v>
      </c>
      <c r="D761">
        <v>200</v>
      </c>
      <c r="E761" t="s">
        <v>2649</v>
      </c>
      <c r="F761" t="s">
        <v>2290</v>
      </c>
      <c r="G761" s="659" t="s">
        <v>1835</v>
      </c>
      <c r="H761" s="659" t="s">
        <v>2394</v>
      </c>
      <c r="I761" s="659" t="s">
        <v>1636</v>
      </c>
      <c r="J761" s="659" t="s">
        <v>2158</v>
      </c>
      <c r="K761" s="662" t="str">
        <f t="shared" si="59"/>
        <v>Compute</v>
      </c>
      <c r="L761" s="660" t="str">
        <f t="shared" si="60"/>
        <v>UNIT</v>
      </c>
      <c r="M761" s="660" t="str">
        <f t="shared" si="61"/>
        <v>UC</v>
      </c>
      <c r="N761" s="660" t="str">
        <f t="shared" si="62"/>
        <v>IAAS</v>
      </c>
      <c r="O761" s="659" t="str">
        <f t="shared" si="63"/>
        <v/>
      </c>
    </row>
    <row r="762" spans="1:15">
      <c r="A762" t="s">
        <v>2785</v>
      </c>
      <c r="B762" t="s">
        <v>3041</v>
      </c>
      <c r="C762">
        <v>0.1</v>
      </c>
      <c r="D762">
        <v>0.1</v>
      </c>
      <c r="E762" t="s">
        <v>2232</v>
      </c>
      <c r="F762" t="s">
        <v>2290</v>
      </c>
      <c r="G762" s="659" t="s">
        <v>1835</v>
      </c>
      <c r="H762" s="659" t="s">
        <v>2394</v>
      </c>
      <c r="I762" s="659" t="s">
        <v>1636</v>
      </c>
      <c r="J762" s="659" t="s">
        <v>2158</v>
      </c>
      <c r="K762" s="662" t="str">
        <f t="shared" si="59"/>
        <v>Compute</v>
      </c>
      <c r="L762" s="660" t="str">
        <f t="shared" si="60"/>
        <v>UNIT</v>
      </c>
      <c r="M762" s="660" t="str">
        <f t="shared" si="61"/>
        <v>UC</v>
      </c>
      <c r="N762" s="660" t="str">
        <f t="shared" si="62"/>
        <v>IAAS</v>
      </c>
      <c r="O762" s="659" t="str">
        <f t="shared" si="63"/>
        <v/>
      </c>
    </row>
    <row r="763" spans="1:15">
      <c r="A763" t="s">
        <v>2650</v>
      </c>
      <c r="B763" t="s">
        <v>2651</v>
      </c>
      <c r="C763">
        <v>3.05</v>
      </c>
      <c r="D763">
        <v>3.05</v>
      </c>
      <c r="E763" t="s">
        <v>2191</v>
      </c>
      <c r="F763" t="s">
        <v>2290</v>
      </c>
      <c r="G763" s="659" t="s">
        <v>1835</v>
      </c>
      <c r="H763" s="659" t="s">
        <v>2161</v>
      </c>
      <c r="I763" s="659" t="s">
        <v>1636</v>
      </c>
      <c r="J763" s="659" t="s">
        <v>2158</v>
      </c>
      <c r="K763" s="662" t="str">
        <f t="shared" si="59"/>
        <v>Compute</v>
      </c>
      <c r="L763" s="660" t="str">
        <f t="shared" si="60"/>
        <v>HR</v>
      </c>
      <c r="M763" s="660" t="str">
        <f t="shared" si="61"/>
        <v>UC</v>
      </c>
      <c r="N763" s="660" t="str">
        <f t="shared" si="62"/>
        <v>IAAS</v>
      </c>
      <c r="O763" s="659" t="str">
        <f t="shared" si="63"/>
        <v/>
      </c>
    </row>
    <row r="764" spans="1:15">
      <c r="A764" t="s">
        <v>2670</v>
      </c>
      <c r="B764" t="s">
        <v>2671</v>
      </c>
      <c r="C764">
        <v>0</v>
      </c>
      <c r="D764">
        <v>3.05</v>
      </c>
      <c r="E764" t="s">
        <v>2191</v>
      </c>
      <c r="F764" t="s">
        <v>2290</v>
      </c>
      <c r="G764" s="659" t="s">
        <v>1835</v>
      </c>
      <c r="H764" s="659" t="s">
        <v>2161</v>
      </c>
      <c r="I764" s="659" t="s">
        <v>1636</v>
      </c>
      <c r="J764" s="659" t="s">
        <v>2158</v>
      </c>
      <c r="K764" s="662" t="str">
        <f t="shared" si="59"/>
        <v>Compute</v>
      </c>
      <c r="L764" s="660" t="str">
        <f t="shared" si="60"/>
        <v>HR</v>
      </c>
      <c r="M764" s="660" t="str">
        <f t="shared" si="61"/>
        <v>UC</v>
      </c>
      <c r="N764" s="660" t="str">
        <f t="shared" si="62"/>
        <v>IAAS</v>
      </c>
      <c r="O764" s="659" t="str">
        <f t="shared" si="63"/>
        <v/>
      </c>
    </row>
    <row r="765" spans="1:15">
      <c r="A765" t="s">
        <v>2672</v>
      </c>
      <c r="B765" t="s">
        <v>2673</v>
      </c>
      <c r="C765">
        <v>0.50180000000000002</v>
      </c>
      <c r="D765">
        <v>0.50180000000000002</v>
      </c>
      <c r="E765" t="s">
        <v>2674</v>
      </c>
      <c r="F765" t="s">
        <v>2290</v>
      </c>
      <c r="G765" s="659" t="s">
        <v>1839</v>
      </c>
      <c r="H765" s="659" t="s">
        <v>2161</v>
      </c>
      <c r="I765" s="659" t="s">
        <v>1636</v>
      </c>
      <c r="J765" s="659" t="s">
        <v>2159</v>
      </c>
      <c r="K765" s="662" t="str">
        <f t="shared" si="59"/>
        <v>Analytics</v>
      </c>
      <c r="L765" s="660" t="str">
        <f t="shared" si="60"/>
        <v>HR</v>
      </c>
      <c r="M765" s="660" t="str">
        <f t="shared" si="61"/>
        <v>UC</v>
      </c>
      <c r="N765" s="660" t="str">
        <f t="shared" si="62"/>
        <v>PAAS</v>
      </c>
      <c r="O765" s="659" t="str">
        <f t="shared" si="63"/>
        <v/>
      </c>
    </row>
    <row r="766" spans="1:15">
      <c r="A766" t="s">
        <v>2675</v>
      </c>
      <c r="B766" t="s">
        <v>2676</v>
      </c>
      <c r="C766">
        <v>0.50180000000000002</v>
      </c>
      <c r="D766">
        <v>0.50180000000000002</v>
      </c>
      <c r="E766" t="s">
        <v>2674</v>
      </c>
      <c r="F766" t="s">
        <v>2290</v>
      </c>
      <c r="G766" s="659" t="s">
        <v>2309</v>
      </c>
      <c r="H766" s="659" t="s">
        <v>2161</v>
      </c>
      <c r="I766" s="659" t="s">
        <v>1636</v>
      </c>
      <c r="J766" s="659" t="s">
        <v>2159</v>
      </c>
      <c r="K766" s="662" t="str">
        <f t="shared" si="59"/>
        <v>DBaaS</v>
      </c>
      <c r="L766" s="660" t="str">
        <f t="shared" si="60"/>
        <v>HR</v>
      </c>
      <c r="M766" s="660" t="str">
        <f t="shared" si="61"/>
        <v>UC</v>
      </c>
      <c r="N766" s="660" t="str">
        <f t="shared" si="62"/>
        <v>PAAS</v>
      </c>
      <c r="O766" s="659" t="str">
        <f t="shared" si="63"/>
        <v/>
      </c>
    </row>
    <row r="767" spans="1:15">
      <c r="A767" t="s">
        <v>2743</v>
      </c>
      <c r="B767" t="s">
        <v>2744</v>
      </c>
      <c r="C767">
        <v>0.02</v>
      </c>
      <c r="D767">
        <v>0.02</v>
      </c>
      <c r="E767" t="s">
        <v>2657</v>
      </c>
      <c r="F767" t="s">
        <v>2290</v>
      </c>
      <c r="G767" s="659" t="s">
        <v>1840</v>
      </c>
      <c r="H767" s="659" t="s">
        <v>2161</v>
      </c>
      <c r="I767" s="659" t="s">
        <v>1636</v>
      </c>
      <c r="J767" s="659" t="s">
        <v>2158</v>
      </c>
      <c r="K767" s="662" t="str">
        <f t="shared" si="59"/>
        <v>Storage</v>
      </c>
      <c r="L767" s="660" t="str">
        <f t="shared" si="60"/>
        <v>HR</v>
      </c>
      <c r="M767" s="660" t="str">
        <f t="shared" si="61"/>
        <v>UC</v>
      </c>
      <c r="N767" s="660" t="str">
        <f t="shared" si="62"/>
        <v>IAAS</v>
      </c>
      <c r="O767" s="659" t="str">
        <f t="shared" si="63"/>
        <v/>
      </c>
    </row>
    <row r="768" spans="1:15">
      <c r="A768" t="s">
        <v>2677</v>
      </c>
      <c r="B768" t="s">
        <v>2678</v>
      </c>
      <c r="C768">
        <v>0</v>
      </c>
      <c r="D768">
        <v>36</v>
      </c>
      <c r="E768" t="s">
        <v>49</v>
      </c>
      <c r="F768" t="s">
        <v>2290</v>
      </c>
      <c r="G768" s="659" t="s">
        <v>2160</v>
      </c>
      <c r="H768" s="659" t="s">
        <v>2161</v>
      </c>
      <c r="I768" s="659" t="s">
        <v>2160</v>
      </c>
      <c r="J768" s="659" t="s">
        <v>2160</v>
      </c>
      <c r="K768" s="662" t="str">
        <f t="shared" si="59"/>
        <v>CC</v>
      </c>
      <c r="L768" s="660" t="str">
        <f t="shared" si="60"/>
        <v>HR</v>
      </c>
      <c r="M768" s="660" t="str">
        <f t="shared" si="61"/>
        <v>CC</v>
      </c>
      <c r="N768" s="660" t="str">
        <f t="shared" si="62"/>
        <v>CC</v>
      </c>
      <c r="O768" s="659" t="str">
        <f t="shared" si="63"/>
        <v/>
      </c>
    </row>
    <row r="769" spans="1:15">
      <c r="A769" t="s">
        <v>2679</v>
      </c>
      <c r="B769" t="s">
        <v>2680</v>
      </c>
      <c r="C769">
        <v>0</v>
      </c>
      <c r="D769">
        <v>36</v>
      </c>
      <c r="E769" t="s">
        <v>1154</v>
      </c>
      <c r="F769" t="s">
        <v>2290</v>
      </c>
      <c r="G769" s="659" t="s">
        <v>2160</v>
      </c>
      <c r="H769" s="659" t="s">
        <v>2397</v>
      </c>
      <c r="I769" s="659" t="s">
        <v>2160</v>
      </c>
      <c r="J769" s="659" t="s">
        <v>2160</v>
      </c>
      <c r="K769" s="662" t="str">
        <f t="shared" si="59"/>
        <v>CC</v>
      </c>
      <c r="L769" s="660" t="str">
        <f t="shared" si="60"/>
        <v>EA</v>
      </c>
      <c r="M769" s="660" t="str">
        <f t="shared" si="61"/>
        <v>CC</v>
      </c>
      <c r="N769" s="660" t="str">
        <f t="shared" si="62"/>
        <v>CC</v>
      </c>
      <c r="O769" s="659" t="str">
        <f t="shared" si="63"/>
        <v/>
      </c>
    </row>
    <row r="770" spans="1:15">
      <c r="A770" t="s">
        <v>2681</v>
      </c>
      <c r="B770" t="s">
        <v>2682</v>
      </c>
      <c r="C770">
        <v>0</v>
      </c>
      <c r="D770">
        <v>0</v>
      </c>
      <c r="E770" t="s">
        <v>49</v>
      </c>
      <c r="F770" t="s">
        <v>2290</v>
      </c>
      <c r="G770" s="659" t="s">
        <v>2309</v>
      </c>
      <c r="H770" s="659" t="s">
        <v>2161</v>
      </c>
      <c r="I770" s="659" t="s">
        <v>1636</v>
      </c>
      <c r="J770" s="659" t="s">
        <v>2159</v>
      </c>
      <c r="K770" s="662" t="str">
        <f t="shared" si="59"/>
        <v>DBaaS</v>
      </c>
      <c r="L770" s="660" t="str">
        <f t="shared" si="60"/>
        <v>HR</v>
      </c>
      <c r="M770" s="660" t="str">
        <f t="shared" si="61"/>
        <v>UC</v>
      </c>
      <c r="N770" s="660" t="str">
        <f t="shared" si="62"/>
        <v>PAAS</v>
      </c>
      <c r="O770" s="659" t="str">
        <f t="shared" si="63"/>
        <v/>
      </c>
    </row>
    <row r="771" spans="1:15">
      <c r="A771" t="s">
        <v>3042</v>
      </c>
      <c r="B771" t="s">
        <v>3043</v>
      </c>
      <c r="C771">
        <v>0</v>
      </c>
      <c r="D771">
        <v>1.4999999999999999E-2</v>
      </c>
      <c r="E771" t="s">
        <v>2761</v>
      </c>
      <c r="F771" t="s">
        <v>2290</v>
      </c>
      <c r="G771" s="659" t="s">
        <v>2309</v>
      </c>
      <c r="H771" s="659" t="s">
        <v>2161</v>
      </c>
      <c r="I771" s="659" t="s">
        <v>1636</v>
      </c>
      <c r="J771" s="659" t="s">
        <v>2159</v>
      </c>
      <c r="K771" s="662" t="str">
        <f t="shared" si="59"/>
        <v>DBaaS</v>
      </c>
      <c r="L771" s="660" t="str">
        <f t="shared" si="60"/>
        <v>HR</v>
      </c>
      <c r="M771" s="660" t="str">
        <f t="shared" si="61"/>
        <v>UC</v>
      </c>
      <c r="N771" s="660" t="str">
        <f t="shared" si="62"/>
        <v>PAAS</v>
      </c>
      <c r="O771" s="659" t="str">
        <f t="shared" si="63"/>
        <v/>
      </c>
    </row>
    <row r="772" spans="1:15">
      <c r="A772" t="s">
        <v>2683</v>
      </c>
      <c r="B772" t="s">
        <v>2684</v>
      </c>
      <c r="C772">
        <v>0</v>
      </c>
      <c r="D772">
        <v>0</v>
      </c>
      <c r="E772" t="s">
        <v>49</v>
      </c>
      <c r="F772" t="s">
        <v>2290</v>
      </c>
      <c r="G772" s="659" t="s">
        <v>2309</v>
      </c>
      <c r="H772" s="659" t="s">
        <v>2394</v>
      </c>
      <c r="I772" s="659" t="s">
        <v>1636</v>
      </c>
      <c r="J772" s="659" t="s">
        <v>2159</v>
      </c>
      <c r="K772" s="662" t="str">
        <f t="shared" ref="K772:K819" si="64">_xlfn.IFS(
ISNUMBER(SEARCH("Day",E772)),"Consulting",
ISNUMBER(SEARCH("Starter Pack",B772)),"Consulting",
ISNUMBER(SEARCH("Design",B772)),"Consulting",
ISNUMBER(SEARCH("Deploy",B772)),"Consulting",
ISNUMBER(SEARCH("Expert",B772)),"Consulting",
ISNUMBER(SEARCH("Installation",B772)),"Consulting",
ISNUMBER(SEARCH("Recommendation",B772)),"Consulting",
ISNUMBER(SEARCH("Transition",B772)),"Consulting",
ISNUMBER(SEARCH("Transition",B772)),"Support",
ISNUMBER(SEARCH("Transition",B772)),"Foundation Service",
ISNUMBER(SEARCH("Consulting",B772)),"Consulting",
ISNUMBER(SEARCH("in Advance",B772)),"New",
ISNUMBER(SEARCH("Universal Credits",B772)),"UC",
ISNUMBER(SEARCH("Ravello",B772)),"Deprecated",
ISNUMBER(SEARCH("Cloud Machine",B772)),"Deprecated",
ISNUMBER(SEARCH("Compute",B772)),"Compute",
ISNUMBER(SEARCH("Load Balancer",B772)),"Network",
ISNUMBER(SEARCH("FastConnect",B772)),"Network",
ISNUMBER(SEARCH("Database OCPU",B772)),"CC OCPU",
ISNUMBER(SEARCH("at Customer",B772)),"CC",
ISNUMBER(SEARCH("Cloud@Customer",B772)),"CC",
ISNUMBER(SEARCH("Exadata Storage",B772)),"Exa Storage",
ISNUMBER(SEARCH("Storage",B772)),"Storage",
ISNUMBER(SEARCH("Block ",B772)),"Storage",
ISNUMBER(SEARCH("Autonomous Data Warehouse",B772)),"ADW",
ISNUMBER(SEARCH("Autonomous Transaction Processing",B772)),"ATP",
ISNUMBER(SEARCH("Database Exadata",B772)),"ExaCS",
ISNUMBER(SEARCH("Database",B772)),"DBaaS",
ISNUMBER(SEARCH("Essbase",B772)),"DBaaS",
ISNUMBER(SEARCH("integration",B772)),"Integration",
ISNUMBER(SEARCH("SOA",B772)),"Integration",
ISNUMBER(SEARCH("Management Cloud",B772)),"Management",
ISNUMBER(SEARCH("Analytics",B772)),"Analytics",
ISNUMBER(SEARCH("Storage",B772)),"Storage",
ISNUMBER(SEARCH("Block ",B772)),"Storage",
ISNUMBER(SEARCH("Identity",B772)),"Platform",
ISNUMBER(SEARCH("Content",B772)),"Platform",
ISNUMBER(SEARCH("Weblogic",B772)),"Platform",
ISNUMBER(SEARCH("Digital Assistant",B772)),"Platform",
ISNUMBER(SEARCH("Limited",B772)),"Classic",
ISNUMBER(SEARCH("Classic",B772)),"Classic",
ISNUMBER(SEARCH("Government",B772)),"Government",
ISNUMBER(SEARCH("Metered",B772)),"Deprecated",
VALUE(RIGHT(A772,5))&lt;88206,"Deprecated",
TRUE,"Platform")</f>
        <v>DBaaS</v>
      </c>
      <c r="L772" s="660" t="str">
        <f t="shared" si="60"/>
        <v>HR</v>
      </c>
      <c r="M772" s="660" t="str">
        <f t="shared" si="61"/>
        <v>UC</v>
      </c>
      <c r="N772" s="660" t="str">
        <f t="shared" si="62"/>
        <v>PAAS</v>
      </c>
      <c r="O772" s="659" t="str">
        <f t="shared" si="63"/>
        <v/>
      </c>
    </row>
    <row r="773" spans="1:15">
      <c r="A773" t="s">
        <v>3044</v>
      </c>
      <c r="B773" t="s">
        <v>3045</v>
      </c>
      <c r="C773">
        <v>1.4999999999999999E-2</v>
      </c>
      <c r="D773">
        <v>1.4999999999999999E-2</v>
      </c>
      <c r="E773" t="s">
        <v>2761</v>
      </c>
      <c r="F773" t="s">
        <v>2290</v>
      </c>
      <c r="G773" s="659" t="s">
        <v>2309</v>
      </c>
      <c r="H773" s="659" t="s">
        <v>2161</v>
      </c>
      <c r="I773" s="659" t="s">
        <v>1636</v>
      </c>
      <c r="J773" s="659" t="s">
        <v>2159</v>
      </c>
      <c r="K773" s="662" t="str">
        <f t="shared" si="64"/>
        <v>DBaaS</v>
      </c>
      <c r="L773" s="660" t="str">
        <f t="shared" si="60"/>
        <v>HR</v>
      </c>
      <c r="M773" s="660" t="str">
        <f t="shared" si="61"/>
        <v>UC</v>
      </c>
      <c r="N773" s="660" t="str">
        <f t="shared" si="62"/>
        <v>PAAS</v>
      </c>
      <c r="O773" s="659" t="str">
        <f t="shared" si="63"/>
        <v/>
      </c>
    </row>
    <row r="774" spans="1:15">
      <c r="A774" t="s">
        <v>2715</v>
      </c>
      <c r="B774" t="s">
        <v>2716</v>
      </c>
      <c r="C774">
        <v>0.3226</v>
      </c>
      <c r="D774">
        <v>0.3226</v>
      </c>
      <c r="E774" t="s">
        <v>49</v>
      </c>
      <c r="F774" t="s">
        <v>2290</v>
      </c>
      <c r="G774" s="659" t="s">
        <v>2392</v>
      </c>
      <c r="H774" s="659" t="s">
        <v>2161</v>
      </c>
      <c r="I774" s="659" t="s">
        <v>1636</v>
      </c>
      <c r="J774" s="659" t="s">
        <v>2159</v>
      </c>
      <c r="K774" s="662" t="str">
        <f t="shared" si="64"/>
        <v>Platform</v>
      </c>
      <c r="L774" s="660" t="str">
        <f t="shared" si="60"/>
        <v>HR</v>
      </c>
      <c r="M774" s="660" t="str">
        <f t="shared" si="61"/>
        <v>UC</v>
      </c>
      <c r="N774" s="660" t="str">
        <f t="shared" si="62"/>
        <v>PAAS</v>
      </c>
      <c r="O774" s="659" t="str">
        <f t="shared" si="63"/>
        <v/>
      </c>
    </row>
    <row r="775" spans="1:15">
      <c r="A775" t="s">
        <v>2685</v>
      </c>
      <c r="B775" t="s">
        <v>2686</v>
      </c>
      <c r="C775">
        <v>0.2581</v>
      </c>
      <c r="D775">
        <v>0.2581</v>
      </c>
      <c r="E775" t="s">
        <v>49</v>
      </c>
      <c r="F775" t="s">
        <v>2290</v>
      </c>
      <c r="G775" s="659" t="s">
        <v>2392</v>
      </c>
      <c r="H775" s="659" t="s">
        <v>2161</v>
      </c>
      <c r="I775" s="659" t="s">
        <v>1636</v>
      </c>
      <c r="J775" s="659" t="s">
        <v>2159</v>
      </c>
      <c r="K775" s="662" t="str">
        <f t="shared" si="64"/>
        <v>Platform</v>
      </c>
      <c r="L775" s="660" t="str">
        <f t="shared" si="60"/>
        <v>HR</v>
      </c>
      <c r="M775" s="660" t="str">
        <f t="shared" si="61"/>
        <v>UC</v>
      </c>
      <c r="N775" s="660" t="str">
        <f t="shared" si="62"/>
        <v>PAAS</v>
      </c>
      <c r="O775" s="659" t="str">
        <f t="shared" si="63"/>
        <v/>
      </c>
    </row>
    <row r="776" spans="1:15">
      <c r="A776" t="s">
        <v>2687</v>
      </c>
      <c r="B776" t="s">
        <v>2688</v>
      </c>
      <c r="C776">
        <v>0.72270000000000001</v>
      </c>
      <c r="D776">
        <v>0.72270000000000001</v>
      </c>
      <c r="E776" t="s">
        <v>49</v>
      </c>
      <c r="F776" t="s">
        <v>2290</v>
      </c>
      <c r="G776" s="659" t="s">
        <v>2392</v>
      </c>
      <c r="H776" s="659" t="s">
        <v>2161</v>
      </c>
      <c r="I776" s="659" t="s">
        <v>1636</v>
      </c>
      <c r="J776" s="659" t="s">
        <v>2159</v>
      </c>
      <c r="K776" s="662" t="str">
        <f t="shared" si="64"/>
        <v>Platform</v>
      </c>
      <c r="L776" s="660" t="str">
        <f t="shared" si="60"/>
        <v>HR</v>
      </c>
      <c r="M776" s="660" t="str">
        <f t="shared" si="61"/>
        <v>UC</v>
      </c>
      <c r="N776" s="660" t="str">
        <f t="shared" si="62"/>
        <v>PAAS</v>
      </c>
      <c r="O776" s="659" t="str">
        <f t="shared" si="63"/>
        <v/>
      </c>
    </row>
    <row r="777" spans="1:15">
      <c r="A777" t="s">
        <v>2922</v>
      </c>
      <c r="B777" t="s">
        <v>2923</v>
      </c>
      <c r="C777">
        <v>0</v>
      </c>
      <c r="D777">
        <v>0.5</v>
      </c>
      <c r="E777" t="s">
        <v>2657</v>
      </c>
      <c r="F777" t="s">
        <v>2290</v>
      </c>
      <c r="G777" s="659" t="s">
        <v>1840</v>
      </c>
      <c r="H777" s="659" t="s">
        <v>2161</v>
      </c>
      <c r="I777" s="659" t="s">
        <v>1636</v>
      </c>
      <c r="J777" s="659" t="s">
        <v>2158</v>
      </c>
      <c r="K777" s="662" t="str">
        <f t="shared" si="64"/>
        <v>Storage</v>
      </c>
      <c r="L777" s="660" t="str">
        <f t="shared" si="60"/>
        <v>HR</v>
      </c>
      <c r="M777" s="660" t="str">
        <f t="shared" si="61"/>
        <v>UC</v>
      </c>
      <c r="N777" s="660" t="str">
        <f t="shared" si="62"/>
        <v>IAAS</v>
      </c>
      <c r="O777" s="659" t="str">
        <f t="shared" si="63"/>
        <v/>
      </c>
    </row>
    <row r="778" spans="1:15">
      <c r="A778" t="s">
        <v>2924</v>
      </c>
      <c r="B778" t="s">
        <v>2925</v>
      </c>
      <c r="C778">
        <v>0</v>
      </c>
      <c r="D778">
        <v>0.02</v>
      </c>
      <c r="E778" t="s">
        <v>2657</v>
      </c>
      <c r="F778" t="s">
        <v>2290</v>
      </c>
      <c r="G778" s="659" t="s">
        <v>1840</v>
      </c>
      <c r="H778" s="659" t="s">
        <v>2161</v>
      </c>
      <c r="I778" s="659" t="s">
        <v>1636</v>
      </c>
      <c r="J778" s="659" t="s">
        <v>2158</v>
      </c>
      <c r="K778" s="662" t="str">
        <f t="shared" si="64"/>
        <v>Storage</v>
      </c>
      <c r="L778" s="660" t="str">
        <f t="shared" si="60"/>
        <v>HR</v>
      </c>
      <c r="M778" s="660" t="str">
        <f t="shared" si="61"/>
        <v>UC</v>
      </c>
      <c r="N778" s="660" t="str">
        <f t="shared" si="62"/>
        <v>IAAS</v>
      </c>
      <c r="O778" s="659" t="str">
        <f t="shared" si="63"/>
        <v/>
      </c>
    </row>
    <row r="779" spans="1:15">
      <c r="A779" t="s">
        <v>2655</v>
      </c>
      <c r="B779" t="s">
        <v>2656</v>
      </c>
      <c r="C779">
        <v>0.5</v>
      </c>
      <c r="D779">
        <v>0.5</v>
      </c>
      <c r="E779" t="s">
        <v>2657</v>
      </c>
      <c r="F779" t="s">
        <v>2290</v>
      </c>
      <c r="G779" s="659" t="s">
        <v>1840</v>
      </c>
      <c r="H779" s="659" t="s">
        <v>2161</v>
      </c>
      <c r="I779" s="659" t="s">
        <v>1636</v>
      </c>
      <c r="J779" s="659" t="s">
        <v>2158</v>
      </c>
      <c r="K779" s="662" t="str">
        <f t="shared" si="64"/>
        <v>Storage</v>
      </c>
      <c r="L779" s="660" t="str">
        <f t="shared" ref="L779:L842" si="65">_xlfn.IFS(ISNUMBER(SEARCH("Hour",E779)),"HR",ISNUMBER(SEARCH("Gigabyte",E779)),"GB",ISNUMBER(SEARCH("Terabyte",E779)),"TB",ISNUMBER(SEARCH("Requests",E779)),"REQ",ISNUMBER(SEARCH("Each",E779)),"EA",ISNUMBER(SEARCH("Day",E779)),"DAY","TRUE","UNIT")</f>
        <v>HR</v>
      </c>
      <c r="M779" s="660" t="str">
        <f t="shared" ref="M779:M842" si="66">_xlfn.IFS(K779="CC","CC",K779="Consulting","SRV",F779="Y","UC0",TRUE,"UC")</f>
        <v>UC</v>
      </c>
      <c r="N779" s="660" t="str">
        <f t="shared" ref="N779:N842" si="67">_xlfn.IFS(ISNUMBER(SEARCH("BYOL",B779)),"BYOL",K779="Storage","IAAS",K779="Compute","IAAS",K779="Network","IAAS",K779="Service","IAAS",M779="SRV","SRV",M779="CC","CC",L779="REQ","IAAS",TRUE,"PAAS")</f>
        <v>IAAS</v>
      </c>
      <c r="O779" s="659" t="str">
        <f t="shared" ref="O779:O842" si="68">IF(G779=K779,"","error")</f>
        <v/>
      </c>
    </row>
    <row r="780" spans="1:15">
      <c r="A780" t="s">
        <v>2926</v>
      </c>
      <c r="B780" t="s">
        <v>2927</v>
      </c>
      <c r="C780">
        <v>0</v>
      </c>
      <c r="D780">
        <v>0</v>
      </c>
      <c r="E780">
        <v>0</v>
      </c>
      <c r="F780" t="s">
        <v>2290</v>
      </c>
      <c r="G780" s="659" t="s">
        <v>2392</v>
      </c>
      <c r="H780" s="659" t="s">
        <v>2394</v>
      </c>
      <c r="I780" s="659" t="s">
        <v>1636</v>
      </c>
      <c r="J780" s="659" t="s">
        <v>2159</v>
      </c>
      <c r="K780" s="662" t="str">
        <f t="shared" si="64"/>
        <v>Platform</v>
      </c>
      <c r="L780" s="660" t="str">
        <f t="shared" si="65"/>
        <v>UNIT</v>
      </c>
      <c r="M780" s="660" t="str">
        <f t="shared" si="66"/>
        <v>UC</v>
      </c>
      <c r="N780" s="660" t="str">
        <f t="shared" si="67"/>
        <v>PAAS</v>
      </c>
      <c r="O780" s="659" t="str">
        <f t="shared" si="68"/>
        <v/>
      </c>
    </row>
    <row r="781" spans="1:15">
      <c r="A781" t="s">
        <v>2928</v>
      </c>
      <c r="B781" t="s">
        <v>2929</v>
      </c>
      <c r="C781">
        <v>0.65</v>
      </c>
      <c r="D781">
        <v>0.65</v>
      </c>
      <c r="E781" t="s">
        <v>2930</v>
      </c>
      <c r="F781" t="s">
        <v>2290</v>
      </c>
      <c r="G781" s="659" t="s">
        <v>2392</v>
      </c>
      <c r="H781" s="659" t="s">
        <v>2161</v>
      </c>
      <c r="I781" s="659" t="s">
        <v>1636</v>
      </c>
      <c r="J781" s="659" t="s">
        <v>2159</v>
      </c>
      <c r="K781" s="662" t="str">
        <f t="shared" si="64"/>
        <v>Platform</v>
      </c>
      <c r="L781" s="660" t="str">
        <f t="shared" si="65"/>
        <v>HR</v>
      </c>
      <c r="M781" s="660" t="str">
        <f t="shared" si="66"/>
        <v>UC</v>
      </c>
      <c r="N781" s="660" t="str">
        <f t="shared" si="67"/>
        <v>PAAS</v>
      </c>
      <c r="O781" s="659" t="str">
        <f t="shared" si="68"/>
        <v/>
      </c>
    </row>
    <row r="782" spans="1:15">
      <c r="A782" t="s">
        <v>2931</v>
      </c>
      <c r="B782" t="s">
        <v>2932</v>
      </c>
      <c r="C782">
        <v>0.02</v>
      </c>
      <c r="D782">
        <v>0.02</v>
      </c>
      <c r="E782" t="s">
        <v>2933</v>
      </c>
      <c r="F782" t="s">
        <v>2290</v>
      </c>
      <c r="G782" s="659" t="s">
        <v>2392</v>
      </c>
      <c r="H782" s="659" t="s">
        <v>2161</v>
      </c>
      <c r="I782" s="659" t="s">
        <v>1636</v>
      </c>
      <c r="J782" s="659" t="s">
        <v>2159</v>
      </c>
      <c r="K782" s="662" t="str">
        <f t="shared" si="64"/>
        <v>Platform</v>
      </c>
      <c r="L782" s="660" t="str">
        <f t="shared" si="65"/>
        <v>HR</v>
      </c>
      <c r="M782" s="660" t="str">
        <f t="shared" si="66"/>
        <v>UC</v>
      </c>
      <c r="N782" s="660" t="str">
        <f t="shared" si="67"/>
        <v>PAAS</v>
      </c>
      <c r="O782" s="659" t="str">
        <f t="shared" si="68"/>
        <v/>
      </c>
    </row>
    <row r="783" spans="1:15">
      <c r="A783" t="s">
        <v>2934</v>
      </c>
      <c r="B783" t="s">
        <v>2935</v>
      </c>
      <c r="C783">
        <v>0</v>
      </c>
      <c r="D783">
        <v>0</v>
      </c>
      <c r="E783">
        <v>0</v>
      </c>
      <c r="F783" t="s">
        <v>2290</v>
      </c>
      <c r="G783" s="659" t="s">
        <v>2400</v>
      </c>
      <c r="H783" s="659" t="s">
        <v>2394</v>
      </c>
      <c r="I783" s="659" t="s">
        <v>1636</v>
      </c>
      <c r="J783" s="659" t="s">
        <v>2159</v>
      </c>
      <c r="K783" s="662" t="str">
        <f t="shared" si="64"/>
        <v>Government</v>
      </c>
      <c r="L783" s="660" t="str">
        <f t="shared" si="65"/>
        <v>UNIT</v>
      </c>
      <c r="M783" s="660" t="str">
        <f t="shared" si="66"/>
        <v>UC</v>
      </c>
      <c r="N783" s="660" t="str">
        <f t="shared" si="67"/>
        <v>PAAS</v>
      </c>
      <c r="O783" s="659" t="str">
        <f t="shared" si="68"/>
        <v/>
      </c>
    </row>
    <row r="784" spans="1:15">
      <c r="A784" t="s">
        <v>2936</v>
      </c>
      <c r="B784" t="s">
        <v>2937</v>
      </c>
      <c r="C784">
        <v>0</v>
      </c>
      <c r="D784">
        <v>0.65</v>
      </c>
      <c r="E784" t="s">
        <v>2930</v>
      </c>
      <c r="F784" t="s">
        <v>2290</v>
      </c>
      <c r="G784" s="659" t="s">
        <v>2400</v>
      </c>
      <c r="H784" s="659" t="s">
        <v>2161</v>
      </c>
      <c r="I784" s="659" t="s">
        <v>1636</v>
      </c>
      <c r="J784" s="659" t="s">
        <v>2159</v>
      </c>
      <c r="K784" s="662" t="str">
        <f t="shared" si="64"/>
        <v>Government</v>
      </c>
      <c r="L784" s="660" t="str">
        <f t="shared" si="65"/>
        <v>HR</v>
      </c>
      <c r="M784" s="660" t="str">
        <f t="shared" si="66"/>
        <v>UC</v>
      </c>
      <c r="N784" s="660" t="str">
        <f t="shared" si="67"/>
        <v>PAAS</v>
      </c>
      <c r="O784" s="659" t="str">
        <f t="shared" si="68"/>
        <v/>
      </c>
    </row>
    <row r="785" spans="1:15">
      <c r="A785" t="s">
        <v>2938</v>
      </c>
      <c r="B785" t="s">
        <v>2939</v>
      </c>
      <c r="C785">
        <v>0</v>
      </c>
      <c r="D785">
        <v>0.02</v>
      </c>
      <c r="E785" t="s">
        <v>2933</v>
      </c>
      <c r="F785" t="s">
        <v>2290</v>
      </c>
      <c r="G785" s="659" t="s">
        <v>2400</v>
      </c>
      <c r="H785" s="659" t="s">
        <v>2161</v>
      </c>
      <c r="I785" s="659" t="s">
        <v>1636</v>
      </c>
      <c r="J785" s="659" t="s">
        <v>2159</v>
      </c>
      <c r="K785" s="662" t="str">
        <f t="shared" si="64"/>
        <v>Government</v>
      </c>
      <c r="L785" s="660" t="str">
        <f t="shared" si="65"/>
        <v>HR</v>
      </c>
      <c r="M785" s="660" t="str">
        <f t="shared" si="66"/>
        <v>UC</v>
      </c>
      <c r="N785" s="660" t="str">
        <f t="shared" si="67"/>
        <v>PAAS</v>
      </c>
      <c r="O785" s="659" t="str">
        <f t="shared" si="68"/>
        <v/>
      </c>
    </row>
    <row r="786" spans="1:15">
      <c r="A786" t="s">
        <v>2695</v>
      </c>
      <c r="B786" t="s">
        <v>2696</v>
      </c>
      <c r="C786">
        <v>3.7999999999999999E-2</v>
      </c>
      <c r="D786">
        <v>3.7999999999999999E-2</v>
      </c>
      <c r="E786" t="s">
        <v>49</v>
      </c>
      <c r="F786" t="s">
        <v>2290</v>
      </c>
      <c r="G786" s="659" t="s">
        <v>2309</v>
      </c>
      <c r="H786" s="659" t="s">
        <v>2161</v>
      </c>
      <c r="I786" s="659" t="s">
        <v>1636</v>
      </c>
      <c r="J786" s="659" t="s">
        <v>2159</v>
      </c>
      <c r="K786" s="662" t="str">
        <f t="shared" si="64"/>
        <v>DBaaS</v>
      </c>
      <c r="L786" s="660" t="str">
        <f t="shared" si="65"/>
        <v>HR</v>
      </c>
      <c r="M786" s="660" t="str">
        <f t="shared" si="66"/>
        <v>UC</v>
      </c>
      <c r="N786" s="660" t="str">
        <f t="shared" si="67"/>
        <v>PAAS</v>
      </c>
      <c r="O786" s="659" t="str">
        <f t="shared" si="68"/>
        <v/>
      </c>
    </row>
    <row r="787" spans="1:15">
      <c r="A787" t="s">
        <v>2697</v>
      </c>
      <c r="B787" t="s">
        <v>2698</v>
      </c>
      <c r="C787">
        <v>2.2000000000000001E-3</v>
      </c>
      <c r="D787">
        <v>2.2000000000000001E-3</v>
      </c>
      <c r="E787" t="s">
        <v>2294</v>
      </c>
      <c r="F787" t="s">
        <v>2290</v>
      </c>
      <c r="G787" s="659" t="s">
        <v>2309</v>
      </c>
      <c r="H787" s="659" t="s">
        <v>2161</v>
      </c>
      <c r="I787" s="659" t="s">
        <v>1636</v>
      </c>
      <c r="J787" s="659" t="s">
        <v>2159</v>
      </c>
      <c r="K787" s="662" t="str">
        <f t="shared" si="64"/>
        <v>DBaaS</v>
      </c>
      <c r="L787" s="660" t="str">
        <f t="shared" si="65"/>
        <v>HR</v>
      </c>
      <c r="M787" s="660" t="str">
        <f t="shared" si="66"/>
        <v>UC</v>
      </c>
      <c r="N787" s="660" t="str">
        <f t="shared" si="67"/>
        <v>PAAS</v>
      </c>
      <c r="O787" s="659" t="str">
        <f t="shared" si="68"/>
        <v/>
      </c>
    </row>
    <row r="788" spans="1:15">
      <c r="A788" t="s">
        <v>2940</v>
      </c>
      <c r="B788" t="s">
        <v>2941</v>
      </c>
      <c r="C788">
        <v>0</v>
      </c>
      <c r="D788">
        <v>0.2581</v>
      </c>
      <c r="E788" t="s">
        <v>49</v>
      </c>
      <c r="F788" t="s">
        <v>2290</v>
      </c>
      <c r="G788" s="659" t="s">
        <v>2392</v>
      </c>
      <c r="H788" s="659" t="s">
        <v>2161</v>
      </c>
      <c r="I788" s="659" t="s">
        <v>1636</v>
      </c>
      <c r="J788" s="659" t="s">
        <v>2159</v>
      </c>
      <c r="K788" s="662" t="str">
        <f t="shared" si="64"/>
        <v>Platform</v>
      </c>
      <c r="L788" s="660" t="str">
        <f t="shared" si="65"/>
        <v>HR</v>
      </c>
      <c r="M788" s="660" t="str">
        <f t="shared" si="66"/>
        <v>UC</v>
      </c>
      <c r="N788" s="660" t="str">
        <f t="shared" si="67"/>
        <v>PAAS</v>
      </c>
      <c r="O788" s="659" t="str">
        <f t="shared" si="68"/>
        <v/>
      </c>
    </row>
    <row r="789" spans="1:15">
      <c r="A789" t="s">
        <v>2942</v>
      </c>
      <c r="B789" t="s">
        <v>2943</v>
      </c>
      <c r="C789">
        <v>0</v>
      </c>
      <c r="D789">
        <v>0.72270000000000001</v>
      </c>
      <c r="E789" t="s">
        <v>49</v>
      </c>
      <c r="F789" t="s">
        <v>2290</v>
      </c>
      <c r="G789" s="659" t="s">
        <v>2392</v>
      </c>
      <c r="H789" s="659" t="s">
        <v>2161</v>
      </c>
      <c r="I789" s="659" t="s">
        <v>1636</v>
      </c>
      <c r="J789" s="659" t="s">
        <v>2159</v>
      </c>
      <c r="K789" s="662" t="str">
        <f t="shared" si="64"/>
        <v>Platform</v>
      </c>
      <c r="L789" s="660" t="str">
        <f t="shared" si="65"/>
        <v>HR</v>
      </c>
      <c r="M789" s="660" t="str">
        <f t="shared" si="66"/>
        <v>UC</v>
      </c>
      <c r="N789" s="660" t="str">
        <f t="shared" si="67"/>
        <v>PAAS</v>
      </c>
      <c r="O789" s="659" t="str">
        <f t="shared" si="68"/>
        <v/>
      </c>
    </row>
    <row r="790" spans="1:15">
      <c r="A790" t="s">
        <v>2711</v>
      </c>
      <c r="B790" t="s">
        <v>2944</v>
      </c>
      <c r="C790">
        <v>1.3441000000000001</v>
      </c>
      <c r="D790">
        <v>1.3441000000000001</v>
      </c>
      <c r="E790" t="s">
        <v>49</v>
      </c>
      <c r="F790" t="s">
        <v>2290</v>
      </c>
      <c r="G790" s="659" t="s">
        <v>2392</v>
      </c>
      <c r="H790" s="659" t="s">
        <v>2161</v>
      </c>
      <c r="I790" s="659" t="s">
        <v>1636</v>
      </c>
      <c r="J790" s="659" t="s">
        <v>2159</v>
      </c>
      <c r="K790" s="662" t="str">
        <f t="shared" si="64"/>
        <v>Platform</v>
      </c>
      <c r="L790" s="660" t="str">
        <f t="shared" si="65"/>
        <v>HR</v>
      </c>
      <c r="M790" s="660" t="str">
        <f t="shared" si="66"/>
        <v>UC</v>
      </c>
      <c r="N790" s="660" t="str">
        <f t="shared" si="67"/>
        <v>PAAS</v>
      </c>
      <c r="O790" s="659" t="str">
        <f t="shared" si="68"/>
        <v/>
      </c>
    </row>
    <row r="791" spans="1:15">
      <c r="A791" t="s">
        <v>2712</v>
      </c>
      <c r="B791" t="s">
        <v>2945</v>
      </c>
      <c r="C791">
        <v>0.3226</v>
      </c>
      <c r="D791">
        <v>0.3226</v>
      </c>
      <c r="E791" t="s">
        <v>49</v>
      </c>
      <c r="F791" t="s">
        <v>2290</v>
      </c>
      <c r="G791" s="659" t="s">
        <v>2392</v>
      </c>
      <c r="H791" s="659" t="s">
        <v>2161</v>
      </c>
      <c r="I791" s="659" t="s">
        <v>1636</v>
      </c>
      <c r="J791" s="659" t="s">
        <v>1338</v>
      </c>
      <c r="K791" s="662" t="str">
        <f t="shared" si="64"/>
        <v>Platform</v>
      </c>
      <c r="L791" s="660" t="str">
        <f t="shared" si="65"/>
        <v>HR</v>
      </c>
      <c r="M791" s="660" t="str">
        <f t="shared" si="66"/>
        <v>UC</v>
      </c>
      <c r="N791" s="660" t="str">
        <f t="shared" si="67"/>
        <v>BYOL</v>
      </c>
      <c r="O791" s="659" t="str">
        <f t="shared" si="68"/>
        <v/>
      </c>
    </row>
    <row r="792" spans="1:15">
      <c r="A792" t="s">
        <v>2717</v>
      </c>
      <c r="B792" t="s">
        <v>2745</v>
      </c>
      <c r="C792">
        <v>0</v>
      </c>
      <c r="D792">
        <v>0.01</v>
      </c>
      <c r="E792" t="s">
        <v>2175</v>
      </c>
      <c r="F792" t="s">
        <v>2290</v>
      </c>
      <c r="G792" s="659" t="s">
        <v>1840</v>
      </c>
      <c r="H792" s="659" t="s">
        <v>2162</v>
      </c>
      <c r="I792" s="659" t="s">
        <v>1636</v>
      </c>
      <c r="J792" s="659" t="s">
        <v>2158</v>
      </c>
      <c r="K792" s="662" t="str">
        <f t="shared" si="64"/>
        <v>Storage</v>
      </c>
      <c r="L792" s="660" t="str">
        <f t="shared" si="65"/>
        <v>GB</v>
      </c>
      <c r="M792" s="660" t="str">
        <f t="shared" si="66"/>
        <v>UC</v>
      </c>
      <c r="N792" s="660" t="str">
        <f t="shared" si="67"/>
        <v>IAAS</v>
      </c>
      <c r="O792" s="659" t="str">
        <f t="shared" si="68"/>
        <v/>
      </c>
    </row>
    <row r="793" spans="1:15">
      <c r="A793" t="s">
        <v>2718</v>
      </c>
      <c r="B793" t="s">
        <v>2746</v>
      </c>
      <c r="C793">
        <v>0</v>
      </c>
      <c r="D793">
        <v>0.01</v>
      </c>
      <c r="E793" t="s">
        <v>2175</v>
      </c>
      <c r="F793" t="s">
        <v>2290</v>
      </c>
      <c r="G793" s="659" t="s">
        <v>1840</v>
      </c>
      <c r="H793" s="659" t="s">
        <v>2162</v>
      </c>
      <c r="I793" s="659" t="s">
        <v>1636</v>
      </c>
      <c r="J793" s="659" t="s">
        <v>2158</v>
      </c>
      <c r="K793" s="662" t="str">
        <f t="shared" si="64"/>
        <v>Storage</v>
      </c>
      <c r="L793" s="660" t="str">
        <f t="shared" si="65"/>
        <v>GB</v>
      </c>
      <c r="M793" s="660" t="str">
        <f t="shared" si="66"/>
        <v>UC</v>
      </c>
      <c r="N793" s="660" t="str">
        <f t="shared" si="67"/>
        <v>IAAS</v>
      </c>
      <c r="O793" s="659" t="str">
        <f t="shared" si="68"/>
        <v/>
      </c>
    </row>
    <row r="794" spans="1:15">
      <c r="A794" t="s">
        <v>2747</v>
      </c>
      <c r="B794" t="s">
        <v>2748</v>
      </c>
      <c r="C794">
        <v>0</v>
      </c>
      <c r="D794">
        <v>0.01</v>
      </c>
      <c r="E794" t="s">
        <v>2175</v>
      </c>
      <c r="F794" t="s">
        <v>2290</v>
      </c>
      <c r="G794" s="659" t="s">
        <v>1840</v>
      </c>
      <c r="H794" s="659" t="s">
        <v>2162</v>
      </c>
      <c r="I794" s="659" t="s">
        <v>1636</v>
      </c>
      <c r="J794" s="659" t="s">
        <v>2158</v>
      </c>
      <c r="K794" s="662" t="str">
        <f t="shared" si="64"/>
        <v>Storage</v>
      </c>
      <c r="L794" s="660" t="str">
        <f t="shared" si="65"/>
        <v>GB</v>
      </c>
      <c r="M794" s="660" t="str">
        <f t="shared" si="66"/>
        <v>UC</v>
      </c>
      <c r="N794" s="660" t="str">
        <f t="shared" si="67"/>
        <v>IAAS</v>
      </c>
      <c r="O794" s="659" t="str">
        <f t="shared" si="68"/>
        <v/>
      </c>
    </row>
    <row r="795" spans="1:15">
      <c r="A795" t="s">
        <v>2749</v>
      </c>
      <c r="B795" t="s">
        <v>2750</v>
      </c>
      <c r="C795">
        <v>0</v>
      </c>
      <c r="D795">
        <v>0.01</v>
      </c>
      <c r="E795" t="s">
        <v>2175</v>
      </c>
      <c r="F795" t="s">
        <v>2290</v>
      </c>
      <c r="G795" s="659" t="s">
        <v>1840</v>
      </c>
      <c r="H795" s="659" t="s">
        <v>2162</v>
      </c>
      <c r="I795" s="659" t="s">
        <v>1636</v>
      </c>
      <c r="J795" s="659" t="s">
        <v>2158</v>
      </c>
      <c r="K795" s="662" t="str">
        <f t="shared" si="64"/>
        <v>Storage</v>
      </c>
      <c r="L795" s="660" t="str">
        <f t="shared" si="65"/>
        <v>GB</v>
      </c>
      <c r="M795" s="660" t="str">
        <f t="shared" si="66"/>
        <v>UC</v>
      </c>
      <c r="N795" s="660" t="str">
        <f t="shared" si="67"/>
        <v>IAAS</v>
      </c>
      <c r="O795" s="659" t="str">
        <f t="shared" si="68"/>
        <v/>
      </c>
    </row>
    <row r="796" spans="1:15">
      <c r="A796" t="s">
        <v>2766</v>
      </c>
      <c r="B796" t="s">
        <v>2767</v>
      </c>
      <c r="C796">
        <v>0</v>
      </c>
      <c r="D796">
        <v>1.4999999999999999E-2</v>
      </c>
      <c r="E796" t="s">
        <v>2846</v>
      </c>
      <c r="F796" t="s">
        <v>2290</v>
      </c>
      <c r="G796" s="659" t="s">
        <v>2392</v>
      </c>
      <c r="H796" s="659" t="s">
        <v>2394</v>
      </c>
      <c r="I796" s="659" t="s">
        <v>1636</v>
      </c>
      <c r="J796" s="659" t="s">
        <v>2159</v>
      </c>
      <c r="K796" s="662" t="str">
        <f t="shared" si="64"/>
        <v>Platform</v>
      </c>
      <c r="L796" s="660" t="str">
        <f t="shared" si="65"/>
        <v>UNIT</v>
      </c>
      <c r="M796" s="660" t="str">
        <f t="shared" si="66"/>
        <v>UC</v>
      </c>
      <c r="N796" s="660" t="str">
        <f t="shared" si="67"/>
        <v>PAAS</v>
      </c>
      <c r="O796" s="659" t="str">
        <f t="shared" si="68"/>
        <v/>
      </c>
    </row>
    <row r="797" spans="1:15">
      <c r="A797" t="s">
        <v>2768</v>
      </c>
      <c r="B797" t="s">
        <v>2769</v>
      </c>
      <c r="C797">
        <v>0</v>
      </c>
      <c r="D797">
        <v>4.4999999999999998E-2</v>
      </c>
      <c r="E797" t="s">
        <v>2846</v>
      </c>
      <c r="F797" t="s">
        <v>2290</v>
      </c>
      <c r="G797" s="659" t="s">
        <v>2392</v>
      </c>
      <c r="H797" s="659" t="s">
        <v>2394</v>
      </c>
      <c r="I797" s="659" t="s">
        <v>1636</v>
      </c>
      <c r="J797" s="659" t="s">
        <v>2159</v>
      </c>
      <c r="K797" s="662" t="str">
        <f t="shared" si="64"/>
        <v>Platform</v>
      </c>
      <c r="L797" s="660" t="str">
        <f t="shared" si="65"/>
        <v>UNIT</v>
      </c>
      <c r="M797" s="660" t="str">
        <f t="shared" si="66"/>
        <v>UC</v>
      </c>
      <c r="N797" s="660" t="str">
        <f t="shared" si="67"/>
        <v>PAAS</v>
      </c>
      <c r="O797" s="659" t="str">
        <f t="shared" si="68"/>
        <v/>
      </c>
    </row>
    <row r="798" spans="1:15">
      <c r="A798" t="s">
        <v>2770</v>
      </c>
      <c r="B798" t="s">
        <v>2771</v>
      </c>
      <c r="C798">
        <v>0</v>
      </c>
      <c r="D798">
        <v>8.5999999999999993E-2</v>
      </c>
      <c r="E798" t="s">
        <v>2846</v>
      </c>
      <c r="F798" t="s">
        <v>2290</v>
      </c>
      <c r="G798" s="659" t="s">
        <v>2392</v>
      </c>
      <c r="H798" s="659" t="s">
        <v>2394</v>
      </c>
      <c r="I798" s="659" t="s">
        <v>1636</v>
      </c>
      <c r="J798" s="659" t="s">
        <v>2159</v>
      </c>
      <c r="K798" s="662" t="str">
        <f t="shared" si="64"/>
        <v>Platform</v>
      </c>
      <c r="L798" s="660" t="str">
        <f t="shared" si="65"/>
        <v>UNIT</v>
      </c>
      <c r="M798" s="660" t="str">
        <f t="shared" si="66"/>
        <v>UC</v>
      </c>
      <c r="N798" s="660" t="str">
        <f t="shared" si="67"/>
        <v>PAAS</v>
      </c>
      <c r="O798" s="659" t="str">
        <f t="shared" si="68"/>
        <v/>
      </c>
    </row>
    <row r="799" spans="1:15">
      <c r="A799" t="s">
        <v>2772</v>
      </c>
      <c r="B799" t="s">
        <v>2773</v>
      </c>
      <c r="C799">
        <v>0</v>
      </c>
      <c r="D799">
        <v>0.12</v>
      </c>
      <c r="E799" t="s">
        <v>2846</v>
      </c>
      <c r="F799" t="s">
        <v>2290</v>
      </c>
      <c r="G799" s="659" t="s">
        <v>2392</v>
      </c>
      <c r="H799" s="659" t="s">
        <v>2394</v>
      </c>
      <c r="I799" s="659" t="s">
        <v>1636</v>
      </c>
      <c r="J799" s="659" t="s">
        <v>2159</v>
      </c>
      <c r="K799" s="662" t="str">
        <f t="shared" si="64"/>
        <v>Platform</v>
      </c>
      <c r="L799" s="660" t="str">
        <f t="shared" si="65"/>
        <v>UNIT</v>
      </c>
      <c r="M799" s="660" t="str">
        <f t="shared" si="66"/>
        <v>UC</v>
      </c>
      <c r="N799" s="660" t="str">
        <f t="shared" si="67"/>
        <v>PAAS</v>
      </c>
      <c r="O799" s="659" t="str">
        <f t="shared" si="68"/>
        <v/>
      </c>
    </row>
    <row r="800" spans="1:15">
      <c r="A800" t="s">
        <v>2774</v>
      </c>
      <c r="B800" t="s">
        <v>2775</v>
      </c>
      <c r="C800">
        <v>0</v>
      </c>
      <c r="D800">
        <v>0.24</v>
      </c>
      <c r="E800" t="s">
        <v>2846</v>
      </c>
      <c r="F800" t="s">
        <v>2290</v>
      </c>
      <c r="G800" s="659" t="s">
        <v>2392</v>
      </c>
      <c r="H800" s="659" t="s">
        <v>2394</v>
      </c>
      <c r="I800" s="659" t="s">
        <v>1636</v>
      </c>
      <c r="J800" s="659" t="s">
        <v>2159</v>
      </c>
      <c r="K800" s="662" t="str">
        <f t="shared" si="64"/>
        <v>Platform</v>
      </c>
      <c r="L800" s="660" t="str">
        <f t="shared" si="65"/>
        <v>UNIT</v>
      </c>
      <c r="M800" s="660" t="str">
        <f t="shared" si="66"/>
        <v>UC</v>
      </c>
      <c r="N800" s="660" t="str">
        <f t="shared" si="67"/>
        <v>PAAS</v>
      </c>
      <c r="O800" s="659" t="str">
        <f t="shared" si="68"/>
        <v/>
      </c>
    </row>
    <row r="801" spans="1:15">
      <c r="A801" t="s">
        <v>2713</v>
      </c>
      <c r="B801" t="s">
        <v>2946</v>
      </c>
      <c r="C801">
        <v>0</v>
      </c>
      <c r="D801">
        <v>1.3441000000000001</v>
      </c>
      <c r="E801" t="s">
        <v>49</v>
      </c>
      <c r="F801" t="s">
        <v>2290</v>
      </c>
      <c r="G801" s="659" t="s">
        <v>2400</v>
      </c>
      <c r="H801" s="659" t="s">
        <v>2161</v>
      </c>
      <c r="I801" s="659" t="s">
        <v>1636</v>
      </c>
      <c r="J801" s="659" t="s">
        <v>2159</v>
      </c>
      <c r="K801" s="662" t="str">
        <f t="shared" si="64"/>
        <v>Government</v>
      </c>
      <c r="L801" s="660" t="str">
        <f t="shared" si="65"/>
        <v>HR</v>
      </c>
      <c r="M801" s="660" t="str">
        <f t="shared" si="66"/>
        <v>UC</v>
      </c>
      <c r="N801" s="660" t="str">
        <f t="shared" si="67"/>
        <v>PAAS</v>
      </c>
      <c r="O801" s="659" t="str">
        <f t="shared" si="68"/>
        <v/>
      </c>
    </row>
    <row r="802" spans="1:15">
      <c r="A802" t="s">
        <v>2714</v>
      </c>
      <c r="B802" t="s">
        <v>2947</v>
      </c>
      <c r="C802">
        <v>0</v>
      </c>
      <c r="D802">
        <v>0.3226</v>
      </c>
      <c r="E802" t="s">
        <v>49</v>
      </c>
      <c r="F802" t="s">
        <v>2290</v>
      </c>
      <c r="G802" s="659" t="s">
        <v>2400</v>
      </c>
      <c r="H802" s="659" t="s">
        <v>2161</v>
      </c>
      <c r="I802" s="659" t="s">
        <v>1636</v>
      </c>
      <c r="J802" s="659" t="s">
        <v>1338</v>
      </c>
      <c r="K802" s="662" t="str">
        <f t="shared" si="64"/>
        <v>Government</v>
      </c>
      <c r="L802" s="660" t="str">
        <f t="shared" si="65"/>
        <v>HR</v>
      </c>
      <c r="M802" s="660" t="str">
        <f t="shared" si="66"/>
        <v>UC</v>
      </c>
      <c r="N802" s="660" t="str">
        <f t="shared" si="67"/>
        <v>BYOL</v>
      </c>
      <c r="O802" s="659" t="str">
        <f t="shared" si="68"/>
        <v/>
      </c>
    </row>
    <row r="803" spans="1:15">
      <c r="A803" t="s">
        <v>2719</v>
      </c>
      <c r="B803" t="s">
        <v>2720</v>
      </c>
      <c r="C803">
        <v>0</v>
      </c>
      <c r="D803">
        <v>1.1299999999999999E-2</v>
      </c>
      <c r="E803" t="s">
        <v>2190</v>
      </c>
      <c r="F803" t="s">
        <v>2290</v>
      </c>
      <c r="G803" s="659" t="s">
        <v>2313</v>
      </c>
      <c r="H803" s="659" t="s">
        <v>2161</v>
      </c>
      <c r="I803" s="659" t="s">
        <v>1636</v>
      </c>
      <c r="J803" s="659" t="s">
        <v>2158</v>
      </c>
      <c r="K803" s="662" t="str">
        <f t="shared" si="64"/>
        <v>Network</v>
      </c>
      <c r="L803" s="660" t="str">
        <f t="shared" si="65"/>
        <v>HR</v>
      </c>
      <c r="M803" s="660" t="str">
        <f t="shared" si="66"/>
        <v>UC</v>
      </c>
      <c r="N803" s="660" t="str">
        <f t="shared" si="67"/>
        <v>IAAS</v>
      </c>
      <c r="O803" s="659" t="str">
        <f t="shared" si="68"/>
        <v/>
      </c>
    </row>
    <row r="804" spans="1:15">
      <c r="A804" t="s">
        <v>2721</v>
      </c>
      <c r="B804" t="s">
        <v>2722</v>
      </c>
      <c r="C804">
        <v>0</v>
      </c>
      <c r="D804">
        <v>1E-4</v>
      </c>
      <c r="E804" t="s">
        <v>2631</v>
      </c>
      <c r="F804" t="s">
        <v>2290</v>
      </c>
      <c r="G804" s="659" t="s">
        <v>2313</v>
      </c>
      <c r="H804" s="659" t="s">
        <v>2161</v>
      </c>
      <c r="I804" s="659" t="s">
        <v>1636</v>
      </c>
      <c r="J804" s="659" t="s">
        <v>2158</v>
      </c>
      <c r="K804" s="662" t="str">
        <f t="shared" si="64"/>
        <v>Network</v>
      </c>
      <c r="L804" s="660" t="str">
        <f t="shared" si="65"/>
        <v>HR</v>
      </c>
      <c r="M804" s="660" t="str">
        <f t="shared" si="66"/>
        <v>UC</v>
      </c>
      <c r="N804" s="660" t="str">
        <f t="shared" si="67"/>
        <v>IAAS</v>
      </c>
      <c r="O804" s="659" t="str">
        <f t="shared" si="68"/>
        <v/>
      </c>
    </row>
    <row r="805" spans="1:15">
      <c r="A805" t="s">
        <v>2723</v>
      </c>
      <c r="B805" t="s">
        <v>2632</v>
      </c>
      <c r="C805">
        <v>0</v>
      </c>
      <c r="D805">
        <v>0</v>
      </c>
      <c r="E805">
        <v>0</v>
      </c>
      <c r="F805" t="s">
        <v>2290</v>
      </c>
      <c r="G805" s="659" t="s">
        <v>2313</v>
      </c>
      <c r="H805" s="659" t="s">
        <v>2394</v>
      </c>
      <c r="I805" s="659" t="s">
        <v>1636</v>
      </c>
      <c r="J805" s="659" t="s">
        <v>2158</v>
      </c>
      <c r="K805" s="662" t="str">
        <f t="shared" si="64"/>
        <v>Network</v>
      </c>
      <c r="L805" s="660" t="str">
        <f t="shared" si="65"/>
        <v>UNIT</v>
      </c>
      <c r="M805" s="660" t="str">
        <f t="shared" si="66"/>
        <v>UC</v>
      </c>
      <c r="N805" s="660" t="str">
        <f t="shared" si="67"/>
        <v>IAAS</v>
      </c>
      <c r="O805" s="659" t="str">
        <f t="shared" si="68"/>
        <v/>
      </c>
    </row>
    <row r="806" spans="1:15">
      <c r="A806" t="s">
        <v>2724</v>
      </c>
      <c r="B806" t="s">
        <v>2633</v>
      </c>
      <c r="C806">
        <v>0</v>
      </c>
      <c r="D806">
        <v>0</v>
      </c>
      <c r="E806">
        <v>0</v>
      </c>
      <c r="F806" t="s">
        <v>2290</v>
      </c>
      <c r="G806" s="659" t="s">
        <v>2313</v>
      </c>
      <c r="H806" s="659" t="s">
        <v>2394</v>
      </c>
      <c r="I806" s="659" t="s">
        <v>1636</v>
      </c>
      <c r="J806" s="659" t="s">
        <v>2158</v>
      </c>
      <c r="K806" s="662" t="str">
        <f t="shared" si="64"/>
        <v>Network</v>
      </c>
      <c r="L806" s="660" t="str">
        <f t="shared" si="65"/>
        <v>UNIT</v>
      </c>
      <c r="M806" s="660" t="str">
        <f t="shared" si="66"/>
        <v>UC</v>
      </c>
      <c r="N806" s="660" t="str">
        <f t="shared" si="67"/>
        <v>IAAS</v>
      </c>
      <c r="O806" s="659" t="str">
        <f t="shared" si="68"/>
        <v/>
      </c>
    </row>
    <row r="807" spans="1:15">
      <c r="A807" t="s">
        <v>2751</v>
      </c>
      <c r="B807" t="s">
        <v>2752</v>
      </c>
      <c r="C807">
        <v>0</v>
      </c>
      <c r="D807">
        <v>7000</v>
      </c>
      <c r="E807" t="s">
        <v>1154</v>
      </c>
      <c r="F807" t="s">
        <v>2290</v>
      </c>
      <c r="G807" s="659" t="s">
        <v>2160</v>
      </c>
      <c r="H807" s="659" t="s">
        <v>2397</v>
      </c>
      <c r="I807" s="659" t="s">
        <v>2160</v>
      </c>
      <c r="J807" s="659" t="s">
        <v>2160</v>
      </c>
      <c r="K807" s="662" t="str">
        <f t="shared" si="64"/>
        <v>CC</v>
      </c>
      <c r="L807" s="660" t="str">
        <f t="shared" si="65"/>
        <v>EA</v>
      </c>
      <c r="M807" s="660" t="str">
        <f t="shared" si="66"/>
        <v>CC</v>
      </c>
      <c r="N807" s="660" t="str">
        <f t="shared" si="67"/>
        <v>CC</v>
      </c>
      <c r="O807" s="659" t="str">
        <f t="shared" si="68"/>
        <v/>
      </c>
    </row>
    <row r="808" spans="1:15">
      <c r="A808" t="s">
        <v>2753</v>
      </c>
      <c r="B808" t="s">
        <v>2754</v>
      </c>
      <c r="C808">
        <v>0</v>
      </c>
      <c r="D808">
        <v>3000</v>
      </c>
      <c r="E808" t="s">
        <v>1154</v>
      </c>
      <c r="F808" t="s">
        <v>2290</v>
      </c>
      <c r="G808" s="659" t="s">
        <v>2160</v>
      </c>
      <c r="H808" s="659" t="s">
        <v>2397</v>
      </c>
      <c r="I808" s="659" t="s">
        <v>2160</v>
      </c>
      <c r="J808" s="659" t="s">
        <v>2160</v>
      </c>
      <c r="K808" s="662" t="str">
        <f t="shared" si="64"/>
        <v>CC</v>
      </c>
      <c r="L808" s="660" t="str">
        <f t="shared" si="65"/>
        <v>EA</v>
      </c>
      <c r="M808" s="660" t="str">
        <f t="shared" si="66"/>
        <v>CC</v>
      </c>
      <c r="N808" s="660" t="str">
        <f t="shared" si="67"/>
        <v>CC</v>
      </c>
      <c r="O808" s="659" t="str">
        <f t="shared" si="68"/>
        <v/>
      </c>
    </row>
    <row r="809" spans="1:15">
      <c r="A809" t="s">
        <v>2755</v>
      </c>
      <c r="B809" t="s">
        <v>2756</v>
      </c>
      <c r="C809">
        <v>0</v>
      </c>
      <c r="D809">
        <v>1100</v>
      </c>
      <c r="E809" t="s">
        <v>1154</v>
      </c>
      <c r="F809" t="s">
        <v>2290</v>
      </c>
      <c r="G809" s="659" t="s">
        <v>2160</v>
      </c>
      <c r="H809" s="659" t="s">
        <v>2397</v>
      </c>
      <c r="I809" s="659" t="s">
        <v>2160</v>
      </c>
      <c r="J809" s="659" t="s">
        <v>2160</v>
      </c>
      <c r="K809" s="662" t="str">
        <f t="shared" si="64"/>
        <v>CC</v>
      </c>
      <c r="L809" s="660" t="str">
        <f t="shared" si="65"/>
        <v>EA</v>
      </c>
      <c r="M809" s="660" t="str">
        <f t="shared" si="66"/>
        <v>CC</v>
      </c>
      <c r="N809" s="660" t="str">
        <f t="shared" si="67"/>
        <v>CC</v>
      </c>
      <c r="O809" s="659" t="str">
        <f t="shared" si="68"/>
        <v/>
      </c>
    </row>
    <row r="810" spans="1:15">
      <c r="A810" t="s">
        <v>2757</v>
      </c>
      <c r="B810" t="s">
        <v>2758</v>
      </c>
      <c r="C810">
        <v>0</v>
      </c>
      <c r="D810">
        <v>4000</v>
      </c>
      <c r="E810" t="s">
        <v>1154</v>
      </c>
      <c r="F810" t="s">
        <v>2290</v>
      </c>
      <c r="G810" s="659" t="s">
        <v>2160</v>
      </c>
      <c r="H810" s="659" t="s">
        <v>2397</v>
      </c>
      <c r="I810" s="659" t="s">
        <v>2160</v>
      </c>
      <c r="J810" s="659" t="s">
        <v>2160</v>
      </c>
      <c r="K810" s="662" t="str">
        <f t="shared" si="64"/>
        <v>CC</v>
      </c>
      <c r="L810" s="660" t="str">
        <f t="shared" si="65"/>
        <v>EA</v>
      </c>
      <c r="M810" s="660" t="str">
        <f t="shared" si="66"/>
        <v>CC</v>
      </c>
      <c r="N810" s="660" t="str">
        <f t="shared" si="67"/>
        <v>CC</v>
      </c>
      <c r="O810" s="659" t="str">
        <f t="shared" si="68"/>
        <v/>
      </c>
    </row>
    <row r="811" spans="1:15">
      <c r="A811" t="s">
        <v>2759</v>
      </c>
      <c r="B811" t="s">
        <v>2760</v>
      </c>
      <c r="C811">
        <v>0.02</v>
      </c>
      <c r="D811">
        <v>0.02</v>
      </c>
      <c r="E811" t="s">
        <v>2761</v>
      </c>
      <c r="F811" t="s">
        <v>2290</v>
      </c>
      <c r="G811" s="659" t="s">
        <v>2309</v>
      </c>
      <c r="H811" s="659" t="s">
        <v>2161</v>
      </c>
      <c r="I811" s="659" t="s">
        <v>1636</v>
      </c>
      <c r="J811" s="659" t="s">
        <v>1338</v>
      </c>
      <c r="K811" s="662" t="str">
        <f t="shared" si="64"/>
        <v>DBaaS</v>
      </c>
      <c r="L811" s="660" t="str">
        <f t="shared" si="65"/>
        <v>HR</v>
      </c>
      <c r="M811" s="660" t="str">
        <f t="shared" si="66"/>
        <v>UC</v>
      </c>
      <c r="N811" s="660" t="str">
        <f t="shared" si="67"/>
        <v>BYOL</v>
      </c>
      <c r="O811" s="659" t="str">
        <f t="shared" si="68"/>
        <v/>
      </c>
    </row>
    <row r="812" spans="1:15">
      <c r="A812" t="s">
        <v>2762</v>
      </c>
      <c r="B812" t="s">
        <v>2763</v>
      </c>
      <c r="C812">
        <v>0.04</v>
      </c>
      <c r="D812">
        <v>0.04</v>
      </c>
      <c r="E812" t="s">
        <v>2761</v>
      </c>
      <c r="F812" t="s">
        <v>2290</v>
      </c>
      <c r="G812" s="659" t="s">
        <v>2309</v>
      </c>
      <c r="H812" s="659" t="s">
        <v>2161</v>
      </c>
      <c r="I812" s="659" t="s">
        <v>1636</v>
      </c>
      <c r="J812" s="659" t="s">
        <v>2159</v>
      </c>
      <c r="K812" s="662" t="str">
        <f t="shared" si="64"/>
        <v>DBaaS</v>
      </c>
      <c r="L812" s="660" t="str">
        <f t="shared" si="65"/>
        <v>HR</v>
      </c>
      <c r="M812" s="660" t="str">
        <f t="shared" si="66"/>
        <v>UC</v>
      </c>
      <c r="N812" s="660" t="str">
        <f t="shared" si="67"/>
        <v>PAAS</v>
      </c>
      <c r="O812" s="659" t="str">
        <f t="shared" si="68"/>
        <v/>
      </c>
    </row>
    <row r="813" spans="1:15">
      <c r="A813" t="s">
        <v>2776</v>
      </c>
      <c r="B813" t="s">
        <v>2777</v>
      </c>
      <c r="C813">
        <v>2.5000000000000001E-2</v>
      </c>
      <c r="D813">
        <v>2.5000000000000001E-2</v>
      </c>
      <c r="E813" t="s">
        <v>49</v>
      </c>
      <c r="F813" t="s">
        <v>2290</v>
      </c>
      <c r="G813" s="659" t="s">
        <v>1835</v>
      </c>
      <c r="H813" s="659" t="s">
        <v>2161</v>
      </c>
      <c r="I813" s="659" t="s">
        <v>1636</v>
      </c>
      <c r="J813" s="659" t="s">
        <v>2158</v>
      </c>
      <c r="K813" s="662" t="str">
        <f t="shared" si="64"/>
        <v>Compute</v>
      </c>
      <c r="L813" s="660" t="str">
        <f t="shared" si="65"/>
        <v>HR</v>
      </c>
      <c r="M813" s="660" t="str">
        <f t="shared" si="66"/>
        <v>UC</v>
      </c>
      <c r="N813" s="660" t="str">
        <f t="shared" si="67"/>
        <v>IAAS</v>
      </c>
      <c r="O813" s="659" t="str">
        <f t="shared" si="68"/>
        <v/>
      </c>
    </row>
    <row r="814" spans="1:15">
      <c r="A814" t="s">
        <v>2784</v>
      </c>
      <c r="B814" t="s">
        <v>2778</v>
      </c>
      <c r="C814">
        <v>1.5E-3</v>
      </c>
      <c r="D814">
        <v>1.5E-3</v>
      </c>
      <c r="E814" t="s">
        <v>2294</v>
      </c>
      <c r="F814" t="s">
        <v>2290</v>
      </c>
      <c r="G814" s="659" t="s">
        <v>1835</v>
      </c>
      <c r="H814" s="659" t="s">
        <v>2161</v>
      </c>
      <c r="I814" s="659" t="s">
        <v>1636</v>
      </c>
      <c r="J814" s="659" t="s">
        <v>2158</v>
      </c>
      <c r="K814" s="662" t="str">
        <f t="shared" si="64"/>
        <v>Compute</v>
      </c>
      <c r="L814" s="660" t="str">
        <f t="shared" si="65"/>
        <v>HR</v>
      </c>
      <c r="M814" s="660" t="str">
        <f t="shared" si="66"/>
        <v>UC</v>
      </c>
      <c r="N814" s="660" t="str">
        <f t="shared" si="67"/>
        <v>IAAS</v>
      </c>
      <c r="O814" s="659" t="str">
        <f t="shared" si="68"/>
        <v/>
      </c>
    </row>
    <row r="815" spans="1:15">
      <c r="A815" t="s">
        <v>2779</v>
      </c>
      <c r="B815" t="s">
        <v>2780</v>
      </c>
      <c r="C815">
        <v>0</v>
      </c>
      <c r="D815">
        <v>2.5000000000000001E-2</v>
      </c>
      <c r="E815" t="s">
        <v>49</v>
      </c>
      <c r="F815" t="s">
        <v>2290</v>
      </c>
      <c r="G815" s="659" t="s">
        <v>1835</v>
      </c>
      <c r="H815" s="659" t="s">
        <v>2161</v>
      </c>
      <c r="I815" s="659" t="s">
        <v>1636</v>
      </c>
      <c r="J815" s="659" t="s">
        <v>2158</v>
      </c>
      <c r="K815" s="662" t="str">
        <f t="shared" si="64"/>
        <v>Compute</v>
      </c>
      <c r="L815" s="660" t="str">
        <f t="shared" si="65"/>
        <v>HR</v>
      </c>
      <c r="M815" s="660" t="str">
        <f t="shared" si="66"/>
        <v>UC</v>
      </c>
      <c r="N815" s="660" t="str">
        <f t="shared" si="67"/>
        <v>IAAS</v>
      </c>
      <c r="O815" s="659" t="str">
        <f t="shared" si="68"/>
        <v/>
      </c>
    </row>
    <row r="816" spans="1:15">
      <c r="A816" t="s">
        <v>2781</v>
      </c>
      <c r="B816" t="s">
        <v>2782</v>
      </c>
      <c r="C816">
        <v>0</v>
      </c>
      <c r="D816">
        <v>1.5E-3</v>
      </c>
      <c r="E816" t="s">
        <v>2294</v>
      </c>
      <c r="F816" t="s">
        <v>2290</v>
      </c>
      <c r="G816" s="659" t="s">
        <v>1835</v>
      </c>
      <c r="H816" s="659" t="s">
        <v>2161</v>
      </c>
      <c r="I816" s="659" t="s">
        <v>1636</v>
      </c>
      <c r="J816" s="659" t="s">
        <v>2158</v>
      </c>
      <c r="K816" s="662" t="str">
        <f t="shared" si="64"/>
        <v>Compute</v>
      </c>
      <c r="L816" s="660" t="str">
        <f t="shared" si="65"/>
        <v>HR</v>
      </c>
      <c r="M816" s="660" t="str">
        <f t="shared" si="66"/>
        <v>UC</v>
      </c>
      <c r="N816" s="660" t="str">
        <f t="shared" si="67"/>
        <v>IAAS</v>
      </c>
      <c r="O816" s="659" t="str">
        <f t="shared" si="68"/>
        <v/>
      </c>
    </row>
    <row r="817" spans="1:15">
      <c r="A817" t="s">
        <v>2764</v>
      </c>
      <c r="B817" t="s">
        <v>2765</v>
      </c>
      <c r="C817">
        <v>10.75</v>
      </c>
      <c r="D817">
        <v>10.75</v>
      </c>
      <c r="E817" t="s">
        <v>2193</v>
      </c>
      <c r="F817" t="s">
        <v>2290</v>
      </c>
      <c r="G817" s="659" t="s">
        <v>2313</v>
      </c>
      <c r="H817" s="659" t="s">
        <v>2161</v>
      </c>
      <c r="I817" s="659" t="s">
        <v>1636</v>
      </c>
      <c r="J817" s="659" t="s">
        <v>2158</v>
      </c>
      <c r="K817" s="662" t="str">
        <f t="shared" si="64"/>
        <v>Network</v>
      </c>
      <c r="L817" s="660" t="str">
        <f t="shared" si="65"/>
        <v>HR</v>
      </c>
      <c r="M817" s="660" t="str">
        <f t="shared" si="66"/>
        <v>UC</v>
      </c>
      <c r="N817" s="660" t="str">
        <f t="shared" si="67"/>
        <v>IAAS</v>
      </c>
      <c r="O817" s="659" t="str">
        <f t="shared" si="68"/>
        <v/>
      </c>
    </row>
    <row r="818" spans="1:15">
      <c r="A818" t="s">
        <v>3123</v>
      </c>
      <c r="B818" t="s">
        <v>3124</v>
      </c>
      <c r="C818">
        <v>0</v>
      </c>
      <c r="D818">
        <v>10800</v>
      </c>
      <c r="E818" t="s">
        <v>2178</v>
      </c>
      <c r="F818" t="s">
        <v>2290</v>
      </c>
      <c r="G818" s="659" t="s">
        <v>2160</v>
      </c>
      <c r="H818" s="659" t="s">
        <v>2394</v>
      </c>
      <c r="I818" s="659" t="s">
        <v>2160</v>
      </c>
      <c r="J818" s="659" t="s">
        <v>2160</v>
      </c>
      <c r="K818" s="662" t="str">
        <f t="shared" si="64"/>
        <v>CC</v>
      </c>
      <c r="L818" s="660" t="str">
        <f t="shared" si="65"/>
        <v>UNIT</v>
      </c>
      <c r="M818" s="660" t="str">
        <f t="shared" si="66"/>
        <v>CC</v>
      </c>
      <c r="N818" s="660" t="str">
        <f t="shared" si="67"/>
        <v>CC</v>
      </c>
      <c r="O818" s="659" t="str">
        <f t="shared" si="68"/>
        <v/>
      </c>
    </row>
    <row r="819" spans="1:15">
      <c r="A819" t="s">
        <v>3125</v>
      </c>
      <c r="B819" t="s">
        <v>3126</v>
      </c>
      <c r="C819">
        <v>0</v>
      </c>
      <c r="D819">
        <v>10800</v>
      </c>
      <c r="E819" t="s">
        <v>2178</v>
      </c>
      <c r="F819" t="s">
        <v>2290</v>
      </c>
      <c r="G819" s="659" t="s">
        <v>2160</v>
      </c>
      <c r="H819" s="659" t="s">
        <v>2394</v>
      </c>
      <c r="I819" s="659" t="s">
        <v>2160</v>
      </c>
      <c r="J819" s="659" t="s">
        <v>2160</v>
      </c>
      <c r="K819" s="662" t="str">
        <f t="shared" si="64"/>
        <v>CC</v>
      </c>
      <c r="L819" s="660" t="str">
        <f t="shared" si="65"/>
        <v>UNIT</v>
      </c>
      <c r="M819" s="660" t="str">
        <f t="shared" si="66"/>
        <v>CC</v>
      </c>
      <c r="N819" s="660" t="str">
        <f t="shared" si="67"/>
        <v>CC</v>
      </c>
      <c r="O819" s="659" t="str">
        <f t="shared" si="68"/>
        <v/>
      </c>
    </row>
    <row r="820" spans="1:15">
      <c r="A820" t="s">
        <v>3127</v>
      </c>
      <c r="B820" t="s">
        <v>3128</v>
      </c>
      <c r="C820">
        <v>0</v>
      </c>
      <c r="D820">
        <v>21600</v>
      </c>
      <c r="E820" t="s">
        <v>2178</v>
      </c>
      <c r="F820" t="s">
        <v>2290</v>
      </c>
      <c r="G820" s="659" t="s">
        <v>2160</v>
      </c>
      <c r="H820" s="659" t="s">
        <v>2394</v>
      </c>
      <c r="I820" s="659" t="s">
        <v>2160</v>
      </c>
      <c r="J820" s="659" t="s">
        <v>2160</v>
      </c>
      <c r="K820" s="662" t="str">
        <f>_xlfn.IFS(
ISNUMBER(SEARCH("Day",E820)),"Consulting",
ISNUMBER(SEARCH("Starter Pack",B820)),"Consulting",
ISNUMBER(SEARCH("Design",B820)),"Consulting",
ISNUMBER(SEARCH("Deploy",B820)),"Consulting",
ISNUMBER(SEARCH("Expert",B820)),"Consulting",
ISNUMBER(SEARCH("Installation",B820)),"Consulting",
ISNUMBER(SEARCH("Recommendation",B820)),"Consulting",
ISNUMBER(SEARCH("Transition",B820)),"Consulting",
ISNUMBER(SEARCH("Transition",B820)),"Support",
ISNUMBER(SEARCH("Transition",B820)),"Foundation Service",
ISNUMBER(SEARCH("Consulting",B820)),"Consulting",
ISNUMBER(SEARCH("in Advance",B820)),"New",
ISNUMBER(SEARCH("Universal Credits",B820)),"UC",
ISNUMBER(SEARCH("Ravello",B820)),"Deprecated",
ISNUMBER(SEARCH("Cloud Machine",B820)),"Deprecated",
ISNUMBER(SEARCH("Compute",B820)),"Compute",
ISNUMBER(SEARCH("Load Balancer",B820)),"Network",
ISNUMBER(SEARCH("FastConnect",B820)),"Network",
ISNUMBER(SEARCH("Database OCPU",B820)),"CC OCPU",
ISNUMBER(SEARCH("at Customer",B820)),"CC",
ISNUMBER(SEARCH("Cloud@Customer",B820)),"CC",
ISNUMBER(SEARCH("Exadata Storage",B820)),"Exa Storage",
ISNUMBER(SEARCH("Storage",B820)),"Storage",
ISNUMBER(SEARCH("Block ",B820)),"Storage",
ISNUMBER(SEARCH("Autonomous Data Warehouse",B820)),"ADW",
ISNUMBER(SEARCH("Autonomous Transaction Processing",B820)),"ATP",
ISNUMBER(SEARCH("Database Exadata",B820)),"ExaCS",
ISNUMBER(SEARCH("Database",B820)),"DBaaS",
ISNUMBER(SEARCH("Essbase",B820)),"DBaaS",
ISNUMBER(SEARCH("integration",B820)),"Integration",
ISNUMBER(SEARCH("SOA",B820)),"Integration",
ISNUMBER(SEARCH("Management Cloud",B820)),"Management",
ISNUMBER(SEARCH("Analytics",B820)),"Analytics",
ISNUMBER(SEARCH("Storage",B820)),"Storage",
ISNUMBER(SEARCH("Block ",B820)),"Storage",
ISNUMBER(SEARCH("Identity",B820)),"Platform",
ISNUMBER(SEARCH("Content",B820)),"Platform",
ISNUMBER(SEARCH("Weblogic",B820)),"Platform",
ISNUMBER(SEARCH("Digital Assistant",B820)),"Platform",
ISNUMBER(SEARCH("Limited",B820)),"Classic",
ISNUMBER(SEARCH("Classic",B820)),"Classic",
ISNUMBER(SEARCH("Government",B820)),"Government",
ISNUMBER(SEARCH("Metered",B820)),"Deprecated",
VALUE(RIGHT(A820,5))&lt;88206,"Deprecated",
TRUE,"Platform")</f>
        <v>CC</v>
      </c>
      <c r="L820" s="660" t="str">
        <f t="shared" si="65"/>
        <v>UNIT</v>
      </c>
      <c r="M820" s="660" t="str">
        <f t="shared" si="66"/>
        <v>CC</v>
      </c>
      <c r="N820" s="660" t="str">
        <f t="shared" si="67"/>
        <v>CC</v>
      </c>
      <c r="O820" s="659" t="str">
        <f t="shared" si="68"/>
        <v/>
      </c>
    </row>
    <row r="821" spans="1:15">
      <c r="A821" t="s">
        <v>3129</v>
      </c>
      <c r="B821" t="s">
        <v>3130</v>
      </c>
      <c r="C821">
        <v>0</v>
      </c>
      <c r="D821">
        <v>21600</v>
      </c>
      <c r="E821" t="s">
        <v>2178</v>
      </c>
      <c r="F821" t="s">
        <v>2290</v>
      </c>
      <c r="G821" s="659" t="s">
        <v>2160</v>
      </c>
      <c r="H821" s="659" t="s">
        <v>2394</v>
      </c>
      <c r="I821" s="659" t="s">
        <v>2160</v>
      </c>
      <c r="J821" s="659" t="s">
        <v>2160</v>
      </c>
      <c r="K821" s="662" t="str">
        <f t="shared" ref="K821:K884" si="69">_xlfn.IFS(
ISNUMBER(SEARCH("Day",E821)),"Consulting",
ISNUMBER(SEARCH("Starter Pack",B821)),"Consulting",
ISNUMBER(SEARCH("Design",B821)),"Consulting",
ISNUMBER(SEARCH("Deploy",B821)),"Consulting",
ISNUMBER(SEARCH("Expert",B821)),"Consulting",
ISNUMBER(SEARCH("Installation",B821)),"Consulting",
ISNUMBER(SEARCH("Recommendation",B821)),"Consulting",
ISNUMBER(SEARCH("Transition",B821)),"Consulting",
ISNUMBER(SEARCH("Transition",B821)),"Support",
ISNUMBER(SEARCH("Transition",B821)),"Foundation Service",
ISNUMBER(SEARCH("Consulting",B821)),"Consulting",
ISNUMBER(SEARCH("in Advance",B821)),"New",
ISNUMBER(SEARCH("Universal Credits",B821)),"UC",
ISNUMBER(SEARCH("Ravello",B821)),"Deprecated",
ISNUMBER(SEARCH("Cloud Machine",B821)),"Deprecated",
ISNUMBER(SEARCH("Compute",B821)),"Compute",
ISNUMBER(SEARCH("Load Balancer",B821)),"Network",
ISNUMBER(SEARCH("FastConnect",B821)),"Network",
ISNUMBER(SEARCH("Database OCPU",B821)),"CC OCPU",
ISNUMBER(SEARCH("at Customer",B821)),"CC",
ISNUMBER(SEARCH("Cloud@Customer",B821)),"CC",
ISNUMBER(SEARCH("Exadata Storage",B821)),"Exa Storage",
ISNUMBER(SEARCH("Storage",B821)),"Storage",
ISNUMBER(SEARCH("Block ",B821)),"Storage",
ISNUMBER(SEARCH("Autonomous Data Warehouse",B821)),"ADW",
ISNUMBER(SEARCH("Autonomous Transaction Processing",B821)),"ATP",
ISNUMBER(SEARCH("Database Exadata",B821)),"ExaCS",
ISNUMBER(SEARCH("Database",B821)),"DBaaS",
ISNUMBER(SEARCH("Essbase",B821)),"DBaaS",
ISNUMBER(SEARCH("integration",B821)),"Integration",
ISNUMBER(SEARCH("SOA",B821)),"Integration",
ISNUMBER(SEARCH("Management Cloud",B821)),"Management",
ISNUMBER(SEARCH("Analytics",B821)),"Analytics",
ISNUMBER(SEARCH("Storage",B821)),"Storage",
ISNUMBER(SEARCH("Block ",B821)),"Storage",
ISNUMBER(SEARCH("Identity",B821)),"Platform",
ISNUMBER(SEARCH("Content",B821)),"Platform",
ISNUMBER(SEARCH("Weblogic",B821)),"Platform",
ISNUMBER(SEARCH("Digital Assistant",B821)),"Platform",
ISNUMBER(SEARCH("Limited",B821)),"Classic",
ISNUMBER(SEARCH("Classic",B821)),"Classic",
ISNUMBER(SEARCH("Government",B821)),"Government",
ISNUMBER(SEARCH("Metered",B821)),"Deprecated",
VALUE(RIGHT(A821,5))&lt;88206,"Deprecated",
TRUE,"Platform")</f>
        <v>CC</v>
      </c>
      <c r="L821" s="660" t="str">
        <f t="shared" si="65"/>
        <v>UNIT</v>
      </c>
      <c r="M821" s="660" t="str">
        <f t="shared" si="66"/>
        <v>CC</v>
      </c>
      <c r="N821" s="660" t="str">
        <f t="shared" si="67"/>
        <v>CC</v>
      </c>
      <c r="O821" s="659" t="str">
        <f t="shared" si="68"/>
        <v/>
      </c>
    </row>
    <row r="822" spans="1:15">
      <c r="A822" t="s">
        <v>3131</v>
      </c>
      <c r="B822" t="s">
        <v>3132</v>
      </c>
      <c r="C822">
        <v>0</v>
      </c>
      <c r="D822">
        <v>43200</v>
      </c>
      <c r="E822" t="s">
        <v>2178</v>
      </c>
      <c r="F822" t="s">
        <v>2290</v>
      </c>
      <c r="G822" s="659" t="s">
        <v>2160</v>
      </c>
      <c r="H822" s="659" t="s">
        <v>2394</v>
      </c>
      <c r="I822" s="659" t="s">
        <v>2160</v>
      </c>
      <c r="J822" s="659" t="s">
        <v>2160</v>
      </c>
      <c r="K822" s="662" t="str">
        <f t="shared" si="69"/>
        <v>CC</v>
      </c>
      <c r="L822" s="660" t="str">
        <f t="shared" si="65"/>
        <v>UNIT</v>
      </c>
      <c r="M822" s="660" t="str">
        <f t="shared" si="66"/>
        <v>CC</v>
      </c>
      <c r="N822" s="660" t="str">
        <f t="shared" si="67"/>
        <v>CC</v>
      </c>
      <c r="O822" s="659" t="str">
        <f t="shared" si="68"/>
        <v/>
      </c>
    </row>
    <row r="823" spans="1:15">
      <c r="A823" t="s">
        <v>3133</v>
      </c>
      <c r="B823" t="s">
        <v>3134</v>
      </c>
      <c r="C823">
        <v>0</v>
      </c>
      <c r="D823">
        <v>43200</v>
      </c>
      <c r="E823" t="s">
        <v>2178</v>
      </c>
      <c r="F823" t="s">
        <v>2290</v>
      </c>
      <c r="G823" s="659" t="s">
        <v>2160</v>
      </c>
      <c r="H823" s="659" t="s">
        <v>2394</v>
      </c>
      <c r="I823" s="659" t="s">
        <v>2160</v>
      </c>
      <c r="J823" s="659" t="s">
        <v>2160</v>
      </c>
      <c r="K823" s="662" t="str">
        <f t="shared" si="69"/>
        <v>CC</v>
      </c>
      <c r="L823" s="660" t="str">
        <f t="shared" si="65"/>
        <v>UNIT</v>
      </c>
      <c r="M823" s="660" t="str">
        <f t="shared" si="66"/>
        <v>CC</v>
      </c>
      <c r="N823" s="660" t="str">
        <f t="shared" si="67"/>
        <v>CC</v>
      </c>
      <c r="O823" s="659" t="str">
        <f t="shared" si="68"/>
        <v/>
      </c>
    </row>
    <row r="824" spans="1:15">
      <c r="A824" t="s">
        <v>3046</v>
      </c>
      <c r="B824" t="s">
        <v>3047</v>
      </c>
      <c r="C824">
        <v>0</v>
      </c>
      <c r="D824">
        <v>0.2</v>
      </c>
      <c r="E824" t="s">
        <v>3048</v>
      </c>
      <c r="F824" t="s">
        <v>2290</v>
      </c>
      <c r="G824" s="659" t="s">
        <v>2309</v>
      </c>
      <c r="H824" s="659" t="s">
        <v>2161</v>
      </c>
      <c r="I824" s="659" t="s">
        <v>1636</v>
      </c>
      <c r="J824" s="659" t="s">
        <v>2159</v>
      </c>
      <c r="K824" s="662" t="str">
        <f t="shared" si="69"/>
        <v>DBaaS</v>
      </c>
      <c r="L824" s="660" t="str">
        <f t="shared" si="65"/>
        <v>HR</v>
      </c>
      <c r="M824" s="660" t="str">
        <f t="shared" si="66"/>
        <v>UC</v>
      </c>
      <c r="N824" s="660" t="str">
        <f t="shared" si="67"/>
        <v>PAAS</v>
      </c>
      <c r="O824" s="659" t="str">
        <f t="shared" si="68"/>
        <v/>
      </c>
    </row>
    <row r="825" spans="1:15">
      <c r="A825" t="s">
        <v>3049</v>
      </c>
      <c r="B825" t="s">
        <v>3050</v>
      </c>
      <c r="C825">
        <v>0.2</v>
      </c>
      <c r="D825">
        <v>0.2</v>
      </c>
      <c r="E825" t="s">
        <v>3048</v>
      </c>
      <c r="F825" t="s">
        <v>2290</v>
      </c>
      <c r="G825" s="659" t="s">
        <v>2309</v>
      </c>
      <c r="H825" s="659" t="s">
        <v>2161</v>
      </c>
      <c r="I825" s="659" t="s">
        <v>1636</v>
      </c>
      <c r="J825" s="659" t="s">
        <v>2159</v>
      </c>
      <c r="K825" s="662" t="str">
        <f t="shared" si="69"/>
        <v>DBaaS</v>
      </c>
      <c r="L825" s="660" t="str">
        <f t="shared" si="65"/>
        <v>HR</v>
      </c>
      <c r="M825" s="660" t="str">
        <f t="shared" si="66"/>
        <v>UC</v>
      </c>
      <c r="N825" s="660" t="str">
        <f t="shared" si="67"/>
        <v>PAAS</v>
      </c>
      <c r="O825" s="659" t="str">
        <f t="shared" si="68"/>
        <v/>
      </c>
    </row>
    <row r="826" spans="1:15">
      <c r="A826" t="s">
        <v>3051</v>
      </c>
      <c r="B826" t="s">
        <v>3052</v>
      </c>
      <c r="C826">
        <v>0</v>
      </c>
      <c r="D826">
        <v>10.75</v>
      </c>
      <c r="E826" t="s">
        <v>2193</v>
      </c>
      <c r="F826" t="s">
        <v>2290</v>
      </c>
      <c r="G826" s="659" t="s">
        <v>2313</v>
      </c>
      <c r="H826" s="659" t="s">
        <v>2161</v>
      </c>
      <c r="I826" s="659" t="s">
        <v>1636</v>
      </c>
      <c r="J826" s="659" t="s">
        <v>2158</v>
      </c>
      <c r="K826" s="662" t="str">
        <f t="shared" si="69"/>
        <v>Network</v>
      </c>
      <c r="L826" s="660" t="str">
        <f t="shared" si="65"/>
        <v>HR</v>
      </c>
      <c r="M826" s="660" t="str">
        <f t="shared" si="66"/>
        <v>UC</v>
      </c>
      <c r="N826" s="660" t="str">
        <f t="shared" si="67"/>
        <v>IAAS</v>
      </c>
      <c r="O826" s="659" t="str">
        <f t="shared" si="68"/>
        <v/>
      </c>
    </row>
    <row r="827" spans="1:15">
      <c r="A827" t="s">
        <v>2948</v>
      </c>
      <c r="B827" t="s">
        <v>2949</v>
      </c>
      <c r="C827" t="s">
        <v>133</v>
      </c>
      <c r="D827">
        <v>0.2437</v>
      </c>
      <c r="E827" t="s">
        <v>49</v>
      </c>
      <c r="F827" t="s">
        <v>588</v>
      </c>
      <c r="G827" s="659" t="s">
        <v>2392</v>
      </c>
      <c r="H827" s="659" t="s">
        <v>2394</v>
      </c>
      <c r="I827" s="659" t="s">
        <v>2398</v>
      </c>
      <c r="J827" s="659" t="s">
        <v>2159</v>
      </c>
      <c r="K827" s="662" t="str">
        <f t="shared" si="69"/>
        <v>Platform</v>
      </c>
      <c r="L827" s="660" t="str">
        <f t="shared" si="65"/>
        <v>HR</v>
      </c>
      <c r="M827" s="660" t="str">
        <f t="shared" si="66"/>
        <v>UC0</v>
      </c>
      <c r="N827" s="660" t="str">
        <f t="shared" si="67"/>
        <v>PAAS</v>
      </c>
      <c r="O827" s="659" t="str">
        <f t="shared" si="68"/>
        <v/>
      </c>
    </row>
    <row r="828" spans="1:15">
      <c r="A828" t="s">
        <v>2950</v>
      </c>
      <c r="B828" t="s">
        <v>2951</v>
      </c>
      <c r="C828" t="s">
        <v>133</v>
      </c>
      <c r="D828">
        <v>0.16250000000000001</v>
      </c>
      <c r="E828" t="s">
        <v>49</v>
      </c>
      <c r="F828" t="s">
        <v>588</v>
      </c>
      <c r="G828" s="659" t="s">
        <v>2392</v>
      </c>
      <c r="H828" s="659" t="s">
        <v>2394</v>
      </c>
      <c r="I828" s="659" t="s">
        <v>2398</v>
      </c>
      <c r="J828" s="659" t="s">
        <v>2159</v>
      </c>
      <c r="K828" s="662" t="str">
        <f t="shared" si="69"/>
        <v>Platform</v>
      </c>
      <c r="L828" s="660" t="str">
        <f t="shared" si="65"/>
        <v>HR</v>
      </c>
      <c r="M828" s="660" t="str">
        <f t="shared" si="66"/>
        <v>UC0</v>
      </c>
      <c r="N828" s="660" t="str">
        <f t="shared" si="67"/>
        <v>PAAS</v>
      </c>
      <c r="O828" s="659" t="str">
        <f t="shared" si="68"/>
        <v/>
      </c>
    </row>
    <row r="829" spans="1:15">
      <c r="A829" t="s">
        <v>2952</v>
      </c>
      <c r="B829" t="s">
        <v>2953</v>
      </c>
      <c r="C829" t="s">
        <v>133</v>
      </c>
      <c r="D829">
        <v>0.13200000000000001</v>
      </c>
      <c r="E829" t="s">
        <v>49</v>
      </c>
      <c r="F829" t="s">
        <v>588</v>
      </c>
      <c r="G829" s="659" t="s">
        <v>2392</v>
      </c>
      <c r="H829" s="659" t="s">
        <v>2394</v>
      </c>
      <c r="I829" s="659" t="s">
        <v>2398</v>
      </c>
      <c r="J829" s="659" t="s">
        <v>2159</v>
      </c>
      <c r="K829" s="662" t="str">
        <f t="shared" si="69"/>
        <v>Platform</v>
      </c>
      <c r="L829" s="660" t="str">
        <f t="shared" si="65"/>
        <v>HR</v>
      </c>
      <c r="M829" s="660" t="str">
        <f t="shared" si="66"/>
        <v>UC0</v>
      </c>
      <c r="N829" s="660" t="str">
        <f t="shared" si="67"/>
        <v>PAAS</v>
      </c>
      <c r="O829" s="659" t="str">
        <f t="shared" si="68"/>
        <v/>
      </c>
    </row>
    <row r="830" spans="1:15">
      <c r="A830" t="s">
        <v>2954</v>
      </c>
      <c r="B830" t="s">
        <v>2955</v>
      </c>
      <c r="C830">
        <v>0</v>
      </c>
      <c r="D830">
        <v>0.01</v>
      </c>
      <c r="E830" t="s">
        <v>49</v>
      </c>
      <c r="F830" t="s">
        <v>2290</v>
      </c>
      <c r="G830" s="659" t="s">
        <v>1835</v>
      </c>
      <c r="H830" s="659" t="s">
        <v>2161</v>
      </c>
      <c r="I830" s="659" t="s">
        <v>1636</v>
      </c>
      <c r="J830" s="659" t="s">
        <v>2158</v>
      </c>
      <c r="K830" s="662" t="str">
        <f t="shared" si="69"/>
        <v>Compute</v>
      </c>
      <c r="L830" s="660" t="str">
        <f t="shared" si="65"/>
        <v>HR</v>
      </c>
      <c r="M830" s="660" t="str">
        <f t="shared" si="66"/>
        <v>UC</v>
      </c>
      <c r="N830" s="660" t="str">
        <f t="shared" si="67"/>
        <v>IAAS</v>
      </c>
      <c r="O830" s="659" t="str">
        <f t="shared" si="68"/>
        <v/>
      </c>
    </row>
    <row r="831" spans="1:15">
      <c r="A831" t="s">
        <v>2956</v>
      </c>
      <c r="B831" t="s">
        <v>2957</v>
      </c>
      <c r="C831">
        <v>0</v>
      </c>
      <c r="D831">
        <v>1.5E-3</v>
      </c>
      <c r="E831" t="s">
        <v>2294</v>
      </c>
      <c r="F831" t="s">
        <v>2290</v>
      </c>
      <c r="G831" s="659" t="s">
        <v>1835</v>
      </c>
      <c r="H831" s="659" t="s">
        <v>2161</v>
      </c>
      <c r="I831" s="659" t="s">
        <v>1636</v>
      </c>
      <c r="J831" s="659" t="s">
        <v>2158</v>
      </c>
      <c r="K831" s="662" t="str">
        <f t="shared" si="69"/>
        <v>Compute</v>
      </c>
      <c r="L831" s="660" t="str">
        <f t="shared" si="65"/>
        <v>HR</v>
      </c>
      <c r="M831" s="660" t="str">
        <f t="shared" si="66"/>
        <v>UC</v>
      </c>
      <c r="N831" s="660" t="str">
        <f t="shared" si="67"/>
        <v>IAAS</v>
      </c>
      <c r="O831" s="659" t="str">
        <f t="shared" si="68"/>
        <v/>
      </c>
    </row>
    <row r="832" spans="1:15">
      <c r="A832" t="s">
        <v>3053</v>
      </c>
      <c r="B832" t="s">
        <v>3215</v>
      </c>
      <c r="C832">
        <v>0.3</v>
      </c>
      <c r="D832">
        <v>0.3</v>
      </c>
      <c r="E832" t="s">
        <v>3119</v>
      </c>
      <c r="F832" t="s">
        <v>2290</v>
      </c>
      <c r="G832" s="659" t="s">
        <v>2391</v>
      </c>
      <c r="H832" s="659" t="s">
        <v>2394</v>
      </c>
      <c r="I832" s="659" t="s">
        <v>1636</v>
      </c>
      <c r="J832" s="659" t="s">
        <v>2159</v>
      </c>
      <c r="K832" s="662" t="str">
        <f t="shared" si="69"/>
        <v>Integration</v>
      </c>
      <c r="L832" s="660" t="str">
        <f t="shared" si="65"/>
        <v>HR</v>
      </c>
      <c r="M832" s="660" t="str">
        <f t="shared" si="66"/>
        <v>UC</v>
      </c>
      <c r="N832" s="660" t="str">
        <f t="shared" si="67"/>
        <v>PAAS</v>
      </c>
      <c r="O832" s="659" t="str">
        <f t="shared" si="68"/>
        <v/>
      </c>
    </row>
    <row r="833" spans="1:15">
      <c r="A833" t="s">
        <v>3054</v>
      </c>
      <c r="B833" t="s">
        <v>3055</v>
      </c>
      <c r="C833">
        <v>0</v>
      </c>
      <c r="D833">
        <v>0</v>
      </c>
      <c r="E833">
        <v>0</v>
      </c>
      <c r="F833" t="s">
        <v>2290</v>
      </c>
      <c r="G833" s="659" t="s">
        <v>2309</v>
      </c>
      <c r="H833" s="659" t="s">
        <v>2394</v>
      </c>
      <c r="I833" s="659" t="s">
        <v>1636</v>
      </c>
      <c r="J833" s="659" t="s">
        <v>2159</v>
      </c>
      <c r="K833" s="662" t="str">
        <f t="shared" si="69"/>
        <v>DBaaS</v>
      </c>
      <c r="L833" s="660" t="str">
        <f t="shared" si="65"/>
        <v>UNIT</v>
      </c>
      <c r="M833" s="660" t="str">
        <f t="shared" si="66"/>
        <v>UC</v>
      </c>
      <c r="N833" s="660" t="str">
        <f t="shared" si="67"/>
        <v>PAAS</v>
      </c>
      <c r="O833" s="659" t="str">
        <f t="shared" si="68"/>
        <v/>
      </c>
    </row>
    <row r="834" spans="1:15">
      <c r="A834" t="s">
        <v>3106</v>
      </c>
      <c r="B834" t="s">
        <v>3107</v>
      </c>
      <c r="C834">
        <v>0</v>
      </c>
      <c r="D834">
        <v>0.01</v>
      </c>
      <c r="E834" t="s">
        <v>49</v>
      </c>
      <c r="F834" t="s">
        <v>2290</v>
      </c>
      <c r="G834" s="659" t="s">
        <v>1835</v>
      </c>
      <c r="H834" s="659" t="s">
        <v>2161</v>
      </c>
      <c r="I834" s="659" t="s">
        <v>1636</v>
      </c>
      <c r="J834" s="659" t="s">
        <v>2158</v>
      </c>
      <c r="K834" s="662" t="str">
        <f t="shared" si="69"/>
        <v>Compute</v>
      </c>
      <c r="L834" s="660" t="str">
        <f t="shared" si="65"/>
        <v>HR</v>
      </c>
      <c r="M834" s="660" t="str">
        <f t="shared" si="66"/>
        <v>UC</v>
      </c>
      <c r="N834" s="660" t="str">
        <f t="shared" si="67"/>
        <v>IAAS</v>
      </c>
      <c r="O834" s="659" t="str">
        <f t="shared" si="68"/>
        <v/>
      </c>
    </row>
    <row r="835" spans="1:15">
      <c r="A835" t="s">
        <v>3108</v>
      </c>
      <c r="B835" t="s">
        <v>3109</v>
      </c>
      <c r="C835">
        <v>0</v>
      </c>
      <c r="D835">
        <v>1.5E-3</v>
      </c>
      <c r="E835" t="s">
        <v>2294</v>
      </c>
      <c r="F835" t="s">
        <v>2290</v>
      </c>
      <c r="G835" s="659" t="s">
        <v>1835</v>
      </c>
      <c r="H835" s="659" t="s">
        <v>2161</v>
      </c>
      <c r="I835" s="659" t="s">
        <v>1636</v>
      </c>
      <c r="J835" s="659" t="s">
        <v>2158</v>
      </c>
      <c r="K835" s="662" t="str">
        <f t="shared" si="69"/>
        <v>Compute</v>
      </c>
      <c r="L835" s="660" t="str">
        <f t="shared" si="65"/>
        <v>HR</v>
      </c>
      <c r="M835" s="660" t="str">
        <f t="shared" si="66"/>
        <v>UC</v>
      </c>
      <c r="N835" s="660" t="str">
        <f t="shared" si="67"/>
        <v>IAAS</v>
      </c>
      <c r="O835" s="659" t="str">
        <f t="shared" si="68"/>
        <v/>
      </c>
    </row>
    <row r="836" spans="1:15">
      <c r="A836" t="s">
        <v>3056</v>
      </c>
      <c r="B836" t="s">
        <v>3057</v>
      </c>
      <c r="C836">
        <v>5.3999999999999999E-2</v>
      </c>
      <c r="D836">
        <v>5.3999999999999999E-2</v>
      </c>
      <c r="E836" t="s">
        <v>49</v>
      </c>
      <c r="F836" t="s">
        <v>2290</v>
      </c>
      <c r="G836" s="659" t="s">
        <v>1835</v>
      </c>
      <c r="H836" s="659" t="s">
        <v>2161</v>
      </c>
      <c r="I836" s="659" t="s">
        <v>1636</v>
      </c>
      <c r="J836" s="659" t="s">
        <v>2158</v>
      </c>
      <c r="K836" s="662" t="str">
        <f t="shared" si="69"/>
        <v>Compute</v>
      </c>
      <c r="L836" s="660" t="str">
        <f t="shared" si="65"/>
        <v>HR</v>
      </c>
      <c r="M836" s="660" t="str">
        <f t="shared" si="66"/>
        <v>UC</v>
      </c>
      <c r="N836" s="660" t="str">
        <f t="shared" si="67"/>
        <v>IAAS</v>
      </c>
      <c r="O836" s="659" t="str">
        <f t="shared" si="68"/>
        <v/>
      </c>
    </row>
    <row r="837" spans="1:15">
      <c r="A837" t="s">
        <v>3058</v>
      </c>
      <c r="B837" t="s">
        <v>3059</v>
      </c>
      <c r="C837">
        <v>1.5E-3</v>
      </c>
      <c r="D837">
        <v>1.5E-3</v>
      </c>
      <c r="E837" t="s">
        <v>2294</v>
      </c>
      <c r="F837" t="s">
        <v>2290</v>
      </c>
      <c r="G837" s="659" t="s">
        <v>1835</v>
      </c>
      <c r="H837" s="659" t="s">
        <v>2161</v>
      </c>
      <c r="I837" s="659" t="s">
        <v>1636</v>
      </c>
      <c r="J837" s="659" t="s">
        <v>2158</v>
      </c>
      <c r="K837" s="662" t="str">
        <f t="shared" si="69"/>
        <v>Compute</v>
      </c>
      <c r="L837" s="660" t="str">
        <f t="shared" si="65"/>
        <v>HR</v>
      </c>
      <c r="M837" s="660" t="str">
        <f t="shared" si="66"/>
        <v>UC</v>
      </c>
      <c r="N837" s="660" t="str">
        <f t="shared" si="67"/>
        <v>IAAS</v>
      </c>
      <c r="O837" s="659" t="str">
        <f t="shared" si="68"/>
        <v/>
      </c>
    </row>
    <row r="838" spans="1:15">
      <c r="A838" t="s">
        <v>3079</v>
      </c>
      <c r="B838" t="s">
        <v>3080</v>
      </c>
      <c r="C838">
        <v>0</v>
      </c>
      <c r="D838">
        <v>0.16</v>
      </c>
      <c r="E838" t="s">
        <v>2370</v>
      </c>
      <c r="F838" t="s">
        <v>2290</v>
      </c>
      <c r="G838" s="659" t="s">
        <v>2391</v>
      </c>
      <c r="H838" s="659" t="s">
        <v>2161</v>
      </c>
      <c r="I838" s="659" t="s">
        <v>1636</v>
      </c>
      <c r="J838" s="659" t="s">
        <v>2159</v>
      </c>
      <c r="K838" s="662" t="str">
        <f t="shared" si="69"/>
        <v>Integration</v>
      </c>
      <c r="L838" s="660" t="str">
        <f t="shared" si="65"/>
        <v>HR</v>
      </c>
      <c r="M838" s="660" t="str">
        <f t="shared" si="66"/>
        <v>UC</v>
      </c>
      <c r="N838" s="660" t="str">
        <f t="shared" si="67"/>
        <v>PAAS</v>
      </c>
      <c r="O838" s="659" t="str">
        <f t="shared" si="68"/>
        <v/>
      </c>
    </row>
    <row r="839" spans="1:15">
      <c r="A839" t="s">
        <v>3081</v>
      </c>
      <c r="B839" t="s">
        <v>3082</v>
      </c>
      <c r="C839">
        <v>0</v>
      </c>
      <c r="D839">
        <v>0.04</v>
      </c>
      <c r="E839" t="s">
        <v>2212</v>
      </c>
      <c r="F839" t="s">
        <v>2290</v>
      </c>
      <c r="G839" s="659" t="s">
        <v>2391</v>
      </c>
      <c r="H839" s="659" t="s">
        <v>2161</v>
      </c>
      <c r="I839" s="659" t="s">
        <v>1636</v>
      </c>
      <c r="J839" s="659" t="s">
        <v>2159</v>
      </c>
      <c r="K839" s="662" t="str">
        <f t="shared" si="69"/>
        <v>Integration</v>
      </c>
      <c r="L839" s="660" t="str">
        <f t="shared" si="65"/>
        <v>HR</v>
      </c>
      <c r="M839" s="660" t="str">
        <f t="shared" si="66"/>
        <v>UC</v>
      </c>
      <c r="N839" s="660" t="str">
        <f t="shared" si="67"/>
        <v>PAAS</v>
      </c>
      <c r="O839" s="659" t="str">
        <f t="shared" si="68"/>
        <v/>
      </c>
    </row>
    <row r="840" spans="1:15">
      <c r="A840" t="s">
        <v>3083</v>
      </c>
      <c r="B840" t="s">
        <v>3084</v>
      </c>
      <c r="C840">
        <v>0</v>
      </c>
      <c r="D840">
        <v>0.3</v>
      </c>
      <c r="E840" t="s">
        <v>3085</v>
      </c>
      <c r="F840" t="s">
        <v>2290</v>
      </c>
      <c r="G840" s="659" t="s">
        <v>2391</v>
      </c>
      <c r="H840" s="659" t="s">
        <v>2161</v>
      </c>
      <c r="I840" s="659" t="s">
        <v>1636</v>
      </c>
      <c r="J840" s="659" t="s">
        <v>2159</v>
      </c>
      <c r="K840" s="662" t="str">
        <f t="shared" si="69"/>
        <v>Integration</v>
      </c>
      <c r="L840" s="660" t="str">
        <f t="shared" si="65"/>
        <v>HR</v>
      </c>
      <c r="M840" s="660" t="str">
        <f t="shared" si="66"/>
        <v>UC</v>
      </c>
      <c r="N840" s="660" t="str">
        <f t="shared" si="67"/>
        <v>PAAS</v>
      </c>
      <c r="O840" s="659" t="str">
        <f t="shared" si="68"/>
        <v/>
      </c>
    </row>
    <row r="841" spans="1:15">
      <c r="A841" t="s">
        <v>3060</v>
      </c>
      <c r="B841" t="s">
        <v>3061</v>
      </c>
      <c r="C841">
        <v>0</v>
      </c>
      <c r="D841">
        <v>0.02</v>
      </c>
      <c r="E841" t="s">
        <v>2761</v>
      </c>
      <c r="F841" t="s">
        <v>2290</v>
      </c>
      <c r="G841" s="659" t="s">
        <v>2309</v>
      </c>
      <c r="H841" s="659" t="s">
        <v>2161</v>
      </c>
      <c r="I841" s="659" t="s">
        <v>1636</v>
      </c>
      <c r="J841" s="659" t="s">
        <v>1338</v>
      </c>
      <c r="K841" s="662" t="str">
        <f t="shared" si="69"/>
        <v>DBaaS</v>
      </c>
      <c r="L841" s="660" t="str">
        <f t="shared" si="65"/>
        <v>HR</v>
      </c>
      <c r="M841" s="660" t="str">
        <f t="shared" si="66"/>
        <v>UC</v>
      </c>
      <c r="N841" s="660" t="str">
        <f t="shared" si="67"/>
        <v>BYOL</v>
      </c>
      <c r="O841" s="659" t="str">
        <f t="shared" si="68"/>
        <v/>
      </c>
    </row>
    <row r="842" spans="1:15">
      <c r="A842" t="s">
        <v>3062</v>
      </c>
      <c r="B842" t="s">
        <v>3063</v>
      </c>
      <c r="C842" s="1">
        <v>0</v>
      </c>
      <c r="D842" s="1">
        <v>0.04</v>
      </c>
      <c r="E842" s="1" t="s">
        <v>2761</v>
      </c>
      <c r="F842" t="s">
        <v>2290</v>
      </c>
      <c r="G842" s="659" t="s">
        <v>2309</v>
      </c>
      <c r="H842" s="659" t="s">
        <v>2161</v>
      </c>
      <c r="I842" s="659" t="s">
        <v>1636</v>
      </c>
      <c r="J842" s="659" t="s">
        <v>2159</v>
      </c>
      <c r="K842" s="662" t="str">
        <f t="shared" si="69"/>
        <v>DBaaS</v>
      </c>
      <c r="L842" s="660" t="str">
        <f t="shared" si="65"/>
        <v>HR</v>
      </c>
      <c r="M842" s="660" t="str">
        <f t="shared" si="66"/>
        <v>UC</v>
      </c>
      <c r="N842" s="660" t="str">
        <f t="shared" si="67"/>
        <v>PAAS</v>
      </c>
      <c r="O842" s="659" t="str">
        <f t="shared" si="68"/>
        <v/>
      </c>
    </row>
    <row r="843" spans="1:15">
      <c r="A843" t="s">
        <v>3064</v>
      </c>
      <c r="B843" t="s">
        <v>3065</v>
      </c>
      <c r="C843">
        <v>12000</v>
      </c>
      <c r="D843">
        <v>15600</v>
      </c>
      <c r="E843">
        <v>0</v>
      </c>
      <c r="F843" t="s">
        <v>2290</v>
      </c>
      <c r="G843" s="659" t="s">
        <v>2558</v>
      </c>
      <c r="H843" s="659" t="s">
        <v>2394</v>
      </c>
      <c r="I843" s="659" t="s">
        <v>1637</v>
      </c>
      <c r="J843" s="659" t="s">
        <v>1637</v>
      </c>
      <c r="K843" s="662" t="str">
        <f t="shared" si="69"/>
        <v>Consulting</v>
      </c>
      <c r="L843" s="660" t="str">
        <f t="shared" ref="L843:L906" si="70">_xlfn.IFS(ISNUMBER(SEARCH("Hour",E843)),"HR",ISNUMBER(SEARCH("Gigabyte",E843)),"GB",ISNUMBER(SEARCH("Terabyte",E843)),"TB",ISNUMBER(SEARCH("Requests",E843)),"REQ",ISNUMBER(SEARCH("Each",E843)),"EA",ISNUMBER(SEARCH("Day",E843)),"DAY","TRUE","UNIT")</f>
        <v>UNIT</v>
      </c>
      <c r="M843" s="660" t="str">
        <f t="shared" ref="M843:M906" si="71">_xlfn.IFS(K843="CC","CC",K843="Consulting","SRV",F843="Y","UC0",TRUE,"UC")</f>
        <v>SRV</v>
      </c>
      <c r="N843" s="660" t="str">
        <f t="shared" ref="N843:N906" si="72">_xlfn.IFS(ISNUMBER(SEARCH("BYOL",B843)),"BYOL",K843="Storage","IAAS",K843="Compute","IAAS",K843="Network","IAAS",K843="Service","IAAS",M843="SRV","SRV",M843="CC","CC",L843="REQ","IAAS",TRUE,"PAAS")</f>
        <v>SRV</v>
      </c>
      <c r="O843" s="659" t="str">
        <f t="shared" ref="O843:O906" si="73">IF(G843=K843,"","error")</f>
        <v/>
      </c>
    </row>
    <row r="844" spans="1:15">
      <c r="A844" t="s">
        <v>3066</v>
      </c>
      <c r="B844" t="s">
        <v>3067</v>
      </c>
      <c r="C844">
        <v>0</v>
      </c>
      <c r="D844">
        <v>0</v>
      </c>
      <c r="E844">
        <v>0</v>
      </c>
      <c r="F844" t="s">
        <v>2290</v>
      </c>
      <c r="G844" s="659" t="s">
        <v>2392</v>
      </c>
      <c r="H844" s="659" t="s">
        <v>2394</v>
      </c>
      <c r="I844" s="659" t="s">
        <v>1636</v>
      </c>
      <c r="J844" s="659" t="s">
        <v>2159</v>
      </c>
      <c r="K844" s="662" t="str">
        <f t="shared" si="69"/>
        <v>Platform</v>
      </c>
      <c r="L844" s="660" t="str">
        <f t="shared" si="70"/>
        <v>UNIT</v>
      </c>
      <c r="M844" s="660" t="str">
        <f t="shared" si="71"/>
        <v>UC</v>
      </c>
      <c r="N844" s="660" t="str">
        <f t="shared" si="72"/>
        <v>PAAS</v>
      </c>
      <c r="O844" s="659" t="str">
        <f t="shared" si="73"/>
        <v/>
      </c>
    </row>
    <row r="845" spans="1:15">
      <c r="A845" t="s">
        <v>3068</v>
      </c>
      <c r="B845" t="s">
        <v>3069</v>
      </c>
      <c r="C845">
        <v>0</v>
      </c>
      <c r="D845">
        <v>0.2437</v>
      </c>
      <c r="E845" t="s">
        <v>49</v>
      </c>
      <c r="F845" t="s">
        <v>588</v>
      </c>
      <c r="G845" s="659" t="s">
        <v>2400</v>
      </c>
      <c r="H845" s="659" t="s">
        <v>2161</v>
      </c>
      <c r="I845" s="659" t="s">
        <v>2398</v>
      </c>
      <c r="J845" s="659" t="s">
        <v>2159</v>
      </c>
      <c r="K845" s="662" t="str">
        <f t="shared" si="69"/>
        <v>Government</v>
      </c>
      <c r="L845" s="660" t="str">
        <f t="shared" si="70"/>
        <v>HR</v>
      </c>
      <c r="M845" s="660" t="str">
        <f t="shared" si="71"/>
        <v>UC0</v>
      </c>
      <c r="N845" s="660" t="str">
        <f t="shared" si="72"/>
        <v>PAAS</v>
      </c>
      <c r="O845" s="659" t="str">
        <f t="shared" si="73"/>
        <v/>
      </c>
    </row>
    <row r="846" spans="1:15">
      <c r="A846" t="s">
        <v>3070</v>
      </c>
      <c r="B846" t="s">
        <v>3071</v>
      </c>
      <c r="C846">
        <v>0</v>
      </c>
      <c r="D846">
        <v>0.16250000000000001</v>
      </c>
      <c r="E846" t="s">
        <v>49</v>
      </c>
      <c r="F846" t="s">
        <v>588</v>
      </c>
      <c r="G846" s="659" t="s">
        <v>2400</v>
      </c>
      <c r="H846" s="659" t="s">
        <v>2161</v>
      </c>
      <c r="I846" s="659" t="s">
        <v>2398</v>
      </c>
      <c r="J846" s="659" t="s">
        <v>2159</v>
      </c>
      <c r="K846" s="662" t="str">
        <f t="shared" si="69"/>
        <v>Government</v>
      </c>
      <c r="L846" s="660" t="str">
        <f t="shared" si="70"/>
        <v>HR</v>
      </c>
      <c r="M846" s="660" t="str">
        <f t="shared" si="71"/>
        <v>UC0</v>
      </c>
      <c r="N846" s="660" t="str">
        <f t="shared" si="72"/>
        <v>PAAS</v>
      </c>
      <c r="O846" s="659" t="str">
        <f t="shared" si="73"/>
        <v/>
      </c>
    </row>
    <row r="847" spans="1:15">
      <c r="A847" t="s">
        <v>3072</v>
      </c>
      <c r="B847" t="s">
        <v>3073</v>
      </c>
      <c r="C847">
        <v>0</v>
      </c>
      <c r="D847">
        <v>0.13200000000000001</v>
      </c>
      <c r="E847" t="s">
        <v>49</v>
      </c>
      <c r="F847" t="s">
        <v>588</v>
      </c>
      <c r="G847" s="659" t="s">
        <v>2400</v>
      </c>
      <c r="H847" s="659" t="s">
        <v>2161</v>
      </c>
      <c r="I847" s="659" t="s">
        <v>2398</v>
      </c>
      <c r="J847" s="659" t="s">
        <v>2159</v>
      </c>
      <c r="K847" s="662" t="str">
        <f t="shared" si="69"/>
        <v>Government</v>
      </c>
      <c r="L847" s="660" t="str">
        <f t="shared" si="70"/>
        <v>HR</v>
      </c>
      <c r="M847" s="660" t="str">
        <f t="shared" si="71"/>
        <v>UC0</v>
      </c>
      <c r="N847" s="660" t="str">
        <f t="shared" si="72"/>
        <v>PAAS</v>
      </c>
      <c r="O847" s="659" t="str">
        <f t="shared" si="73"/>
        <v/>
      </c>
    </row>
    <row r="848" spans="1:15">
      <c r="A848" t="s">
        <v>3074</v>
      </c>
      <c r="B848" t="s">
        <v>3075</v>
      </c>
      <c r="C848">
        <v>0</v>
      </c>
      <c r="D848">
        <v>5.3999999999999999E-2</v>
      </c>
      <c r="E848" t="s">
        <v>49</v>
      </c>
      <c r="F848" t="s">
        <v>2290</v>
      </c>
      <c r="G848" s="659" t="s">
        <v>1835</v>
      </c>
      <c r="H848" s="659" t="s">
        <v>2161</v>
      </c>
      <c r="I848" s="659" t="s">
        <v>1636</v>
      </c>
      <c r="J848" s="659" t="s">
        <v>2158</v>
      </c>
      <c r="K848" s="662" t="str">
        <f t="shared" si="69"/>
        <v>Compute</v>
      </c>
      <c r="L848" s="660" t="str">
        <f t="shared" si="70"/>
        <v>HR</v>
      </c>
      <c r="M848" s="660" t="str">
        <f t="shared" si="71"/>
        <v>UC</v>
      </c>
      <c r="N848" s="660" t="str">
        <f t="shared" si="72"/>
        <v>IAAS</v>
      </c>
      <c r="O848" s="659" t="str">
        <f t="shared" si="73"/>
        <v/>
      </c>
    </row>
    <row r="849" spans="1:15">
      <c r="A849" t="s">
        <v>3076</v>
      </c>
      <c r="B849" t="s">
        <v>3077</v>
      </c>
      <c r="C849">
        <v>0</v>
      </c>
      <c r="D849">
        <v>1.5E-3</v>
      </c>
      <c r="E849" t="s">
        <v>2294</v>
      </c>
      <c r="F849" t="s">
        <v>2290</v>
      </c>
      <c r="G849" s="659" t="s">
        <v>1835</v>
      </c>
      <c r="H849" s="659" t="s">
        <v>2161</v>
      </c>
      <c r="I849" s="659" t="s">
        <v>1636</v>
      </c>
      <c r="J849" s="659" t="s">
        <v>2158</v>
      </c>
      <c r="K849" s="662" t="str">
        <f t="shared" si="69"/>
        <v>Compute</v>
      </c>
      <c r="L849" s="660" t="str">
        <f t="shared" si="70"/>
        <v>HR</v>
      </c>
      <c r="M849" s="660" t="str">
        <f t="shared" si="71"/>
        <v>UC</v>
      </c>
      <c r="N849" s="660" t="str">
        <f t="shared" si="72"/>
        <v>IAAS</v>
      </c>
      <c r="O849" s="659" t="str">
        <f t="shared" si="73"/>
        <v/>
      </c>
    </row>
    <row r="850" spans="1:15">
      <c r="A850" t="s">
        <v>3086</v>
      </c>
      <c r="B850" t="s">
        <v>3087</v>
      </c>
      <c r="C850">
        <v>0</v>
      </c>
      <c r="D850">
        <v>50000</v>
      </c>
      <c r="E850" t="s">
        <v>1154</v>
      </c>
      <c r="F850" t="s">
        <v>2290</v>
      </c>
      <c r="G850" s="659" t="s">
        <v>2558</v>
      </c>
      <c r="H850" s="659" t="s">
        <v>2397</v>
      </c>
      <c r="I850" s="659" t="s">
        <v>1637</v>
      </c>
      <c r="J850" s="659" t="s">
        <v>1637</v>
      </c>
      <c r="K850" s="662" t="str">
        <f t="shared" si="69"/>
        <v>Consulting</v>
      </c>
      <c r="L850" s="660" t="str">
        <f t="shared" si="70"/>
        <v>EA</v>
      </c>
      <c r="M850" s="660" t="str">
        <f t="shared" si="71"/>
        <v>SRV</v>
      </c>
      <c r="N850" s="660" t="str">
        <f t="shared" si="72"/>
        <v>SRV</v>
      </c>
      <c r="O850" s="659" t="str">
        <f t="shared" si="73"/>
        <v/>
      </c>
    </row>
    <row r="851" spans="1:15">
      <c r="A851" t="s">
        <v>3090</v>
      </c>
      <c r="B851" t="s">
        <v>3110</v>
      </c>
      <c r="C851">
        <v>0</v>
      </c>
      <c r="D851">
        <v>0</v>
      </c>
      <c r="E851">
        <v>0</v>
      </c>
      <c r="F851" t="s">
        <v>2290</v>
      </c>
      <c r="G851" s="659" t="s">
        <v>2392</v>
      </c>
      <c r="H851" s="659" t="s">
        <v>2394</v>
      </c>
      <c r="I851" s="659" t="s">
        <v>1636</v>
      </c>
      <c r="J851" s="659" t="s">
        <v>2159</v>
      </c>
      <c r="K851" s="662" t="str">
        <f t="shared" si="69"/>
        <v>Platform</v>
      </c>
      <c r="L851" s="660" t="str">
        <f t="shared" si="70"/>
        <v>UNIT</v>
      </c>
      <c r="M851" s="660" t="str">
        <f t="shared" si="71"/>
        <v>UC</v>
      </c>
      <c r="N851" s="660" t="str">
        <f t="shared" si="72"/>
        <v>PAAS</v>
      </c>
      <c r="O851" s="659" t="str">
        <f t="shared" si="73"/>
        <v/>
      </c>
    </row>
    <row r="852" spans="1:15">
      <c r="A852" t="s">
        <v>3088</v>
      </c>
      <c r="B852" t="s">
        <v>3089</v>
      </c>
      <c r="C852" t="s">
        <v>133</v>
      </c>
      <c r="D852">
        <v>1.26E-2</v>
      </c>
      <c r="E852" t="s">
        <v>49</v>
      </c>
      <c r="F852" t="s">
        <v>588</v>
      </c>
      <c r="G852" s="659" t="s">
        <v>2392</v>
      </c>
      <c r="H852" s="659" t="s">
        <v>2394</v>
      </c>
      <c r="I852" s="659" t="s">
        <v>2398</v>
      </c>
      <c r="J852" s="659" t="s">
        <v>2159</v>
      </c>
      <c r="K852" s="662" t="str">
        <f t="shared" si="69"/>
        <v>Platform</v>
      </c>
      <c r="L852" s="660" t="str">
        <f t="shared" si="70"/>
        <v>HR</v>
      </c>
      <c r="M852" s="660" t="str">
        <f t="shared" si="71"/>
        <v>UC0</v>
      </c>
      <c r="N852" s="660" t="str">
        <f t="shared" si="72"/>
        <v>PAAS</v>
      </c>
      <c r="O852" s="659" t="str">
        <f t="shared" si="73"/>
        <v/>
      </c>
    </row>
    <row r="853" spans="1:15">
      <c r="A853" t="s">
        <v>3135</v>
      </c>
      <c r="B853" t="s">
        <v>3136</v>
      </c>
      <c r="C853">
        <v>0</v>
      </c>
      <c r="D853">
        <v>1.26E-2</v>
      </c>
      <c r="E853" t="s">
        <v>49</v>
      </c>
      <c r="F853" t="s">
        <v>588</v>
      </c>
      <c r="G853" s="659" t="s">
        <v>2400</v>
      </c>
      <c r="H853" s="659" t="s">
        <v>2161</v>
      </c>
      <c r="I853" s="659" t="s">
        <v>2398</v>
      </c>
      <c r="J853" s="659" t="s">
        <v>2159</v>
      </c>
      <c r="K853" s="662" t="str">
        <f t="shared" si="69"/>
        <v>Government</v>
      </c>
      <c r="L853" s="660" t="str">
        <f t="shared" si="70"/>
        <v>HR</v>
      </c>
      <c r="M853" s="660" t="str">
        <f t="shared" si="71"/>
        <v>UC0</v>
      </c>
      <c r="N853" s="660" t="str">
        <f t="shared" si="72"/>
        <v>PAAS</v>
      </c>
      <c r="O853" s="659" t="str">
        <f t="shared" si="73"/>
        <v/>
      </c>
    </row>
    <row r="854" spans="1:15">
      <c r="A854" t="s">
        <v>3078</v>
      </c>
      <c r="B854" t="s">
        <v>3214</v>
      </c>
      <c r="C854">
        <v>0.25</v>
      </c>
      <c r="D854">
        <v>0.25</v>
      </c>
      <c r="E854" t="s">
        <v>3091</v>
      </c>
      <c r="F854" t="s">
        <v>2290</v>
      </c>
      <c r="G854" s="659" t="s">
        <v>2392</v>
      </c>
      <c r="H854" s="659" t="s">
        <v>2394</v>
      </c>
      <c r="I854" s="659" t="s">
        <v>1636</v>
      </c>
      <c r="J854" s="659" t="s">
        <v>2159</v>
      </c>
      <c r="K854" s="662" t="str">
        <f t="shared" si="69"/>
        <v>Platform</v>
      </c>
      <c r="L854" s="660" t="str">
        <f t="shared" si="70"/>
        <v>UNIT</v>
      </c>
      <c r="M854" s="660" t="str">
        <f t="shared" si="71"/>
        <v>UC</v>
      </c>
      <c r="N854" s="660" t="str">
        <f t="shared" si="72"/>
        <v>PAAS</v>
      </c>
      <c r="O854" s="659" t="str">
        <f t="shared" si="73"/>
        <v/>
      </c>
    </row>
    <row r="855" spans="1:15">
      <c r="A855" t="s">
        <v>3137</v>
      </c>
      <c r="B855" t="s">
        <v>3138</v>
      </c>
      <c r="C855">
        <v>0.04</v>
      </c>
      <c r="D855">
        <v>0.04</v>
      </c>
      <c r="E855" t="s">
        <v>49</v>
      </c>
      <c r="F855" t="s">
        <v>2290</v>
      </c>
      <c r="G855" s="659" t="s">
        <v>2309</v>
      </c>
      <c r="H855" s="659" t="s">
        <v>2161</v>
      </c>
      <c r="I855" s="659" t="s">
        <v>1636</v>
      </c>
      <c r="J855" s="659" t="s">
        <v>2159</v>
      </c>
      <c r="K855" s="662" t="str">
        <f t="shared" si="69"/>
        <v>DBaaS</v>
      </c>
      <c r="L855" s="660" t="str">
        <f t="shared" si="70"/>
        <v>HR</v>
      </c>
      <c r="M855" s="660" t="str">
        <f t="shared" si="71"/>
        <v>UC</v>
      </c>
      <c r="N855" s="660" t="str">
        <f t="shared" si="72"/>
        <v>PAAS</v>
      </c>
      <c r="O855" s="659" t="str">
        <f t="shared" si="73"/>
        <v/>
      </c>
    </row>
    <row r="856" spans="1:15">
      <c r="A856" t="s">
        <v>3139</v>
      </c>
      <c r="B856" t="s">
        <v>3140</v>
      </c>
      <c r="C856">
        <v>0</v>
      </c>
      <c r="D856">
        <v>0.04</v>
      </c>
      <c r="E856" t="s">
        <v>49</v>
      </c>
      <c r="F856" t="s">
        <v>2290</v>
      </c>
      <c r="G856" s="659" t="s">
        <v>2309</v>
      </c>
      <c r="H856" s="659" t="s">
        <v>2161</v>
      </c>
      <c r="I856" s="659" t="s">
        <v>1636</v>
      </c>
      <c r="J856" s="659" t="s">
        <v>2159</v>
      </c>
      <c r="K856" s="662" t="str">
        <f t="shared" si="69"/>
        <v>DBaaS</v>
      </c>
      <c r="L856" s="660" t="str">
        <f t="shared" si="70"/>
        <v>HR</v>
      </c>
      <c r="M856" s="660" t="str">
        <f t="shared" si="71"/>
        <v>UC</v>
      </c>
      <c r="N856" s="660" t="str">
        <f t="shared" si="72"/>
        <v>PAAS</v>
      </c>
      <c r="O856" s="659" t="str">
        <f t="shared" si="73"/>
        <v/>
      </c>
    </row>
    <row r="857" spans="1:15">
      <c r="A857" t="s">
        <v>3111</v>
      </c>
      <c r="B857" t="s">
        <v>3118</v>
      </c>
      <c r="C857">
        <v>2.5000000000000001E-2</v>
      </c>
      <c r="D857">
        <v>2.5000000000000001E-2</v>
      </c>
      <c r="E857" t="s">
        <v>2187</v>
      </c>
      <c r="F857" t="s">
        <v>2290</v>
      </c>
      <c r="G857" s="659" t="s">
        <v>2392</v>
      </c>
      <c r="H857" s="659" t="s">
        <v>2394</v>
      </c>
      <c r="I857" s="659" t="s">
        <v>1636</v>
      </c>
      <c r="J857" s="659" t="s">
        <v>2159</v>
      </c>
      <c r="K857" s="662" t="str">
        <f t="shared" si="69"/>
        <v>Platform</v>
      </c>
      <c r="L857" s="660" t="str">
        <f t="shared" si="70"/>
        <v>GB</v>
      </c>
      <c r="M857" s="660" t="str">
        <f t="shared" si="71"/>
        <v>UC</v>
      </c>
      <c r="N857" s="660" t="str">
        <f t="shared" si="72"/>
        <v>PAAS</v>
      </c>
      <c r="O857" s="659" t="str">
        <f t="shared" si="73"/>
        <v/>
      </c>
    </row>
    <row r="858" spans="1:15">
      <c r="A858" t="s">
        <v>3112</v>
      </c>
      <c r="B858" t="s">
        <v>3117</v>
      </c>
      <c r="C858">
        <v>0.05</v>
      </c>
      <c r="D858">
        <v>0.05</v>
      </c>
      <c r="E858" t="s">
        <v>2187</v>
      </c>
      <c r="F858" t="s">
        <v>2290</v>
      </c>
      <c r="G858" s="659" t="s">
        <v>2392</v>
      </c>
      <c r="H858" s="659" t="s">
        <v>2394</v>
      </c>
      <c r="I858" s="659" t="s">
        <v>1636</v>
      </c>
      <c r="J858" s="659" t="s">
        <v>2159</v>
      </c>
      <c r="K858" s="662" t="str">
        <f t="shared" si="69"/>
        <v>Platform</v>
      </c>
      <c r="L858" s="660" t="str">
        <f t="shared" si="70"/>
        <v>GB</v>
      </c>
      <c r="M858" s="660" t="str">
        <f t="shared" si="71"/>
        <v>UC</v>
      </c>
      <c r="N858" s="660" t="str">
        <f t="shared" si="72"/>
        <v>PAAS</v>
      </c>
      <c r="O858" s="659" t="str">
        <f t="shared" si="73"/>
        <v/>
      </c>
    </row>
    <row r="859" spans="1:15">
      <c r="A859" t="s">
        <v>3157</v>
      </c>
      <c r="B859" t="s">
        <v>3158</v>
      </c>
      <c r="C859">
        <v>1.6E-2</v>
      </c>
      <c r="D859">
        <v>1.6E-2</v>
      </c>
      <c r="E859" t="s">
        <v>2203</v>
      </c>
      <c r="F859" t="s">
        <v>2290</v>
      </c>
      <c r="G859" s="659" t="s">
        <v>2392</v>
      </c>
      <c r="H859" s="659" t="s">
        <v>2394</v>
      </c>
      <c r="I859" s="659" t="s">
        <v>1636</v>
      </c>
      <c r="J859" s="659" t="s">
        <v>2159</v>
      </c>
      <c r="K859" s="662" t="str">
        <f t="shared" si="69"/>
        <v>Platform</v>
      </c>
      <c r="L859" s="660" t="str">
        <f t="shared" si="70"/>
        <v>UNIT</v>
      </c>
      <c r="M859" s="660" t="str">
        <f t="shared" si="71"/>
        <v>UC</v>
      </c>
      <c r="N859" s="660" t="str">
        <f t="shared" si="72"/>
        <v>PAAS</v>
      </c>
      <c r="O859" s="659" t="str">
        <f t="shared" si="73"/>
        <v/>
      </c>
    </row>
    <row r="860" spans="1:15">
      <c r="A860" t="s">
        <v>3159</v>
      </c>
      <c r="B860" t="s">
        <v>3160</v>
      </c>
      <c r="C860">
        <v>0.25</v>
      </c>
      <c r="D860">
        <v>0.25</v>
      </c>
      <c r="E860" t="s">
        <v>2203</v>
      </c>
      <c r="F860" t="s">
        <v>2290</v>
      </c>
      <c r="G860" s="659" t="s">
        <v>2392</v>
      </c>
      <c r="H860" s="659" t="s">
        <v>2394</v>
      </c>
      <c r="I860" s="659" t="s">
        <v>1636</v>
      </c>
      <c r="J860" s="659" t="s">
        <v>2159</v>
      </c>
      <c r="K860" s="662" t="str">
        <f t="shared" si="69"/>
        <v>Platform</v>
      </c>
      <c r="L860" s="660" t="str">
        <f t="shared" si="70"/>
        <v>UNIT</v>
      </c>
      <c r="M860" s="660" t="str">
        <f t="shared" si="71"/>
        <v>UC</v>
      </c>
      <c r="N860" s="660" t="str">
        <f t="shared" si="72"/>
        <v>PAAS</v>
      </c>
      <c r="O860" s="659" t="str">
        <f t="shared" si="73"/>
        <v/>
      </c>
    </row>
    <row r="861" spans="1:15">
      <c r="A861" t="s">
        <v>3161</v>
      </c>
      <c r="B861" t="s">
        <v>3162</v>
      </c>
      <c r="C861">
        <v>3.2</v>
      </c>
      <c r="D861">
        <v>3.2</v>
      </c>
      <c r="E861" t="s">
        <v>2203</v>
      </c>
      <c r="F861" t="s">
        <v>2290</v>
      </c>
      <c r="G861" s="659" t="s">
        <v>2392</v>
      </c>
      <c r="H861" s="659" t="s">
        <v>2394</v>
      </c>
      <c r="I861" s="659" t="s">
        <v>1636</v>
      </c>
      <c r="J861" s="659" t="s">
        <v>2159</v>
      </c>
      <c r="K861" s="662" t="str">
        <f t="shared" si="69"/>
        <v>Platform</v>
      </c>
      <c r="L861" s="660" t="str">
        <f t="shared" si="70"/>
        <v>UNIT</v>
      </c>
      <c r="M861" s="660" t="str">
        <f t="shared" si="71"/>
        <v>UC</v>
      </c>
      <c r="N861" s="660" t="str">
        <f t="shared" si="72"/>
        <v>PAAS</v>
      </c>
      <c r="O861" s="659" t="str">
        <f t="shared" si="73"/>
        <v/>
      </c>
    </row>
    <row r="862" spans="1:15">
      <c r="A862" t="s">
        <v>3163</v>
      </c>
      <c r="B862" t="s">
        <v>3219</v>
      </c>
      <c r="C862">
        <v>0.03</v>
      </c>
      <c r="D862">
        <v>0.03</v>
      </c>
      <c r="E862" t="s">
        <v>2846</v>
      </c>
      <c r="F862" t="s">
        <v>2290</v>
      </c>
      <c r="G862" s="659" t="s">
        <v>2392</v>
      </c>
      <c r="H862" s="659" t="s">
        <v>2394</v>
      </c>
      <c r="I862" s="659" t="s">
        <v>1636</v>
      </c>
      <c r="J862" s="659" t="s">
        <v>2159</v>
      </c>
      <c r="K862" s="662" t="str">
        <f t="shared" si="69"/>
        <v>Platform</v>
      </c>
      <c r="L862" s="660" t="str">
        <f t="shared" si="70"/>
        <v>UNIT</v>
      </c>
      <c r="M862" s="660" t="str">
        <f t="shared" si="71"/>
        <v>UC</v>
      </c>
      <c r="N862" s="660" t="str">
        <f t="shared" si="72"/>
        <v>PAAS</v>
      </c>
      <c r="O862" s="659" t="str">
        <f t="shared" si="73"/>
        <v/>
      </c>
    </row>
    <row r="863" spans="1:15">
      <c r="A863" t="s">
        <v>3164</v>
      </c>
      <c r="B863" t="s">
        <v>3220</v>
      </c>
      <c r="C863">
        <v>4.0000000000000001E-3</v>
      </c>
      <c r="D863">
        <v>4.0000000000000001E-3</v>
      </c>
      <c r="E863" t="s">
        <v>3193</v>
      </c>
      <c r="F863" t="s">
        <v>2290</v>
      </c>
      <c r="G863" s="659" t="s">
        <v>2392</v>
      </c>
      <c r="H863" s="659" t="s">
        <v>2394</v>
      </c>
      <c r="I863" s="659" t="s">
        <v>1636</v>
      </c>
      <c r="J863" s="659" t="s">
        <v>2159</v>
      </c>
      <c r="K863" s="662" t="str">
        <f t="shared" si="69"/>
        <v>Platform</v>
      </c>
      <c r="L863" s="660" t="str">
        <f t="shared" si="70"/>
        <v>UNIT</v>
      </c>
      <c r="M863" s="660" t="str">
        <f t="shared" si="71"/>
        <v>UC</v>
      </c>
      <c r="N863" s="660" t="str">
        <f t="shared" si="72"/>
        <v>PAAS</v>
      </c>
      <c r="O863" s="659" t="str">
        <f t="shared" si="73"/>
        <v/>
      </c>
    </row>
    <row r="864" spans="1:15">
      <c r="A864" t="s">
        <v>3165</v>
      </c>
      <c r="B864" s="659" t="s">
        <v>3166</v>
      </c>
      <c r="C864" s="1">
        <v>4.0000000000000001E-3</v>
      </c>
      <c r="D864" s="1">
        <v>4.0000000000000001E-3</v>
      </c>
      <c r="E864" s="1" t="s">
        <v>2203</v>
      </c>
      <c r="F864" t="s">
        <v>2290</v>
      </c>
      <c r="G864" s="659" t="s">
        <v>2392</v>
      </c>
      <c r="H864" s="659" t="s">
        <v>2394</v>
      </c>
      <c r="I864" s="659" t="s">
        <v>1636</v>
      </c>
      <c r="J864" s="659" t="s">
        <v>2159</v>
      </c>
      <c r="K864" s="662" t="str">
        <f t="shared" si="69"/>
        <v>Platform</v>
      </c>
      <c r="L864" s="660" t="str">
        <f t="shared" si="70"/>
        <v>UNIT</v>
      </c>
      <c r="M864" s="660" t="str">
        <f t="shared" si="71"/>
        <v>UC</v>
      </c>
      <c r="N864" s="660" t="str">
        <f t="shared" si="72"/>
        <v>PAAS</v>
      </c>
      <c r="O864" s="659" t="str">
        <f t="shared" si="73"/>
        <v/>
      </c>
    </row>
    <row r="865" spans="1:15">
      <c r="A865" t="s">
        <v>3113</v>
      </c>
      <c r="B865" t="s">
        <v>3114</v>
      </c>
      <c r="C865">
        <v>0</v>
      </c>
      <c r="D865">
        <v>0</v>
      </c>
      <c r="E865">
        <v>0</v>
      </c>
      <c r="F865" t="s">
        <v>2290</v>
      </c>
      <c r="G865" s="659" t="s">
        <v>2400</v>
      </c>
      <c r="H865" s="659" t="s">
        <v>2394</v>
      </c>
      <c r="I865" s="659" t="s">
        <v>1636</v>
      </c>
      <c r="J865" s="659" t="s">
        <v>2159</v>
      </c>
      <c r="K865" s="662" t="str">
        <f t="shared" si="69"/>
        <v>Government</v>
      </c>
      <c r="L865" s="660" t="str">
        <f t="shared" si="70"/>
        <v>UNIT</v>
      </c>
      <c r="M865" s="660" t="str">
        <f t="shared" si="71"/>
        <v>UC</v>
      </c>
      <c r="N865" s="660" t="str">
        <f t="shared" si="72"/>
        <v>PAAS</v>
      </c>
      <c r="O865" s="659" t="str">
        <f t="shared" si="73"/>
        <v/>
      </c>
    </row>
    <row r="866" spans="1:15">
      <c r="A866" t="s">
        <v>3115</v>
      </c>
      <c r="B866" t="s">
        <v>3116</v>
      </c>
      <c r="C866">
        <v>0</v>
      </c>
      <c r="D866">
        <v>0</v>
      </c>
      <c r="E866">
        <v>0</v>
      </c>
      <c r="F866" t="s">
        <v>2290</v>
      </c>
      <c r="G866" s="659" t="s">
        <v>2400</v>
      </c>
      <c r="H866" s="659" t="s">
        <v>2394</v>
      </c>
      <c r="I866" s="659" t="s">
        <v>1636</v>
      </c>
      <c r="J866" s="659" t="s">
        <v>2159</v>
      </c>
      <c r="K866" s="662" t="str">
        <f t="shared" si="69"/>
        <v>Government</v>
      </c>
      <c r="L866" s="660" t="str">
        <f t="shared" si="70"/>
        <v>UNIT</v>
      </c>
      <c r="M866" s="660" t="str">
        <f t="shared" si="71"/>
        <v>UC</v>
      </c>
      <c r="N866" s="660" t="str">
        <f t="shared" si="72"/>
        <v>PAAS</v>
      </c>
      <c r="O866" s="659" t="str">
        <f t="shared" si="73"/>
        <v/>
      </c>
    </row>
    <row r="867" spans="1:15">
      <c r="A867" t="s">
        <v>3141</v>
      </c>
      <c r="B867" t="s">
        <v>3142</v>
      </c>
      <c r="C867" s="1">
        <v>0</v>
      </c>
      <c r="D867" s="1">
        <v>0.3226</v>
      </c>
      <c r="E867" s="1" t="s">
        <v>49</v>
      </c>
      <c r="F867" t="s">
        <v>2290</v>
      </c>
      <c r="G867" s="659" t="s">
        <v>2400</v>
      </c>
      <c r="H867" s="659" t="s">
        <v>2161</v>
      </c>
      <c r="I867" s="659" t="s">
        <v>1636</v>
      </c>
      <c r="J867" s="659" t="s">
        <v>2159</v>
      </c>
      <c r="K867" s="662" t="str">
        <f t="shared" si="69"/>
        <v>Government</v>
      </c>
      <c r="L867" s="660" t="str">
        <f t="shared" si="70"/>
        <v>HR</v>
      </c>
      <c r="M867" s="660" t="str">
        <f t="shared" si="71"/>
        <v>UC</v>
      </c>
      <c r="N867" s="660" t="str">
        <f t="shared" si="72"/>
        <v>PAAS</v>
      </c>
      <c r="O867" s="659" t="str">
        <f t="shared" si="73"/>
        <v/>
      </c>
    </row>
    <row r="868" spans="1:15">
      <c r="A868" t="s">
        <v>3092</v>
      </c>
      <c r="B868" t="s">
        <v>3221</v>
      </c>
      <c r="C868" s="1">
        <v>0.25</v>
      </c>
      <c r="D868" s="1">
        <v>0.25</v>
      </c>
      <c r="E868" s="1" t="s">
        <v>3091</v>
      </c>
      <c r="F868" t="s">
        <v>2290</v>
      </c>
      <c r="G868" s="659" t="s">
        <v>2392</v>
      </c>
      <c r="H868" s="659" t="s">
        <v>2394</v>
      </c>
      <c r="I868" s="659" t="s">
        <v>1636</v>
      </c>
      <c r="J868" s="659" t="s">
        <v>2159</v>
      </c>
      <c r="K868" s="662" t="str">
        <f t="shared" si="69"/>
        <v>Platform</v>
      </c>
      <c r="L868" s="660" t="str">
        <f t="shared" si="70"/>
        <v>UNIT</v>
      </c>
      <c r="M868" s="660" t="str">
        <f t="shared" si="71"/>
        <v>UC</v>
      </c>
      <c r="N868" s="660" t="str">
        <f t="shared" si="72"/>
        <v>PAAS</v>
      </c>
      <c r="O868" s="659" t="str">
        <f t="shared" si="73"/>
        <v/>
      </c>
    </row>
    <row r="869" spans="1:15">
      <c r="A869" t="s">
        <v>3093</v>
      </c>
      <c r="B869" t="s">
        <v>3094</v>
      </c>
      <c r="C869">
        <v>2.2143999999999999</v>
      </c>
      <c r="D869">
        <v>2.2143999999999999</v>
      </c>
      <c r="E869" s="1" t="s">
        <v>49</v>
      </c>
      <c r="F869" t="s">
        <v>2290</v>
      </c>
      <c r="G869" s="659" t="s">
        <v>2309</v>
      </c>
      <c r="H869" s="659" t="s">
        <v>2161</v>
      </c>
      <c r="I869" s="659" t="s">
        <v>1636</v>
      </c>
      <c r="J869" s="659" t="s">
        <v>2159</v>
      </c>
      <c r="K869" s="662" t="str">
        <f t="shared" si="69"/>
        <v>DBaaS</v>
      </c>
      <c r="L869" s="660" t="str">
        <f t="shared" si="70"/>
        <v>HR</v>
      </c>
      <c r="M869" s="660" t="str">
        <f t="shared" si="71"/>
        <v>UC</v>
      </c>
      <c r="N869" s="660" t="str">
        <f t="shared" si="72"/>
        <v>PAAS</v>
      </c>
      <c r="O869" s="659" t="str">
        <f t="shared" si="73"/>
        <v/>
      </c>
    </row>
    <row r="870" spans="1:15">
      <c r="A870" t="s">
        <v>3095</v>
      </c>
      <c r="B870" t="s">
        <v>3096</v>
      </c>
      <c r="C870">
        <v>1.4999999999999999E-2</v>
      </c>
      <c r="D870">
        <v>1.4999999999999999E-2</v>
      </c>
      <c r="E870" s="1" t="s">
        <v>49</v>
      </c>
      <c r="F870" t="s">
        <v>2290</v>
      </c>
      <c r="G870" s="664" t="s">
        <v>2392</v>
      </c>
      <c r="H870" s="664" t="s">
        <v>2161</v>
      </c>
      <c r="I870" s="664" t="s">
        <v>1636</v>
      </c>
      <c r="J870" s="664" t="s">
        <v>2159</v>
      </c>
      <c r="K870" s="662" t="str">
        <f t="shared" si="69"/>
        <v>Platform</v>
      </c>
      <c r="L870" s="660" t="str">
        <f t="shared" si="70"/>
        <v>HR</v>
      </c>
      <c r="M870" s="660" t="str">
        <f t="shared" si="71"/>
        <v>UC</v>
      </c>
      <c r="N870" s="660" t="str">
        <f t="shared" si="72"/>
        <v>PAAS</v>
      </c>
      <c r="O870" s="659" t="str">
        <f t="shared" si="73"/>
        <v/>
      </c>
    </row>
    <row r="871" spans="1:15">
      <c r="A871" t="s">
        <v>3097</v>
      </c>
      <c r="B871" t="s">
        <v>3098</v>
      </c>
      <c r="C871" s="1">
        <v>0</v>
      </c>
      <c r="D871" s="1">
        <v>12500</v>
      </c>
      <c r="E871" s="1" t="s">
        <v>49</v>
      </c>
      <c r="F871" t="s">
        <v>2290</v>
      </c>
      <c r="G871" s="664" t="s">
        <v>2558</v>
      </c>
      <c r="H871" s="664" t="s">
        <v>2161</v>
      </c>
      <c r="I871" s="664" t="s">
        <v>1637</v>
      </c>
      <c r="J871" s="664" t="s">
        <v>1637</v>
      </c>
      <c r="K871" s="662" t="str">
        <f t="shared" si="69"/>
        <v>Consulting</v>
      </c>
      <c r="L871" s="660" t="str">
        <f t="shared" si="70"/>
        <v>HR</v>
      </c>
      <c r="M871" s="660" t="str">
        <f t="shared" si="71"/>
        <v>SRV</v>
      </c>
      <c r="N871" s="660" t="str">
        <f t="shared" si="72"/>
        <v>SRV</v>
      </c>
      <c r="O871" s="659" t="str">
        <f t="shared" si="73"/>
        <v/>
      </c>
    </row>
    <row r="872" spans="1:15">
      <c r="A872" t="s">
        <v>3143</v>
      </c>
      <c r="B872" t="s">
        <v>3144</v>
      </c>
      <c r="C872">
        <v>0</v>
      </c>
      <c r="D872">
        <v>25000</v>
      </c>
      <c r="E872" t="s">
        <v>1154</v>
      </c>
      <c r="F872" t="s">
        <v>2290</v>
      </c>
      <c r="G872" s="664" t="s">
        <v>2392</v>
      </c>
      <c r="H872" s="664" t="s">
        <v>2397</v>
      </c>
      <c r="I872" s="664" t="s">
        <v>1636</v>
      </c>
      <c r="J872" s="664" t="s">
        <v>2159</v>
      </c>
      <c r="K872" s="662" t="str">
        <f t="shared" si="69"/>
        <v>Platform</v>
      </c>
      <c r="L872" s="660" t="str">
        <f t="shared" si="70"/>
        <v>EA</v>
      </c>
      <c r="M872" s="660" t="str">
        <f t="shared" si="71"/>
        <v>UC</v>
      </c>
      <c r="N872" s="660" t="str">
        <f t="shared" si="72"/>
        <v>PAAS</v>
      </c>
      <c r="O872" s="659" t="str">
        <f t="shared" si="73"/>
        <v/>
      </c>
    </row>
    <row r="873" spans="1:15">
      <c r="A873" t="s">
        <v>3197</v>
      </c>
      <c r="B873" t="s">
        <v>3198</v>
      </c>
      <c r="C873">
        <v>2</v>
      </c>
      <c r="D873">
        <v>2</v>
      </c>
      <c r="E873" t="s">
        <v>3199</v>
      </c>
      <c r="F873" t="s">
        <v>2290</v>
      </c>
      <c r="G873" s="664" t="s">
        <v>2392</v>
      </c>
      <c r="H873" s="664" t="s">
        <v>2162</v>
      </c>
      <c r="I873" s="664" t="s">
        <v>1636</v>
      </c>
      <c r="J873" s="664" t="s">
        <v>2159</v>
      </c>
      <c r="K873" s="662" t="str">
        <f t="shared" si="69"/>
        <v>Platform</v>
      </c>
      <c r="L873" s="660" t="str">
        <f t="shared" si="70"/>
        <v>GB</v>
      </c>
      <c r="M873" s="660" t="str">
        <f t="shared" si="71"/>
        <v>UC</v>
      </c>
      <c r="N873" s="660" t="str">
        <f t="shared" si="72"/>
        <v>PAAS</v>
      </c>
      <c r="O873" s="659" t="str">
        <f t="shared" si="73"/>
        <v/>
      </c>
    </row>
    <row r="874" spans="1:15">
      <c r="A874" t="s">
        <v>3200</v>
      </c>
      <c r="B874" t="s">
        <v>3201</v>
      </c>
      <c r="C874" s="1">
        <v>0.53769999999999996</v>
      </c>
      <c r="D874" s="1">
        <v>0.53769999999999996</v>
      </c>
      <c r="E874" s="1" t="s">
        <v>49</v>
      </c>
      <c r="F874" t="s">
        <v>2290</v>
      </c>
      <c r="G874" s="664" t="s">
        <v>2392</v>
      </c>
      <c r="H874" s="664" t="s">
        <v>2161</v>
      </c>
      <c r="I874" s="664" t="s">
        <v>1636</v>
      </c>
      <c r="J874" s="664" t="s">
        <v>2159</v>
      </c>
      <c r="K874" s="662" t="str">
        <f t="shared" si="69"/>
        <v>Platform</v>
      </c>
      <c r="L874" s="660" t="str">
        <f t="shared" si="70"/>
        <v>HR</v>
      </c>
      <c r="M874" s="660" t="str">
        <f t="shared" si="71"/>
        <v>UC</v>
      </c>
      <c r="N874" s="660" t="str">
        <f t="shared" si="72"/>
        <v>PAAS</v>
      </c>
      <c r="O874" s="659" t="str">
        <f t="shared" si="73"/>
        <v/>
      </c>
    </row>
    <row r="875" spans="1:15">
      <c r="A875" t="s">
        <v>3202</v>
      </c>
      <c r="B875" t="s">
        <v>3203</v>
      </c>
      <c r="C875">
        <v>0</v>
      </c>
      <c r="D875">
        <v>2</v>
      </c>
      <c r="E875" s="1" t="s">
        <v>3199</v>
      </c>
      <c r="F875" t="s">
        <v>2290</v>
      </c>
      <c r="G875" s="664" t="s">
        <v>2400</v>
      </c>
      <c r="H875" s="664" t="s">
        <v>2162</v>
      </c>
      <c r="I875" s="664" t="s">
        <v>1636</v>
      </c>
      <c r="J875" s="664" t="s">
        <v>2159</v>
      </c>
      <c r="K875" s="662" t="str">
        <f t="shared" si="69"/>
        <v>Government</v>
      </c>
      <c r="L875" s="660" t="str">
        <f t="shared" si="70"/>
        <v>GB</v>
      </c>
      <c r="M875" s="660" t="str">
        <f t="shared" si="71"/>
        <v>UC</v>
      </c>
      <c r="N875" s="660" t="str">
        <f t="shared" si="72"/>
        <v>PAAS</v>
      </c>
      <c r="O875" s="659" t="str">
        <f t="shared" si="73"/>
        <v/>
      </c>
    </row>
    <row r="876" spans="1:15">
      <c r="A876" t="s">
        <v>3204</v>
      </c>
      <c r="B876" t="s">
        <v>3205</v>
      </c>
      <c r="C876">
        <v>0</v>
      </c>
      <c r="D876">
        <v>0.53769999999999996</v>
      </c>
      <c r="E876" s="1" t="s">
        <v>49</v>
      </c>
      <c r="F876" t="s">
        <v>2290</v>
      </c>
      <c r="G876" s="664" t="s">
        <v>2400</v>
      </c>
      <c r="H876" s="664" t="s">
        <v>2161</v>
      </c>
      <c r="I876" s="664" t="s">
        <v>1636</v>
      </c>
      <c r="J876" s="664" t="s">
        <v>2159</v>
      </c>
      <c r="K876" s="662" t="str">
        <f t="shared" si="69"/>
        <v>Government</v>
      </c>
      <c r="L876" s="660" t="str">
        <f t="shared" si="70"/>
        <v>HR</v>
      </c>
      <c r="M876" s="660" t="str">
        <f t="shared" si="71"/>
        <v>UC</v>
      </c>
      <c r="N876" s="660" t="str">
        <f t="shared" si="72"/>
        <v>PAAS</v>
      </c>
      <c r="O876" s="659" t="str">
        <f t="shared" si="73"/>
        <v/>
      </c>
    </row>
    <row r="877" spans="1:15">
      <c r="A877" t="s">
        <v>3167</v>
      </c>
      <c r="B877" t="s">
        <v>3168</v>
      </c>
      <c r="C877">
        <v>3.1349999999999998</v>
      </c>
      <c r="D877">
        <v>3.1349999999999998</v>
      </c>
      <c r="E877" t="s">
        <v>2213</v>
      </c>
      <c r="F877" t="s">
        <v>2290</v>
      </c>
      <c r="G877" s="664" t="s">
        <v>2309</v>
      </c>
      <c r="H877" s="664" t="s">
        <v>2394</v>
      </c>
      <c r="I877" s="664" t="s">
        <v>1636</v>
      </c>
      <c r="J877" s="664" t="s">
        <v>2159</v>
      </c>
      <c r="K877" s="662" t="str">
        <f t="shared" si="69"/>
        <v>DBaaS</v>
      </c>
      <c r="L877" s="660" t="str">
        <f t="shared" si="70"/>
        <v>UNIT</v>
      </c>
      <c r="M877" s="660" t="str">
        <f t="shared" si="71"/>
        <v>UC</v>
      </c>
      <c r="N877" s="660" t="str">
        <f t="shared" si="72"/>
        <v>PAAS</v>
      </c>
      <c r="O877" s="659" t="str">
        <f t="shared" si="73"/>
        <v/>
      </c>
    </row>
    <row r="878" spans="1:15">
      <c r="A878" t="s">
        <v>3169</v>
      </c>
      <c r="B878" s="659" t="s">
        <v>3170</v>
      </c>
      <c r="C878" s="659">
        <v>0.16</v>
      </c>
      <c r="D878" s="659">
        <v>0.16</v>
      </c>
      <c r="E878" s="659" t="s">
        <v>2214</v>
      </c>
      <c r="F878" t="s">
        <v>2290</v>
      </c>
      <c r="G878" s="664" t="s">
        <v>2309</v>
      </c>
      <c r="H878" s="664" t="s">
        <v>2394</v>
      </c>
      <c r="I878" s="664" t="s">
        <v>1636</v>
      </c>
      <c r="J878" s="664" t="s">
        <v>2159</v>
      </c>
      <c r="K878" s="662" t="str">
        <f t="shared" si="69"/>
        <v>DBaaS</v>
      </c>
      <c r="L878" s="660" t="str">
        <f t="shared" si="70"/>
        <v>UNIT</v>
      </c>
      <c r="M878" s="660" t="str">
        <f t="shared" si="71"/>
        <v>UC</v>
      </c>
      <c r="N878" s="660" t="str">
        <f t="shared" si="72"/>
        <v>PAAS</v>
      </c>
      <c r="O878" s="659" t="str">
        <f t="shared" si="73"/>
        <v/>
      </c>
    </row>
    <row r="879" spans="1:15">
      <c r="A879" t="s">
        <v>3171</v>
      </c>
      <c r="B879" t="s">
        <v>3172</v>
      </c>
      <c r="C879">
        <v>28796</v>
      </c>
      <c r="D879">
        <v>28796</v>
      </c>
      <c r="E879" t="s">
        <v>2178</v>
      </c>
      <c r="F879" t="s">
        <v>2290</v>
      </c>
      <c r="G879" s="664" t="s">
        <v>2309</v>
      </c>
      <c r="H879" s="664" t="s">
        <v>2394</v>
      </c>
      <c r="I879" s="664" t="s">
        <v>1636</v>
      </c>
      <c r="J879" s="664" t="s">
        <v>2159</v>
      </c>
      <c r="K879" s="662" t="str">
        <f t="shared" si="69"/>
        <v>DBaaS</v>
      </c>
      <c r="L879" s="660" t="str">
        <f t="shared" si="70"/>
        <v>UNIT</v>
      </c>
      <c r="M879" s="660" t="str">
        <f t="shared" si="71"/>
        <v>UC</v>
      </c>
      <c r="N879" s="660" t="str">
        <f t="shared" si="72"/>
        <v>PAAS</v>
      </c>
      <c r="O879" s="659" t="str">
        <f t="shared" si="73"/>
        <v/>
      </c>
    </row>
    <row r="880" spans="1:15">
      <c r="A880" t="s">
        <v>3173</v>
      </c>
      <c r="B880" t="s">
        <v>3149</v>
      </c>
      <c r="C880">
        <v>0</v>
      </c>
      <c r="D880">
        <v>31000</v>
      </c>
      <c r="E880" t="s">
        <v>1154</v>
      </c>
      <c r="F880" t="s">
        <v>2290</v>
      </c>
      <c r="G880" s="664" t="s">
        <v>2309</v>
      </c>
      <c r="H880" s="664" t="s">
        <v>2397</v>
      </c>
      <c r="I880" s="664" t="s">
        <v>1636</v>
      </c>
      <c r="J880" s="664" t="s">
        <v>2159</v>
      </c>
      <c r="K880" s="662" t="str">
        <f t="shared" si="69"/>
        <v>DBaaS</v>
      </c>
      <c r="L880" s="660" t="str">
        <f t="shared" si="70"/>
        <v>EA</v>
      </c>
      <c r="M880" s="660" t="str">
        <f t="shared" si="71"/>
        <v>UC</v>
      </c>
      <c r="N880" s="660" t="str">
        <f t="shared" si="72"/>
        <v>PAAS</v>
      </c>
      <c r="O880" s="659" t="str">
        <f t="shared" si="73"/>
        <v/>
      </c>
    </row>
    <row r="881" spans="1:15">
      <c r="A881" t="s">
        <v>3174</v>
      </c>
      <c r="B881" t="s">
        <v>3151</v>
      </c>
      <c r="C881">
        <v>0</v>
      </c>
      <c r="D881">
        <v>73000</v>
      </c>
      <c r="E881" t="s">
        <v>1154</v>
      </c>
      <c r="F881" t="s">
        <v>2290</v>
      </c>
      <c r="G881" s="664" t="s">
        <v>2309</v>
      </c>
      <c r="H881" s="664" t="s">
        <v>2397</v>
      </c>
      <c r="I881" s="664" t="s">
        <v>1636</v>
      </c>
      <c r="J881" s="664" t="s">
        <v>2159</v>
      </c>
      <c r="K881" s="662" t="str">
        <f t="shared" si="69"/>
        <v>DBaaS</v>
      </c>
      <c r="L881" s="660" t="str">
        <f t="shared" si="70"/>
        <v>EA</v>
      </c>
      <c r="M881" s="660" t="str">
        <f t="shared" si="71"/>
        <v>UC</v>
      </c>
      <c r="N881" s="660" t="str">
        <f t="shared" si="72"/>
        <v>PAAS</v>
      </c>
      <c r="O881" s="659" t="str">
        <f t="shared" si="73"/>
        <v/>
      </c>
    </row>
    <row r="882" spans="1:15">
      <c r="A882" t="s">
        <v>3175</v>
      </c>
      <c r="B882" t="s">
        <v>3153</v>
      </c>
      <c r="C882">
        <v>0</v>
      </c>
      <c r="D882">
        <v>141000</v>
      </c>
      <c r="E882" t="s">
        <v>1154</v>
      </c>
      <c r="F882" t="s">
        <v>2290</v>
      </c>
      <c r="G882" s="664" t="s">
        <v>2309</v>
      </c>
      <c r="H882" s="664" t="s">
        <v>2397</v>
      </c>
      <c r="I882" s="664" t="s">
        <v>1636</v>
      </c>
      <c r="J882" s="664" t="s">
        <v>2159</v>
      </c>
      <c r="K882" s="662" t="str">
        <f t="shared" si="69"/>
        <v>DBaaS</v>
      </c>
      <c r="L882" s="660" t="str">
        <f t="shared" si="70"/>
        <v>EA</v>
      </c>
      <c r="M882" s="660" t="str">
        <f t="shared" si="71"/>
        <v>UC</v>
      </c>
      <c r="N882" s="660" t="str">
        <f t="shared" si="72"/>
        <v>PAAS</v>
      </c>
      <c r="O882" s="659" t="str">
        <f t="shared" si="73"/>
        <v/>
      </c>
    </row>
    <row r="883" spans="1:15">
      <c r="A883" t="s">
        <v>3145</v>
      </c>
      <c r="B883" t="s">
        <v>3146</v>
      </c>
      <c r="C883">
        <v>0</v>
      </c>
      <c r="D883">
        <v>1</v>
      </c>
      <c r="E883" t="s">
        <v>3147</v>
      </c>
      <c r="F883" t="s">
        <v>2290</v>
      </c>
      <c r="G883" s="664" t="s">
        <v>2392</v>
      </c>
      <c r="H883" s="664" t="s">
        <v>2394</v>
      </c>
      <c r="I883" s="664" t="s">
        <v>1636</v>
      </c>
      <c r="J883" s="664" t="s">
        <v>2159</v>
      </c>
      <c r="K883" s="662" t="str">
        <f t="shared" si="69"/>
        <v>Platform</v>
      </c>
      <c r="L883" s="660" t="str">
        <f t="shared" si="70"/>
        <v>UNIT</v>
      </c>
      <c r="M883" s="660" t="str">
        <f t="shared" si="71"/>
        <v>UC</v>
      </c>
      <c r="N883" s="660" t="str">
        <f t="shared" si="72"/>
        <v>PAAS</v>
      </c>
      <c r="O883" s="659" t="str">
        <f t="shared" si="73"/>
        <v/>
      </c>
    </row>
    <row r="884" spans="1:15">
      <c r="A884" t="s">
        <v>3206</v>
      </c>
      <c r="B884" t="s">
        <v>3207</v>
      </c>
      <c r="C884">
        <v>0.04</v>
      </c>
      <c r="D884">
        <v>0.04</v>
      </c>
      <c r="E884" t="s">
        <v>49</v>
      </c>
      <c r="F884" t="s">
        <v>2290</v>
      </c>
      <c r="G884" s="664" t="s">
        <v>1835</v>
      </c>
      <c r="H884" s="664" t="s">
        <v>2161</v>
      </c>
      <c r="I884" s="664" t="s">
        <v>1636</v>
      </c>
      <c r="J884" s="664" t="s">
        <v>2158</v>
      </c>
      <c r="K884" s="662" t="str">
        <f t="shared" si="69"/>
        <v>Compute</v>
      </c>
      <c r="L884" s="660" t="str">
        <f t="shared" si="70"/>
        <v>HR</v>
      </c>
      <c r="M884" s="660" t="str">
        <f t="shared" si="71"/>
        <v>UC</v>
      </c>
      <c r="N884" s="660" t="str">
        <f t="shared" si="72"/>
        <v>IAAS</v>
      </c>
      <c r="O884" s="659" t="str">
        <f t="shared" si="73"/>
        <v/>
      </c>
    </row>
    <row r="885" spans="1:15">
      <c r="A885" t="s">
        <v>3208</v>
      </c>
      <c r="B885" t="s">
        <v>3209</v>
      </c>
      <c r="C885">
        <v>1.5E-3</v>
      </c>
      <c r="D885">
        <v>1.5E-3</v>
      </c>
      <c r="E885" t="s">
        <v>2294</v>
      </c>
      <c r="F885" t="s">
        <v>2290</v>
      </c>
      <c r="G885" s="664" t="s">
        <v>1835</v>
      </c>
      <c r="H885" s="664" t="s">
        <v>2161</v>
      </c>
      <c r="I885" s="664" t="s">
        <v>1636</v>
      </c>
      <c r="J885" s="664" t="s">
        <v>2158</v>
      </c>
      <c r="K885" s="662" t="str">
        <f t="shared" ref="K885:K948" si="74">_xlfn.IFS(
ISNUMBER(SEARCH("Day",E885)),"Consulting",
ISNUMBER(SEARCH("Starter Pack",B885)),"Consulting",
ISNUMBER(SEARCH("Design",B885)),"Consulting",
ISNUMBER(SEARCH("Deploy",B885)),"Consulting",
ISNUMBER(SEARCH("Expert",B885)),"Consulting",
ISNUMBER(SEARCH("Installation",B885)),"Consulting",
ISNUMBER(SEARCH("Recommendation",B885)),"Consulting",
ISNUMBER(SEARCH("Transition",B885)),"Consulting",
ISNUMBER(SEARCH("Transition",B885)),"Support",
ISNUMBER(SEARCH("Transition",B885)),"Foundation Service",
ISNUMBER(SEARCH("Consulting",B885)),"Consulting",
ISNUMBER(SEARCH("in Advance",B885)),"New",
ISNUMBER(SEARCH("Universal Credits",B885)),"UC",
ISNUMBER(SEARCH("Ravello",B885)),"Deprecated",
ISNUMBER(SEARCH("Cloud Machine",B885)),"Deprecated",
ISNUMBER(SEARCH("Compute",B885)),"Compute",
ISNUMBER(SEARCH("Load Balancer",B885)),"Network",
ISNUMBER(SEARCH("FastConnect",B885)),"Network",
ISNUMBER(SEARCH("Database OCPU",B885)),"CC OCPU",
ISNUMBER(SEARCH("at Customer",B885)),"CC",
ISNUMBER(SEARCH("Cloud@Customer",B885)),"CC",
ISNUMBER(SEARCH("Exadata Storage",B885)),"Exa Storage",
ISNUMBER(SEARCH("Storage",B885)),"Storage",
ISNUMBER(SEARCH("Block ",B885)),"Storage",
ISNUMBER(SEARCH("Autonomous Data Warehouse",B885)),"ADW",
ISNUMBER(SEARCH("Autonomous Transaction Processing",B885)),"ATP",
ISNUMBER(SEARCH("Database Exadata",B885)),"ExaCS",
ISNUMBER(SEARCH("Database",B885)),"DBaaS",
ISNUMBER(SEARCH("Essbase",B885)),"DBaaS",
ISNUMBER(SEARCH("integration",B885)),"Integration",
ISNUMBER(SEARCH("SOA",B885)),"Integration",
ISNUMBER(SEARCH("Management Cloud",B885)),"Management",
ISNUMBER(SEARCH("Analytics",B885)),"Analytics",
ISNUMBER(SEARCH("Storage",B885)),"Storage",
ISNUMBER(SEARCH("Block ",B885)),"Storage",
ISNUMBER(SEARCH("Identity",B885)),"Platform",
ISNUMBER(SEARCH("Content",B885)),"Platform",
ISNUMBER(SEARCH("Weblogic",B885)),"Platform",
ISNUMBER(SEARCH("Digital Assistant",B885)),"Platform",
ISNUMBER(SEARCH("Limited",B885)),"Classic",
ISNUMBER(SEARCH("Classic",B885)),"Classic",
ISNUMBER(SEARCH("Government",B885)),"Government",
ISNUMBER(SEARCH("Metered",B885)),"Deprecated",
VALUE(RIGHT(A885,5))&lt;88206,"Deprecated",
TRUE,"Platform")</f>
        <v>Compute</v>
      </c>
      <c r="L885" s="660" t="str">
        <f t="shared" si="70"/>
        <v>HR</v>
      </c>
      <c r="M885" s="660" t="str">
        <f t="shared" si="71"/>
        <v>UC</v>
      </c>
      <c r="N885" s="660" t="str">
        <f t="shared" si="72"/>
        <v>IAAS</v>
      </c>
      <c r="O885" s="659" t="str">
        <f t="shared" si="73"/>
        <v/>
      </c>
    </row>
    <row r="886" spans="1:15">
      <c r="A886" t="s">
        <v>3148</v>
      </c>
      <c r="B886" t="s">
        <v>3149</v>
      </c>
      <c r="C886">
        <v>0</v>
      </c>
      <c r="D886">
        <v>31000</v>
      </c>
      <c r="E886" t="s">
        <v>1154</v>
      </c>
      <c r="F886" t="s">
        <v>2290</v>
      </c>
      <c r="G886" s="664" t="s">
        <v>2309</v>
      </c>
      <c r="H886" s="664" t="s">
        <v>2397</v>
      </c>
      <c r="I886" s="664" t="s">
        <v>1636</v>
      </c>
      <c r="J886" s="664" t="s">
        <v>2159</v>
      </c>
      <c r="K886" s="662" t="str">
        <f t="shared" si="74"/>
        <v>DBaaS</v>
      </c>
      <c r="L886" s="660" t="str">
        <f t="shared" si="70"/>
        <v>EA</v>
      </c>
      <c r="M886" s="660" t="str">
        <f t="shared" si="71"/>
        <v>UC</v>
      </c>
      <c r="N886" s="660" t="str">
        <f t="shared" si="72"/>
        <v>PAAS</v>
      </c>
      <c r="O886" s="659" t="str">
        <f t="shared" si="73"/>
        <v/>
      </c>
    </row>
    <row r="887" spans="1:15">
      <c r="A887" t="s">
        <v>3150</v>
      </c>
      <c r="B887" t="s">
        <v>3151</v>
      </c>
      <c r="C887">
        <v>0</v>
      </c>
      <c r="D887">
        <v>73000</v>
      </c>
      <c r="E887" t="s">
        <v>1154</v>
      </c>
      <c r="F887" t="s">
        <v>2290</v>
      </c>
      <c r="G887" s="664" t="s">
        <v>2309</v>
      </c>
      <c r="H887" s="664" t="s">
        <v>2397</v>
      </c>
      <c r="I887" s="664" t="s">
        <v>1636</v>
      </c>
      <c r="J887" s="664" t="s">
        <v>2159</v>
      </c>
      <c r="K887" s="662" t="str">
        <f t="shared" si="74"/>
        <v>DBaaS</v>
      </c>
      <c r="L887" s="660" t="str">
        <f t="shared" si="70"/>
        <v>EA</v>
      </c>
      <c r="M887" s="660" t="str">
        <f t="shared" si="71"/>
        <v>UC</v>
      </c>
      <c r="N887" s="660" t="str">
        <f t="shared" si="72"/>
        <v>PAAS</v>
      </c>
      <c r="O887" s="659" t="str">
        <f t="shared" si="73"/>
        <v/>
      </c>
    </row>
    <row r="888" spans="1:15">
      <c r="A888" t="s">
        <v>3152</v>
      </c>
      <c r="B888" t="s">
        <v>3153</v>
      </c>
      <c r="C888">
        <v>0</v>
      </c>
      <c r="D888">
        <v>141000</v>
      </c>
      <c r="E888" t="s">
        <v>1154</v>
      </c>
      <c r="F888" t="s">
        <v>2290</v>
      </c>
      <c r="G888" s="664" t="s">
        <v>2309</v>
      </c>
      <c r="H888" s="664" t="s">
        <v>2397</v>
      </c>
      <c r="I888" s="664" t="s">
        <v>1636</v>
      </c>
      <c r="J888" s="664" t="s">
        <v>2159</v>
      </c>
      <c r="K888" s="662" t="str">
        <f t="shared" si="74"/>
        <v>DBaaS</v>
      </c>
      <c r="L888" s="660" t="str">
        <f t="shared" si="70"/>
        <v>EA</v>
      </c>
      <c r="M888" s="660" t="str">
        <f t="shared" si="71"/>
        <v>UC</v>
      </c>
      <c r="N888" s="660" t="str">
        <f t="shared" si="72"/>
        <v>PAAS</v>
      </c>
      <c r="O888" s="659" t="str">
        <f t="shared" si="73"/>
        <v/>
      </c>
    </row>
    <row r="889" spans="1:15">
      <c r="A889" t="s">
        <v>3176</v>
      </c>
      <c r="B889" t="s">
        <v>3216</v>
      </c>
      <c r="C889">
        <v>0.6</v>
      </c>
      <c r="D889">
        <v>0.6</v>
      </c>
      <c r="E889" t="s">
        <v>2220</v>
      </c>
      <c r="F889" t="s">
        <v>2290</v>
      </c>
      <c r="G889" s="664" t="s">
        <v>2392</v>
      </c>
      <c r="H889" s="664" t="s">
        <v>2394</v>
      </c>
      <c r="I889" s="664" t="s">
        <v>1636</v>
      </c>
      <c r="J889" s="664" t="s">
        <v>2159</v>
      </c>
      <c r="K889" s="662" t="str">
        <f t="shared" si="74"/>
        <v>Platform</v>
      </c>
      <c r="L889" s="660" t="str">
        <f t="shared" si="70"/>
        <v>REQ</v>
      </c>
      <c r="M889" s="660" t="str">
        <f t="shared" si="71"/>
        <v>UC</v>
      </c>
      <c r="N889" s="660" t="str">
        <f t="shared" si="72"/>
        <v>IAAS</v>
      </c>
      <c r="O889" s="659" t="str">
        <f t="shared" si="73"/>
        <v/>
      </c>
    </row>
    <row r="890" spans="1:15">
      <c r="A890" t="s">
        <v>3177</v>
      </c>
      <c r="B890" t="s">
        <v>3217</v>
      </c>
      <c r="C890">
        <v>2.0000000000000001E-4</v>
      </c>
      <c r="D890">
        <v>2.0000000000000001E-4</v>
      </c>
      <c r="E890" t="s">
        <v>3191</v>
      </c>
      <c r="F890" t="s">
        <v>2290</v>
      </c>
      <c r="G890" s="664" t="s">
        <v>2392</v>
      </c>
      <c r="H890" s="664" t="s">
        <v>2394</v>
      </c>
      <c r="I890" s="664" t="s">
        <v>1636</v>
      </c>
      <c r="J890" s="664" t="s">
        <v>2159</v>
      </c>
      <c r="K890" s="662" t="str">
        <f t="shared" si="74"/>
        <v>Platform</v>
      </c>
      <c r="L890" s="660" t="str">
        <f t="shared" si="70"/>
        <v>UNIT</v>
      </c>
      <c r="M890" s="660" t="str">
        <f t="shared" si="71"/>
        <v>UC</v>
      </c>
      <c r="N890" s="660" t="str">
        <f t="shared" si="72"/>
        <v>PAAS</v>
      </c>
      <c r="O890" s="659" t="str">
        <f t="shared" si="73"/>
        <v/>
      </c>
    </row>
    <row r="891" spans="1:15">
      <c r="A891" t="s">
        <v>3210</v>
      </c>
      <c r="B891" t="s">
        <v>3211</v>
      </c>
      <c r="C891">
        <v>0</v>
      </c>
      <c r="D891">
        <v>2.0000000000000001E-4</v>
      </c>
      <c r="E891" t="s">
        <v>3191</v>
      </c>
      <c r="F891" t="s">
        <v>2290</v>
      </c>
      <c r="G891" s="664" t="s">
        <v>2400</v>
      </c>
      <c r="H891" s="664" t="s">
        <v>2394</v>
      </c>
      <c r="I891" s="664" t="s">
        <v>1636</v>
      </c>
      <c r="J891" s="664" t="s">
        <v>2159</v>
      </c>
      <c r="K891" s="662" t="str">
        <f t="shared" si="74"/>
        <v>Government</v>
      </c>
      <c r="L891" s="660" t="str">
        <f t="shared" si="70"/>
        <v>UNIT</v>
      </c>
      <c r="M891" s="660" t="str">
        <f t="shared" si="71"/>
        <v>UC</v>
      </c>
      <c r="N891" s="660" t="str">
        <f t="shared" si="72"/>
        <v>PAAS</v>
      </c>
      <c r="O891" s="659" t="str">
        <f t="shared" si="73"/>
        <v/>
      </c>
    </row>
    <row r="892" spans="1:15">
      <c r="A892" t="s">
        <v>3178</v>
      </c>
      <c r="B892" t="s">
        <v>3179</v>
      </c>
      <c r="C892">
        <v>0</v>
      </c>
      <c r="D892">
        <v>200</v>
      </c>
      <c r="E892" t="s">
        <v>2649</v>
      </c>
      <c r="F892" t="s">
        <v>2290</v>
      </c>
      <c r="G892" s="664" t="s">
        <v>1835</v>
      </c>
      <c r="H892" s="664" t="s">
        <v>2394</v>
      </c>
      <c r="I892" s="664" t="s">
        <v>1636</v>
      </c>
      <c r="J892" s="664" t="s">
        <v>2158</v>
      </c>
      <c r="K892" s="662" t="str">
        <f t="shared" si="74"/>
        <v>Compute</v>
      </c>
      <c r="L892" s="660" t="str">
        <f t="shared" si="70"/>
        <v>UNIT</v>
      </c>
      <c r="M892" s="660" t="str">
        <f t="shared" si="71"/>
        <v>UC</v>
      </c>
      <c r="N892" s="660" t="str">
        <f t="shared" si="72"/>
        <v>IAAS</v>
      </c>
      <c r="O892" s="659" t="str">
        <f t="shared" si="73"/>
        <v/>
      </c>
    </row>
    <row r="893" spans="1:15" ht="16">
      <c r="A893" s="661" t="s">
        <v>3180</v>
      </c>
      <c r="B893" s="659" t="s">
        <v>3181</v>
      </c>
      <c r="C893" s="1">
        <v>0</v>
      </c>
      <c r="D893" s="1">
        <v>0.1</v>
      </c>
      <c r="E893" s="1" t="s">
        <v>2232</v>
      </c>
      <c r="F893" s="664" t="s">
        <v>2290</v>
      </c>
      <c r="G893" s="664" t="s">
        <v>1835</v>
      </c>
      <c r="H893" s="664" t="s">
        <v>2394</v>
      </c>
      <c r="I893" s="664" t="s">
        <v>1636</v>
      </c>
      <c r="J893" s="664" t="s">
        <v>2158</v>
      </c>
      <c r="K893" s="662" t="str">
        <f t="shared" si="74"/>
        <v>Compute</v>
      </c>
      <c r="L893" s="660" t="str">
        <f t="shared" si="70"/>
        <v>UNIT</v>
      </c>
      <c r="M893" s="660" t="str">
        <f t="shared" si="71"/>
        <v>UC</v>
      </c>
      <c r="N893" s="660" t="str">
        <f t="shared" si="72"/>
        <v>IAAS</v>
      </c>
      <c r="O893" s="659" t="str">
        <f t="shared" si="73"/>
        <v/>
      </c>
    </row>
    <row r="894" spans="1:15" ht="16">
      <c r="A894" s="661" t="s">
        <v>3182</v>
      </c>
      <c r="B894" s="659" t="s">
        <v>3183</v>
      </c>
      <c r="C894" s="664">
        <v>0</v>
      </c>
      <c r="D894" s="664">
        <v>0</v>
      </c>
      <c r="E894" t="s">
        <v>49</v>
      </c>
      <c r="F894" s="664" t="s">
        <v>2290</v>
      </c>
      <c r="G894" s="664" t="s">
        <v>2309</v>
      </c>
      <c r="H894" s="664" t="s">
        <v>2161</v>
      </c>
      <c r="I894" s="664" t="s">
        <v>1636</v>
      </c>
      <c r="J894" s="664" t="s">
        <v>2159</v>
      </c>
      <c r="K894" s="662" t="str">
        <f t="shared" si="74"/>
        <v>DBaaS</v>
      </c>
      <c r="L894" s="660" t="str">
        <f t="shared" si="70"/>
        <v>HR</v>
      </c>
      <c r="M894" s="660" t="str">
        <f t="shared" si="71"/>
        <v>UC</v>
      </c>
      <c r="N894" s="660" t="str">
        <f t="shared" si="72"/>
        <v>PAAS</v>
      </c>
      <c r="O894" s="659" t="str">
        <f t="shared" si="73"/>
        <v/>
      </c>
    </row>
    <row r="895" spans="1:15">
      <c r="A895" t="s">
        <v>3184</v>
      </c>
      <c r="B895" s="659" t="s">
        <v>3185</v>
      </c>
      <c r="C895" s="1">
        <v>0</v>
      </c>
      <c r="D895" s="1">
        <v>0.1</v>
      </c>
      <c r="E895" s="1" t="s">
        <v>2232</v>
      </c>
      <c r="F895" t="s">
        <v>2290</v>
      </c>
      <c r="G895" t="s">
        <v>2309</v>
      </c>
      <c r="H895" t="s">
        <v>2394</v>
      </c>
      <c r="I895" t="s">
        <v>1636</v>
      </c>
      <c r="J895" t="s">
        <v>2159</v>
      </c>
      <c r="K895" s="662" t="str">
        <f t="shared" si="74"/>
        <v>DBaaS</v>
      </c>
      <c r="L895" s="660" t="str">
        <f t="shared" si="70"/>
        <v>UNIT</v>
      </c>
      <c r="M895" s="660" t="str">
        <f t="shared" si="71"/>
        <v>UC</v>
      </c>
      <c r="N895" s="660" t="str">
        <f t="shared" si="72"/>
        <v>PAAS</v>
      </c>
      <c r="O895" s="659" t="str">
        <f t="shared" si="73"/>
        <v/>
      </c>
    </row>
    <row r="896" spans="1:15">
      <c r="A896" t="s">
        <v>3186</v>
      </c>
      <c r="B896" t="s">
        <v>1348</v>
      </c>
      <c r="C896" s="1">
        <v>0</v>
      </c>
      <c r="D896" s="1">
        <v>0.6</v>
      </c>
      <c r="E896" s="1" t="s">
        <v>2220</v>
      </c>
      <c r="F896" t="s">
        <v>2290</v>
      </c>
      <c r="G896" t="s">
        <v>2400</v>
      </c>
      <c r="H896" t="s">
        <v>2395</v>
      </c>
      <c r="I896" t="s">
        <v>1636</v>
      </c>
      <c r="J896" t="s">
        <v>2158</v>
      </c>
      <c r="K896" s="662" t="str">
        <f t="shared" si="74"/>
        <v>Government</v>
      </c>
      <c r="L896" s="660" t="str">
        <f t="shared" si="70"/>
        <v>REQ</v>
      </c>
      <c r="M896" s="660" t="str">
        <f t="shared" si="71"/>
        <v>UC</v>
      </c>
      <c r="N896" s="660" t="str">
        <f t="shared" si="72"/>
        <v>IAAS</v>
      </c>
      <c r="O896" s="659" t="str">
        <f t="shared" si="73"/>
        <v/>
      </c>
    </row>
    <row r="897" spans="1:15">
      <c r="A897" t="s">
        <v>3212</v>
      </c>
      <c r="B897" t="s">
        <v>3213</v>
      </c>
      <c r="C897" s="1">
        <v>1.75</v>
      </c>
      <c r="D897" s="1">
        <v>1.3129</v>
      </c>
      <c r="E897" s="1" t="s">
        <v>49</v>
      </c>
      <c r="F897" t="s">
        <v>2290</v>
      </c>
      <c r="G897" t="s">
        <v>1839</v>
      </c>
      <c r="H897" t="s">
        <v>2161</v>
      </c>
      <c r="I897" t="s">
        <v>1636</v>
      </c>
      <c r="J897" t="s">
        <v>2159</v>
      </c>
      <c r="K897" s="662" t="str">
        <f t="shared" si="74"/>
        <v>Analytics</v>
      </c>
      <c r="L897" s="660" t="str">
        <f t="shared" si="70"/>
        <v>HR</v>
      </c>
      <c r="M897" s="660" t="str">
        <f t="shared" si="71"/>
        <v>UC</v>
      </c>
      <c r="N897" s="660" t="str">
        <f t="shared" si="72"/>
        <v>PAAS</v>
      </c>
      <c r="O897" s="659" t="str">
        <f t="shared" si="73"/>
        <v/>
      </c>
    </row>
    <row r="898" spans="1:15">
      <c r="A898" t="s">
        <v>3187</v>
      </c>
      <c r="B898" t="s">
        <v>3218</v>
      </c>
      <c r="C898">
        <v>5</v>
      </c>
      <c r="D898">
        <v>5</v>
      </c>
      <c r="E898" t="s">
        <v>3192</v>
      </c>
      <c r="F898" t="s">
        <v>2290</v>
      </c>
      <c r="G898" t="s">
        <v>2392</v>
      </c>
      <c r="H898" t="s">
        <v>2394</v>
      </c>
      <c r="I898" t="s">
        <v>1636</v>
      </c>
      <c r="J898" t="s">
        <v>2159</v>
      </c>
      <c r="K898" s="662" t="str">
        <f t="shared" si="74"/>
        <v>Platform</v>
      </c>
      <c r="L898" s="660" t="str">
        <f t="shared" si="70"/>
        <v>UNIT</v>
      </c>
      <c r="M898" s="660" t="str">
        <f t="shared" si="71"/>
        <v>UC</v>
      </c>
      <c r="N898" s="660" t="str">
        <f t="shared" si="72"/>
        <v>PAAS</v>
      </c>
      <c r="O898" s="659" t="str">
        <f t="shared" si="73"/>
        <v/>
      </c>
    </row>
    <row r="899" spans="1:15">
      <c r="A899" t="s">
        <v>3188</v>
      </c>
      <c r="B899" t="s">
        <v>3189</v>
      </c>
      <c r="C899">
        <v>0</v>
      </c>
      <c r="D899">
        <v>5</v>
      </c>
      <c r="E899" t="s">
        <v>3190</v>
      </c>
      <c r="F899" t="s">
        <v>2290</v>
      </c>
      <c r="G899" t="s">
        <v>2400</v>
      </c>
      <c r="H899" t="s">
        <v>2394</v>
      </c>
      <c r="I899" t="s">
        <v>1636</v>
      </c>
      <c r="J899" t="s">
        <v>2159</v>
      </c>
      <c r="K899" s="662" t="str">
        <f t="shared" si="74"/>
        <v>Government</v>
      </c>
      <c r="L899" s="660" t="str">
        <f t="shared" si="70"/>
        <v>UNIT</v>
      </c>
      <c r="M899" s="660" t="str">
        <f t="shared" si="71"/>
        <v>UC</v>
      </c>
      <c r="N899" s="660" t="str">
        <f t="shared" si="72"/>
        <v>PAAS</v>
      </c>
      <c r="O899" s="659" t="str">
        <f t="shared" si="73"/>
        <v/>
      </c>
    </row>
    <row r="900" spans="1:15">
      <c r="A900">
        <v>0</v>
      </c>
      <c r="B900" s="659">
        <v>0</v>
      </c>
      <c r="C900" s="659">
        <v>0</v>
      </c>
      <c r="D900" s="659">
        <v>0</v>
      </c>
      <c r="E900" s="659">
        <v>0</v>
      </c>
      <c r="F900" t="s">
        <v>2290</v>
      </c>
      <c r="G900" t="s">
        <v>2393</v>
      </c>
      <c r="H900" t="s">
        <v>2394</v>
      </c>
      <c r="I900" t="s">
        <v>1636</v>
      </c>
      <c r="J900" t="s">
        <v>2159</v>
      </c>
      <c r="K900" s="662" t="str">
        <f t="shared" si="74"/>
        <v>Deprecated</v>
      </c>
      <c r="L900" s="660" t="str">
        <f t="shared" si="70"/>
        <v>UNIT</v>
      </c>
      <c r="M900" s="660" t="str">
        <f t="shared" si="71"/>
        <v>UC</v>
      </c>
      <c r="N900" s="660" t="str">
        <f t="shared" si="72"/>
        <v>PAAS</v>
      </c>
      <c r="O900" s="659" t="str">
        <f t="shared" si="73"/>
        <v/>
      </c>
    </row>
    <row r="901" spans="1:15">
      <c r="A901">
        <v>0</v>
      </c>
      <c r="B901" s="659">
        <v>0</v>
      </c>
      <c r="C901" s="659">
        <v>0</v>
      </c>
      <c r="D901" s="659">
        <v>0</v>
      </c>
      <c r="E901" s="659">
        <v>0</v>
      </c>
      <c r="F901" t="s">
        <v>2290</v>
      </c>
      <c r="G901" t="s">
        <v>2393</v>
      </c>
      <c r="H901" t="s">
        <v>2394</v>
      </c>
      <c r="I901" t="s">
        <v>1636</v>
      </c>
      <c r="J901" t="s">
        <v>2159</v>
      </c>
      <c r="K901" s="662" t="str">
        <f t="shared" si="74"/>
        <v>Deprecated</v>
      </c>
      <c r="L901" s="660" t="str">
        <f t="shared" si="70"/>
        <v>UNIT</v>
      </c>
      <c r="M901" s="660" t="str">
        <f t="shared" si="71"/>
        <v>UC</v>
      </c>
      <c r="N901" s="660" t="str">
        <f t="shared" si="72"/>
        <v>PAAS</v>
      </c>
      <c r="O901" s="659" t="str">
        <f t="shared" si="73"/>
        <v/>
      </c>
    </row>
    <row r="902" spans="1:15">
      <c r="A902">
        <v>0</v>
      </c>
      <c r="B902">
        <v>0</v>
      </c>
      <c r="C902">
        <v>0</v>
      </c>
      <c r="D902">
        <v>0</v>
      </c>
      <c r="E902">
        <v>0</v>
      </c>
      <c r="F902" t="s">
        <v>2290</v>
      </c>
      <c r="G902" t="s">
        <v>2393</v>
      </c>
      <c r="H902" t="s">
        <v>2394</v>
      </c>
      <c r="I902" t="s">
        <v>1636</v>
      </c>
      <c r="J902" t="s">
        <v>2159</v>
      </c>
      <c r="K902" s="662" t="str">
        <f t="shared" si="74"/>
        <v>Deprecated</v>
      </c>
      <c r="L902" s="660" t="str">
        <f t="shared" si="70"/>
        <v>UNIT</v>
      </c>
      <c r="M902" s="660" t="str">
        <f t="shared" si="71"/>
        <v>UC</v>
      </c>
      <c r="N902" s="660" t="str">
        <f t="shared" si="72"/>
        <v>PAAS</v>
      </c>
      <c r="O902" s="659" t="str">
        <f t="shared" si="73"/>
        <v/>
      </c>
    </row>
    <row r="903" spans="1:15">
      <c r="A903">
        <v>0</v>
      </c>
      <c r="B903">
        <v>0</v>
      </c>
      <c r="C903">
        <v>0</v>
      </c>
      <c r="D903">
        <v>0</v>
      </c>
      <c r="E903">
        <v>0</v>
      </c>
      <c r="F903" t="s">
        <v>2290</v>
      </c>
      <c r="G903" t="s">
        <v>2393</v>
      </c>
      <c r="H903" t="s">
        <v>2394</v>
      </c>
      <c r="I903" t="s">
        <v>1636</v>
      </c>
      <c r="J903" t="s">
        <v>2159</v>
      </c>
      <c r="K903" s="662" t="str">
        <f t="shared" si="74"/>
        <v>Deprecated</v>
      </c>
      <c r="L903" s="660" t="str">
        <f t="shared" si="70"/>
        <v>UNIT</v>
      </c>
      <c r="M903" s="660" t="str">
        <f t="shared" si="71"/>
        <v>UC</v>
      </c>
      <c r="N903" s="660" t="str">
        <f t="shared" si="72"/>
        <v>PAAS</v>
      </c>
      <c r="O903" s="659" t="str">
        <f t="shared" si="73"/>
        <v/>
      </c>
    </row>
    <row r="904" spans="1:15">
      <c r="A904">
        <v>0</v>
      </c>
      <c r="B904">
        <v>0</v>
      </c>
      <c r="C904">
        <v>0</v>
      </c>
      <c r="D904">
        <v>0</v>
      </c>
      <c r="E904">
        <v>0</v>
      </c>
      <c r="F904" t="s">
        <v>2290</v>
      </c>
      <c r="G904" t="s">
        <v>2393</v>
      </c>
      <c r="H904" t="s">
        <v>2394</v>
      </c>
      <c r="I904" t="s">
        <v>1636</v>
      </c>
      <c r="J904" t="s">
        <v>2159</v>
      </c>
      <c r="K904" s="662" t="str">
        <f t="shared" si="74"/>
        <v>Deprecated</v>
      </c>
      <c r="L904" s="660" t="str">
        <f t="shared" si="70"/>
        <v>UNIT</v>
      </c>
      <c r="M904" s="660" t="str">
        <f t="shared" si="71"/>
        <v>UC</v>
      </c>
      <c r="N904" s="660" t="str">
        <f t="shared" si="72"/>
        <v>PAAS</v>
      </c>
      <c r="O904" s="659" t="str">
        <f t="shared" si="73"/>
        <v/>
      </c>
    </row>
    <row r="905" spans="1:15">
      <c r="A905">
        <v>0</v>
      </c>
      <c r="B905">
        <v>0</v>
      </c>
      <c r="C905">
        <v>0</v>
      </c>
      <c r="D905">
        <v>0</v>
      </c>
      <c r="E905">
        <v>0</v>
      </c>
      <c r="F905" t="s">
        <v>2290</v>
      </c>
      <c r="G905" t="s">
        <v>2393</v>
      </c>
      <c r="H905" t="s">
        <v>2394</v>
      </c>
      <c r="I905" t="s">
        <v>1636</v>
      </c>
      <c r="J905" t="s">
        <v>2159</v>
      </c>
      <c r="K905" s="662" t="str">
        <f t="shared" si="74"/>
        <v>Deprecated</v>
      </c>
      <c r="L905" s="660" t="str">
        <f t="shared" si="70"/>
        <v>UNIT</v>
      </c>
      <c r="M905" s="660" t="str">
        <f t="shared" si="71"/>
        <v>UC</v>
      </c>
      <c r="N905" s="660" t="str">
        <f t="shared" si="72"/>
        <v>PAAS</v>
      </c>
      <c r="O905" s="659" t="str">
        <f t="shared" si="73"/>
        <v/>
      </c>
    </row>
    <row r="906" spans="1:15">
      <c r="A906">
        <v>0</v>
      </c>
      <c r="B906">
        <v>0</v>
      </c>
      <c r="C906">
        <v>0</v>
      </c>
      <c r="D906">
        <v>0</v>
      </c>
      <c r="E906">
        <v>0</v>
      </c>
      <c r="F906" t="s">
        <v>2290</v>
      </c>
      <c r="G906" t="s">
        <v>2393</v>
      </c>
      <c r="H906" t="s">
        <v>2394</v>
      </c>
      <c r="I906" t="s">
        <v>1636</v>
      </c>
      <c r="J906" t="s">
        <v>2159</v>
      </c>
      <c r="K906" s="662" t="str">
        <f t="shared" si="74"/>
        <v>Deprecated</v>
      </c>
      <c r="L906" s="660" t="str">
        <f t="shared" si="70"/>
        <v>UNIT</v>
      </c>
      <c r="M906" s="660" t="str">
        <f t="shared" si="71"/>
        <v>UC</v>
      </c>
      <c r="N906" s="660" t="str">
        <f t="shared" si="72"/>
        <v>PAAS</v>
      </c>
      <c r="O906" s="659" t="str">
        <f t="shared" si="73"/>
        <v/>
      </c>
    </row>
    <row r="907" spans="1:15">
      <c r="A907">
        <v>0</v>
      </c>
      <c r="B907">
        <v>0</v>
      </c>
      <c r="C907">
        <v>0</v>
      </c>
      <c r="D907">
        <v>0</v>
      </c>
      <c r="E907">
        <v>0</v>
      </c>
      <c r="F907" t="s">
        <v>2290</v>
      </c>
      <c r="G907" t="s">
        <v>2393</v>
      </c>
      <c r="H907" t="s">
        <v>2394</v>
      </c>
      <c r="I907" t="s">
        <v>1636</v>
      </c>
      <c r="J907" t="s">
        <v>2159</v>
      </c>
      <c r="K907" s="662" t="str">
        <f t="shared" si="74"/>
        <v>Deprecated</v>
      </c>
      <c r="L907" s="660" t="str">
        <f t="shared" ref="L907:L970" si="75">_xlfn.IFS(ISNUMBER(SEARCH("Hour",E907)),"HR",ISNUMBER(SEARCH("Gigabyte",E907)),"GB",ISNUMBER(SEARCH("Terabyte",E907)),"TB",ISNUMBER(SEARCH("Requests",E907)),"REQ",ISNUMBER(SEARCH("Each",E907)),"EA",ISNUMBER(SEARCH("Day",E907)),"DAY","TRUE","UNIT")</f>
        <v>UNIT</v>
      </c>
      <c r="M907" s="660" t="str">
        <f t="shared" ref="M907:M970" si="76">_xlfn.IFS(K907="CC","CC",K907="Consulting","SRV",F907="Y","UC0",TRUE,"UC")</f>
        <v>UC</v>
      </c>
      <c r="N907" s="660" t="str">
        <f t="shared" ref="N907:N970" si="77">_xlfn.IFS(ISNUMBER(SEARCH("BYOL",B907)),"BYOL",K907="Storage","IAAS",K907="Compute","IAAS",K907="Network","IAAS",K907="Service","IAAS",M907="SRV","SRV",M907="CC","CC",L907="REQ","IAAS",TRUE,"PAAS")</f>
        <v>PAAS</v>
      </c>
      <c r="O907" s="659" t="str">
        <f t="shared" ref="O907:O970" si="78">IF(G907=K907,"","error")</f>
        <v/>
      </c>
    </row>
    <row r="908" spans="1:15">
      <c r="A908">
        <v>0</v>
      </c>
      <c r="B908">
        <v>0</v>
      </c>
      <c r="C908">
        <v>0</v>
      </c>
      <c r="D908">
        <v>0</v>
      </c>
      <c r="E908">
        <v>0</v>
      </c>
      <c r="F908" t="s">
        <v>2290</v>
      </c>
      <c r="G908" t="s">
        <v>2393</v>
      </c>
      <c r="H908" t="s">
        <v>2394</v>
      </c>
      <c r="I908" t="s">
        <v>1636</v>
      </c>
      <c r="J908" t="s">
        <v>2159</v>
      </c>
      <c r="K908" s="662" t="str">
        <f t="shared" si="74"/>
        <v>Deprecated</v>
      </c>
      <c r="L908" s="660" t="str">
        <f t="shared" si="75"/>
        <v>UNIT</v>
      </c>
      <c r="M908" s="660" t="str">
        <f t="shared" si="76"/>
        <v>UC</v>
      </c>
      <c r="N908" s="660" t="str">
        <f t="shared" si="77"/>
        <v>PAAS</v>
      </c>
      <c r="O908" s="659" t="str">
        <f t="shared" si="78"/>
        <v/>
      </c>
    </row>
    <row r="909" spans="1:15">
      <c r="A909">
        <v>0</v>
      </c>
      <c r="B909">
        <v>0</v>
      </c>
      <c r="C909">
        <v>0</v>
      </c>
      <c r="D909">
        <v>0</v>
      </c>
      <c r="E909">
        <v>0</v>
      </c>
      <c r="F909" t="s">
        <v>2290</v>
      </c>
      <c r="G909" t="s">
        <v>2393</v>
      </c>
      <c r="H909" t="s">
        <v>2394</v>
      </c>
      <c r="I909" t="s">
        <v>1636</v>
      </c>
      <c r="J909" t="s">
        <v>2159</v>
      </c>
      <c r="K909" s="662" t="str">
        <f t="shared" si="74"/>
        <v>Deprecated</v>
      </c>
      <c r="L909" s="660" t="str">
        <f t="shared" si="75"/>
        <v>UNIT</v>
      </c>
      <c r="M909" s="660" t="str">
        <f t="shared" si="76"/>
        <v>UC</v>
      </c>
      <c r="N909" s="660" t="str">
        <f t="shared" si="77"/>
        <v>PAAS</v>
      </c>
      <c r="O909" s="659" t="str">
        <f t="shared" si="78"/>
        <v/>
      </c>
    </row>
    <row r="910" spans="1:15">
      <c r="A910">
        <v>0</v>
      </c>
      <c r="B910">
        <v>0</v>
      </c>
      <c r="C910">
        <v>0</v>
      </c>
      <c r="D910">
        <v>0</v>
      </c>
      <c r="E910">
        <v>0</v>
      </c>
      <c r="F910" t="s">
        <v>2290</v>
      </c>
      <c r="G910" t="s">
        <v>2393</v>
      </c>
      <c r="H910" t="s">
        <v>2394</v>
      </c>
      <c r="I910" t="s">
        <v>1636</v>
      </c>
      <c r="J910" t="s">
        <v>2159</v>
      </c>
      <c r="K910" s="662" t="str">
        <f t="shared" si="74"/>
        <v>Deprecated</v>
      </c>
      <c r="L910" s="660" t="str">
        <f t="shared" si="75"/>
        <v>UNIT</v>
      </c>
      <c r="M910" s="660" t="str">
        <f t="shared" si="76"/>
        <v>UC</v>
      </c>
      <c r="N910" s="660" t="str">
        <f t="shared" si="77"/>
        <v>PAAS</v>
      </c>
      <c r="O910" s="659" t="str">
        <f t="shared" si="78"/>
        <v/>
      </c>
    </row>
    <row r="911" spans="1:15">
      <c r="A911">
        <v>0</v>
      </c>
      <c r="B911">
        <v>0</v>
      </c>
      <c r="C911">
        <v>0</v>
      </c>
      <c r="D911">
        <v>0</v>
      </c>
      <c r="E911">
        <v>0</v>
      </c>
      <c r="F911" t="s">
        <v>2290</v>
      </c>
      <c r="G911" t="s">
        <v>2393</v>
      </c>
      <c r="H911" t="s">
        <v>2394</v>
      </c>
      <c r="I911" t="s">
        <v>1636</v>
      </c>
      <c r="J911" t="s">
        <v>2159</v>
      </c>
      <c r="K911" s="662" t="str">
        <f t="shared" si="74"/>
        <v>Deprecated</v>
      </c>
      <c r="L911" s="660" t="str">
        <f t="shared" si="75"/>
        <v>UNIT</v>
      </c>
      <c r="M911" s="660" t="str">
        <f t="shared" si="76"/>
        <v>UC</v>
      </c>
      <c r="N911" s="660" t="str">
        <f t="shared" si="77"/>
        <v>PAAS</v>
      </c>
      <c r="O911" s="659" t="str">
        <f t="shared" si="78"/>
        <v/>
      </c>
    </row>
    <row r="912" spans="1:15">
      <c r="A912">
        <v>0</v>
      </c>
      <c r="B912">
        <v>0</v>
      </c>
      <c r="C912">
        <v>0</v>
      </c>
      <c r="D912">
        <v>0</v>
      </c>
      <c r="E912">
        <v>0</v>
      </c>
      <c r="F912" t="s">
        <v>2290</v>
      </c>
      <c r="G912" t="s">
        <v>2393</v>
      </c>
      <c r="H912" t="s">
        <v>2394</v>
      </c>
      <c r="I912" t="s">
        <v>1636</v>
      </c>
      <c r="J912" t="s">
        <v>2159</v>
      </c>
      <c r="K912" s="662" t="str">
        <f t="shared" si="74"/>
        <v>Deprecated</v>
      </c>
      <c r="L912" s="660" t="str">
        <f t="shared" si="75"/>
        <v>UNIT</v>
      </c>
      <c r="M912" s="660" t="str">
        <f t="shared" si="76"/>
        <v>UC</v>
      </c>
      <c r="N912" s="660" t="str">
        <f t="shared" si="77"/>
        <v>PAAS</v>
      </c>
      <c r="O912" s="659" t="str">
        <f t="shared" si="78"/>
        <v/>
      </c>
    </row>
    <row r="913" spans="1:15">
      <c r="A913">
        <v>0</v>
      </c>
      <c r="B913">
        <v>0</v>
      </c>
      <c r="C913">
        <v>0</v>
      </c>
      <c r="D913">
        <v>0</v>
      </c>
      <c r="E913">
        <v>0</v>
      </c>
      <c r="F913" t="s">
        <v>2290</v>
      </c>
      <c r="G913" t="s">
        <v>2393</v>
      </c>
      <c r="H913" t="s">
        <v>2394</v>
      </c>
      <c r="I913" t="s">
        <v>1636</v>
      </c>
      <c r="J913" t="s">
        <v>2159</v>
      </c>
      <c r="K913" s="662" t="str">
        <f t="shared" si="74"/>
        <v>Deprecated</v>
      </c>
      <c r="L913" s="660" t="str">
        <f t="shared" si="75"/>
        <v>UNIT</v>
      </c>
      <c r="M913" s="660" t="str">
        <f t="shared" si="76"/>
        <v>UC</v>
      </c>
      <c r="N913" s="660" t="str">
        <f t="shared" si="77"/>
        <v>PAAS</v>
      </c>
      <c r="O913" s="659" t="str">
        <f t="shared" si="78"/>
        <v/>
      </c>
    </row>
    <row r="914" spans="1:15">
      <c r="A914">
        <v>0</v>
      </c>
      <c r="B914">
        <v>0</v>
      </c>
      <c r="C914">
        <v>0</v>
      </c>
      <c r="D914">
        <v>0</v>
      </c>
      <c r="E914">
        <v>0</v>
      </c>
      <c r="F914" t="s">
        <v>2290</v>
      </c>
      <c r="G914" t="s">
        <v>2393</v>
      </c>
      <c r="H914" t="s">
        <v>2394</v>
      </c>
      <c r="I914" t="s">
        <v>1636</v>
      </c>
      <c r="J914" t="s">
        <v>2159</v>
      </c>
      <c r="K914" s="662" t="str">
        <f t="shared" si="74"/>
        <v>Deprecated</v>
      </c>
      <c r="L914" s="660" t="str">
        <f t="shared" si="75"/>
        <v>UNIT</v>
      </c>
      <c r="M914" s="660" t="str">
        <f t="shared" si="76"/>
        <v>UC</v>
      </c>
      <c r="N914" s="660" t="str">
        <f t="shared" si="77"/>
        <v>PAAS</v>
      </c>
      <c r="O914" s="659" t="str">
        <f t="shared" si="78"/>
        <v/>
      </c>
    </row>
    <row r="915" spans="1:15">
      <c r="A915">
        <v>0</v>
      </c>
      <c r="B915">
        <v>0</v>
      </c>
      <c r="C915">
        <v>0</v>
      </c>
      <c r="D915">
        <v>0</v>
      </c>
      <c r="E915">
        <v>0</v>
      </c>
      <c r="F915" t="s">
        <v>2290</v>
      </c>
      <c r="G915" t="s">
        <v>2393</v>
      </c>
      <c r="H915" t="s">
        <v>2394</v>
      </c>
      <c r="I915" t="s">
        <v>1636</v>
      </c>
      <c r="J915" t="s">
        <v>2159</v>
      </c>
      <c r="K915" s="662" t="str">
        <f t="shared" si="74"/>
        <v>Deprecated</v>
      </c>
      <c r="L915" s="660" t="str">
        <f t="shared" si="75"/>
        <v>UNIT</v>
      </c>
      <c r="M915" s="660" t="str">
        <f t="shared" si="76"/>
        <v>UC</v>
      </c>
      <c r="N915" s="660" t="str">
        <f t="shared" si="77"/>
        <v>PAAS</v>
      </c>
      <c r="O915" s="659" t="str">
        <f t="shared" si="78"/>
        <v/>
      </c>
    </row>
    <row r="916" spans="1:15">
      <c r="A916">
        <v>0</v>
      </c>
      <c r="B916">
        <v>0</v>
      </c>
      <c r="C916">
        <v>0</v>
      </c>
      <c r="D916">
        <v>0</v>
      </c>
      <c r="E916">
        <v>0</v>
      </c>
      <c r="F916" t="s">
        <v>2290</v>
      </c>
      <c r="G916" t="s">
        <v>2393</v>
      </c>
      <c r="H916" t="s">
        <v>2394</v>
      </c>
      <c r="I916" t="s">
        <v>1636</v>
      </c>
      <c r="J916" t="s">
        <v>2159</v>
      </c>
      <c r="K916" s="662" t="str">
        <f t="shared" si="74"/>
        <v>Deprecated</v>
      </c>
      <c r="L916" s="660" t="str">
        <f t="shared" si="75"/>
        <v>UNIT</v>
      </c>
      <c r="M916" s="660" t="str">
        <f t="shared" si="76"/>
        <v>UC</v>
      </c>
      <c r="N916" s="660" t="str">
        <f t="shared" si="77"/>
        <v>PAAS</v>
      </c>
      <c r="O916" s="659" t="str">
        <f t="shared" si="78"/>
        <v/>
      </c>
    </row>
    <row r="917" spans="1:15">
      <c r="A917">
        <v>0</v>
      </c>
      <c r="B917">
        <v>0</v>
      </c>
      <c r="C917">
        <v>0</v>
      </c>
      <c r="D917">
        <v>0</v>
      </c>
      <c r="E917">
        <v>0</v>
      </c>
      <c r="F917" t="s">
        <v>2290</v>
      </c>
      <c r="G917" t="s">
        <v>2393</v>
      </c>
      <c r="H917" t="s">
        <v>2394</v>
      </c>
      <c r="I917" t="s">
        <v>1636</v>
      </c>
      <c r="J917" t="s">
        <v>2159</v>
      </c>
      <c r="K917" s="662" t="str">
        <f t="shared" si="74"/>
        <v>Deprecated</v>
      </c>
      <c r="L917" s="660" t="str">
        <f t="shared" si="75"/>
        <v>UNIT</v>
      </c>
      <c r="M917" s="660" t="str">
        <f t="shared" si="76"/>
        <v>UC</v>
      </c>
      <c r="N917" s="660" t="str">
        <f t="shared" si="77"/>
        <v>PAAS</v>
      </c>
      <c r="O917" s="659" t="str">
        <f t="shared" si="78"/>
        <v/>
      </c>
    </row>
    <row r="918" spans="1:15">
      <c r="A918">
        <v>0</v>
      </c>
      <c r="B918">
        <v>0</v>
      </c>
      <c r="C918">
        <v>0</v>
      </c>
      <c r="D918">
        <v>0</v>
      </c>
      <c r="E918">
        <v>0</v>
      </c>
      <c r="F918" t="s">
        <v>2290</v>
      </c>
      <c r="G918" t="s">
        <v>2393</v>
      </c>
      <c r="H918" t="s">
        <v>2394</v>
      </c>
      <c r="I918" t="s">
        <v>1636</v>
      </c>
      <c r="J918" t="s">
        <v>2159</v>
      </c>
      <c r="K918" s="662" t="str">
        <f t="shared" si="74"/>
        <v>Deprecated</v>
      </c>
      <c r="L918" s="660" t="str">
        <f t="shared" si="75"/>
        <v>UNIT</v>
      </c>
      <c r="M918" s="660" t="str">
        <f t="shared" si="76"/>
        <v>UC</v>
      </c>
      <c r="N918" s="660" t="str">
        <f t="shared" si="77"/>
        <v>PAAS</v>
      </c>
      <c r="O918" s="659" t="str">
        <f t="shared" si="78"/>
        <v/>
      </c>
    </row>
    <row r="919" spans="1:15">
      <c r="A919">
        <v>0</v>
      </c>
      <c r="B919">
        <v>0</v>
      </c>
      <c r="C919">
        <v>0</v>
      </c>
      <c r="D919">
        <v>0</v>
      </c>
      <c r="E919">
        <v>0</v>
      </c>
      <c r="F919" t="s">
        <v>2290</v>
      </c>
      <c r="G919" t="s">
        <v>2393</v>
      </c>
      <c r="H919" t="s">
        <v>2394</v>
      </c>
      <c r="I919" t="s">
        <v>1636</v>
      </c>
      <c r="J919" t="s">
        <v>2159</v>
      </c>
      <c r="K919" s="662" t="str">
        <f t="shared" si="74"/>
        <v>Deprecated</v>
      </c>
      <c r="L919" s="660" t="str">
        <f t="shared" si="75"/>
        <v>UNIT</v>
      </c>
      <c r="M919" s="660" t="str">
        <f t="shared" si="76"/>
        <v>UC</v>
      </c>
      <c r="N919" s="660" t="str">
        <f t="shared" si="77"/>
        <v>PAAS</v>
      </c>
      <c r="O919" s="659" t="str">
        <f t="shared" si="78"/>
        <v/>
      </c>
    </row>
    <row r="920" spans="1:15">
      <c r="A920">
        <v>0</v>
      </c>
      <c r="B920">
        <v>0</v>
      </c>
      <c r="C920">
        <v>0</v>
      </c>
      <c r="D920">
        <v>0</v>
      </c>
      <c r="E920">
        <v>0</v>
      </c>
      <c r="F920" t="s">
        <v>2290</v>
      </c>
      <c r="G920" t="s">
        <v>2393</v>
      </c>
      <c r="H920" t="s">
        <v>2394</v>
      </c>
      <c r="I920" t="s">
        <v>1636</v>
      </c>
      <c r="J920" t="s">
        <v>2159</v>
      </c>
      <c r="K920" s="662" t="str">
        <f t="shared" si="74"/>
        <v>Deprecated</v>
      </c>
      <c r="L920" s="660" t="str">
        <f t="shared" si="75"/>
        <v>UNIT</v>
      </c>
      <c r="M920" s="660" t="str">
        <f t="shared" si="76"/>
        <v>UC</v>
      </c>
      <c r="N920" s="660" t="str">
        <f t="shared" si="77"/>
        <v>PAAS</v>
      </c>
      <c r="O920" s="659" t="str">
        <f t="shared" si="78"/>
        <v/>
      </c>
    </row>
    <row r="921" spans="1:15">
      <c r="A921">
        <v>0</v>
      </c>
      <c r="B921">
        <v>0</v>
      </c>
      <c r="C921">
        <v>0</v>
      </c>
      <c r="D921">
        <v>0</v>
      </c>
      <c r="E921">
        <v>0</v>
      </c>
      <c r="F921" t="s">
        <v>2290</v>
      </c>
      <c r="G921" t="s">
        <v>2393</v>
      </c>
      <c r="H921" t="s">
        <v>2394</v>
      </c>
      <c r="I921" t="s">
        <v>1636</v>
      </c>
      <c r="J921" t="s">
        <v>2159</v>
      </c>
      <c r="K921" s="662" t="str">
        <f t="shared" si="74"/>
        <v>Deprecated</v>
      </c>
      <c r="L921" s="660" t="str">
        <f t="shared" si="75"/>
        <v>UNIT</v>
      </c>
      <c r="M921" s="660" t="str">
        <f t="shared" si="76"/>
        <v>UC</v>
      </c>
      <c r="N921" s="660" t="str">
        <f t="shared" si="77"/>
        <v>PAAS</v>
      </c>
      <c r="O921" s="659" t="str">
        <f t="shared" si="78"/>
        <v/>
      </c>
    </row>
    <row r="922" spans="1:15">
      <c r="A922">
        <v>0</v>
      </c>
      <c r="B922">
        <v>0</v>
      </c>
      <c r="C922">
        <v>0</v>
      </c>
      <c r="D922">
        <v>0</v>
      </c>
      <c r="E922">
        <v>0</v>
      </c>
      <c r="F922" t="s">
        <v>2290</v>
      </c>
      <c r="G922" t="s">
        <v>2393</v>
      </c>
      <c r="H922" t="s">
        <v>2394</v>
      </c>
      <c r="I922" t="s">
        <v>1636</v>
      </c>
      <c r="J922" t="s">
        <v>2159</v>
      </c>
      <c r="K922" s="662" t="str">
        <f t="shared" si="74"/>
        <v>Deprecated</v>
      </c>
      <c r="L922" s="660" t="str">
        <f t="shared" si="75"/>
        <v>UNIT</v>
      </c>
      <c r="M922" s="660" t="str">
        <f t="shared" si="76"/>
        <v>UC</v>
      </c>
      <c r="N922" s="660" t="str">
        <f t="shared" si="77"/>
        <v>PAAS</v>
      </c>
      <c r="O922" s="659" t="str">
        <f t="shared" si="78"/>
        <v/>
      </c>
    </row>
    <row r="923" spans="1:15">
      <c r="A923">
        <v>0</v>
      </c>
      <c r="B923">
        <v>0</v>
      </c>
      <c r="C923">
        <v>0</v>
      </c>
      <c r="D923">
        <v>0</v>
      </c>
      <c r="E923">
        <v>0</v>
      </c>
      <c r="F923" t="s">
        <v>2290</v>
      </c>
      <c r="G923" t="s">
        <v>2393</v>
      </c>
      <c r="H923" t="s">
        <v>2394</v>
      </c>
      <c r="I923" t="s">
        <v>1636</v>
      </c>
      <c r="J923" t="s">
        <v>2159</v>
      </c>
      <c r="K923" s="662" t="str">
        <f t="shared" si="74"/>
        <v>Deprecated</v>
      </c>
      <c r="L923" s="660" t="str">
        <f t="shared" si="75"/>
        <v>UNIT</v>
      </c>
      <c r="M923" s="660" t="str">
        <f t="shared" si="76"/>
        <v>UC</v>
      </c>
      <c r="N923" s="660" t="str">
        <f t="shared" si="77"/>
        <v>PAAS</v>
      </c>
      <c r="O923" s="659" t="str">
        <f t="shared" si="78"/>
        <v/>
      </c>
    </row>
    <row r="924" spans="1:15">
      <c r="A924">
        <v>0</v>
      </c>
      <c r="B924">
        <v>0</v>
      </c>
      <c r="C924">
        <v>0</v>
      </c>
      <c r="D924">
        <v>0</v>
      </c>
      <c r="E924">
        <v>0</v>
      </c>
      <c r="F924" t="s">
        <v>2290</v>
      </c>
      <c r="G924" t="s">
        <v>2393</v>
      </c>
      <c r="H924" t="s">
        <v>2394</v>
      </c>
      <c r="I924" t="s">
        <v>1636</v>
      </c>
      <c r="J924" t="s">
        <v>2159</v>
      </c>
      <c r="K924" s="662" t="str">
        <f t="shared" si="74"/>
        <v>Deprecated</v>
      </c>
      <c r="L924" s="660" t="str">
        <f t="shared" si="75"/>
        <v>UNIT</v>
      </c>
      <c r="M924" s="660" t="str">
        <f t="shared" si="76"/>
        <v>UC</v>
      </c>
      <c r="N924" s="660" t="str">
        <f t="shared" si="77"/>
        <v>PAAS</v>
      </c>
      <c r="O924" s="659" t="str">
        <f t="shared" si="78"/>
        <v/>
      </c>
    </row>
    <row r="925" spans="1:15">
      <c r="A925">
        <v>0</v>
      </c>
      <c r="B925">
        <v>0</v>
      </c>
      <c r="C925">
        <v>0</v>
      </c>
      <c r="D925">
        <v>0</v>
      </c>
      <c r="E925">
        <v>0</v>
      </c>
      <c r="F925" t="s">
        <v>2290</v>
      </c>
      <c r="G925" t="s">
        <v>2393</v>
      </c>
      <c r="H925" t="s">
        <v>2394</v>
      </c>
      <c r="I925" t="s">
        <v>1636</v>
      </c>
      <c r="J925" t="s">
        <v>2159</v>
      </c>
      <c r="K925" s="662" t="str">
        <f t="shared" si="74"/>
        <v>Deprecated</v>
      </c>
      <c r="L925" s="660" t="str">
        <f t="shared" si="75"/>
        <v>UNIT</v>
      </c>
      <c r="M925" s="660" t="str">
        <f t="shared" si="76"/>
        <v>UC</v>
      </c>
      <c r="N925" s="660" t="str">
        <f t="shared" si="77"/>
        <v>PAAS</v>
      </c>
      <c r="O925" s="659" t="str">
        <f t="shared" si="78"/>
        <v/>
      </c>
    </row>
    <row r="926" spans="1:15">
      <c r="A926">
        <v>0</v>
      </c>
      <c r="B926">
        <v>0</v>
      </c>
      <c r="C926">
        <v>0</v>
      </c>
      <c r="D926">
        <v>0</v>
      </c>
      <c r="E926">
        <v>0</v>
      </c>
      <c r="F926" t="s">
        <v>2290</v>
      </c>
      <c r="G926" t="s">
        <v>2393</v>
      </c>
      <c r="H926" t="s">
        <v>2394</v>
      </c>
      <c r="I926" t="s">
        <v>1636</v>
      </c>
      <c r="J926" t="s">
        <v>2159</v>
      </c>
      <c r="K926" s="662" t="str">
        <f t="shared" si="74"/>
        <v>Deprecated</v>
      </c>
      <c r="L926" s="660" t="str">
        <f t="shared" si="75"/>
        <v>UNIT</v>
      </c>
      <c r="M926" s="660" t="str">
        <f t="shared" si="76"/>
        <v>UC</v>
      </c>
      <c r="N926" s="660" t="str">
        <f t="shared" si="77"/>
        <v>PAAS</v>
      </c>
      <c r="O926" s="659" t="str">
        <f t="shared" si="78"/>
        <v/>
      </c>
    </row>
    <row r="927" spans="1:15">
      <c r="A927">
        <v>0</v>
      </c>
      <c r="B927">
        <v>0</v>
      </c>
      <c r="C927">
        <v>0</v>
      </c>
      <c r="D927">
        <v>0</v>
      </c>
      <c r="E927">
        <v>0</v>
      </c>
      <c r="F927" t="s">
        <v>2290</v>
      </c>
      <c r="G927" t="s">
        <v>2393</v>
      </c>
      <c r="H927" t="s">
        <v>2394</v>
      </c>
      <c r="I927" t="s">
        <v>1636</v>
      </c>
      <c r="J927" t="s">
        <v>2159</v>
      </c>
      <c r="K927" s="662" t="str">
        <f t="shared" si="74"/>
        <v>Deprecated</v>
      </c>
      <c r="L927" s="660" t="str">
        <f t="shared" si="75"/>
        <v>UNIT</v>
      </c>
      <c r="M927" s="660" t="str">
        <f t="shared" si="76"/>
        <v>UC</v>
      </c>
      <c r="N927" s="660" t="str">
        <f t="shared" si="77"/>
        <v>PAAS</v>
      </c>
      <c r="O927" s="659" t="str">
        <f t="shared" si="78"/>
        <v/>
      </c>
    </row>
    <row r="928" spans="1:15">
      <c r="A928">
        <v>0</v>
      </c>
      <c r="B928">
        <v>0</v>
      </c>
      <c r="C928">
        <v>0</v>
      </c>
      <c r="D928">
        <v>0</v>
      </c>
      <c r="E928">
        <v>0</v>
      </c>
      <c r="F928" t="s">
        <v>2290</v>
      </c>
      <c r="G928" t="s">
        <v>2393</v>
      </c>
      <c r="H928" t="s">
        <v>2394</v>
      </c>
      <c r="I928" t="s">
        <v>1636</v>
      </c>
      <c r="J928" t="s">
        <v>2159</v>
      </c>
      <c r="K928" s="662" t="str">
        <f t="shared" si="74"/>
        <v>Deprecated</v>
      </c>
      <c r="L928" s="660" t="str">
        <f t="shared" si="75"/>
        <v>UNIT</v>
      </c>
      <c r="M928" s="660" t="str">
        <f t="shared" si="76"/>
        <v>UC</v>
      </c>
      <c r="N928" s="660" t="str">
        <f t="shared" si="77"/>
        <v>PAAS</v>
      </c>
      <c r="O928" s="659" t="str">
        <f t="shared" si="78"/>
        <v/>
      </c>
    </row>
    <row r="929" spans="1:15">
      <c r="A929">
        <v>0</v>
      </c>
      <c r="B929">
        <v>0</v>
      </c>
      <c r="C929">
        <v>0</v>
      </c>
      <c r="D929">
        <v>0</v>
      </c>
      <c r="E929">
        <v>0</v>
      </c>
      <c r="F929" t="s">
        <v>2290</v>
      </c>
      <c r="G929" t="s">
        <v>2393</v>
      </c>
      <c r="H929" t="s">
        <v>2394</v>
      </c>
      <c r="I929" t="s">
        <v>1636</v>
      </c>
      <c r="J929" t="s">
        <v>2159</v>
      </c>
      <c r="K929" s="662" t="str">
        <f t="shared" si="74"/>
        <v>Deprecated</v>
      </c>
      <c r="L929" s="660" t="str">
        <f t="shared" si="75"/>
        <v>UNIT</v>
      </c>
      <c r="M929" s="660" t="str">
        <f t="shared" si="76"/>
        <v>UC</v>
      </c>
      <c r="N929" s="660" t="str">
        <f t="shared" si="77"/>
        <v>PAAS</v>
      </c>
      <c r="O929" s="659" t="str">
        <f t="shared" si="78"/>
        <v/>
      </c>
    </row>
    <row r="930" spans="1:15">
      <c r="A930">
        <v>0</v>
      </c>
      <c r="B930">
        <v>0</v>
      </c>
      <c r="C930">
        <v>0</v>
      </c>
      <c r="D930">
        <v>0</v>
      </c>
      <c r="E930">
        <v>0</v>
      </c>
      <c r="F930" t="s">
        <v>2290</v>
      </c>
      <c r="G930" t="s">
        <v>2393</v>
      </c>
      <c r="H930" t="s">
        <v>2394</v>
      </c>
      <c r="I930" t="s">
        <v>1636</v>
      </c>
      <c r="J930" t="s">
        <v>2159</v>
      </c>
      <c r="K930" s="662" t="str">
        <f t="shared" si="74"/>
        <v>Deprecated</v>
      </c>
      <c r="L930" s="660" t="str">
        <f t="shared" si="75"/>
        <v>UNIT</v>
      </c>
      <c r="M930" s="660" t="str">
        <f t="shared" si="76"/>
        <v>UC</v>
      </c>
      <c r="N930" s="660" t="str">
        <f t="shared" si="77"/>
        <v>PAAS</v>
      </c>
      <c r="O930" s="659" t="str">
        <f t="shared" si="78"/>
        <v/>
      </c>
    </row>
    <row r="931" spans="1:15">
      <c r="A931">
        <v>0</v>
      </c>
      <c r="B931">
        <v>0</v>
      </c>
      <c r="C931">
        <v>0</v>
      </c>
      <c r="D931">
        <v>0</v>
      </c>
      <c r="E931">
        <v>0</v>
      </c>
      <c r="F931" t="s">
        <v>2290</v>
      </c>
      <c r="G931" t="s">
        <v>2393</v>
      </c>
      <c r="H931" t="s">
        <v>2394</v>
      </c>
      <c r="I931" t="s">
        <v>1636</v>
      </c>
      <c r="J931" t="s">
        <v>2159</v>
      </c>
      <c r="K931" s="662" t="str">
        <f t="shared" si="74"/>
        <v>Deprecated</v>
      </c>
      <c r="L931" s="660" t="str">
        <f t="shared" si="75"/>
        <v>UNIT</v>
      </c>
      <c r="M931" s="660" t="str">
        <f t="shared" si="76"/>
        <v>UC</v>
      </c>
      <c r="N931" s="660" t="str">
        <f t="shared" si="77"/>
        <v>PAAS</v>
      </c>
      <c r="O931" s="659" t="str">
        <f t="shared" si="78"/>
        <v/>
      </c>
    </row>
    <row r="932" spans="1:15">
      <c r="A932">
        <v>0</v>
      </c>
      <c r="B932">
        <v>0</v>
      </c>
      <c r="C932">
        <v>0</v>
      </c>
      <c r="D932">
        <v>0</v>
      </c>
      <c r="E932">
        <v>0</v>
      </c>
      <c r="F932" t="s">
        <v>2290</v>
      </c>
      <c r="G932" t="s">
        <v>2393</v>
      </c>
      <c r="H932" t="s">
        <v>2394</v>
      </c>
      <c r="I932" t="s">
        <v>1636</v>
      </c>
      <c r="J932" t="s">
        <v>2159</v>
      </c>
      <c r="K932" s="662" t="str">
        <f t="shared" si="74"/>
        <v>Deprecated</v>
      </c>
      <c r="L932" s="660" t="str">
        <f t="shared" si="75"/>
        <v>UNIT</v>
      </c>
      <c r="M932" s="660" t="str">
        <f t="shared" si="76"/>
        <v>UC</v>
      </c>
      <c r="N932" s="660" t="str">
        <f t="shared" si="77"/>
        <v>PAAS</v>
      </c>
      <c r="O932" s="659" t="str">
        <f t="shared" si="78"/>
        <v/>
      </c>
    </row>
    <row r="933" spans="1:15">
      <c r="A933">
        <v>0</v>
      </c>
      <c r="B933">
        <v>0</v>
      </c>
      <c r="C933">
        <v>0</v>
      </c>
      <c r="D933">
        <v>0</v>
      </c>
      <c r="E933">
        <v>0</v>
      </c>
      <c r="F933" t="s">
        <v>2290</v>
      </c>
      <c r="G933" t="s">
        <v>2393</v>
      </c>
      <c r="H933" t="s">
        <v>2394</v>
      </c>
      <c r="I933" t="s">
        <v>1636</v>
      </c>
      <c r="J933" t="s">
        <v>2159</v>
      </c>
      <c r="K933" s="662" t="str">
        <f t="shared" si="74"/>
        <v>Deprecated</v>
      </c>
      <c r="L933" s="660" t="str">
        <f t="shared" si="75"/>
        <v>UNIT</v>
      </c>
      <c r="M933" s="660" t="str">
        <f t="shared" si="76"/>
        <v>UC</v>
      </c>
      <c r="N933" s="660" t="str">
        <f t="shared" si="77"/>
        <v>PAAS</v>
      </c>
      <c r="O933" s="659" t="str">
        <f t="shared" si="78"/>
        <v/>
      </c>
    </row>
    <row r="934" spans="1:15">
      <c r="A934">
        <v>0</v>
      </c>
      <c r="B934">
        <v>0</v>
      </c>
      <c r="C934">
        <v>0</v>
      </c>
      <c r="D934">
        <v>0</v>
      </c>
      <c r="E934">
        <v>0</v>
      </c>
      <c r="F934" t="s">
        <v>2290</v>
      </c>
      <c r="G934" t="s">
        <v>2393</v>
      </c>
      <c r="H934" t="s">
        <v>2394</v>
      </c>
      <c r="I934" t="s">
        <v>1636</v>
      </c>
      <c r="J934" t="s">
        <v>2159</v>
      </c>
      <c r="K934" s="662" t="str">
        <f t="shared" si="74"/>
        <v>Deprecated</v>
      </c>
      <c r="L934" s="660" t="str">
        <f t="shared" si="75"/>
        <v>UNIT</v>
      </c>
      <c r="M934" s="660" t="str">
        <f t="shared" si="76"/>
        <v>UC</v>
      </c>
      <c r="N934" s="660" t="str">
        <f t="shared" si="77"/>
        <v>PAAS</v>
      </c>
      <c r="O934" s="659" t="str">
        <f t="shared" si="78"/>
        <v/>
      </c>
    </row>
    <row r="935" spans="1:15">
      <c r="A935">
        <v>0</v>
      </c>
      <c r="B935">
        <v>0</v>
      </c>
      <c r="C935">
        <v>0</v>
      </c>
      <c r="D935">
        <v>0</v>
      </c>
      <c r="E935">
        <v>0</v>
      </c>
      <c r="F935" t="s">
        <v>2290</v>
      </c>
      <c r="G935" t="s">
        <v>2393</v>
      </c>
      <c r="H935" t="s">
        <v>2394</v>
      </c>
      <c r="I935" t="s">
        <v>1636</v>
      </c>
      <c r="J935" t="s">
        <v>2159</v>
      </c>
      <c r="K935" s="662" t="str">
        <f t="shared" si="74"/>
        <v>Deprecated</v>
      </c>
      <c r="L935" s="660" t="str">
        <f t="shared" si="75"/>
        <v>UNIT</v>
      </c>
      <c r="M935" s="660" t="str">
        <f t="shared" si="76"/>
        <v>UC</v>
      </c>
      <c r="N935" s="660" t="str">
        <f t="shared" si="77"/>
        <v>PAAS</v>
      </c>
      <c r="O935" s="659" t="str">
        <f t="shared" si="78"/>
        <v/>
      </c>
    </row>
    <row r="936" spans="1:15">
      <c r="A936">
        <v>0</v>
      </c>
      <c r="B936">
        <v>0</v>
      </c>
      <c r="C936">
        <v>0</v>
      </c>
      <c r="D936">
        <v>0</v>
      </c>
      <c r="E936">
        <v>0</v>
      </c>
      <c r="F936" t="s">
        <v>2290</v>
      </c>
      <c r="G936" t="s">
        <v>2393</v>
      </c>
      <c r="H936" t="s">
        <v>2394</v>
      </c>
      <c r="I936" t="s">
        <v>1636</v>
      </c>
      <c r="J936" t="s">
        <v>2159</v>
      </c>
      <c r="K936" s="662" t="str">
        <f t="shared" si="74"/>
        <v>Deprecated</v>
      </c>
      <c r="L936" s="660" t="str">
        <f t="shared" si="75"/>
        <v>UNIT</v>
      </c>
      <c r="M936" s="660" t="str">
        <f t="shared" si="76"/>
        <v>UC</v>
      </c>
      <c r="N936" s="660" t="str">
        <f t="shared" si="77"/>
        <v>PAAS</v>
      </c>
      <c r="O936" s="659" t="str">
        <f t="shared" si="78"/>
        <v/>
      </c>
    </row>
    <row r="937" spans="1:15">
      <c r="A937">
        <v>0</v>
      </c>
      <c r="B937">
        <v>0</v>
      </c>
      <c r="C937">
        <v>0</v>
      </c>
      <c r="D937">
        <v>0</v>
      </c>
      <c r="E937">
        <v>0</v>
      </c>
      <c r="F937" t="s">
        <v>2290</v>
      </c>
      <c r="G937" t="s">
        <v>2393</v>
      </c>
      <c r="H937" t="s">
        <v>2394</v>
      </c>
      <c r="I937" t="s">
        <v>1636</v>
      </c>
      <c r="J937" t="s">
        <v>2159</v>
      </c>
      <c r="K937" s="662" t="str">
        <f t="shared" si="74"/>
        <v>Deprecated</v>
      </c>
      <c r="L937" s="660" t="str">
        <f t="shared" si="75"/>
        <v>UNIT</v>
      </c>
      <c r="M937" s="660" t="str">
        <f t="shared" si="76"/>
        <v>UC</v>
      </c>
      <c r="N937" s="660" t="str">
        <f t="shared" si="77"/>
        <v>PAAS</v>
      </c>
      <c r="O937" s="659" t="str">
        <f t="shared" si="78"/>
        <v/>
      </c>
    </row>
    <row r="938" spans="1:15">
      <c r="A938">
        <v>0</v>
      </c>
      <c r="B938">
        <v>0</v>
      </c>
      <c r="C938">
        <v>0</v>
      </c>
      <c r="D938">
        <v>0</v>
      </c>
      <c r="E938">
        <v>0</v>
      </c>
      <c r="F938" t="s">
        <v>2290</v>
      </c>
      <c r="G938" t="s">
        <v>2393</v>
      </c>
      <c r="H938" t="s">
        <v>2394</v>
      </c>
      <c r="I938" t="s">
        <v>1636</v>
      </c>
      <c r="J938" t="s">
        <v>2159</v>
      </c>
      <c r="K938" s="662" t="str">
        <f t="shared" si="74"/>
        <v>Deprecated</v>
      </c>
      <c r="L938" s="660" t="str">
        <f t="shared" si="75"/>
        <v>UNIT</v>
      </c>
      <c r="M938" s="660" t="str">
        <f t="shared" si="76"/>
        <v>UC</v>
      </c>
      <c r="N938" s="660" t="str">
        <f t="shared" si="77"/>
        <v>PAAS</v>
      </c>
      <c r="O938" s="659" t="str">
        <f t="shared" si="78"/>
        <v/>
      </c>
    </row>
    <row r="939" spans="1:15">
      <c r="A939">
        <v>0</v>
      </c>
      <c r="B939">
        <v>0</v>
      </c>
      <c r="C939">
        <v>0</v>
      </c>
      <c r="D939">
        <v>0</v>
      </c>
      <c r="E939">
        <v>0</v>
      </c>
      <c r="F939" t="s">
        <v>2290</v>
      </c>
      <c r="G939" t="s">
        <v>2393</v>
      </c>
      <c r="H939" t="s">
        <v>2394</v>
      </c>
      <c r="I939" t="s">
        <v>1636</v>
      </c>
      <c r="J939" t="s">
        <v>2159</v>
      </c>
      <c r="K939" s="662" t="str">
        <f t="shared" si="74"/>
        <v>Deprecated</v>
      </c>
      <c r="L939" s="660" t="str">
        <f t="shared" si="75"/>
        <v>UNIT</v>
      </c>
      <c r="M939" s="660" t="str">
        <f t="shared" si="76"/>
        <v>UC</v>
      </c>
      <c r="N939" s="660" t="str">
        <f t="shared" si="77"/>
        <v>PAAS</v>
      </c>
      <c r="O939" s="659" t="str">
        <f t="shared" si="78"/>
        <v/>
      </c>
    </row>
    <row r="940" spans="1:15">
      <c r="A940">
        <v>0</v>
      </c>
      <c r="B940">
        <v>0</v>
      </c>
      <c r="C940">
        <v>0</v>
      </c>
      <c r="D940">
        <v>0</v>
      </c>
      <c r="E940">
        <v>0</v>
      </c>
      <c r="F940" t="s">
        <v>2290</v>
      </c>
      <c r="G940" t="s">
        <v>2393</v>
      </c>
      <c r="H940" t="s">
        <v>2394</v>
      </c>
      <c r="I940" t="s">
        <v>1636</v>
      </c>
      <c r="J940" t="s">
        <v>2159</v>
      </c>
      <c r="K940" s="662" t="str">
        <f t="shared" si="74"/>
        <v>Deprecated</v>
      </c>
      <c r="L940" s="660" t="str">
        <f t="shared" si="75"/>
        <v>UNIT</v>
      </c>
      <c r="M940" s="660" t="str">
        <f t="shared" si="76"/>
        <v>UC</v>
      </c>
      <c r="N940" s="660" t="str">
        <f t="shared" si="77"/>
        <v>PAAS</v>
      </c>
      <c r="O940" s="659" t="str">
        <f t="shared" si="78"/>
        <v/>
      </c>
    </row>
    <row r="941" spans="1:15">
      <c r="A941">
        <v>0</v>
      </c>
      <c r="B941">
        <v>0</v>
      </c>
      <c r="C941">
        <v>0</v>
      </c>
      <c r="D941">
        <v>0</v>
      </c>
      <c r="E941">
        <v>0</v>
      </c>
      <c r="F941" t="s">
        <v>2290</v>
      </c>
      <c r="G941" t="s">
        <v>2393</v>
      </c>
      <c r="H941" t="s">
        <v>2394</v>
      </c>
      <c r="I941" t="s">
        <v>1636</v>
      </c>
      <c r="J941" t="s">
        <v>2159</v>
      </c>
      <c r="K941" s="662" t="str">
        <f t="shared" si="74"/>
        <v>Deprecated</v>
      </c>
      <c r="L941" s="660" t="str">
        <f t="shared" si="75"/>
        <v>UNIT</v>
      </c>
      <c r="M941" s="660" t="str">
        <f t="shared" si="76"/>
        <v>UC</v>
      </c>
      <c r="N941" s="660" t="str">
        <f t="shared" si="77"/>
        <v>PAAS</v>
      </c>
      <c r="O941" s="659" t="str">
        <f t="shared" si="78"/>
        <v/>
      </c>
    </row>
    <row r="942" spans="1:15">
      <c r="A942">
        <v>0</v>
      </c>
      <c r="B942">
        <v>0</v>
      </c>
      <c r="C942">
        <v>0</v>
      </c>
      <c r="D942">
        <v>0</v>
      </c>
      <c r="E942">
        <v>0</v>
      </c>
      <c r="F942" t="s">
        <v>2290</v>
      </c>
      <c r="G942" t="s">
        <v>2393</v>
      </c>
      <c r="H942" t="s">
        <v>2394</v>
      </c>
      <c r="I942" t="s">
        <v>1636</v>
      </c>
      <c r="J942" t="s">
        <v>2159</v>
      </c>
      <c r="K942" s="662" t="str">
        <f t="shared" si="74"/>
        <v>Deprecated</v>
      </c>
      <c r="L942" s="660" t="str">
        <f t="shared" si="75"/>
        <v>UNIT</v>
      </c>
      <c r="M942" s="660" t="str">
        <f t="shared" si="76"/>
        <v>UC</v>
      </c>
      <c r="N942" s="660" t="str">
        <f t="shared" si="77"/>
        <v>PAAS</v>
      </c>
      <c r="O942" s="659" t="str">
        <f t="shared" si="78"/>
        <v/>
      </c>
    </row>
    <row r="943" spans="1:15">
      <c r="A943">
        <v>0</v>
      </c>
      <c r="B943">
        <v>0</v>
      </c>
      <c r="C943">
        <v>0</v>
      </c>
      <c r="D943">
        <v>0</v>
      </c>
      <c r="E943">
        <v>0</v>
      </c>
      <c r="F943" t="s">
        <v>2290</v>
      </c>
      <c r="G943" t="s">
        <v>2393</v>
      </c>
      <c r="H943" t="s">
        <v>2394</v>
      </c>
      <c r="I943" t="s">
        <v>1636</v>
      </c>
      <c r="J943" t="s">
        <v>2159</v>
      </c>
      <c r="K943" s="662" t="str">
        <f t="shared" si="74"/>
        <v>Deprecated</v>
      </c>
      <c r="L943" s="660" t="str">
        <f t="shared" si="75"/>
        <v>UNIT</v>
      </c>
      <c r="M943" s="660" t="str">
        <f t="shared" si="76"/>
        <v>UC</v>
      </c>
      <c r="N943" s="660" t="str">
        <f t="shared" si="77"/>
        <v>PAAS</v>
      </c>
      <c r="O943" s="659" t="str">
        <f t="shared" si="78"/>
        <v/>
      </c>
    </row>
    <row r="944" spans="1:15">
      <c r="A944">
        <v>0</v>
      </c>
      <c r="B944">
        <v>0</v>
      </c>
      <c r="C944">
        <v>0</v>
      </c>
      <c r="D944">
        <v>0</v>
      </c>
      <c r="E944">
        <v>0</v>
      </c>
      <c r="F944" t="s">
        <v>2290</v>
      </c>
      <c r="G944" t="s">
        <v>2393</v>
      </c>
      <c r="H944" t="s">
        <v>2394</v>
      </c>
      <c r="I944" t="s">
        <v>1636</v>
      </c>
      <c r="J944" t="s">
        <v>2159</v>
      </c>
      <c r="K944" s="662" t="str">
        <f t="shared" si="74"/>
        <v>Deprecated</v>
      </c>
      <c r="L944" s="660" t="str">
        <f t="shared" si="75"/>
        <v>UNIT</v>
      </c>
      <c r="M944" s="660" t="str">
        <f t="shared" si="76"/>
        <v>UC</v>
      </c>
      <c r="N944" s="660" t="str">
        <f t="shared" si="77"/>
        <v>PAAS</v>
      </c>
      <c r="O944" s="659" t="str">
        <f t="shared" si="78"/>
        <v/>
      </c>
    </row>
    <row r="945" spans="1:15">
      <c r="A945">
        <v>0</v>
      </c>
      <c r="B945">
        <v>0</v>
      </c>
      <c r="C945">
        <v>0</v>
      </c>
      <c r="D945">
        <v>0</v>
      </c>
      <c r="E945">
        <v>0</v>
      </c>
      <c r="F945" t="s">
        <v>2290</v>
      </c>
      <c r="G945" t="s">
        <v>2393</v>
      </c>
      <c r="H945" t="s">
        <v>2394</v>
      </c>
      <c r="I945" t="s">
        <v>1636</v>
      </c>
      <c r="J945" t="s">
        <v>2159</v>
      </c>
      <c r="K945" s="662" t="str">
        <f t="shared" si="74"/>
        <v>Deprecated</v>
      </c>
      <c r="L945" s="660" t="str">
        <f t="shared" si="75"/>
        <v>UNIT</v>
      </c>
      <c r="M945" s="660" t="str">
        <f t="shared" si="76"/>
        <v>UC</v>
      </c>
      <c r="N945" s="660" t="str">
        <f t="shared" si="77"/>
        <v>PAAS</v>
      </c>
      <c r="O945" s="659" t="str">
        <f t="shared" si="78"/>
        <v/>
      </c>
    </row>
    <row r="946" spans="1:15">
      <c r="A946">
        <v>0</v>
      </c>
      <c r="B946">
        <v>0</v>
      </c>
      <c r="C946">
        <v>0</v>
      </c>
      <c r="D946">
        <v>0</v>
      </c>
      <c r="E946">
        <v>0</v>
      </c>
      <c r="F946" t="s">
        <v>2290</v>
      </c>
      <c r="G946" t="s">
        <v>2393</v>
      </c>
      <c r="H946" t="s">
        <v>2394</v>
      </c>
      <c r="I946" t="s">
        <v>1636</v>
      </c>
      <c r="J946" t="s">
        <v>2159</v>
      </c>
      <c r="K946" s="662" t="str">
        <f t="shared" si="74"/>
        <v>Deprecated</v>
      </c>
      <c r="L946" s="660" t="str">
        <f t="shared" si="75"/>
        <v>UNIT</v>
      </c>
      <c r="M946" s="660" t="str">
        <f t="shared" si="76"/>
        <v>UC</v>
      </c>
      <c r="N946" s="660" t="str">
        <f t="shared" si="77"/>
        <v>PAAS</v>
      </c>
      <c r="O946" s="659" t="str">
        <f t="shared" si="78"/>
        <v/>
      </c>
    </row>
    <row r="947" spans="1:15">
      <c r="A947">
        <v>0</v>
      </c>
      <c r="B947">
        <v>0</v>
      </c>
      <c r="C947">
        <v>0</v>
      </c>
      <c r="D947">
        <v>0</v>
      </c>
      <c r="E947">
        <v>0</v>
      </c>
      <c r="F947" t="s">
        <v>2290</v>
      </c>
      <c r="G947" t="s">
        <v>2393</v>
      </c>
      <c r="H947" t="s">
        <v>2394</v>
      </c>
      <c r="I947" t="s">
        <v>1636</v>
      </c>
      <c r="J947" t="s">
        <v>2159</v>
      </c>
      <c r="K947" s="662" t="str">
        <f t="shared" si="74"/>
        <v>Deprecated</v>
      </c>
      <c r="L947" s="660" t="str">
        <f t="shared" si="75"/>
        <v>UNIT</v>
      </c>
      <c r="M947" s="660" t="str">
        <f t="shared" si="76"/>
        <v>UC</v>
      </c>
      <c r="N947" s="660" t="str">
        <f t="shared" si="77"/>
        <v>PAAS</v>
      </c>
      <c r="O947" s="659" t="str">
        <f t="shared" si="78"/>
        <v/>
      </c>
    </row>
    <row r="948" spans="1:15">
      <c r="A948">
        <v>0</v>
      </c>
      <c r="B948">
        <v>0</v>
      </c>
      <c r="C948">
        <v>0</v>
      </c>
      <c r="D948">
        <v>0</v>
      </c>
      <c r="E948">
        <v>0</v>
      </c>
      <c r="F948" t="s">
        <v>2290</v>
      </c>
      <c r="G948" t="s">
        <v>2393</v>
      </c>
      <c r="H948" t="s">
        <v>2394</v>
      </c>
      <c r="I948" t="s">
        <v>1636</v>
      </c>
      <c r="J948" t="s">
        <v>2159</v>
      </c>
      <c r="K948" s="662" t="str">
        <f t="shared" si="74"/>
        <v>Deprecated</v>
      </c>
      <c r="L948" s="660" t="str">
        <f t="shared" si="75"/>
        <v>UNIT</v>
      </c>
      <c r="M948" s="660" t="str">
        <f t="shared" si="76"/>
        <v>UC</v>
      </c>
      <c r="N948" s="660" t="str">
        <f t="shared" si="77"/>
        <v>PAAS</v>
      </c>
      <c r="O948" s="659" t="str">
        <f t="shared" si="78"/>
        <v/>
      </c>
    </row>
    <row r="949" spans="1:15">
      <c r="A949">
        <v>0</v>
      </c>
      <c r="B949">
        <v>0</v>
      </c>
      <c r="C949">
        <v>0</v>
      </c>
      <c r="D949">
        <v>0</v>
      </c>
      <c r="E949">
        <v>0</v>
      </c>
      <c r="F949" t="s">
        <v>2290</v>
      </c>
      <c r="G949" t="s">
        <v>2393</v>
      </c>
      <c r="H949" t="s">
        <v>2394</v>
      </c>
      <c r="I949" t="s">
        <v>1636</v>
      </c>
      <c r="J949" t="s">
        <v>2159</v>
      </c>
      <c r="K949" s="662" t="str">
        <f t="shared" ref="K949:K1012" si="79">_xlfn.IFS(
ISNUMBER(SEARCH("Day",E949)),"Consulting",
ISNUMBER(SEARCH("Starter Pack",B949)),"Consulting",
ISNUMBER(SEARCH("Design",B949)),"Consulting",
ISNUMBER(SEARCH("Deploy",B949)),"Consulting",
ISNUMBER(SEARCH("Expert",B949)),"Consulting",
ISNUMBER(SEARCH("Installation",B949)),"Consulting",
ISNUMBER(SEARCH("Recommendation",B949)),"Consulting",
ISNUMBER(SEARCH("Transition",B949)),"Consulting",
ISNUMBER(SEARCH("Transition",B949)),"Support",
ISNUMBER(SEARCH("Transition",B949)),"Foundation Service",
ISNUMBER(SEARCH("Consulting",B949)),"Consulting",
ISNUMBER(SEARCH("in Advance",B949)),"New",
ISNUMBER(SEARCH("Universal Credits",B949)),"UC",
ISNUMBER(SEARCH("Ravello",B949)),"Deprecated",
ISNUMBER(SEARCH("Cloud Machine",B949)),"Deprecated",
ISNUMBER(SEARCH("Compute",B949)),"Compute",
ISNUMBER(SEARCH("Load Balancer",B949)),"Network",
ISNUMBER(SEARCH("FastConnect",B949)),"Network",
ISNUMBER(SEARCH("Database OCPU",B949)),"CC OCPU",
ISNUMBER(SEARCH("at Customer",B949)),"CC",
ISNUMBER(SEARCH("Cloud@Customer",B949)),"CC",
ISNUMBER(SEARCH("Exadata Storage",B949)),"Exa Storage",
ISNUMBER(SEARCH("Storage",B949)),"Storage",
ISNUMBER(SEARCH("Block ",B949)),"Storage",
ISNUMBER(SEARCH("Autonomous Data Warehouse",B949)),"ADW",
ISNUMBER(SEARCH("Autonomous Transaction Processing",B949)),"ATP",
ISNUMBER(SEARCH("Database Exadata",B949)),"ExaCS",
ISNUMBER(SEARCH("Database",B949)),"DBaaS",
ISNUMBER(SEARCH("Essbase",B949)),"DBaaS",
ISNUMBER(SEARCH("integration",B949)),"Integration",
ISNUMBER(SEARCH("SOA",B949)),"Integration",
ISNUMBER(SEARCH("Management Cloud",B949)),"Management",
ISNUMBER(SEARCH("Analytics",B949)),"Analytics",
ISNUMBER(SEARCH("Storage",B949)),"Storage",
ISNUMBER(SEARCH("Block ",B949)),"Storage",
ISNUMBER(SEARCH("Identity",B949)),"Platform",
ISNUMBER(SEARCH("Content",B949)),"Platform",
ISNUMBER(SEARCH("Weblogic",B949)),"Platform",
ISNUMBER(SEARCH("Digital Assistant",B949)),"Platform",
ISNUMBER(SEARCH("Limited",B949)),"Classic",
ISNUMBER(SEARCH("Classic",B949)),"Classic",
ISNUMBER(SEARCH("Government",B949)),"Government",
ISNUMBER(SEARCH("Metered",B949)),"Deprecated",
VALUE(RIGHT(A949,5))&lt;88206,"Deprecated",
TRUE,"Platform")</f>
        <v>Deprecated</v>
      </c>
      <c r="L949" s="660" t="str">
        <f t="shared" si="75"/>
        <v>UNIT</v>
      </c>
      <c r="M949" s="660" t="str">
        <f t="shared" si="76"/>
        <v>UC</v>
      </c>
      <c r="N949" s="660" t="str">
        <f t="shared" si="77"/>
        <v>PAAS</v>
      </c>
      <c r="O949" s="659" t="str">
        <f t="shared" si="78"/>
        <v/>
      </c>
    </row>
    <row r="950" spans="1:15">
      <c r="A950">
        <v>0</v>
      </c>
      <c r="B950">
        <v>0</v>
      </c>
      <c r="C950">
        <v>0</v>
      </c>
      <c r="D950">
        <v>0</v>
      </c>
      <c r="E950">
        <v>0</v>
      </c>
      <c r="F950" t="s">
        <v>2290</v>
      </c>
      <c r="G950" t="s">
        <v>2393</v>
      </c>
      <c r="H950" t="s">
        <v>2394</v>
      </c>
      <c r="I950" t="s">
        <v>1636</v>
      </c>
      <c r="J950" t="s">
        <v>2159</v>
      </c>
      <c r="K950" s="662" t="str">
        <f t="shared" si="79"/>
        <v>Deprecated</v>
      </c>
      <c r="L950" s="660" t="str">
        <f t="shared" si="75"/>
        <v>UNIT</v>
      </c>
      <c r="M950" s="660" t="str">
        <f t="shared" si="76"/>
        <v>UC</v>
      </c>
      <c r="N950" s="660" t="str">
        <f t="shared" si="77"/>
        <v>PAAS</v>
      </c>
      <c r="O950" s="659" t="str">
        <f t="shared" si="78"/>
        <v/>
      </c>
    </row>
    <row r="951" spans="1:15">
      <c r="A951">
        <v>0</v>
      </c>
      <c r="B951">
        <v>0</v>
      </c>
      <c r="C951">
        <v>0</v>
      </c>
      <c r="D951">
        <v>0</v>
      </c>
      <c r="E951">
        <v>0</v>
      </c>
      <c r="F951" t="s">
        <v>2290</v>
      </c>
      <c r="G951" t="s">
        <v>2393</v>
      </c>
      <c r="H951" t="s">
        <v>2394</v>
      </c>
      <c r="I951" t="s">
        <v>1636</v>
      </c>
      <c r="J951" t="s">
        <v>2159</v>
      </c>
      <c r="K951" s="662" t="str">
        <f t="shared" si="79"/>
        <v>Deprecated</v>
      </c>
      <c r="L951" s="660" t="str">
        <f t="shared" si="75"/>
        <v>UNIT</v>
      </c>
      <c r="M951" s="660" t="str">
        <f t="shared" si="76"/>
        <v>UC</v>
      </c>
      <c r="N951" s="660" t="str">
        <f t="shared" si="77"/>
        <v>PAAS</v>
      </c>
      <c r="O951" s="659" t="str">
        <f t="shared" si="78"/>
        <v/>
      </c>
    </row>
    <row r="952" spans="1:15">
      <c r="A952">
        <v>0</v>
      </c>
      <c r="B952">
        <v>0</v>
      </c>
      <c r="C952">
        <v>0</v>
      </c>
      <c r="D952">
        <v>0</v>
      </c>
      <c r="E952">
        <v>0</v>
      </c>
      <c r="F952" t="s">
        <v>2290</v>
      </c>
      <c r="G952" t="s">
        <v>2393</v>
      </c>
      <c r="H952" t="s">
        <v>2394</v>
      </c>
      <c r="I952" t="s">
        <v>1636</v>
      </c>
      <c r="J952" t="s">
        <v>2159</v>
      </c>
      <c r="K952" s="662" t="str">
        <f t="shared" si="79"/>
        <v>Deprecated</v>
      </c>
      <c r="L952" s="660" t="str">
        <f t="shared" si="75"/>
        <v>UNIT</v>
      </c>
      <c r="M952" s="660" t="str">
        <f t="shared" si="76"/>
        <v>UC</v>
      </c>
      <c r="N952" s="660" t="str">
        <f t="shared" si="77"/>
        <v>PAAS</v>
      </c>
      <c r="O952" s="659" t="str">
        <f t="shared" si="78"/>
        <v/>
      </c>
    </row>
    <row r="953" spans="1:15">
      <c r="A953">
        <v>0</v>
      </c>
      <c r="B953">
        <v>0</v>
      </c>
      <c r="C953">
        <v>0</v>
      </c>
      <c r="D953">
        <v>0</v>
      </c>
      <c r="E953">
        <v>0</v>
      </c>
      <c r="F953" t="s">
        <v>2290</v>
      </c>
      <c r="G953" t="s">
        <v>2393</v>
      </c>
      <c r="H953" t="s">
        <v>2394</v>
      </c>
      <c r="I953" t="s">
        <v>1636</v>
      </c>
      <c r="J953" t="s">
        <v>2159</v>
      </c>
      <c r="K953" s="662" t="str">
        <f t="shared" si="79"/>
        <v>Deprecated</v>
      </c>
      <c r="L953" s="660" t="str">
        <f t="shared" si="75"/>
        <v>UNIT</v>
      </c>
      <c r="M953" s="660" t="str">
        <f t="shared" si="76"/>
        <v>UC</v>
      </c>
      <c r="N953" s="660" t="str">
        <f t="shared" si="77"/>
        <v>PAAS</v>
      </c>
      <c r="O953" s="659" t="str">
        <f t="shared" si="78"/>
        <v/>
      </c>
    </row>
    <row r="954" spans="1:15">
      <c r="A954">
        <v>0</v>
      </c>
      <c r="B954">
        <v>0</v>
      </c>
      <c r="C954">
        <v>0</v>
      </c>
      <c r="D954">
        <v>0</v>
      </c>
      <c r="E954">
        <v>0</v>
      </c>
      <c r="F954" t="s">
        <v>2290</v>
      </c>
      <c r="G954" t="s">
        <v>2393</v>
      </c>
      <c r="H954" t="s">
        <v>2394</v>
      </c>
      <c r="I954" t="s">
        <v>1636</v>
      </c>
      <c r="J954" t="s">
        <v>2159</v>
      </c>
      <c r="K954" s="662" t="str">
        <f t="shared" si="79"/>
        <v>Deprecated</v>
      </c>
      <c r="L954" s="660" t="str">
        <f t="shared" si="75"/>
        <v>UNIT</v>
      </c>
      <c r="M954" s="660" t="str">
        <f t="shared" si="76"/>
        <v>UC</v>
      </c>
      <c r="N954" s="660" t="str">
        <f t="shared" si="77"/>
        <v>PAAS</v>
      </c>
      <c r="O954" s="659" t="str">
        <f t="shared" si="78"/>
        <v/>
      </c>
    </row>
    <row r="955" spans="1:15">
      <c r="A955">
        <v>0</v>
      </c>
      <c r="B955">
        <v>0</v>
      </c>
      <c r="C955">
        <v>0</v>
      </c>
      <c r="D955">
        <v>0</v>
      </c>
      <c r="E955">
        <v>0</v>
      </c>
      <c r="F955" t="s">
        <v>2290</v>
      </c>
      <c r="G955" t="s">
        <v>2393</v>
      </c>
      <c r="H955" t="s">
        <v>2394</v>
      </c>
      <c r="I955" t="s">
        <v>1636</v>
      </c>
      <c r="J955" t="s">
        <v>2159</v>
      </c>
      <c r="K955" s="662" t="str">
        <f t="shared" si="79"/>
        <v>Deprecated</v>
      </c>
      <c r="L955" s="660" t="str">
        <f t="shared" si="75"/>
        <v>UNIT</v>
      </c>
      <c r="M955" s="660" t="str">
        <f t="shared" si="76"/>
        <v>UC</v>
      </c>
      <c r="N955" s="660" t="str">
        <f t="shared" si="77"/>
        <v>PAAS</v>
      </c>
      <c r="O955" s="659" t="str">
        <f t="shared" si="78"/>
        <v/>
      </c>
    </row>
    <row r="956" spans="1:15">
      <c r="A956">
        <v>0</v>
      </c>
      <c r="B956">
        <v>0</v>
      </c>
      <c r="C956">
        <v>0</v>
      </c>
      <c r="D956">
        <v>0</v>
      </c>
      <c r="E956">
        <v>0</v>
      </c>
      <c r="F956" t="s">
        <v>2290</v>
      </c>
      <c r="G956" t="s">
        <v>2393</v>
      </c>
      <c r="H956" t="s">
        <v>2394</v>
      </c>
      <c r="I956" t="s">
        <v>1636</v>
      </c>
      <c r="J956" t="s">
        <v>2159</v>
      </c>
      <c r="K956" s="662" t="str">
        <f t="shared" si="79"/>
        <v>Deprecated</v>
      </c>
      <c r="L956" s="660" t="str">
        <f t="shared" si="75"/>
        <v>UNIT</v>
      </c>
      <c r="M956" s="660" t="str">
        <f t="shared" si="76"/>
        <v>UC</v>
      </c>
      <c r="N956" s="660" t="str">
        <f t="shared" si="77"/>
        <v>PAAS</v>
      </c>
      <c r="O956" s="659" t="str">
        <f t="shared" si="78"/>
        <v/>
      </c>
    </row>
    <row r="957" spans="1:15">
      <c r="A957">
        <v>0</v>
      </c>
      <c r="B957">
        <v>0</v>
      </c>
      <c r="C957">
        <v>0</v>
      </c>
      <c r="D957">
        <v>0</v>
      </c>
      <c r="E957">
        <v>0</v>
      </c>
      <c r="F957" t="s">
        <v>2290</v>
      </c>
      <c r="G957" t="s">
        <v>2393</v>
      </c>
      <c r="H957" t="s">
        <v>2394</v>
      </c>
      <c r="I957" t="s">
        <v>1636</v>
      </c>
      <c r="J957" t="s">
        <v>2159</v>
      </c>
      <c r="K957" s="662" t="str">
        <f t="shared" si="79"/>
        <v>Deprecated</v>
      </c>
      <c r="L957" s="660" t="str">
        <f t="shared" si="75"/>
        <v>UNIT</v>
      </c>
      <c r="M957" s="660" t="str">
        <f t="shared" si="76"/>
        <v>UC</v>
      </c>
      <c r="N957" s="660" t="str">
        <f t="shared" si="77"/>
        <v>PAAS</v>
      </c>
      <c r="O957" s="659" t="str">
        <f t="shared" si="78"/>
        <v/>
      </c>
    </row>
    <row r="958" spans="1:15">
      <c r="A958">
        <v>0</v>
      </c>
      <c r="B958">
        <v>0</v>
      </c>
      <c r="C958">
        <v>0</v>
      </c>
      <c r="D958">
        <v>0</v>
      </c>
      <c r="E958">
        <v>0</v>
      </c>
      <c r="F958" t="s">
        <v>2290</v>
      </c>
      <c r="G958" t="s">
        <v>2393</v>
      </c>
      <c r="H958" t="s">
        <v>2394</v>
      </c>
      <c r="I958" t="s">
        <v>1636</v>
      </c>
      <c r="J958" t="s">
        <v>2159</v>
      </c>
      <c r="K958" s="662" t="str">
        <f t="shared" si="79"/>
        <v>Deprecated</v>
      </c>
      <c r="L958" s="660" t="str">
        <f t="shared" si="75"/>
        <v>UNIT</v>
      </c>
      <c r="M958" s="660" t="str">
        <f t="shared" si="76"/>
        <v>UC</v>
      </c>
      <c r="N958" s="660" t="str">
        <f t="shared" si="77"/>
        <v>PAAS</v>
      </c>
      <c r="O958" s="659" t="str">
        <f t="shared" si="78"/>
        <v/>
      </c>
    </row>
    <row r="959" spans="1:15">
      <c r="A959">
        <v>0</v>
      </c>
      <c r="B959">
        <v>0</v>
      </c>
      <c r="C959">
        <v>0</v>
      </c>
      <c r="D959">
        <v>0</v>
      </c>
      <c r="E959">
        <v>0</v>
      </c>
      <c r="F959" t="s">
        <v>2290</v>
      </c>
      <c r="G959" t="s">
        <v>2393</v>
      </c>
      <c r="H959" t="s">
        <v>2394</v>
      </c>
      <c r="I959" t="s">
        <v>1636</v>
      </c>
      <c r="J959" t="s">
        <v>2159</v>
      </c>
      <c r="K959" s="662" t="str">
        <f t="shared" si="79"/>
        <v>Deprecated</v>
      </c>
      <c r="L959" s="660" t="str">
        <f t="shared" si="75"/>
        <v>UNIT</v>
      </c>
      <c r="M959" s="660" t="str">
        <f t="shared" si="76"/>
        <v>UC</v>
      </c>
      <c r="N959" s="660" t="str">
        <f t="shared" si="77"/>
        <v>PAAS</v>
      </c>
      <c r="O959" s="659" t="str">
        <f t="shared" si="78"/>
        <v/>
      </c>
    </row>
    <row r="960" spans="1:15">
      <c r="A960">
        <v>0</v>
      </c>
      <c r="B960">
        <v>0</v>
      </c>
      <c r="C960">
        <v>0</v>
      </c>
      <c r="D960">
        <v>0</v>
      </c>
      <c r="E960">
        <v>0</v>
      </c>
      <c r="F960" t="s">
        <v>2290</v>
      </c>
      <c r="G960" t="s">
        <v>2393</v>
      </c>
      <c r="H960" t="s">
        <v>2394</v>
      </c>
      <c r="I960" t="s">
        <v>1636</v>
      </c>
      <c r="J960" t="s">
        <v>2159</v>
      </c>
      <c r="K960" s="662" t="str">
        <f t="shared" si="79"/>
        <v>Deprecated</v>
      </c>
      <c r="L960" s="660" t="str">
        <f t="shared" si="75"/>
        <v>UNIT</v>
      </c>
      <c r="M960" s="660" t="str">
        <f t="shared" si="76"/>
        <v>UC</v>
      </c>
      <c r="N960" s="660" t="str">
        <f t="shared" si="77"/>
        <v>PAAS</v>
      </c>
      <c r="O960" s="659" t="str">
        <f t="shared" si="78"/>
        <v/>
      </c>
    </row>
    <row r="961" spans="1:15">
      <c r="A961">
        <v>0</v>
      </c>
      <c r="B961">
        <v>0</v>
      </c>
      <c r="C961">
        <v>0</v>
      </c>
      <c r="D961">
        <v>0</v>
      </c>
      <c r="E961">
        <v>0</v>
      </c>
      <c r="F961" t="s">
        <v>2290</v>
      </c>
      <c r="G961" t="s">
        <v>2393</v>
      </c>
      <c r="H961" t="s">
        <v>2394</v>
      </c>
      <c r="I961" t="s">
        <v>1636</v>
      </c>
      <c r="J961" t="s">
        <v>2159</v>
      </c>
      <c r="K961" s="662" t="str">
        <f t="shared" si="79"/>
        <v>Deprecated</v>
      </c>
      <c r="L961" s="660" t="str">
        <f t="shared" si="75"/>
        <v>UNIT</v>
      </c>
      <c r="M961" s="660" t="str">
        <f t="shared" si="76"/>
        <v>UC</v>
      </c>
      <c r="N961" s="660" t="str">
        <f t="shared" si="77"/>
        <v>PAAS</v>
      </c>
      <c r="O961" s="659" t="str">
        <f t="shared" si="78"/>
        <v/>
      </c>
    </row>
    <row r="962" spans="1:15">
      <c r="A962">
        <v>0</v>
      </c>
      <c r="B962">
        <v>0</v>
      </c>
      <c r="C962">
        <v>0</v>
      </c>
      <c r="D962">
        <v>0</v>
      </c>
      <c r="E962">
        <v>0</v>
      </c>
      <c r="F962" t="s">
        <v>2290</v>
      </c>
      <c r="G962" t="s">
        <v>2393</v>
      </c>
      <c r="H962" t="s">
        <v>2394</v>
      </c>
      <c r="I962" t="s">
        <v>1636</v>
      </c>
      <c r="J962" t="s">
        <v>2159</v>
      </c>
      <c r="K962" s="662" t="str">
        <f t="shared" si="79"/>
        <v>Deprecated</v>
      </c>
      <c r="L962" s="660" t="str">
        <f t="shared" si="75"/>
        <v>UNIT</v>
      </c>
      <c r="M962" s="660" t="str">
        <f t="shared" si="76"/>
        <v>UC</v>
      </c>
      <c r="N962" s="660" t="str">
        <f t="shared" si="77"/>
        <v>PAAS</v>
      </c>
      <c r="O962" s="659" t="str">
        <f t="shared" si="78"/>
        <v/>
      </c>
    </row>
    <row r="963" spans="1:15">
      <c r="A963">
        <v>0</v>
      </c>
      <c r="B963">
        <v>0</v>
      </c>
      <c r="C963">
        <v>0</v>
      </c>
      <c r="D963">
        <v>0</v>
      </c>
      <c r="E963">
        <v>0</v>
      </c>
      <c r="F963" t="s">
        <v>2290</v>
      </c>
      <c r="G963" t="s">
        <v>2393</v>
      </c>
      <c r="H963" t="s">
        <v>2394</v>
      </c>
      <c r="I963" t="s">
        <v>1636</v>
      </c>
      <c r="J963" t="s">
        <v>2159</v>
      </c>
      <c r="K963" s="662" t="str">
        <f t="shared" si="79"/>
        <v>Deprecated</v>
      </c>
      <c r="L963" s="660" t="str">
        <f t="shared" si="75"/>
        <v>UNIT</v>
      </c>
      <c r="M963" s="660" t="str">
        <f t="shared" si="76"/>
        <v>UC</v>
      </c>
      <c r="N963" s="660" t="str">
        <f t="shared" si="77"/>
        <v>PAAS</v>
      </c>
      <c r="O963" s="659" t="str">
        <f t="shared" si="78"/>
        <v/>
      </c>
    </row>
    <row r="964" spans="1:15">
      <c r="A964">
        <v>0</v>
      </c>
      <c r="B964">
        <v>0</v>
      </c>
      <c r="C964">
        <v>0</v>
      </c>
      <c r="D964">
        <v>0</v>
      </c>
      <c r="E964">
        <v>0</v>
      </c>
      <c r="F964" t="s">
        <v>2290</v>
      </c>
      <c r="G964" t="s">
        <v>2393</v>
      </c>
      <c r="H964" t="s">
        <v>2394</v>
      </c>
      <c r="I964" t="s">
        <v>1636</v>
      </c>
      <c r="J964" t="s">
        <v>2159</v>
      </c>
      <c r="K964" s="662" t="str">
        <f t="shared" si="79"/>
        <v>Deprecated</v>
      </c>
      <c r="L964" s="660" t="str">
        <f t="shared" si="75"/>
        <v>UNIT</v>
      </c>
      <c r="M964" s="660" t="str">
        <f t="shared" si="76"/>
        <v>UC</v>
      </c>
      <c r="N964" s="660" t="str">
        <f t="shared" si="77"/>
        <v>PAAS</v>
      </c>
      <c r="O964" s="659" t="str">
        <f t="shared" si="78"/>
        <v/>
      </c>
    </row>
    <row r="965" spans="1:15">
      <c r="A965">
        <v>0</v>
      </c>
      <c r="B965">
        <v>0</v>
      </c>
      <c r="C965">
        <v>0</v>
      </c>
      <c r="D965">
        <v>0</v>
      </c>
      <c r="E965">
        <v>0</v>
      </c>
      <c r="F965" t="s">
        <v>2290</v>
      </c>
      <c r="G965" t="s">
        <v>2393</v>
      </c>
      <c r="H965" t="s">
        <v>2394</v>
      </c>
      <c r="I965" t="s">
        <v>1636</v>
      </c>
      <c r="J965" t="s">
        <v>2159</v>
      </c>
      <c r="K965" s="662" t="str">
        <f t="shared" si="79"/>
        <v>Deprecated</v>
      </c>
      <c r="L965" s="660" t="str">
        <f t="shared" si="75"/>
        <v>UNIT</v>
      </c>
      <c r="M965" s="660" t="str">
        <f t="shared" si="76"/>
        <v>UC</v>
      </c>
      <c r="N965" s="660" t="str">
        <f t="shared" si="77"/>
        <v>PAAS</v>
      </c>
      <c r="O965" s="659" t="str">
        <f t="shared" si="78"/>
        <v/>
      </c>
    </row>
    <row r="966" spans="1:15">
      <c r="A966">
        <v>0</v>
      </c>
      <c r="B966">
        <v>0</v>
      </c>
      <c r="C966">
        <v>0</v>
      </c>
      <c r="D966">
        <v>0</v>
      </c>
      <c r="E966">
        <v>0</v>
      </c>
      <c r="F966" t="s">
        <v>2290</v>
      </c>
      <c r="G966" t="s">
        <v>2393</v>
      </c>
      <c r="H966" t="s">
        <v>2394</v>
      </c>
      <c r="I966" t="s">
        <v>1636</v>
      </c>
      <c r="J966" t="s">
        <v>2159</v>
      </c>
      <c r="K966" s="662" t="str">
        <f t="shared" si="79"/>
        <v>Deprecated</v>
      </c>
      <c r="L966" s="660" t="str">
        <f t="shared" si="75"/>
        <v>UNIT</v>
      </c>
      <c r="M966" s="660" t="str">
        <f t="shared" si="76"/>
        <v>UC</v>
      </c>
      <c r="N966" s="660" t="str">
        <f t="shared" si="77"/>
        <v>PAAS</v>
      </c>
      <c r="O966" s="659" t="str">
        <f t="shared" si="78"/>
        <v/>
      </c>
    </row>
    <row r="967" spans="1:15">
      <c r="A967">
        <v>0</v>
      </c>
      <c r="B967">
        <v>0</v>
      </c>
      <c r="C967">
        <v>0</v>
      </c>
      <c r="D967">
        <v>0</v>
      </c>
      <c r="E967">
        <v>0</v>
      </c>
      <c r="F967" t="s">
        <v>2290</v>
      </c>
      <c r="G967" t="s">
        <v>2393</v>
      </c>
      <c r="H967" t="s">
        <v>2394</v>
      </c>
      <c r="I967" t="s">
        <v>1636</v>
      </c>
      <c r="J967" t="s">
        <v>2159</v>
      </c>
      <c r="K967" s="662" t="str">
        <f t="shared" si="79"/>
        <v>Deprecated</v>
      </c>
      <c r="L967" s="660" t="str">
        <f t="shared" si="75"/>
        <v>UNIT</v>
      </c>
      <c r="M967" s="660" t="str">
        <f t="shared" si="76"/>
        <v>UC</v>
      </c>
      <c r="N967" s="660" t="str">
        <f t="shared" si="77"/>
        <v>PAAS</v>
      </c>
      <c r="O967" s="659" t="str">
        <f t="shared" si="78"/>
        <v/>
      </c>
    </row>
    <row r="968" spans="1:15">
      <c r="A968">
        <v>0</v>
      </c>
      <c r="B968">
        <v>0</v>
      </c>
      <c r="C968">
        <v>0</v>
      </c>
      <c r="D968">
        <v>0</v>
      </c>
      <c r="E968">
        <v>0</v>
      </c>
      <c r="F968" t="s">
        <v>2290</v>
      </c>
      <c r="G968" t="s">
        <v>2393</v>
      </c>
      <c r="H968" t="s">
        <v>2394</v>
      </c>
      <c r="I968" t="s">
        <v>1636</v>
      </c>
      <c r="J968" t="s">
        <v>2159</v>
      </c>
      <c r="K968" s="662" t="str">
        <f t="shared" si="79"/>
        <v>Deprecated</v>
      </c>
      <c r="L968" s="660" t="str">
        <f t="shared" si="75"/>
        <v>UNIT</v>
      </c>
      <c r="M968" s="660" t="str">
        <f t="shared" si="76"/>
        <v>UC</v>
      </c>
      <c r="N968" s="660" t="str">
        <f t="shared" si="77"/>
        <v>PAAS</v>
      </c>
      <c r="O968" s="659" t="str">
        <f t="shared" si="78"/>
        <v/>
      </c>
    </row>
    <row r="969" spans="1:15">
      <c r="A969">
        <v>0</v>
      </c>
      <c r="B969">
        <v>0</v>
      </c>
      <c r="C969">
        <v>0</v>
      </c>
      <c r="D969">
        <v>0</v>
      </c>
      <c r="E969">
        <v>0</v>
      </c>
      <c r="F969" t="s">
        <v>2290</v>
      </c>
      <c r="G969" t="s">
        <v>2393</v>
      </c>
      <c r="H969" t="s">
        <v>2394</v>
      </c>
      <c r="I969" t="s">
        <v>1636</v>
      </c>
      <c r="J969" t="s">
        <v>2159</v>
      </c>
      <c r="K969" s="662" t="str">
        <f t="shared" si="79"/>
        <v>Deprecated</v>
      </c>
      <c r="L969" s="660" t="str">
        <f t="shared" si="75"/>
        <v>UNIT</v>
      </c>
      <c r="M969" s="660" t="str">
        <f t="shared" si="76"/>
        <v>UC</v>
      </c>
      <c r="N969" s="660" t="str">
        <f t="shared" si="77"/>
        <v>PAAS</v>
      </c>
      <c r="O969" s="659" t="str">
        <f t="shared" si="78"/>
        <v/>
      </c>
    </row>
    <row r="970" spans="1:15">
      <c r="A970">
        <v>0</v>
      </c>
      <c r="B970">
        <v>0</v>
      </c>
      <c r="C970">
        <v>0</v>
      </c>
      <c r="D970">
        <v>0</v>
      </c>
      <c r="E970">
        <v>0</v>
      </c>
      <c r="F970" t="s">
        <v>2290</v>
      </c>
      <c r="G970" t="s">
        <v>2393</v>
      </c>
      <c r="H970" t="s">
        <v>2394</v>
      </c>
      <c r="I970" t="s">
        <v>1636</v>
      </c>
      <c r="J970" t="s">
        <v>2159</v>
      </c>
      <c r="K970" s="662" t="str">
        <f t="shared" si="79"/>
        <v>Deprecated</v>
      </c>
      <c r="L970" s="660" t="str">
        <f t="shared" si="75"/>
        <v>UNIT</v>
      </c>
      <c r="M970" s="660" t="str">
        <f t="shared" si="76"/>
        <v>UC</v>
      </c>
      <c r="N970" s="660" t="str">
        <f t="shared" si="77"/>
        <v>PAAS</v>
      </c>
      <c r="O970" s="659" t="str">
        <f t="shared" si="78"/>
        <v/>
      </c>
    </row>
    <row r="971" spans="1:15">
      <c r="A971">
        <v>0</v>
      </c>
      <c r="B971">
        <v>0</v>
      </c>
      <c r="C971">
        <v>0</v>
      </c>
      <c r="D971">
        <v>0</v>
      </c>
      <c r="E971">
        <v>0</v>
      </c>
      <c r="F971" t="s">
        <v>2290</v>
      </c>
      <c r="G971" t="s">
        <v>2393</v>
      </c>
      <c r="H971" t="s">
        <v>2394</v>
      </c>
      <c r="I971" t="s">
        <v>1636</v>
      </c>
      <c r="J971" t="s">
        <v>2159</v>
      </c>
      <c r="K971" s="662" t="str">
        <f t="shared" si="79"/>
        <v>Deprecated</v>
      </c>
      <c r="L971" s="660" t="str">
        <f t="shared" ref="L971:L1034" si="80">_xlfn.IFS(ISNUMBER(SEARCH("Hour",E971)),"HR",ISNUMBER(SEARCH("Gigabyte",E971)),"GB",ISNUMBER(SEARCH("Terabyte",E971)),"TB",ISNUMBER(SEARCH("Requests",E971)),"REQ",ISNUMBER(SEARCH("Each",E971)),"EA",ISNUMBER(SEARCH("Day",E971)),"DAY","TRUE","UNIT")</f>
        <v>UNIT</v>
      </c>
      <c r="M971" s="660" t="str">
        <f t="shared" ref="M971:M1034" si="81">_xlfn.IFS(K971="CC","CC",K971="Consulting","SRV",F971="Y","UC0",TRUE,"UC")</f>
        <v>UC</v>
      </c>
      <c r="N971" s="660" t="str">
        <f t="shared" ref="N971:N1034" si="82">_xlfn.IFS(ISNUMBER(SEARCH("BYOL",B971)),"BYOL",K971="Storage","IAAS",K971="Compute","IAAS",K971="Network","IAAS",K971="Service","IAAS",M971="SRV","SRV",M971="CC","CC",L971="REQ","IAAS",TRUE,"PAAS")</f>
        <v>PAAS</v>
      </c>
      <c r="O971" s="659" t="str">
        <f t="shared" ref="O971:O1034" si="83">IF(G971=K971,"","error")</f>
        <v/>
      </c>
    </row>
    <row r="972" spans="1:15">
      <c r="A972">
        <v>0</v>
      </c>
      <c r="B972">
        <v>0</v>
      </c>
      <c r="C972">
        <v>0</v>
      </c>
      <c r="D972">
        <v>0</v>
      </c>
      <c r="E972">
        <v>0</v>
      </c>
      <c r="F972" t="s">
        <v>2290</v>
      </c>
      <c r="G972" t="s">
        <v>2393</v>
      </c>
      <c r="H972" t="s">
        <v>2394</v>
      </c>
      <c r="I972" t="s">
        <v>1636</v>
      </c>
      <c r="J972" t="s">
        <v>2159</v>
      </c>
      <c r="K972" s="662" t="str">
        <f t="shared" si="79"/>
        <v>Deprecated</v>
      </c>
      <c r="L972" s="660" t="str">
        <f t="shared" si="80"/>
        <v>UNIT</v>
      </c>
      <c r="M972" s="660" t="str">
        <f t="shared" si="81"/>
        <v>UC</v>
      </c>
      <c r="N972" s="660" t="str">
        <f t="shared" si="82"/>
        <v>PAAS</v>
      </c>
      <c r="O972" s="659" t="str">
        <f t="shared" si="83"/>
        <v/>
      </c>
    </row>
    <row r="973" spans="1:15">
      <c r="A973">
        <v>0</v>
      </c>
      <c r="B973">
        <v>0</v>
      </c>
      <c r="C973">
        <v>0</v>
      </c>
      <c r="D973">
        <v>0</v>
      </c>
      <c r="E973">
        <v>0</v>
      </c>
      <c r="F973" t="s">
        <v>2290</v>
      </c>
      <c r="G973" t="s">
        <v>2393</v>
      </c>
      <c r="H973" t="s">
        <v>2394</v>
      </c>
      <c r="I973" t="s">
        <v>1636</v>
      </c>
      <c r="J973" t="s">
        <v>2159</v>
      </c>
      <c r="K973" s="662" t="str">
        <f t="shared" si="79"/>
        <v>Deprecated</v>
      </c>
      <c r="L973" s="660" t="str">
        <f t="shared" si="80"/>
        <v>UNIT</v>
      </c>
      <c r="M973" s="660" t="str">
        <f t="shared" si="81"/>
        <v>UC</v>
      </c>
      <c r="N973" s="660" t="str">
        <f t="shared" si="82"/>
        <v>PAAS</v>
      </c>
      <c r="O973" s="659" t="str">
        <f t="shared" si="83"/>
        <v/>
      </c>
    </row>
    <row r="974" spans="1:15">
      <c r="A974">
        <v>0</v>
      </c>
      <c r="B974">
        <v>0</v>
      </c>
      <c r="C974">
        <v>0</v>
      </c>
      <c r="D974">
        <v>0</v>
      </c>
      <c r="E974">
        <v>0</v>
      </c>
      <c r="F974" t="s">
        <v>2290</v>
      </c>
      <c r="G974" t="s">
        <v>2393</v>
      </c>
      <c r="H974" t="s">
        <v>2394</v>
      </c>
      <c r="I974" t="s">
        <v>1636</v>
      </c>
      <c r="J974" t="s">
        <v>2159</v>
      </c>
      <c r="K974" s="662" t="str">
        <f t="shared" si="79"/>
        <v>Deprecated</v>
      </c>
      <c r="L974" s="660" t="str">
        <f t="shared" si="80"/>
        <v>UNIT</v>
      </c>
      <c r="M974" s="660" t="str">
        <f t="shared" si="81"/>
        <v>UC</v>
      </c>
      <c r="N974" s="660" t="str">
        <f t="shared" si="82"/>
        <v>PAAS</v>
      </c>
      <c r="O974" s="659" t="str">
        <f t="shared" si="83"/>
        <v/>
      </c>
    </row>
    <row r="975" spans="1:15">
      <c r="A975">
        <v>0</v>
      </c>
      <c r="B975">
        <v>0</v>
      </c>
      <c r="C975">
        <v>0</v>
      </c>
      <c r="D975">
        <v>0</v>
      </c>
      <c r="E975">
        <v>0</v>
      </c>
      <c r="F975" t="s">
        <v>2290</v>
      </c>
      <c r="G975" t="s">
        <v>2393</v>
      </c>
      <c r="H975" t="s">
        <v>2394</v>
      </c>
      <c r="I975" t="s">
        <v>1636</v>
      </c>
      <c r="J975" t="s">
        <v>2159</v>
      </c>
      <c r="K975" s="662" t="str">
        <f t="shared" si="79"/>
        <v>Deprecated</v>
      </c>
      <c r="L975" s="660" t="str">
        <f t="shared" si="80"/>
        <v>UNIT</v>
      </c>
      <c r="M975" s="660" t="str">
        <f t="shared" si="81"/>
        <v>UC</v>
      </c>
      <c r="N975" s="660" t="str">
        <f t="shared" si="82"/>
        <v>PAAS</v>
      </c>
      <c r="O975" s="659" t="str">
        <f t="shared" si="83"/>
        <v/>
      </c>
    </row>
    <row r="976" spans="1:15">
      <c r="A976">
        <v>0</v>
      </c>
      <c r="B976">
        <v>0</v>
      </c>
      <c r="C976">
        <v>0</v>
      </c>
      <c r="D976">
        <v>0</v>
      </c>
      <c r="E976">
        <v>0</v>
      </c>
      <c r="F976" t="s">
        <v>2290</v>
      </c>
      <c r="G976" t="s">
        <v>2393</v>
      </c>
      <c r="H976" t="s">
        <v>2394</v>
      </c>
      <c r="I976" t="s">
        <v>1636</v>
      </c>
      <c r="J976" t="s">
        <v>2159</v>
      </c>
      <c r="K976" s="662" t="str">
        <f t="shared" si="79"/>
        <v>Deprecated</v>
      </c>
      <c r="L976" s="660" t="str">
        <f t="shared" si="80"/>
        <v>UNIT</v>
      </c>
      <c r="M976" s="660" t="str">
        <f t="shared" si="81"/>
        <v>UC</v>
      </c>
      <c r="N976" s="660" t="str">
        <f t="shared" si="82"/>
        <v>PAAS</v>
      </c>
      <c r="O976" s="659" t="str">
        <f t="shared" si="83"/>
        <v/>
      </c>
    </row>
    <row r="977" spans="1:15">
      <c r="A977">
        <v>0</v>
      </c>
      <c r="B977">
        <v>0</v>
      </c>
      <c r="C977">
        <v>0</v>
      </c>
      <c r="D977">
        <v>0</v>
      </c>
      <c r="E977">
        <v>0</v>
      </c>
      <c r="F977" t="s">
        <v>2290</v>
      </c>
      <c r="G977" t="s">
        <v>2393</v>
      </c>
      <c r="H977" t="s">
        <v>2394</v>
      </c>
      <c r="I977" t="s">
        <v>1636</v>
      </c>
      <c r="J977" t="s">
        <v>2159</v>
      </c>
      <c r="K977" s="662" t="str">
        <f t="shared" si="79"/>
        <v>Deprecated</v>
      </c>
      <c r="L977" s="660" t="str">
        <f t="shared" si="80"/>
        <v>UNIT</v>
      </c>
      <c r="M977" s="660" t="str">
        <f t="shared" si="81"/>
        <v>UC</v>
      </c>
      <c r="N977" s="660" t="str">
        <f t="shared" si="82"/>
        <v>PAAS</v>
      </c>
      <c r="O977" s="659" t="str">
        <f t="shared" si="83"/>
        <v/>
      </c>
    </row>
    <row r="978" spans="1:15">
      <c r="A978">
        <v>0</v>
      </c>
      <c r="B978">
        <v>0</v>
      </c>
      <c r="C978">
        <v>0</v>
      </c>
      <c r="D978">
        <v>0</v>
      </c>
      <c r="E978">
        <v>0</v>
      </c>
      <c r="F978" t="s">
        <v>2290</v>
      </c>
      <c r="G978" t="s">
        <v>2393</v>
      </c>
      <c r="H978" t="s">
        <v>2394</v>
      </c>
      <c r="I978" t="s">
        <v>1636</v>
      </c>
      <c r="J978" t="s">
        <v>2159</v>
      </c>
      <c r="K978" s="662" t="str">
        <f t="shared" si="79"/>
        <v>Deprecated</v>
      </c>
      <c r="L978" s="660" t="str">
        <f t="shared" si="80"/>
        <v>UNIT</v>
      </c>
      <c r="M978" s="660" t="str">
        <f t="shared" si="81"/>
        <v>UC</v>
      </c>
      <c r="N978" s="660" t="str">
        <f t="shared" si="82"/>
        <v>PAAS</v>
      </c>
      <c r="O978" s="659" t="str">
        <f t="shared" si="83"/>
        <v/>
      </c>
    </row>
    <row r="979" spans="1:15">
      <c r="A979">
        <v>0</v>
      </c>
      <c r="B979">
        <v>0</v>
      </c>
      <c r="C979">
        <v>0</v>
      </c>
      <c r="D979">
        <v>0</v>
      </c>
      <c r="E979">
        <v>0</v>
      </c>
      <c r="F979" t="s">
        <v>2290</v>
      </c>
      <c r="G979" t="s">
        <v>2393</v>
      </c>
      <c r="H979" t="s">
        <v>2394</v>
      </c>
      <c r="I979" t="s">
        <v>1636</v>
      </c>
      <c r="J979" t="s">
        <v>2159</v>
      </c>
      <c r="K979" s="662" t="str">
        <f t="shared" si="79"/>
        <v>Deprecated</v>
      </c>
      <c r="L979" s="660" t="str">
        <f t="shared" si="80"/>
        <v>UNIT</v>
      </c>
      <c r="M979" s="660" t="str">
        <f t="shared" si="81"/>
        <v>UC</v>
      </c>
      <c r="N979" s="660" t="str">
        <f t="shared" si="82"/>
        <v>PAAS</v>
      </c>
      <c r="O979" s="659" t="str">
        <f t="shared" si="83"/>
        <v/>
      </c>
    </row>
    <row r="980" spans="1:15">
      <c r="A980">
        <v>0</v>
      </c>
      <c r="B980">
        <v>0</v>
      </c>
      <c r="C980">
        <v>0</v>
      </c>
      <c r="D980">
        <v>0</v>
      </c>
      <c r="E980">
        <v>0</v>
      </c>
      <c r="F980" t="s">
        <v>2290</v>
      </c>
      <c r="G980" t="s">
        <v>2393</v>
      </c>
      <c r="H980" t="s">
        <v>2394</v>
      </c>
      <c r="I980" t="s">
        <v>1636</v>
      </c>
      <c r="J980" t="s">
        <v>2159</v>
      </c>
      <c r="K980" s="662" t="str">
        <f t="shared" si="79"/>
        <v>Deprecated</v>
      </c>
      <c r="L980" s="660" t="str">
        <f t="shared" si="80"/>
        <v>UNIT</v>
      </c>
      <c r="M980" s="660" t="str">
        <f t="shared" si="81"/>
        <v>UC</v>
      </c>
      <c r="N980" s="660" t="str">
        <f t="shared" si="82"/>
        <v>PAAS</v>
      </c>
      <c r="O980" s="659" t="str">
        <f t="shared" si="83"/>
        <v/>
      </c>
    </row>
    <row r="981" spans="1:15">
      <c r="A981">
        <v>0</v>
      </c>
      <c r="B981">
        <v>0</v>
      </c>
      <c r="C981">
        <v>0</v>
      </c>
      <c r="D981">
        <v>0</v>
      </c>
      <c r="E981">
        <v>0</v>
      </c>
      <c r="F981" t="s">
        <v>2290</v>
      </c>
      <c r="G981" t="s">
        <v>2393</v>
      </c>
      <c r="H981" t="s">
        <v>2394</v>
      </c>
      <c r="I981" t="s">
        <v>1636</v>
      </c>
      <c r="J981" t="s">
        <v>2159</v>
      </c>
      <c r="K981" s="662" t="str">
        <f t="shared" si="79"/>
        <v>Deprecated</v>
      </c>
      <c r="L981" s="660" t="str">
        <f t="shared" si="80"/>
        <v>UNIT</v>
      </c>
      <c r="M981" s="660" t="str">
        <f t="shared" si="81"/>
        <v>UC</v>
      </c>
      <c r="N981" s="660" t="str">
        <f t="shared" si="82"/>
        <v>PAAS</v>
      </c>
      <c r="O981" s="659" t="str">
        <f t="shared" si="83"/>
        <v/>
      </c>
    </row>
    <row r="982" spans="1:15">
      <c r="A982">
        <v>0</v>
      </c>
      <c r="B982">
        <v>0</v>
      </c>
      <c r="C982">
        <v>0</v>
      </c>
      <c r="D982">
        <v>0</v>
      </c>
      <c r="E982">
        <v>0</v>
      </c>
      <c r="F982" t="s">
        <v>2290</v>
      </c>
      <c r="G982" t="s">
        <v>2393</v>
      </c>
      <c r="H982" t="s">
        <v>2394</v>
      </c>
      <c r="I982" t="s">
        <v>1636</v>
      </c>
      <c r="J982" t="s">
        <v>2159</v>
      </c>
      <c r="K982" s="662" t="str">
        <f t="shared" si="79"/>
        <v>Deprecated</v>
      </c>
      <c r="L982" s="660" t="str">
        <f t="shared" si="80"/>
        <v>UNIT</v>
      </c>
      <c r="M982" s="660" t="str">
        <f t="shared" si="81"/>
        <v>UC</v>
      </c>
      <c r="N982" s="660" t="str">
        <f t="shared" si="82"/>
        <v>PAAS</v>
      </c>
      <c r="O982" s="659" t="str">
        <f t="shared" si="83"/>
        <v/>
      </c>
    </row>
    <row r="983" spans="1:15">
      <c r="A983">
        <v>0</v>
      </c>
      <c r="B983">
        <v>0</v>
      </c>
      <c r="C983">
        <v>0</v>
      </c>
      <c r="D983">
        <v>0</v>
      </c>
      <c r="E983">
        <v>0</v>
      </c>
      <c r="F983" t="s">
        <v>2290</v>
      </c>
      <c r="G983" t="s">
        <v>2393</v>
      </c>
      <c r="H983" t="s">
        <v>2394</v>
      </c>
      <c r="I983" t="s">
        <v>1636</v>
      </c>
      <c r="J983" t="s">
        <v>2159</v>
      </c>
      <c r="K983" s="662" t="str">
        <f t="shared" si="79"/>
        <v>Deprecated</v>
      </c>
      <c r="L983" s="660" t="str">
        <f t="shared" si="80"/>
        <v>UNIT</v>
      </c>
      <c r="M983" s="660" t="str">
        <f t="shared" si="81"/>
        <v>UC</v>
      </c>
      <c r="N983" s="660" t="str">
        <f t="shared" si="82"/>
        <v>PAAS</v>
      </c>
      <c r="O983" s="659" t="str">
        <f t="shared" si="83"/>
        <v/>
      </c>
    </row>
    <row r="984" spans="1:15">
      <c r="A984">
        <v>0</v>
      </c>
      <c r="B984">
        <v>0</v>
      </c>
      <c r="C984">
        <v>0</v>
      </c>
      <c r="D984">
        <v>0</v>
      </c>
      <c r="E984">
        <v>0</v>
      </c>
      <c r="F984" t="s">
        <v>2290</v>
      </c>
      <c r="G984" t="s">
        <v>2393</v>
      </c>
      <c r="H984" t="s">
        <v>2394</v>
      </c>
      <c r="I984" t="s">
        <v>1636</v>
      </c>
      <c r="J984" t="s">
        <v>2159</v>
      </c>
      <c r="K984" s="662" t="str">
        <f t="shared" si="79"/>
        <v>Deprecated</v>
      </c>
      <c r="L984" s="660" t="str">
        <f t="shared" si="80"/>
        <v>UNIT</v>
      </c>
      <c r="M984" s="660" t="str">
        <f t="shared" si="81"/>
        <v>UC</v>
      </c>
      <c r="N984" s="660" t="str">
        <f t="shared" si="82"/>
        <v>PAAS</v>
      </c>
      <c r="O984" s="659" t="str">
        <f t="shared" si="83"/>
        <v/>
      </c>
    </row>
    <row r="985" spans="1:15">
      <c r="A985">
        <v>0</v>
      </c>
      <c r="B985">
        <v>0</v>
      </c>
      <c r="C985">
        <v>0</v>
      </c>
      <c r="D985">
        <v>0</v>
      </c>
      <c r="E985">
        <v>0</v>
      </c>
      <c r="F985" t="s">
        <v>2290</v>
      </c>
      <c r="G985" t="s">
        <v>2393</v>
      </c>
      <c r="H985" t="s">
        <v>2394</v>
      </c>
      <c r="I985" t="s">
        <v>1636</v>
      </c>
      <c r="J985" t="s">
        <v>2159</v>
      </c>
      <c r="K985" s="662" t="str">
        <f t="shared" si="79"/>
        <v>Deprecated</v>
      </c>
      <c r="L985" s="660" t="str">
        <f t="shared" si="80"/>
        <v>UNIT</v>
      </c>
      <c r="M985" s="660" t="str">
        <f t="shared" si="81"/>
        <v>UC</v>
      </c>
      <c r="N985" s="660" t="str">
        <f t="shared" si="82"/>
        <v>PAAS</v>
      </c>
      <c r="O985" s="659" t="str">
        <f t="shared" si="83"/>
        <v/>
      </c>
    </row>
    <row r="986" spans="1:15">
      <c r="A986">
        <v>0</v>
      </c>
      <c r="B986">
        <v>0</v>
      </c>
      <c r="C986">
        <v>0</v>
      </c>
      <c r="D986">
        <v>0</v>
      </c>
      <c r="E986">
        <v>0</v>
      </c>
      <c r="F986" t="s">
        <v>2290</v>
      </c>
      <c r="G986" t="s">
        <v>2393</v>
      </c>
      <c r="H986" t="s">
        <v>2394</v>
      </c>
      <c r="I986" t="s">
        <v>1636</v>
      </c>
      <c r="J986" t="s">
        <v>2159</v>
      </c>
      <c r="K986" s="662" t="str">
        <f t="shared" si="79"/>
        <v>Deprecated</v>
      </c>
      <c r="L986" s="660" t="str">
        <f t="shared" si="80"/>
        <v>UNIT</v>
      </c>
      <c r="M986" s="660" t="str">
        <f t="shared" si="81"/>
        <v>UC</v>
      </c>
      <c r="N986" s="660" t="str">
        <f t="shared" si="82"/>
        <v>PAAS</v>
      </c>
      <c r="O986" s="659" t="str">
        <f t="shared" si="83"/>
        <v/>
      </c>
    </row>
    <row r="987" spans="1:15">
      <c r="A987">
        <v>0</v>
      </c>
      <c r="B987">
        <v>0</v>
      </c>
      <c r="C987">
        <v>0</v>
      </c>
      <c r="D987">
        <v>0</v>
      </c>
      <c r="E987">
        <v>0</v>
      </c>
      <c r="F987" t="s">
        <v>2290</v>
      </c>
      <c r="G987" t="s">
        <v>2393</v>
      </c>
      <c r="H987" t="s">
        <v>2394</v>
      </c>
      <c r="I987" t="s">
        <v>1636</v>
      </c>
      <c r="J987" t="s">
        <v>2159</v>
      </c>
      <c r="K987" s="662" t="str">
        <f t="shared" si="79"/>
        <v>Deprecated</v>
      </c>
      <c r="L987" s="660" t="str">
        <f t="shared" si="80"/>
        <v>UNIT</v>
      </c>
      <c r="M987" s="660" t="str">
        <f t="shared" si="81"/>
        <v>UC</v>
      </c>
      <c r="N987" s="660" t="str">
        <f t="shared" si="82"/>
        <v>PAAS</v>
      </c>
      <c r="O987" s="659" t="str">
        <f t="shared" si="83"/>
        <v/>
      </c>
    </row>
    <row r="988" spans="1:15">
      <c r="A988">
        <v>0</v>
      </c>
      <c r="B988">
        <v>0</v>
      </c>
      <c r="C988">
        <v>0</v>
      </c>
      <c r="D988">
        <v>0</v>
      </c>
      <c r="E988">
        <v>0</v>
      </c>
      <c r="F988" t="s">
        <v>2290</v>
      </c>
      <c r="G988" t="s">
        <v>2393</v>
      </c>
      <c r="H988" t="s">
        <v>2394</v>
      </c>
      <c r="I988" t="s">
        <v>1636</v>
      </c>
      <c r="J988" t="s">
        <v>2159</v>
      </c>
      <c r="K988" s="662" t="str">
        <f t="shared" si="79"/>
        <v>Deprecated</v>
      </c>
      <c r="L988" s="660" t="str">
        <f t="shared" si="80"/>
        <v>UNIT</v>
      </c>
      <c r="M988" s="660" t="str">
        <f t="shared" si="81"/>
        <v>UC</v>
      </c>
      <c r="N988" s="660" t="str">
        <f t="shared" si="82"/>
        <v>PAAS</v>
      </c>
      <c r="O988" s="659" t="str">
        <f t="shared" si="83"/>
        <v/>
      </c>
    </row>
    <row r="989" spans="1:15">
      <c r="A989">
        <v>0</v>
      </c>
      <c r="B989">
        <v>0</v>
      </c>
      <c r="C989">
        <v>0</v>
      </c>
      <c r="D989">
        <v>0</v>
      </c>
      <c r="E989">
        <v>0</v>
      </c>
      <c r="F989" t="s">
        <v>2290</v>
      </c>
      <c r="G989" t="s">
        <v>2393</v>
      </c>
      <c r="H989" t="s">
        <v>2394</v>
      </c>
      <c r="I989" t="s">
        <v>1636</v>
      </c>
      <c r="J989" t="s">
        <v>2159</v>
      </c>
      <c r="K989" s="662" t="str">
        <f t="shared" si="79"/>
        <v>Deprecated</v>
      </c>
      <c r="L989" s="660" t="str">
        <f t="shared" si="80"/>
        <v>UNIT</v>
      </c>
      <c r="M989" s="660" t="str">
        <f t="shared" si="81"/>
        <v>UC</v>
      </c>
      <c r="N989" s="660" t="str">
        <f t="shared" si="82"/>
        <v>PAAS</v>
      </c>
      <c r="O989" s="659" t="str">
        <f t="shared" si="83"/>
        <v/>
      </c>
    </row>
    <row r="990" spans="1:15">
      <c r="A990">
        <v>0</v>
      </c>
      <c r="B990">
        <v>0</v>
      </c>
      <c r="C990">
        <v>0</v>
      </c>
      <c r="D990">
        <v>0</v>
      </c>
      <c r="E990">
        <v>0</v>
      </c>
      <c r="F990" t="s">
        <v>2290</v>
      </c>
      <c r="G990" t="s">
        <v>2393</v>
      </c>
      <c r="H990" t="s">
        <v>2394</v>
      </c>
      <c r="I990" t="s">
        <v>1636</v>
      </c>
      <c r="J990" t="s">
        <v>2159</v>
      </c>
      <c r="K990" s="662" t="str">
        <f t="shared" si="79"/>
        <v>Deprecated</v>
      </c>
      <c r="L990" s="660" t="str">
        <f t="shared" si="80"/>
        <v>UNIT</v>
      </c>
      <c r="M990" s="660" t="str">
        <f t="shared" si="81"/>
        <v>UC</v>
      </c>
      <c r="N990" s="660" t="str">
        <f t="shared" si="82"/>
        <v>PAAS</v>
      </c>
      <c r="O990" s="659" t="str">
        <f t="shared" si="83"/>
        <v/>
      </c>
    </row>
    <row r="991" spans="1:15">
      <c r="A991">
        <v>0</v>
      </c>
      <c r="B991">
        <v>0</v>
      </c>
      <c r="C991">
        <v>0</v>
      </c>
      <c r="D991">
        <v>0</v>
      </c>
      <c r="E991">
        <v>0</v>
      </c>
      <c r="F991" t="s">
        <v>2290</v>
      </c>
      <c r="G991" t="s">
        <v>2393</v>
      </c>
      <c r="H991" t="s">
        <v>2394</v>
      </c>
      <c r="I991" t="s">
        <v>1636</v>
      </c>
      <c r="J991" t="s">
        <v>2159</v>
      </c>
      <c r="K991" s="662" t="str">
        <f t="shared" si="79"/>
        <v>Deprecated</v>
      </c>
      <c r="L991" s="660" t="str">
        <f t="shared" si="80"/>
        <v>UNIT</v>
      </c>
      <c r="M991" s="660" t="str">
        <f t="shared" si="81"/>
        <v>UC</v>
      </c>
      <c r="N991" s="660" t="str">
        <f t="shared" si="82"/>
        <v>PAAS</v>
      </c>
      <c r="O991" s="659" t="str">
        <f t="shared" si="83"/>
        <v/>
      </c>
    </row>
    <row r="992" spans="1:15">
      <c r="A992">
        <v>0</v>
      </c>
      <c r="B992">
        <v>0</v>
      </c>
      <c r="C992">
        <v>0</v>
      </c>
      <c r="D992">
        <v>0</v>
      </c>
      <c r="E992">
        <v>0</v>
      </c>
      <c r="F992" t="s">
        <v>2290</v>
      </c>
      <c r="G992" t="s">
        <v>2393</v>
      </c>
      <c r="H992" t="s">
        <v>2394</v>
      </c>
      <c r="I992" t="s">
        <v>1636</v>
      </c>
      <c r="J992" t="s">
        <v>2159</v>
      </c>
      <c r="K992" s="662" t="str">
        <f t="shared" si="79"/>
        <v>Deprecated</v>
      </c>
      <c r="L992" s="660" t="str">
        <f t="shared" si="80"/>
        <v>UNIT</v>
      </c>
      <c r="M992" s="660" t="str">
        <f t="shared" si="81"/>
        <v>UC</v>
      </c>
      <c r="N992" s="660" t="str">
        <f t="shared" si="82"/>
        <v>PAAS</v>
      </c>
      <c r="O992" s="659" t="str">
        <f t="shared" si="83"/>
        <v/>
      </c>
    </row>
    <row r="993" spans="1:15">
      <c r="A993">
        <v>0</v>
      </c>
      <c r="B993">
        <v>0</v>
      </c>
      <c r="C993">
        <v>0</v>
      </c>
      <c r="D993">
        <v>0</v>
      </c>
      <c r="E993">
        <v>0</v>
      </c>
      <c r="F993" t="s">
        <v>2290</v>
      </c>
      <c r="G993" t="s">
        <v>2393</v>
      </c>
      <c r="H993" t="s">
        <v>2394</v>
      </c>
      <c r="I993" t="s">
        <v>1636</v>
      </c>
      <c r="J993" t="s">
        <v>2159</v>
      </c>
      <c r="K993" s="662" t="str">
        <f t="shared" si="79"/>
        <v>Deprecated</v>
      </c>
      <c r="L993" s="660" t="str">
        <f t="shared" si="80"/>
        <v>UNIT</v>
      </c>
      <c r="M993" s="660" t="str">
        <f t="shared" si="81"/>
        <v>UC</v>
      </c>
      <c r="N993" s="660" t="str">
        <f t="shared" si="82"/>
        <v>PAAS</v>
      </c>
      <c r="O993" s="659" t="str">
        <f t="shared" si="83"/>
        <v/>
      </c>
    </row>
    <row r="994" spans="1:15">
      <c r="A994">
        <v>0</v>
      </c>
      <c r="B994">
        <v>0</v>
      </c>
      <c r="C994">
        <v>0</v>
      </c>
      <c r="D994">
        <v>0</v>
      </c>
      <c r="E994">
        <v>0</v>
      </c>
      <c r="F994" t="s">
        <v>2290</v>
      </c>
      <c r="G994" t="s">
        <v>2393</v>
      </c>
      <c r="H994" t="s">
        <v>2394</v>
      </c>
      <c r="I994" t="s">
        <v>1636</v>
      </c>
      <c r="J994" t="s">
        <v>2159</v>
      </c>
      <c r="K994" s="662" t="str">
        <f t="shared" si="79"/>
        <v>Deprecated</v>
      </c>
      <c r="L994" s="660" t="str">
        <f t="shared" si="80"/>
        <v>UNIT</v>
      </c>
      <c r="M994" s="660" t="str">
        <f t="shared" si="81"/>
        <v>UC</v>
      </c>
      <c r="N994" s="660" t="str">
        <f t="shared" si="82"/>
        <v>PAAS</v>
      </c>
      <c r="O994" s="659" t="str">
        <f t="shared" si="83"/>
        <v/>
      </c>
    </row>
    <row r="995" spans="1:15">
      <c r="A995">
        <v>0</v>
      </c>
      <c r="B995">
        <v>0</v>
      </c>
      <c r="C995">
        <v>0</v>
      </c>
      <c r="D995">
        <v>0</v>
      </c>
      <c r="E995">
        <v>0</v>
      </c>
      <c r="F995" t="s">
        <v>2290</v>
      </c>
      <c r="G995" t="s">
        <v>2393</v>
      </c>
      <c r="H995" t="s">
        <v>2394</v>
      </c>
      <c r="I995" t="s">
        <v>1636</v>
      </c>
      <c r="J995" t="s">
        <v>2159</v>
      </c>
      <c r="K995" s="662" t="str">
        <f t="shared" si="79"/>
        <v>Deprecated</v>
      </c>
      <c r="L995" s="660" t="str">
        <f t="shared" si="80"/>
        <v>UNIT</v>
      </c>
      <c r="M995" s="660" t="str">
        <f t="shared" si="81"/>
        <v>UC</v>
      </c>
      <c r="N995" s="660" t="str">
        <f t="shared" si="82"/>
        <v>PAAS</v>
      </c>
      <c r="O995" s="659" t="str">
        <f t="shared" si="83"/>
        <v/>
      </c>
    </row>
    <row r="996" spans="1:15">
      <c r="A996">
        <v>0</v>
      </c>
      <c r="B996">
        <v>0</v>
      </c>
      <c r="C996">
        <v>0</v>
      </c>
      <c r="D996">
        <v>0</v>
      </c>
      <c r="E996">
        <v>0</v>
      </c>
      <c r="F996" t="s">
        <v>2290</v>
      </c>
      <c r="G996" t="s">
        <v>2393</v>
      </c>
      <c r="H996" t="s">
        <v>2394</v>
      </c>
      <c r="I996" t="s">
        <v>1636</v>
      </c>
      <c r="J996" t="s">
        <v>2159</v>
      </c>
      <c r="K996" s="662" t="str">
        <f t="shared" si="79"/>
        <v>Deprecated</v>
      </c>
      <c r="L996" s="660" t="str">
        <f t="shared" si="80"/>
        <v>UNIT</v>
      </c>
      <c r="M996" s="660" t="str">
        <f t="shared" si="81"/>
        <v>UC</v>
      </c>
      <c r="N996" s="660" t="str">
        <f t="shared" si="82"/>
        <v>PAAS</v>
      </c>
      <c r="O996" s="659" t="str">
        <f t="shared" si="83"/>
        <v/>
      </c>
    </row>
    <row r="997" spans="1:15">
      <c r="A997">
        <v>0</v>
      </c>
      <c r="B997">
        <v>0</v>
      </c>
      <c r="C997">
        <v>0</v>
      </c>
      <c r="D997">
        <v>0</v>
      </c>
      <c r="E997">
        <v>0</v>
      </c>
      <c r="F997" t="s">
        <v>2290</v>
      </c>
      <c r="G997" t="s">
        <v>2393</v>
      </c>
      <c r="H997" t="s">
        <v>2394</v>
      </c>
      <c r="I997" t="s">
        <v>1636</v>
      </c>
      <c r="J997" t="s">
        <v>2159</v>
      </c>
      <c r="K997" s="662" t="str">
        <f t="shared" si="79"/>
        <v>Deprecated</v>
      </c>
      <c r="L997" s="660" t="str">
        <f t="shared" si="80"/>
        <v>UNIT</v>
      </c>
      <c r="M997" s="660" t="str">
        <f t="shared" si="81"/>
        <v>UC</v>
      </c>
      <c r="N997" s="660" t="str">
        <f t="shared" si="82"/>
        <v>PAAS</v>
      </c>
      <c r="O997" s="659" t="str">
        <f t="shared" si="83"/>
        <v/>
      </c>
    </row>
    <row r="998" spans="1:15">
      <c r="A998">
        <v>0</v>
      </c>
      <c r="B998">
        <v>0</v>
      </c>
      <c r="C998">
        <v>0</v>
      </c>
      <c r="D998">
        <v>0</v>
      </c>
      <c r="E998">
        <v>0</v>
      </c>
      <c r="F998" t="s">
        <v>2290</v>
      </c>
      <c r="G998" t="s">
        <v>2393</v>
      </c>
      <c r="H998" t="s">
        <v>2394</v>
      </c>
      <c r="I998" t="s">
        <v>1636</v>
      </c>
      <c r="J998" t="s">
        <v>2159</v>
      </c>
      <c r="K998" s="662" t="str">
        <f t="shared" si="79"/>
        <v>Deprecated</v>
      </c>
      <c r="L998" s="660" t="str">
        <f t="shared" si="80"/>
        <v>UNIT</v>
      </c>
      <c r="M998" s="660" t="str">
        <f t="shared" si="81"/>
        <v>UC</v>
      </c>
      <c r="N998" s="660" t="str">
        <f t="shared" si="82"/>
        <v>PAAS</v>
      </c>
      <c r="O998" s="659" t="str">
        <f t="shared" si="83"/>
        <v/>
      </c>
    </row>
    <row r="999" spans="1:15">
      <c r="A999">
        <v>0</v>
      </c>
      <c r="B999">
        <v>0</v>
      </c>
      <c r="C999">
        <v>0</v>
      </c>
      <c r="D999">
        <v>0</v>
      </c>
      <c r="E999">
        <v>0</v>
      </c>
      <c r="F999" t="s">
        <v>2290</v>
      </c>
      <c r="G999" t="s">
        <v>2393</v>
      </c>
      <c r="H999" t="s">
        <v>2394</v>
      </c>
      <c r="I999" t="s">
        <v>1636</v>
      </c>
      <c r="J999" t="s">
        <v>2159</v>
      </c>
      <c r="K999" s="662" t="str">
        <f t="shared" si="79"/>
        <v>Deprecated</v>
      </c>
      <c r="L999" s="660" t="str">
        <f t="shared" si="80"/>
        <v>UNIT</v>
      </c>
      <c r="M999" s="660" t="str">
        <f t="shared" si="81"/>
        <v>UC</v>
      </c>
      <c r="N999" s="660" t="str">
        <f t="shared" si="82"/>
        <v>PAAS</v>
      </c>
      <c r="O999" s="659" t="str">
        <f t="shared" si="83"/>
        <v/>
      </c>
    </row>
    <row r="1000" spans="1:15">
      <c r="A1000">
        <v>0</v>
      </c>
      <c r="B1000">
        <v>0</v>
      </c>
      <c r="C1000">
        <v>0</v>
      </c>
      <c r="D1000">
        <v>0</v>
      </c>
      <c r="E1000">
        <v>0</v>
      </c>
      <c r="F1000" t="s">
        <v>2290</v>
      </c>
      <c r="G1000" t="s">
        <v>2393</v>
      </c>
      <c r="H1000" t="s">
        <v>2394</v>
      </c>
      <c r="I1000" t="s">
        <v>1636</v>
      </c>
      <c r="J1000" t="s">
        <v>2159</v>
      </c>
      <c r="K1000" s="662" t="str">
        <f t="shared" si="79"/>
        <v>Deprecated</v>
      </c>
      <c r="L1000" s="660" t="str">
        <f t="shared" si="80"/>
        <v>UNIT</v>
      </c>
      <c r="M1000" s="660" t="str">
        <f t="shared" si="81"/>
        <v>UC</v>
      </c>
      <c r="N1000" s="660" t="str">
        <f t="shared" si="82"/>
        <v>PAAS</v>
      </c>
      <c r="O1000" s="659" t="str">
        <f t="shared" si="83"/>
        <v/>
      </c>
    </row>
    <row r="1001" spans="1:15">
      <c r="A1001">
        <v>0</v>
      </c>
      <c r="B1001">
        <v>0</v>
      </c>
      <c r="C1001">
        <v>0</v>
      </c>
      <c r="D1001">
        <v>0</v>
      </c>
      <c r="E1001">
        <v>0</v>
      </c>
      <c r="F1001" t="s">
        <v>2290</v>
      </c>
      <c r="G1001" t="s">
        <v>2393</v>
      </c>
      <c r="H1001" t="s">
        <v>2394</v>
      </c>
      <c r="I1001" t="s">
        <v>1636</v>
      </c>
      <c r="J1001" t="s">
        <v>2159</v>
      </c>
      <c r="K1001" s="662" t="str">
        <f t="shared" si="79"/>
        <v>Deprecated</v>
      </c>
      <c r="L1001" s="660" t="str">
        <f t="shared" si="80"/>
        <v>UNIT</v>
      </c>
      <c r="M1001" s="660" t="str">
        <f t="shared" si="81"/>
        <v>UC</v>
      </c>
      <c r="N1001" s="660" t="str">
        <f t="shared" si="82"/>
        <v>PAAS</v>
      </c>
      <c r="O1001" s="659" t="str">
        <f t="shared" si="83"/>
        <v/>
      </c>
    </row>
    <row r="1002" spans="1:15">
      <c r="A1002">
        <v>0</v>
      </c>
      <c r="B1002">
        <v>0</v>
      </c>
      <c r="C1002">
        <v>0</v>
      </c>
      <c r="D1002">
        <v>0</v>
      </c>
      <c r="E1002">
        <v>0</v>
      </c>
      <c r="F1002" t="s">
        <v>2290</v>
      </c>
      <c r="G1002" t="s">
        <v>2393</v>
      </c>
      <c r="H1002" t="s">
        <v>2394</v>
      </c>
      <c r="I1002" t="s">
        <v>1636</v>
      </c>
      <c r="J1002" t="s">
        <v>2159</v>
      </c>
      <c r="K1002" s="662" t="str">
        <f t="shared" si="79"/>
        <v>Deprecated</v>
      </c>
      <c r="L1002" s="660" t="str">
        <f t="shared" si="80"/>
        <v>UNIT</v>
      </c>
      <c r="M1002" s="660" t="str">
        <f t="shared" si="81"/>
        <v>UC</v>
      </c>
      <c r="N1002" s="660" t="str">
        <f t="shared" si="82"/>
        <v>PAAS</v>
      </c>
      <c r="O1002" s="659" t="str">
        <f t="shared" si="83"/>
        <v/>
      </c>
    </row>
    <row r="1003" spans="1:15">
      <c r="A1003">
        <v>0</v>
      </c>
      <c r="B1003">
        <v>0</v>
      </c>
      <c r="C1003">
        <v>0</v>
      </c>
      <c r="D1003">
        <v>0</v>
      </c>
      <c r="E1003">
        <v>0</v>
      </c>
      <c r="F1003" t="s">
        <v>2290</v>
      </c>
      <c r="G1003" t="s">
        <v>2393</v>
      </c>
      <c r="H1003" t="s">
        <v>2394</v>
      </c>
      <c r="I1003" t="s">
        <v>1636</v>
      </c>
      <c r="J1003" t="s">
        <v>2159</v>
      </c>
      <c r="K1003" s="662" t="str">
        <f t="shared" si="79"/>
        <v>Deprecated</v>
      </c>
      <c r="L1003" s="660" t="str">
        <f t="shared" si="80"/>
        <v>UNIT</v>
      </c>
      <c r="M1003" s="660" t="str">
        <f t="shared" si="81"/>
        <v>UC</v>
      </c>
      <c r="N1003" s="660" t="str">
        <f t="shared" si="82"/>
        <v>PAAS</v>
      </c>
      <c r="O1003" s="659" t="str">
        <f t="shared" si="83"/>
        <v/>
      </c>
    </row>
    <row r="1004" spans="1:15">
      <c r="A1004">
        <v>0</v>
      </c>
      <c r="B1004">
        <v>0</v>
      </c>
      <c r="C1004">
        <v>0</v>
      </c>
      <c r="D1004">
        <v>0</v>
      </c>
      <c r="E1004">
        <v>0</v>
      </c>
      <c r="F1004" t="s">
        <v>2290</v>
      </c>
      <c r="G1004" t="s">
        <v>2393</v>
      </c>
      <c r="H1004" t="s">
        <v>2394</v>
      </c>
      <c r="I1004" t="s">
        <v>1636</v>
      </c>
      <c r="J1004" t="s">
        <v>2159</v>
      </c>
      <c r="K1004" s="662" t="str">
        <f t="shared" si="79"/>
        <v>Deprecated</v>
      </c>
      <c r="L1004" s="660" t="str">
        <f t="shared" si="80"/>
        <v>UNIT</v>
      </c>
      <c r="M1004" s="660" t="str">
        <f t="shared" si="81"/>
        <v>UC</v>
      </c>
      <c r="N1004" s="660" t="str">
        <f t="shared" si="82"/>
        <v>PAAS</v>
      </c>
      <c r="O1004" s="659" t="str">
        <f t="shared" si="83"/>
        <v/>
      </c>
    </row>
    <row r="1005" spans="1:15">
      <c r="A1005">
        <v>0</v>
      </c>
      <c r="B1005">
        <v>0</v>
      </c>
      <c r="C1005">
        <v>0</v>
      </c>
      <c r="D1005">
        <v>0</v>
      </c>
      <c r="E1005">
        <v>0</v>
      </c>
      <c r="F1005" t="s">
        <v>2290</v>
      </c>
      <c r="G1005" t="s">
        <v>2393</v>
      </c>
      <c r="H1005" t="s">
        <v>2394</v>
      </c>
      <c r="I1005" t="s">
        <v>1636</v>
      </c>
      <c r="J1005" t="s">
        <v>2159</v>
      </c>
      <c r="K1005" s="662" t="str">
        <f t="shared" si="79"/>
        <v>Deprecated</v>
      </c>
      <c r="L1005" s="660" t="str">
        <f t="shared" si="80"/>
        <v>UNIT</v>
      </c>
      <c r="M1005" s="660" t="str">
        <f t="shared" si="81"/>
        <v>UC</v>
      </c>
      <c r="N1005" s="660" t="str">
        <f t="shared" si="82"/>
        <v>PAAS</v>
      </c>
      <c r="O1005" s="659" t="str">
        <f t="shared" si="83"/>
        <v/>
      </c>
    </row>
    <row r="1006" spans="1:15">
      <c r="A1006">
        <v>0</v>
      </c>
      <c r="B1006">
        <v>0</v>
      </c>
      <c r="C1006">
        <v>0</v>
      </c>
      <c r="D1006">
        <v>0</v>
      </c>
      <c r="E1006">
        <v>0</v>
      </c>
      <c r="F1006" t="s">
        <v>2290</v>
      </c>
      <c r="G1006" t="s">
        <v>2393</v>
      </c>
      <c r="H1006" t="s">
        <v>2394</v>
      </c>
      <c r="I1006" t="s">
        <v>1636</v>
      </c>
      <c r="J1006" t="s">
        <v>2159</v>
      </c>
      <c r="K1006" s="662" t="str">
        <f t="shared" si="79"/>
        <v>Deprecated</v>
      </c>
      <c r="L1006" s="660" t="str">
        <f t="shared" si="80"/>
        <v>UNIT</v>
      </c>
      <c r="M1006" s="660" t="str">
        <f t="shared" si="81"/>
        <v>UC</v>
      </c>
      <c r="N1006" s="660" t="str">
        <f t="shared" si="82"/>
        <v>PAAS</v>
      </c>
      <c r="O1006" s="659" t="str">
        <f t="shared" si="83"/>
        <v/>
      </c>
    </row>
    <row r="1007" spans="1:15">
      <c r="A1007">
        <v>0</v>
      </c>
      <c r="B1007">
        <v>0</v>
      </c>
      <c r="C1007">
        <v>0</v>
      </c>
      <c r="D1007">
        <v>0</v>
      </c>
      <c r="E1007">
        <v>0</v>
      </c>
      <c r="F1007" t="s">
        <v>2290</v>
      </c>
      <c r="G1007" t="s">
        <v>2393</v>
      </c>
      <c r="H1007" t="s">
        <v>2394</v>
      </c>
      <c r="I1007" t="s">
        <v>1636</v>
      </c>
      <c r="J1007" t="s">
        <v>2159</v>
      </c>
      <c r="K1007" s="662" t="str">
        <f t="shared" si="79"/>
        <v>Deprecated</v>
      </c>
      <c r="L1007" s="660" t="str">
        <f t="shared" si="80"/>
        <v>UNIT</v>
      </c>
      <c r="M1007" s="660" t="str">
        <f t="shared" si="81"/>
        <v>UC</v>
      </c>
      <c r="N1007" s="660" t="str">
        <f t="shared" si="82"/>
        <v>PAAS</v>
      </c>
      <c r="O1007" s="659" t="str">
        <f t="shared" si="83"/>
        <v/>
      </c>
    </row>
    <row r="1008" spans="1:15">
      <c r="A1008">
        <v>0</v>
      </c>
      <c r="B1008">
        <v>0</v>
      </c>
      <c r="C1008">
        <v>0</v>
      </c>
      <c r="D1008">
        <v>0</v>
      </c>
      <c r="E1008">
        <v>0</v>
      </c>
      <c r="F1008" t="s">
        <v>2290</v>
      </c>
      <c r="G1008" t="s">
        <v>2393</v>
      </c>
      <c r="H1008" t="s">
        <v>2394</v>
      </c>
      <c r="I1008" t="s">
        <v>1636</v>
      </c>
      <c r="J1008" t="s">
        <v>2159</v>
      </c>
      <c r="K1008" s="662" t="str">
        <f t="shared" si="79"/>
        <v>Deprecated</v>
      </c>
      <c r="L1008" s="660" t="str">
        <f t="shared" si="80"/>
        <v>UNIT</v>
      </c>
      <c r="M1008" s="660" t="str">
        <f t="shared" si="81"/>
        <v>UC</v>
      </c>
      <c r="N1008" s="660" t="str">
        <f t="shared" si="82"/>
        <v>PAAS</v>
      </c>
      <c r="O1008" s="659" t="str">
        <f t="shared" si="83"/>
        <v/>
      </c>
    </row>
    <row r="1009" spans="1:15">
      <c r="A1009">
        <v>0</v>
      </c>
      <c r="B1009">
        <v>0</v>
      </c>
      <c r="C1009">
        <v>0</v>
      </c>
      <c r="D1009">
        <v>0</v>
      </c>
      <c r="E1009">
        <v>0</v>
      </c>
      <c r="F1009" t="s">
        <v>2290</v>
      </c>
      <c r="G1009" t="s">
        <v>2393</v>
      </c>
      <c r="H1009" t="s">
        <v>2394</v>
      </c>
      <c r="I1009" t="s">
        <v>1636</v>
      </c>
      <c r="J1009" t="s">
        <v>2159</v>
      </c>
      <c r="K1009" s="662" t="str">
        <f t="shared" si="79"/>
        <v>Deprecated</v>
      </c>
      <c r="L1009" s="660" t="str">
        <f t="shared" si="80"/>
        <v>UNIT</v>
      </c>
      <c r="M1009" s="660" t="str">
        <f t="shared" si="81"/>
        <v>UC</v>
      </c>
      <c r="N1009" s="660" t="str">
        <f t="shared" si="82"/>
        <v>PAAS</v>
      </c>
      <c r="O1009" s="659" t="str">
        <f t="shared" si="83"/>
        <v/>
      </c>
    </row>
    <row r="1010" spans="1:15">
      <c r="A1010">
        <v>0</v>
      </c>
      <c r="B1010">
        <v>0</v>
      </c>
      <c r="C1010">
        <v>0</v>
      </c>
      <c r="D1010">
        <v>0</v>
      </c>
      <c r="E1010">
        <v>0</v>
      </c>
      <c r="F1010" t="s">
        <v>2290</v>
      </c>
      <c r="G1010" t="s">
        <v>2393</v>
      </c>
      <c r="H1010" t="s">
        <v>2394</v>
      </c>
      <c r="I1010" t="s">
        <v>1636</v>
      </c>
      <c r="J1010" t="s">
        <v>2159</v>
      </c>
      <c r="K1010" s="662" t="str">
        <f t="shared" si="79"/>
        <v>Deprecated</v>
      </c>
      <c r="L1010" s="660" t="str">
        <f t="shared" si="80"/>
        <v>UNIT</v>
      </c>
      <c r="M1010" s="660" t="str">
        <f t="shared" si="81"/>
        <v>UC</v>
      </c>
      <c r="N1010" s="660" t="str">
        <f t="shared" si="82"/>
        <v>PAAS</v>
      </c>
      <c r="O1010" s="659" t="str">
        <f t="shared" si="83"/>
        <v/>
      </c>
    </row>
    <row r="1011" spans="1:15">
      <c r="A1011">
        <v>0</v>
      </c>
      <c r="B1011">
        <v>0</v>
      </c>
      <c r="C1011">
        <v>0</v>
      </c>
      <c r="D1011">
        <v>0</v>
      </c>
      <c r="E1011">
        <v>0</v>
      </c>
      <c r="F1011" t="s">
        <v>2290</v>
      </c>
      <c r="G1011" t="s">
        <v>2393</v>
      </c>
      <c r="H1011" t="s">
        <v>2394</v>
      </c>
      <c r="I1011" t="s">
        <v>1636</v>
      </c>
      <c r="J1011" t="s">
        <v>2159</v>
      </c>
      <c r="K1011" s="662" t="str">
        <f t="shared" si="79"/>
        <v>Deprecated</v>
      </c>
      <c r="L1011" s="660" t="str">
        <f t="shared" si="80"/>
        <v>UNIT</v>
      </c>
      <c r="M1011" s="660" t="str">
        <f t="shared" si="81"/>
        <v>UC</v>
      </c>
      <c r="N1011" s="660" t="str">
        <f t="shared" si="82"/>
        <v>PAAS</v>
      </c>
      <c r="O1011" s="659" t="str">
        <f t="shared" si="83"/>
        <v/>
      </c>
    </row>
    <row r="1012" spans="1:15">
      <c r="A1012">
        <v>0</v>
      </c>
      <c r="B1012">
        <v>0</v>
      </c>
      <c r="C1012">
        <v>0</v>
      </c>
      <c r="D1012">
        <v>0</v>
      </c>
      <c r="E1012">
        <v>0</v>
      </c>
      <c r="F1012" t="s">
        <v>2290</v>
      </c>
      <c r="G1012" t="s">
        <v>2393</v>
      </c>
      <c r="H1012" t="s">
        <v>2394</v>
      </c>
      <c r="I1012" t="s">
        <v>1636</v>
      </c>
      <c r="J1012" t="s">
        <v>2159</v>
      </c>
      <c r="K1012" s="662" t="str">
        <f t="shared" si="79"/>
        <v>Deprecated</v>
      </c>
      <c r="L1012" s="660" t="str">
        <f t="shared" si="80"/>
        <v>UNIT</v>
      </c>
      <c r="M1012" s="660" t="str">
        <f t="shared" si="81"/>
        <v>UC</v>
      </c>
      <c r="N1012" s="660" t="str">
        <f t="shared" si="82"/>
        <v>PAAS</v>
      </c>
      <c r="O1012" s="659" t="str">
        <f t="shared" si="83"/>
        <v/>
      </c>
    </row>
    <row r="1013" spans="1:15">
      <c r="A1013">
        <v>0</v>
      </c>
      <c r="B1013">
        <v>0</v>
      </c>
      <c r="C1013">
        <v>0</v>
      </c>
      <c r="D1013">
        <v>0</v>
      </c>
      <c r="E1013">
        <v>0</v>
      </c>
      <c r="F1013" t="s">
        <v>2290</v>
      </c>
      <c r="G1013" t="s">
        <v>2393</v>
      </c>
      <c r="H1013" t="s">
        <v>2394</v>
      </c>
      <c r="I1013" t="s">
        <v>1636</v>
      </c>
      <c r="J1013" t="s">
        <v>2159</v>
      </c>
      <c r="K1013" s="662" t="str">
        <f t="shared" ref="K1013:K1076" si="84">_xlfn.IFS(
ISNUMBER(SEARCH("Day",E1013)),"Consulting",
ISNUMBER(SEARCH("Starter Pack",B1013)),"Consulting",
ISNUMBER(SEARCH("Design",B1013)),"Consulting",
ISNUMBER(SEARCH("Deploy",B1013)),"Consulting",
ISNUMBER(SEARCH("Expert",B1013)),"Consulting",
ISNUMBER(SEARCH("Installation",B1013)),"Consulting",
ISNUMBER(SEARCH("Recommendation",B1013)),"Consulting",
ISNUMBER(SEARCH("Transition",B1013)),"Consulting",
ISNUMBER(SEARCH("Transition",B1013)),"Support",
ISNUMBER(SEARCH("Transition",B1013)),"Foundation Service",
ISNUMBER(SEARCH("Consulting",B1013)),"Consulting",
ISNUMBER(SEARCH("in Advance",B1013)),"New",
ISNUMBER(SEARCH("Universal Credits",B1013)),"UC",
ISNUMBER(SEARCH("Ravello",B1013)),"Deprecated",
ISNUMBER(SEARCH("Cloud Machine",B1013)),"Deprecated",
ISNUMBER(SEARCH("Compute",B1013)),"Compute",
ISNUMBER(SEARCH("Load Balancer",B1013)),"Network",
ISNUMBER(SEARCH("FastConnect",B1013)),"Network",
ISNUMBER(SEARCH("Database OCPU",B1013)),"CC OCPU",
ISNUMBER(SEARCH("at Customer",B1013)),"CC",
ISNUMBER(SEARCH("Cloud@Customer",B1013)),"CC",
ISNUMBER(SEARCH("Exadata Storage",B1013)),"Exa Storage",
ISNUMBER(SEARCH("Storage",B1013)),"Storage",
ISNUMBER(SEARCH("Block ",B1013)),"Storage",
ISNUMBER(SEARCH("Autonomous Data Warehouse",B1013)),"ADW",
ISNUMBER(SEARCH("Autonomous Transaction Processing",B1013)),"ATP",
ISNUMBER(SEARCH("Database Exadata",B1013)),"ExaCS",
ISNUMBER(SEARCH("Database",B1013)),"DBaaS",
ISNUMBER(SEARCH("Essbase",B1013)),"DBaaS",
ISNUMBER(SEARCH("integration",B1013)),"Integration",
ISNUMBER(SEARCH("SOA",B1013)),"Integration",
ISNUMBER(SEARCH("Management Cloud",B1013)),"Management",
ISNUMBER(SEARCH("Analytics",B1013)),"Analytics",
ISNUMBER(SEARCH("Storage",B1013)),"Storage",
ISNUMBER(SEARCH("Block ",B1013)),"Storage",
ISNUMBER(SEARCH("Identity",B1013)),"Platform",
ISNUMBER(SEARCH("Content",B1013)),"Platform",
ISNUMBER(SEARCH("Weblogic",B1013)),"Platform",
ISNUMBER(SEARCH("Digital Assistant",B1013)),"Platform",
ISNUMBER(SEARCH("Limited",B1013)),"Classic",
ISNUMBER(SEARCH("Classic",B1013)),"Classic",
ISNUMBER(SEARCH("Government",B1013)),"Government",
ISNUMBER(SEARCH("Metered",B1013)),"Deprecated",
VALUE(RIGHT(A1013,5))&lt;88206,"Deprecated",
TRUE,"Platform")</f>
        <v>Deprecated</v>
      </c>
      <c r="L1013" s="660" t="str">
        <f t="shared" si="80"/>
        <v>UNIT</v>
      </c>
      <c r="M1013" s="660" t="str">
        <f t="shared" si="81"/>
        <v>UC</v>
      </c>
      <c r="N1013" s="660" t="str">
        <f t="shared" si="82"/>
        <v>PAAS</v>
      </c>
      <c r="O1013" s="659" t="str">
        <f t="shared" si="83"/>
        <v/>
      </c>
    </row>
    <row r="1014" spans="1:15">
      <c r="A1014">
        <v>0</v>
      </c>
      <c r="B1014">
        <v>0</v>
      </c>
      <c r="C1014">
        <v>0</v>
      </c>
      <c r="D1014">
        <v>0</v>
      </c>
      <c r="E1014">
        <v>0</v>
      </c>
      <c r="F1014" t="s">
        <v>2290</v>
      </c>
      <c r="G1014" t="s">
        <v>2393</v>
      </c>
      <c r="H1014" t="s">
        <v>2394</v>
      </c>
      <c r="I1014" t="s">
        <v>1636</v>
      </c>
      <c r="J1014" t="s">
        <v>2159</v>
      </c>
      <c r="K1014" s="662" t="str">
        <f t="shared" si="84"/>
        <v>Deprecated</v>
      </c>
      <c r="L1014" s="660" t="str">
        <f t="shared" si="80"/>
        <v>UNIT</v>
      </c>
      <c r="M1014" s="660" t="str">
        <f t="shared" si="81"/>
        <v>UC</v>
      </c>
      <c r="N1014" s="660" t="str">
        <f t="shared" si="82"/>
        <v>PAAS</v>
      </c>
      <c r="O1014" s="659" t="str">
        <f t="shared" si="83"/>
        <v/>
      </c>
    </row>
    <row r="1015" spans="1:15">
      <c r="A1015">
        <v>0</v>
      </c>
      <c r="B1015">
        <v>0</v>
      </c>
      <c r="C1015">
        <v>0</v>
      </c>
      <c r="D1015">
        <v>0</v>
      </c>
      <c r="E1015">
        <v>0</v>
      </c>
      <c r="F1015" t="s">
        <v>2290</v>
      </c>
      <c r="G1015" t="s">
        <v>2393</v>
      </c>
      <c r="H1015" t="s">
        <v>2394</v>
      </c>
      <c r="I1015" t="s">
        <v>1636</v>
      </c>
      <c r="J1015" t="s">
        <v>2159</v>
      </c>
      <c r="K1015" s="662" t="str">
        <f t="shared" si="84"/>
        <v>Deprecated</v>
      </c>
      <c r="L1015" s="660" t="str">
        <f t="shared" si="80"/>
        <v>UNIT</v>
      </c>
      <c r="M1015" s="660" t="str">
        <f t="shared" si="81"/>
        <v>UC</v>
      </c>
      <c r="N1015" s="660" t="str">
        <f t="shared" si="82"/>
        <v>PAAS</v>
      </c>
      <c r="O1015" s="659" t="str">
        <f t="shared" si="83"/>
        <v/>
      </c>
    </row>
    <row r="1016" spans="1:15">
      <c r="A1016">
        <v>0</v>
      </c>
      <c r="B1016">
        <v>0</v>
      </c>
      <c r="C1016">
        <v>0</v>
      </c>
      <c r="D1016">
        <v>0</v>
      </c>
      <c r="E1016">
        <v>0</v>
      </c>
      <c r="F1016" t="s">
        <v>2290</v>
      </c>
      <c r="G1016" t="s">
        <v>2393</v>
      </c>
      <c r="H1016" t="s">
        <v>2394</v>
      </c>
      <c r="I1016" t="s">
        <v>1636</v>
      </c>
      <c r="J1016" t="s">
        <v>2159</v>
      </c>
      <c r="K1016" s="662" t="str">
        <f t="shared" si="84"/>
        <v>Deprecated</v>
      </c>
      <c r="L1016" s="660" t="str">
        <f t="shared" si="80"/>
        <v>UNIT</v>
      </c>
      <c r="M1016" s="660" t="str">
        <f t="shared" si="81"/>
        <v>UC</v>
      </c>
      <c r="N1016" s="660" t="str">
        <f t="shared" si="82"/>
        <v>PAAS</v>
      </c>
      <c r="O1016" s="659" t="str">
        <f t="shared" si="83"/>
        <v/>
      </c>
    </row>
    <row r="1017" spans="1:15">
      <c r="A1017">
        <v>0</v>
      </c>
      <c r="B1017">
        <v>0</v>
      </c>
      <c r="C1017">
        <v>0</v>
      </c>
      <c r="D1017">
        <v>0</v>
      </c>
      <c r="E1017">
        <v>0</v>
      </c>
      <c r="F1017" t="s">
        <v>2290</v>
      </c>
      <c r="G1017" t="s">
        <v>2393</v>
      </c>
      <c r="H1017" t="s">
        <v>2394</v>
      </c>
      <c r="I1017" t="s">
        <v>1636</v>
      </c>
      <c r="J1017" t="s">
        <v>2159</v>
      </c>
      <c r="K1017" s="662" t="str">
        <f t="shared" si="84"/>
        <v>Deprecated</v>
      </c>
      <c r="L1017" s="660" t="str">
        <f t="shared" si="80"/>
        <v>UNIT</v>
      </c>
      <c r="M1017" s="660" t="str">
        <f t="shared" si="81"/>
        <v>UC</v>
      </c>
      <c r="N1017" s="660" t="str">
        <f t="shared" si="82"/>
        <v>PAAS</v>
      </c>
      <c r="O1017" s="659" t="str">
        <f t="shared" si="83"/>
        <v/>
      </c>
    </row>
    <row r="1018" spans="1:15">
      <c r="A1018">
        <v>0</v>
      </c>
      <c r="B1018">
        <v>0</v>
      </c>
      <c r="C1018">
        <v>0</v>
      </c>
      <c r="D1018">
        <v>0</v>
      </c>
      <c r="E1018">
        <v>0</v>
      </c>
      <c r="F1018" t="s">
        <v>2290</v>
      </c>
      <c r="G1018" t="s">
        <v>2393</v>
      </c>
      <c r="H1018" t="s">
        <v>2394</v>
      </c>
      <c r="I1018" t="s">
        <v>1636</v>
      </c>
      <c r="J1018" t="s">
        <v>2159</v>
      </c>
      <c r="K1018" s="662" t="str">
        <f t="shared" si="84"/>
        <v>Deprecated</v>
      </c>
      <c r="L1018" s="660" t="str">
        <f t="shared" si="80"/>
        <v>UNIT</v>
      </c>
      <c r="M1018" s="660" t="str">
        <f t="shared" si="81"/>
        <v>UC</v>
      </c>
      <c r="N1018" s="660" t="str">
        <f t="shared" si="82"/>
        <v>PAAS</v>
      </c>
      <c r="O1018" s="659" t="str">
        <f t="shared" si="83"/>
        <v/>
      </c>
    </row>
    <row r="1019" spans="1:15">
      <c r="A1019">
        <v>0</v>
      </c>
      <c r="B1019">
        <v>0</v>
      </c>
      <c r="C1019">
        <v>0</v>
      </c>
      <c r="D1019">
        <v>0</v>
      </c>
      <c r="E1019">
        <v>0</v>
      </c>
      <c r="F1019" t="s">
        <v>2290</v>
      </c>
      <c r="G1019" t="s">
        <v>2393</v>
      </c>
      <c r="H1019" t="s">
        <v>2394</v>
      </c>
      <c r="I1019" t="s">
        <v>1636</v>
      </c>
      <c r="J1019" t="s">
        <v>2159</v>
      </c>
      <c r="K1019" s="662" t="str">
        <f t="shared" si="84"/>
        <v>Deprecated</v>
      </c>
      <c r="L1019" s="660" t="str">
        <f t="shared" si="80"/>
        <v>UNIT</v>
      </c>
      <c r="M1019" s="660" t="str">
        <f t="shared" si="81"/>
        <v>UC</v>
      </c>
      <c r="N1019" s="660" t="str">
        <f t="shared" si="82"/>
        <v>PAAS</v>
      </c>
      <c r="O1019" s="659" t="str">
        <f t="shared" si="83"/>
        <v/>
      </c>
    </row>
    <row r="1020" spans="1:15">
      <c r="A1020">
        <v>0</v>
      </c>
      <c r="B1020">
        <v>0</v>
      </c>
      <c r="C1020">
        <v>0</v>
      </c>
      <c r="D1020">
        <v>0</v>
      </c>
      <c r="E1020">
        <v>0</v>
      </c>
      <c r="F1020" t="s">
        <v>2290</v>
      </c>
      <c r="G1020" t="s">
        <v>2393</v>
      </c>
      <c r="H1020" t="s">
        <v>2394</v>
      </c>
      <c r="I1020" t="s">
        <v>1636</v>
      </c>
      <c r="J1020" t="s">
        <v>2159</v>
      </c>
      <c r="K1020" s="662" t="str">
        <f t="shared" si="84"/>
        <v>Deprecated</v>
      </c>
      <c r="L1020" s="660" t="str">
        <f t="shared" si="80"/>
        <v>UNIT</v>
      </c>
      <c r="M1020" s="660" t="str">
        <f t="shared" si="81"/>
        <v>UC</v>
      </c>
      <c r="N1020" s="660" t="str">
        <f t="shared" si="82"/>
        <v>PAAS</v>
      </c>
      <c r="O1020" s="659" t="str">
        <f t="shared" si="83"/>
        <v/>
      </c>
    </row>
    <row r="1021" spans="1:15">
      <c r="A1021">
        <v>0</v>
      </c>
      <c r="B1021">
        <v>0</v>
      </c>
      <c r="C1021">
        <v>0</v>
      </c>
      <c r="D1021">
        <v>0</v>
      </c>
      <c r="E1021">
        <v>0</v>
      </c>
      <c r="F1021" t="s">
        <v>2290</v>
      </c>
      <c r="G1021" t="s">
        <v>2393</v>
      </c>
      <c r="H1021" t="s">
        <v>2394</v>
      </c>
      <c r="I1021" t="s">
        <v>1636</v>
      </c>
      <c r="J1021" t="s">
        <v>2159</v>
      </c>
      <c r="K1021" s="662" t="str">
        <f t="shared" si="84"/>
        <v>Deprecated</v>
      </c>
      <c r="L1021" s="660" t="str">
        <f t="shared" si="80"/>
        <v>UNIT</v>
      </c>
      <c r="M1021" s="660" t="str">
        <f t="shared" si="81"/>
        <v>UC</v>
      </c>
      <c r="N1021" s="660" t="str">
        <f t="shared" si="82"/>
        <v>PAAS</v>
      </c>
      <c r="O1021" s="659" t="str">
        <f t="shared" si="83"/>
        <v/>
      </c>
    </row>
    <row r="1022" spans="1:15">
      <c r="A1022">
        <v>0</v>
      </c>
      <c r="B1022">
        <v>0</v>
      </c>
      <c r="C1022">
        <v>0</v>
      </c>
      <c r="D1022">
        <v>0</v>
      </c>
      <c r="E1022">
        <v>0</v>
      </c>
      <c r="F1022" t="s">
        <v>2290</v>
      </c>
      <c r="G1022" t="s">
        <v>2393</v>
      </c>
      <c r="H1022" t="s">
        <v>2394</v>
      </c>
      <c r="I1022" t="s">
        <v>1636</v>
      </c>
      <c r="J1022" t="s">
        <v>2159</v>
      </c>
      <c r="K1022" s="662" t="str">
        <f t="shared" si="84"/>
        <v>Deprecated</v>
      </c>
      <c r="L1022" s="660" t="str">
        <f t="shared" si="80"/>
        <v>UNIT</v>
      </c>
      <c r="M1022" s="660" t="str">
        <f t="shared" si="81"/>
        <v>UC</v>
      </c>
      <c r="N1022" s="660" t="str">
        <f t="shared" si="82"/>
        <v>PAAS</v>
      </c>
      <c r="O1022" s="659" t="str">
        <f t="shared" si="83"/>
        <v/>
      </c>
    </row>
    <row r="1023" spans="1:15">
      <c r="A1023">
        <v>0</v>
      </c>
      <c r="B1023">
        <v>0</v>
      </c>
      <c r="C1023">
        <v>0</v>
      </c>
      <c r="D1023">
        <v>0</v>
      </c>
      <c r="E1023">
        <v>0</v>
      </c>
      <c r="F1023" t="s">
        <v>2290</v>
      </c>
      <c r="G1023" t="s">
        <v>2393</v>
      </c>
      <c r="H1023" t="s">
        <v>2394</v>
      </c>
      <c r="I1023" t="s">
        <v>1636</v>
      </c>
      <c r="J1023" t="s">
        <v>2159</v>
      </c>
      <c r="K1023" s="662" t="str">
        <f t="shared" si="84"/>
        <v>Deprecated</v>
      </c>
      <c r="L1023" s="660" t="str">
        <f t="shared" si="80"/>
        <v>UNIT</v>
      </c>
      <c r="M1023" s="660" t="str">
        <f t="shared" si="81"/>
        <v>UC</v>
      </c>
      <c r="N1023" s="660" t="str">
        <f t="shared" si="82"/>
        <v>PAAS</v>
      </c>
      <c r="O1023" s="659" t="str">
        <f t="shared" si="83"/>
        <v/>
      </c>
    </row>
    <row r="1024" spans="1:15">
      <c r="A1024">
        <v>0</v>
      </c>
      <c r="B1024">
        <v>0</v>
      </c>
      <c r="C1024">
        <v>0</v>
      </c>
      <c r="D1024">
        <v>0</v>
      </c>
      <c r="E1024">
        <v>0</v>
      </c>
      <c r="F1024" t="s">
        <v>2290</v>
      </c>
      <c r="G1024" t="s">
        <v>2393</v>
      </c>
      <c r="H1024" t="s">
        <v>2394</v>
      </c>
      <c r="I1024" t="s">
        <v>1636</v>
      </c>
      <c r="J1024" t="s">
        <v>2159</v>
      </c>
      <c r="K1024" s="662" t="str">
        <f t="shared" si="84"/>
        <v>Deprecated</v>
      </c>
      <c r="L1024" s="660" t="str">
        <f t="shared" si="80"/>
        <v>UNIT</v>
      </c>
      <c r="M1024" s="660" t="str">
        <f t="shared" si="81"/>
        <v>UC</v>
      </c>
      <c r="N1024" s="660" t="str">
        <f t="shared" si="82"/>
        <v>PAAS</v>
      </c>
      <c r="O1024" s="659" t="str">
        <f t="shared" si="83"/>
        <v/>
      </c>
    </row>
    <row r="1025" spans="1:15">
      <c r="A1025">
        <v>0</v>
      </c>
      <c r="B1025">
        <v>0</v>
      </c>
      <c r="C1025">
        <v>0</v>
      </c>
      <c r="D1025">
        <v>0</v>
      </c>
      <c r="E1025">
        <v>0</v>
      </c>
      <c r="F1025" t="s">
        <v>2290</v>
      </c>
      <c r="G1025" t="s">
        <v>2393</v>
      </c>
      <c r="H1025" t="s">
        <v>2394</v>
      </c>
      <c r="I1025" t="s">
        <v>1636</v>
      </c>
      <c r="J1025" t="s">
        <v>2159</v>
      </c>
      <c r="K1025" s="662" t="str">
        <f t="shared" si="84"/>
        <v>Deprecated</v>
      </c>
      <c r="L1025" s="660" t="str">
        <f t="shared" si="80"/>
        <v>UNIT</v>
      </c>
      <c r="M1025" s="660" t="str">
        <f t="shared" si="81"/>
        <v>UC</v>
      </c>
      <c r="N1025" s="660" t="str">
        <f t="shared" si="82"/>
        <v>PAAS</v>
      </c>
      <c r="O1025" s="659" t="str">
        <f t="shared" si="83"/>
        <v/>
      </c>
    </row>
    <row r="1026" spans="1:15">
      <c r="A1026">
        <v>0</v>
      </c>
      <c r="B1026">
        <v>0</v>
      </c>
      <c r="C1026">
        <v>0</v>
      </c>
      <c r="D1026">
        <v>0</v>
      </c>
      <c r="E1026">
        <v>0</v>
      </c>
      <c r="F1026" t="s">
        <v>2290</v>
      </c>
      <c r="G1026" t="s">
        <v>2393</v>
      </c>
      <c r="H1026" t="s">
        <v>2394</v>
      </c>
      <c r="I1026" t="s">
        <v>1636</v>
      </c>
      <c r="J1026" t="s">
        <v>2159</v>
      </c>
      <c r="K1026" s="662" t="str">
        <f t="shared" si="84"/>
        <v>Deprecated</v>
      </c>
      <c r="L1026" s="660" t="str">
        <f t="shared" si="80"/>
        <v>UNIT</v>
      </c>
      <c r="M1026" s="660" t="str">
        <f t="shared" si="81"/>
        <v>UC</v>
      </c>
      <c r="N1026" s="660" t="str">
        <f t="shared" si="82"/>
        <v>PAAS</v>
      </c>
      <c r="O1026" s="659" t="str">
        <f t="shared" si="83"/>
        <v/>
      </c>
    </row>
    <row r="1027" spans="1:15">
      <c r="A1027">
        <v>0</v>
      </c>
      <c r="B1027">
        <v>0</v>
      </c>
      <c r="C1027">
        <v>0</v>
      </c>
      <c r="D1027">
        <v>0</v>
      </c>
      <c r="E1027">
        <v>0</v>
      </c>
      <c r="F1027" t="s">
        <v>2290</v>
      </c>
      <c r="G1027" t="s">
        <v>2393</v>
      </c>
      <c r="H1027" t="s">
        <v>2394</v>
      </c>
      <c r="I1027" t="s">
        <v>1636</v>
      </c>
      <c r="J1027" t="s">
        <v>2159</v>
      </c>
      <c r="K1027" s="662" t="str">
        <f t="shared" si="84"/>
        <v>Deprecated</v>
      </c>
      <c r="L1027" s="660" t="str">
        <f t="shared" si="80"/>
        <v>UNIT</v>
      </c>
      <c r="M1027" s="660" t="str">
        <f t="shared" si="81"/>
        <v>UC</v>
      </c>
      <c r="N1027" s="660" t="str">
        <f t="shared" si="82"/>
        <v>PAAS</v>
      </c>
      <c r="O1027" s="659" t="str">
        <f t="shared" si="83"/>
        <v/>
      </c>
    </row>
    <row r="1028" spans="1:15">
      <c r="A1028">
        <v>0</v>
      </c>
      <c r="B1028">
        <v>0</v>
      </c>
      <c r="C1028">
        <v>0</v>
      </c>
      <c r="D1028">
        <v>0</v>
      </c>
      <c r="E1028">
        <v>0</v>
      </c>
      <c r="F1028" t="s">
        <v>2290</v>
      </c>
      <c r="G1028" t="s">
        <v>2393</v>
      </c>
      <c r="H1028" t="s">
        <v>2394</v>
      </c>
      <c r="I1028" t="s">
        <v>1636</v>
      </c>
      <c r="J1028" t="s">
        <v>2159</v>
      </c>
      <c r="K1028" s="662" t="str">
        <f t="shared" si="84"/>
        <v>Deprecated</v>
      </c>
      <c r="L1028" s="660" t="str">
        <f t="shared" si="80"/>
        <v>UNIT</v>
      </c>
      <c r="M1028" s="660" t="str">
        <f t="shared" si="81"/>
        <v>UC</v>
      </c>
      <c r="N1028" s="660" t="str">
        <f t="shared" si="82"/>
        <v>PAAS</v>
      </c>
      <c r="O1028" s="659" t="str">
        <f t="shared" si="83"/>
        <v/>
      </c>
    </row>
    <row r="1029" spans="1:15">
      <c r="A1029">
        <v>0</v>
      </c>
      <c r="B1029">
        <v>0</v>
      </c>
      <c r="C1029">
        <v>0</v>
      </c>
      <c r="D1029">
        <v>0</v>
      </c>
      <c r="E1029">
        <v>0</v>
      </c>
      <c r="F1029" t="s">
        <v>2290</v>
      </c>
      <c r="G1029" t="s">
        <v>2393</v>
      </c>
      <c r="H1029" t="s">
        <v>2394</v>
      </c>
      <c r="I1029" t="s">
        <v>1636</v>
      </c>
      <c r="J1029" t="s">
        <v>2159</v>
      </c>
      <c r="K1029" s="662" t="str">
        <f t="shared" si="84"/>
        <v>Deprecated</v>
      </c>
      <c r="L1029" s="660" t="str">
        <f t="shared" si="80"/>
        <v>UNIT</v>
      </c>
      <c r="M1029" s="660" t="str">
        <f t="shared" si="81"/>
        <v>UC</v>
      </c>
      <c r="N1029" s="660" t="str">
        <f t="shared" si="82"/>
        <v>PAAS</v>
      </c>
      <c r="O1029" s="659" t="str">
        <f t="shared" si="83"/>
        <v/>
      </c>
    </row>
    <row r="1030" spans="1:15">
      <c r="A1030">
        <v>0</v>
      </c>
      <c r="B1030">
        <v>0</v>
      </c>
      <c r="C1030">
        <v>0</v>
      </c>
      <c r="D1030">
        <v>0</v>
      </c>
      <c r="E1030">
        <v>0</v>
      </c>
      <c r="F1030" t="s">
        <v>2290</v>
      </c>
      <c r="G1030" t="s">
        <v>2393</v>
      </c>
      <c r="H1030" t="s">
        <v>2394</v>
      </c>
      <c r="I1030" t="s">
        <v>1636</v>
      </c>
      <c r="J1030" t="s">
        <v>2159</v>
      </c>
      <c r="K1030" s="662" t="str">
        <f t="shared" si="84"/>
        <v>Deprecated</v>
      </c>
      <c r="L1030" s="660" t="str">
        <f t="shared" si="80"/>
        <v>UNIT</v>
      </c>
      <c r="M1030" s="660" t="str">
        <f t="shared" si="81"/>
        <v>UC</v>
      </c>
      <c r="N1030" s="660" t="str">
        <f t="shared" si="82"/>
        <v>PAAS</v>
      </c>
      <c r="O1030" s="659" t="str">
        <f t="shared" si="83"/>
        <v/>
      </c>
    </row>
    <row r="1031" spans="1:15">
      <c r="A1031">
        <v>0</v>
      </c>
      <c r="B1031">
        <v>0</v>
      </c>
      <c r="C1031">
        <v>0</v>
      </c>
      <c r="D1031">
        <v>0</v>
      </c>
      <c r="E1031">
        <v>0</v>
      </c>
      <c r="F1031" t="s">
        <v>2290</v>
      </c>
      <c r="G1031" t="s">
        <v>2393</v>
      </c>
      <c r="H1031" t="s">
        <v>2394</v>
      </c>
      <c r="I1031" t="s">
        <v>1636</v>
      </c>
      <c r="J1031" t="s">
        <v>2159</v>
      </c>
      <c r="K1031" s="662" t="str">
        <f t="shared" si="84"/>
        <v>Deprecated</v>
      </c>
      <c r="L1031" s="660" t="str">
        <f t="shared" si="80"/>
        <v>UNIT</v>
      </c>
      <c r="M1031" s="660" t="str">
        <f t="shared" si="81"/>
        <v>UC</v>
      </c>
      <c r="N1031" s="660" t="str">
        <f t="shared" si="82"/>
        <v>PAAS</v>
      </c>
      <c r="O1031" s="659" t="str">
        <f t="shared" si="83"/>
        <v/>
      </c>
    </row>
    <row r="1032" spans="1:15">
      <c r="A1032">
        <v>0</v>
      </c>
      <c r="B1032">
        <v>0</v>
      </c>
      <c r="C1032">
        <v>0</v>
      </c>
      <c r="D1032">
        <v>0</v>
      </c>
      <c r="E1032">
        <v>0</v>
      </c>
      <c r="F1032" t="s">
        <v>2290</v>
      </c>
      <c r="G1032" t="s">
        <v>2393</v>
      </c>
      <c r="H1032" t="s">
        <v>2394</v>
      </c>
      <c r="I1032" t="s">
        <v>1636</v>
      </c>
      <c r="J1032" t="s">
        <v>2159</v>
      </c>
      <c r="K1032" s="662" t="str">
        <f t="shared" si="84"/>
        <v>Deprecated</v>
      </c>
      <c r="L1032" s="660" t="str">
        <f t="shared" si="80"/>
        <v>UNIT</v>
      </c>
      <c r="M1032" s="660" t="str">
        <f t="shared" si="81"/>
        <v>UC</v>
      </c>
      <c r="N1032" s="660" t="str">
        <f t="shared" si="82"/>
        <v>PAAS</v>
      </c>
      <c r="O1032" s="659" t="str">
        <f t="shared" si="83"/>
        <v/>
      </c>
    </row>
    <row r="1033" spans="1:15">
      <c r="A1033">
        <v>0</v>
      </c>
      <c r="B1033">
        <v>0</v>
      </c>
      <c r="C1033">
        <v>0</v>
      </c>
      <c r="D1033">
        <v>0</v>
      </c>
      <c r="E1033">
        <v>0</v>
      </c>
      <c r="F1033" t="s">
        <v>2290</v>
      </c>
      <c r="G1033" t="s">
        <v>2393</v>
      </c>
      <c r="H1033" t="s">
        <v>2394</v>
      </c>
      <c r="I1033" t="s">
        <v>1636</v>
      </c>
      <c r="J1033" t="s">
        <v>2159</v>
      </c>
      <c r="K1033" s="662" t="str">
        <f t="shared" si="84"/>
        <v>Deprecated</v>
      </c>
      <c r="L1033" s="660" t="str">
        <f t="shared" si="80"/>
        <v>UNIT</v>
      </c>
      <c r="M1033" s="660" t="str">
        <f t="shared" si="81"/>
        <v>UC</v>
      </c>
      <c r="N1033" s="660" t="str">
        <f t="shared" si="82"/>
        <v>PAAS</v>
      </c>
      <c r="O1033" s="659" t="str">
        <f t="shared" si="83"/>
        <v/>
      </c>
    </row>
    <row r="1034" spans="1:15">
      <c r="A1034">
        <v>0</v>
      </c>
      <c r="B1034">
        <v>0</v>
      </c>
      <c r="C1034">
        <v>0</v>
      </c>
      <c r="D1034">
        <v>0</v>
      </c>
      <c r="E1034">
        <v>0</v>
      </c>
      <c r="F1034" t="s">
        <v>2290</v>
      </c>
      <c r="G1034" t="s">
        <v>2393</v>
      </c>
      <c r="H1034" t="s">
        <v>2394</v>
      </c>
      <c r="I1034" t="s">
        <v>1636</v>
      </c>
      <c r="J1034" t="s">
        <v>2159</v>
      </c>
      <c r="K1034" s="662" t="str">
        <f t="shared" si="84"/>
        <v>Deprecated</v>
      </c>
      <c r="L1034" s="660" t="str">
        <f t="shared" si="80"/>
        <v>UNIT</v>
      </c>
      <c r="M1034" s="660" t="str">
        <f t="shared" si="81"/>
        <v>UC</v>
      </c>
      <c r="N1034" s="660" t="str">
        <f t="shared" si="82"/>
        <v>PAAS</v>
      </c>
      <c r="O1034" s="659" t="str">
        <f t="shared" si="83"/>
        <v/>
      </c>
    </row>
    <row r="1035" spans="1:15">
      <c r="A1035">
        <v>0</v>
      </c>
      <c r="B1035">
        <v>0</v>
      </c>
      <c r="C1035">
        <v>0</v>
      </c>
      <c r="D1035">
        <v>0</v>
      </c>
      <c r="E1035">
        <v>0</v>
      </c>
      <c r="F1035" t="s">
        <v>2290</v>
      </c>
      <c r="G1035" t="s">
        <v>2393</v>
      </c>
      <c r="H1035" t="s">
        <v>2394</v>
      </c>
      <c r="I1035" t="s">
        <v>1636</v>
      </c>
      <c r="J1035" t="s">
        <v>2159</v>
      </c>
      <c r="K1035" s="662" t="str">
        <f t="shared" si="84"/>
        <v>Deprecated</v>
      </c>
      <c r="L1035" s="660" t="str">
        <f t="shared" ref="L1035:L1092" si="85">_xlfn.IFS(ISNUMBER(SEARCH("Hour",E1035)),"HR",ISNUMBER(SEARCH("Gigabyte",E1035)),"GB",ISNUMBER(SEARCH("Terabyte",E1035)),"TB",ISNUMBER(SEARCH("Requests",E1035)),"REQ",ISNUMBER(SEARCH("Each",E1035)),"EA",ISNUMBER(SEARCH("Day",E1035)),"DAY","TRUE","UNIT")</f>
        <v>UNIT</v>
      </c>
      <c r="M1035" s="660" t="str">
        <f t="shared" ref="M1035:M1092" si="86">_xlfn.IFS(K1035="CC","CC",K1035="Consulting","SRV",F1035="Y","UC0",TRUE,"UC")</f>
        <v>UC</v>
      </c>
      <c r="N1035" s="660" t="str">
        <f t="shared" ref="N1035:N1092" si="87">_xlfn.IFS(ISNUMBER(SEARCH("BYOL",B1035)),"BYOL",K1035="Storage","IAAS",K1035="Compute","IAAS",K1035="Network","IAAS",K1035="Service","IAAS",M1035="SRV","SRV",M1035="CC","CC",L1035="REQ","IAAS",TRUE,"PAAS")</f>
        <v>PAAS</v>
      </c>
      <c r="O1035" s="659" t="str">
        <f t="shared" ref="O1035:O1092" si="88">IF(G1035=K1035,"","error")</f>
        <v/>
      </c>
    </row>
    <row r="1036" spans="1:15">
      <c r="A1036">
        <v>0</v>
      </c>
      <c r="B1036">
        <v>0</v>
      </c>
      <c r="C1036">
        <v>0</v>
      </c>
      <c r="D1036">
        <v>0</v>
      </c>
      <c r="E1036">
        <v>0</v>
      </c>
      <c r="F1036" t="s">
        <v>2290</v>
      </c>
      <c r="G1036" t="s">
        <v>2393</v>
      </c>
      <c r="H1036" t="s">
        <v>2394</v>
      </c>
      <c r="I1036" t="s">
        <v>1636</v>
      </c>
      <c r="J1036" t="s">
        <v>2159</v>
      </c>
      <c r="K1036" s="662" t="str">
        <f t="shared" si="84"/>
        <v>Deprecated</v>
      </c>
      <c r="L1036" s="660" t="str">
        <f t="shared" si="85"/>
        <v>UNIT</v>
      </c>
      <c r="M1036" s="660" t="str">
        <f t="shared" si="86"/>
        <v>UC</v>
      </c>
      <c r="N1036" s="660" t="str">
        <f t="shared" si="87"/>
        <v>PAAS</v>
      </c>
      <c r="O1036" s="659" t="str">
        <f t="shared" si="88"/>
        <v/>
      </c>
    </row>
    <row r="1037" spans="1:15">
      <c r="A1037">
        <v>0</v>
      </c>
      <c r="B1037">
        <v>0</v>
      </c>
      <c r="C1037">
        <v>0</v>
      </c>
      <c r="D1037">
        <v>0</v>
      </c>
      <c r="E1037">
        <v>0</v>
      </c>
      <c r="F1037" t="s">
        <v>2290</v>
      </c>
      <c r="G1037" t="s">
        <v>2393</v>
      </c>
      <c r="H1037" t="s">
        <v>2394</v>
      </c>
      <c r="I1037" t="s">
        <v>1636</v>
      </c>
      <c r="J1037" t="s">
        <v>2159</v>
      </c>
      <c r="K1037" s="662" t="str">
        <f t="shared" si="84"/>
        <v>Deprecated</v>
      </c>
      <c r="L1037" s="660" t="str">
        <f t="shared" si="85"/>
        <v>UNIT</v>
      </c>
      <c r="M1037" s="660" t="str">
        <f t="shared" si="86"/>
        <v>UC</v>
      </c>
      <c r="N1037" s="660" t="str">
        <f t="shared" si="87"/>
        <v>PAAS</v>
      </c>
      <c r="O1037" s="659" t="str">
        <f t="shared" si="88"/>
        <v/>
      </c>
    </row>
    <row r="1038" spans="1:15">
      <c r="A1038">
        <v>0</v>
      </c>
      <c r="B1038">
        <v>0</v>
      </c>
      <c r="C1038">
        <v>0</v>
      </c>
      <c r="D1038">
        <v>0</v>
      </c>
      <c r="E1038">
        <v>0</v>
      </c>
      <c r="F1038" t="s">
        <v>2290</v>
      </c>
      <c r="G1038" t="s">
        <v>2393</v>
      </c>
      <c r="H1038" t="s">
        <v>2394</v>
      </c>
      <c r="I1038" t="s">
        <v>1636</v>
      </c>
      <c r="J1038" t="s">
        <v>2159</v>
      </c>
      <c r="K1038" s="662" t="str">
        <f t="shared" si="84"/>
        <v>Deprecated</v>
      </c>
      <c r="L1038" s="660" t="str">
        <f t="shared" si="85"/>
        <v>UNIT</v>
      </c>
      <c r="M1038" s="660" t="str">
        <f t="shared" si="86"/>
        <v>UC</v>
      </c>
      <c r="N1038" s="660" t="str">
        <f t="shared" si="87"/>
        <v>PAAS</v>
      </c>
      <c r="O1038" s="659" t="str">
        <f t="shared" si="88"/>
        <v/>
      </c>
    </row>
    <row r="1039" spans="1:15">
      <c r="A1039" s="661">
        <v>0</v>
      </c>
      <c r="B1039" s="659">
        <v>0</v>
      </c>
      <c r="C1039" s="664">
        <v>0</v>
      </c>
      <c r="D1039" s="664">
        <v>0</v>
      </c>
      <c r="E1039" s="664">
        <v>0</v>
      </c>
      <c r="F1039" s="664" t="s">
        <v>2290</v>
      </c>
      <c r="G1039" s="664" t="s">
        <v>2393</v>
      </c>
      <c r="H1039" s="664" t="s">
        <v>2394</v>
      </c>
      <c r="I1039" s="664" t="s">
        <v>1636</v>
      </c>
      <c r="J1039" s="664" t="s">
        <v>2159</v>
      </c>
      <c r="K1039" s="662" t="str">
        <f t="shared" si="84"/>
        <v>Deprecated</v>
      </c>
      <c r="L1039" s="660" t="str">
        <f t="shared" si="85"/>
        <v>UNIT</v>
      </c>
      <c r="M1039" s="660" t="str">
        <f t="shared" si="86"/>
        <v>UC</v>
      </c>
      <c r="N1039" s="660" t="str">
        <f t="shared" si="87"/>
        <v>PAAS</v>
      </c>
      <c r="O1039" s="659" t="str">
        <f t="shared" si="88"/>
        <v/>
      </c>
    </row>
    <row r="1040" spans="1:15">
      <c r="A1040" s="661">
        <v>0</v>
      </c>
      <c r="B1040" s="659">
        <v>0</v>
      </c>
      <c r="C1040" s="664">
        <v>0</v>
      </c>
      <c r="D1040" s="664">
        <v>0</v>
      </c>
      <c r="E1040" s="664">
        <v>0</v>
      </c>
      <c r="F1040" s="664" t="s">
        <v>2290</v>
      </c>
      <c r="G1040" s="664" t="s">
        <v>2393</v>
      </c>
      <c r="H1040" s="664" t="s">
        <v>2394</v>
      </c>
      <c r="I1040" s="664" t="s">
        <v>1636</v>
      </c>
      <c r="J1040" s="664" t="s">
        <v>2159</v>
      </c>
      <c r="K1040" s="662" t="str">
        <f t="shared" si="84"/>
        <v>Deprecated</v>
      </c>
      <c r="L1040" s="660" t="str">
        <f t="shared" si="85"/>
        <v>UNIT</v>
      </c>
      <c r="M1040" s="660" t="str">
        <f t="shared" si="86"/>
        <v>UC</v>
      </c>
      <c r="N1040" s="660" t="str">
        <f t="shared" si="87"/>
        <v>PAAS</v>
      </c>
      <c r="O1040" s="659" t="str">
        <f t="shared" si="88"/>
        <v/>
      </c>
    </row>
    <row r="1041" spans="1:15">
      <c r="A1041" s="661">
        <v>0</v>
      </c>
      <c r="B1041" s="659">
        <v>0</v>
      </c>
      <c r="C1041" s="664">
        <v>0</v>
      </c>
      <c r="D1041" s="664">
        <v>0</v>
      </c>
      <c r="E1041" s="664">
        <v>0</v>
      </c>
      <c r="F1041" s="664" t="s">
        <v>2290</v>
      </c>
      <c r="G1041" s="664" t="s">
        <v>2393</v>
      </c>
      <c r="H1041" s="664" t="s">
        <v>2394</v>
      </c>
      <c r="I1041" s="664" t="s">
        <v>1636</v>
      </c>
      <c r="J1041" s="664" t="s">
        <v>2159</v>
      </c>
      <c r="K1041" s="662" t="str">
        <f t="shared" si="84"/>
        <v>Deprecated</v>
      </c>
      <c r="L1041" s="660" t="str">
        <f t="shared" si="85"/>
        <v>UNIT</v>
      </c>
      <c r="M1041" s="660" t="str">
        <f t="shared" si="86"/>
        <v>UC</v>
      </c>
      <c r="N1041" s="660" t="str">
        <f t="shared" si="87"/>
        <v>PAAS</v>
      </c>
      <c r="O1041" s="659" t="str">
        <f t="shared" si="88"/>
        <v/>
      </c>
    </row>
    <row r="1042" spans="1:15">
      <c r="A1042" s="661">
        <v>0</v>
      </c>
      <c r="B1042" s="659">
        <v>0</v>
      </c>
      <c r="C1042" s="664">
        <v>0</v>
      </c>
      <c r="D1042" s="664">
        <v>0</v>
      </c>
      <c r="E1042" s="664">
        <v>0</v>
      </c>
      <c r="F1042" s="664" t="s">
        <v>2290</v>
      </c>
      <c r="G1042" s="664" t="s">
        <v>2393</v>
      </c>
      <c r="H1042" s="664" t="s">
        <v>2394</v>
      </c>
      <c r="I1042" s="664" t="s">
        <v>1636</v>
      </c>
      <c r="J1042" s="664" t="s">
        <v>2159</v>
      </c>
      <c r="K1042" s="662" t="str">
        <f t="shared" si="84"/>
        <v>Deprecated</v>
      </c>
      <c r="L1042" s="660" t="str">
        <f t="shared" si="85"/>
        <v>UNIT</v>
      </c>
      <c r="M1042" s="660" t="str">
        <f t="shared" si="86"/>
        <v>UC</v>
      </c>
      <c r="N1042" s="660" t="str">
        <f t="shared" si="87"/>
        <v>PAAS</v>
      </c>
      <c r="O1042" s="659" t="str">
        <f t="shared" si="88"/>
        <v/>
      </c>
    </row>
    <row r="1043" spans="1:15">
      <c r="A1043" s="661">
        <v>0</v>
      </c>
      <c r="B1043" s="659">
        <v>0</v>
      </c>
      <c r="C1043" s="664">
        <v>0</v>
      </c>
      <c r="D1043" s="664">
        <v>0</v>
      </c>
      <c r="E1043" s="664">
        <v>0</v>
      </c>
      <c r="F1043" s="664" t="s">
        <v>2290</v>
      </c>
      <c r="G1043" s="664" t="s">
        <v>2393</v>
      </c>
      <c r="H1043" s="664" t="s">
        <v>2394</v>
      </c>
      <c r="I1043" s="664" t="s">
        <v>1636</v>
      </c>
      <c r="J1043" s="664" t="s">
        <v>2159</v>
      </c>
      <c r="K1043" s="662" t="str">
        <f t="shared" si="84"/>
        <v>Deprecated</v>
      </c>
      <c r="L1043" s="660" t="str">
        <f t="shared" si="85"/>
        <v>UNIT</v>
      </c>
      <c r="M1043" s="660" t="str">
        <f t="shared" si="86"/>
        <v>UC</v>
      </c>
      <c r="N1043" s="660" t="str">
        <f t="shared" si="87"/>
        <v>PAAS</v>
      </c>
      <c r="O1043" s="659" t="str">
        <f t="shared" si="88"/>
        <v/>
      </c>
    </row>
    <row r="1044" spans="1:15">
      <c r="A1044" s="661">
        <v>0</v>
      </c>
      <c r="B1044" s="659">
        <v>0</v>
      </c>
      <c r="C1044" s="664">
        <v>0</v>
      </c>
      <c r="D1044" s="664">
        <v>0</v>
      </c>
      <c r="E1044" s="664">
        <v>0</v>
      </c>
      <c r="F1044" s="664" t="s">
        <v>2290</v>
      </c>
      <c r="G1044" s="664" t="s">
        <v>2393</v>
      </c>
      <c r="H1044" s="664" t="s">
        <v>2394</v>
      </c>
      <c r="I1044" s="664" t="s">
        <v>1636</v>
      </c>
      <c r="J1044" s="664" t="s">
        <v>2159</v>
      </c>
      <c r="K1044" s="662" t="str">
        <f t="shared" si="84"/>
        <v>Deprecated</v>
      </c>
      <c r="L1044" s="660" t="str">
        <f t="shared" si="85"/>
        <v>UNIT</v>
      </c>
      <c r="M1044" s="660" t="str">
        <f t="shared" si="86"/>
        <v>UC</v>
      </c>
      <c r="N1044" s="660" t="str">
        <f t="shared" si="87"/>
        <v>PAAS</v>
      </c>
      <c r="O1044" s="659" t="str">
        <f t="shared" si="88"/>
        <v/>
      </c>
    </row>
    <row r="1045" spans="1:15">
      <c r="A1045" s="661">
        <v>0</v>
      </c>
      <c r="B1045" s="659">
        <v>0</v>
      </c>
      <c r="C1045" s="664">
        <v>0</v>
      </c>
      <c r="D1045" s="664">
        <v>0</v>
      </c>
      <c r="E1045" s="664">
        <v>0</v>
      </c>
      <c r="F1045" s="664" t="s">
        <v>2290</v>
      </c>
      <c r="G1045" s="664" t="s">
        <v>2393</v>
      </c>
      <c r="H1045" s="664" t="s">
        <v>2394</v>
      </c>
      <c r="I1045" s="664" t="s">
        <v>1636</v>
      </c>
      <c r="J1045" s="664" t="s">
        <v>2159</v>
      </c>
      <c r="K1045" s="662" t="str">
        <f t="shared" si="84"/>
        <v>Deprecated</v>
      </c>
      <c r="L1045" s="660" t="str">
        <f t="shared" si="85"/>
        <v>UNIT</v>
      </c>
      <c r="M1045" s="660" t="str">
        <f t="shared" si="86"/>
        <v>UC</v>
      </c>
      <c r="N1045" s="660" t="str">
        <f t="shared" si="87"/>
        <v>PAAS</v>
      </c>
      <c r="O1045" s="659" t="str">
        <f t="shared" si="88"/>
        <v/>
      </c>
    </row>
    <row r="1046" spans="1:15">
      <c r="A1046" s="661">
        <v>0</v>
      </c>
      <c r="B1046" s="659">
        <v>0</v>
      </c>
      <c r="C1046" s="664">
        <v>0</v>
      </c>
      <c r="D1046" s="664">
        <v>0</v>
      </c>
      <c r="E1046" s="664">
        <v>0</v>
      </c>
      <c r="F1046" s="664" t="s">
        <v>2290</v>
      </c>
      <c r="G1046" s="664" t="s">
        <v>2393</v>
      </c>
      <c r="H1046" s="664" t="s">
        <v>2394</v>
      </c>
      <c r="I1046" s="664" t="s">
        <v>1636</v>
      </c>
      <c r="J1046" s="664" t="s">
        <v>2159</v>
      </c>
      <c r="K1046" s="662" t="str">
        <f t="shared" si="84"/>
        <v>Deprecated</v>
      </c>
      <c r="L1046" s="660" t="str">
        <f t="shared" si="85"/>
        <v>UNIT</v>
      </c>
      <c r="M1046" s="660" t="str">
        <f t="shared" si="86"/>
        <v>UC</v>
      </c>
      <c r="N1046" s="660" t="str">
        <f t="shared" si="87"/>
        <v>PAAS</v>
      </c>
      <c r="O1046" s="659" t="str">
        <f t="shared" si="88"/>
        <v/>
      </c>
    </row>
    <row r="1047" spans="1:15">
      <c r="A1047" s="661">
        <v>0</v>
      </c>
      <c r="B1047" s="659">
        <v>0</v>
      </c>
      <c r="C1047" s="664">
        <v>0</v>
      </c>
      <c r="D1047" s="664">
        <v>0</v>
      </c>
      <c r="E1047" s="664">
        <v>0</v>
      </c>
      <c r="F1047" s="664" t="s">
        <v>2290</v>
      </c>
      <c r="G1047" s="664" t="s">
        <v>2393</v>
      </c>
      <c r="H1047" s="664" t="s">
        <v>2394</v>
      </c>
      <c r="I1047" s="664" t="s">
        <v>1636</v>
      </c>
      <c r="J1047" s="664" t="s">
        <v>2159</v>
      </c>
      <c r="K1047" s="662" t="str">
        <f t="shared" si="84"/>
        <v>Deprecated</v>
      </c>
      <c r="L1047" s="660" t="str">
        <f t="shared" si="85"/>
        <v>UNIT</v>
      </c>
      <c r="M1047" s="660" t="str">
        <f t="shared" si="86"/>
        <v>UC</v>
      </c>
      <c r="N1047" s="660" t="str">
        <f t="shared" si="87"/>
        <v>PAAS</v>
      </c>
      <c r="O1047" s="659" t="str">
        <f t="shared" si="88"/>
        <v/>
      </c>
    </row>
    <row r="1048" spans="1:15">
      <c r="A1048" s="661">
        <v>0</v>
      </c>
      <c r="B1048" s="659">
        <v>0</v>
      </c>
      <c r="C1048" s="664">
        <v>0</v>
      </c>
      <c r="D1048" s="664">
        <v>0</v>
      </c>
      <c r="E1048" s="664">
        <v>0</v>
      </c>
      <c r="F1048" s="664" t="s">
        <v>2290</v>
      </c>
      <c r="G1048" s="664" t="s">
        <v>2393</v>
      </c>
      <c r="H1048" s="664" t="s">
        <v>2394</v>
      </c>
      <c r="I1048" s="664" t="s">
        <v>1636</v>
      </c>
      <c r="J1048" s="664" t="s">
        <v>2159</v>
      </c>
      <c r="K1048" s="662" t="str">
        <f t="shared" si="84"/>
        <v>Deprecated</v>
      </c>
      <c r="L1048" s="660" t="str">
        <f t="shared" si="85"/>
        <v>UNIT</v>
      </c>
      <c r="M1048" s="660" t="str">
        <f t="shared" si="86"/>
        <v>UC</v>
      </c>
      <c r="N1048" s="660" t="str">
        <f t="shared" si="87"/>
        <v>PAAS</v>
      </c>
      <c r="O1048" s="659" t="str">
        <f t="shared" si="88"/>
        <v/>
      </c>
    </row>
    <row r="1049" spans="1:15">
      <c r="A1049" s="661">
        <v>0</v>
      </c>
      <c r="B1049" s="659">
        <v>0</v>
      </c>
      <c r="C1049" s="664">
        <v>0</v>
      </c>
      <c r="D1049" s="664">
        <v>0</v>
      </c>
      <c r="E1049" s="664">
        <v>0</v>
      </c>
      <c r="F1049" s="664" t="s">
        <v>2290</v>
      </c>
      <c r="G1049" s="664" t="s">
        <v>2393</v>
      </c>
      <c r="H1049" s="664" t="s">
        <v>2394</v>
      </c>
      <c r="I1049" s="664" t="s">
        <v>1636</v>
      </c>
      <c r="J1049" s="664" t="s">
        <v>2159</v>
      </c>
      <c r="K1049" s="662" t="str">
        <f t="shared" si="84"/>
        <v>Deprecated</v>
      </c>
      <c r="L1049" s="660" t="str">
        <f t="shared" si="85"/>
        <v>UNIT</v>
      </c>
      <c r="M1049" s="660" t="str">
        <f t="shared" si="86"/>
        <v>UC</v>
      </c>
      <c r="N1049" s="660" t="str">
        <f t="shared" si="87"/>
        <v>PAAS</v>
      </c>
      <c r="O1049" s="659" t="str">
        <f t="shared" si="88"/>
        <v/>
      </c>
    </row>
    <row r="1050" spans="1:15">
      <c r="A1050" s="661">
        <v>0</v>
      </c>
      <c r="B1050" s="659">
        <v>0</v>
      </c>
      <c r="C1050" s="664">
        <v>0</v>
      </c>
      <c r="D1050" s="664">
        <v>0</v>
      </c>
      <c r="E1050" s="664">
        <v>0</v>
      </c>
      <c r="F1050" s="664" t="s">
        <v>2290</v>
      </c>
      <c r="G1050" s="664" t="s">
        <v>2393</v>
      </c>
      <c r="H1050" s="664" t="s">
        <v>2394</v>
      </c>
      <c r="I1050" s="664" t="s">
        <v>1636</v>
      </c>
      <c r="J1050" s="664" t="s">
        <v>2159</v>
      </c>
      <c r="K1050" s="662" t="str">
        <f t="shared" si="84"/>
        <v>Deprecated</v>
      </c>
      <c r="L1050" s="660" t="str">
        <f t="shared" si="85"/>
        <v>UNIT</v>
      </c>
      <c r="M1050" s="660" t="str">
        <f t="shared" si="86"/>
        <v>UC</v>
      </c>
      <c r="N1050" s="660" t="str">
        <f t="shared" si="87"/>
        <v>PAAS</v>
      </c>
      <c r="O1050" s="659" t="str">
        <f t="shared" si="88"/>
        <v/>
      </c>
    </row>
    <row r="1051" spans="1:15">
      <c r="A1051" s="661">
        <v>0</v>
      </c>
      <c r="B1051" s="659">
        <v>0</v>
      </c>
      <c r="C1051" s="664">
        <v>0</v>
      </c>
      <c r="D1051" s="664">
        <v>0</v>
      </c>
      <c r="E1051" s="664">
        <v>0</v>
      </c>
      <c r="F1051" s="664" t="s">
        <v>2290</v>
      </c>
      <c r="G1051" s="664" t="s">
        <v>2393</v>
      </c>
      <c r="H1051" s="664" t="s">
        <v>2394</v>
      </c>
      <c r="I1051" s="664" t="s">
        <v>1636</v>
      </c>
      <c r="J1051" s="664" t="s">
        <v>2159</v>
      </c>
      <c r="K1051" s="662" t="str">
        <f t="shared" si="84"/>
        <v>Deprecated</v>
      </c>
      <c r="L1051" s="660" t="str">
        <f t="shared" si="85"/>
        <v>UNIT</v>
      </c>
      <c r="M1051" s="660" t="str">
        <f t="shared" si="86"/>
        <v>UC</v>
      </c>
      <c r="N1051" s="660" t="str">
        <f t="shared" si="87"/>
        <v>PAAS</v>
      </c>
      <c r="O1051" s="659" t="str">
        <f t="shared" si="88"/>
        <v/>
      </c>
    </row>
    <row r="1052" spans="1:15">
      <c r="A1052" s="661">
        <v>0</v>
      </c>
      <c r="B1052" s="659">
        <v>0</v>
      </c>
      <c r="C1052" s="664">
        <v>0</v>
      </c>
      <c r="D1052" s="664">
        <v>0</v>
      </c>
      <c r="E1052" s="664">
        <v>0</v>
      </c>
      <c r="F1052" s="664" t="s">
        <v>2290</v>
      </c>
      <c r="G1052" s="664" t="s">
        <v>2393</v>
      </c>
      <c r="H1052" s="664" t="s">
        <v>2394</v>
      </c>
      <c r="I1052" s="664" t="s">
        <v>1636</v>
      </c>
      <c r="J1052" s="664" t="s">
        <v>2159</v>
      </c>
      <c r="K1052" s="662" t="str">
        <f t="shared" si="84"/>
        <v>Deprecated</v>
      </c>
      <c r="L1052" s="660" t="str">
        <f t="shared" si="85"/>
        <v>UNIT</v>
      </c>
      <c r="M1052" s="660" t="str">
        <f t="shared" si="86"/>
        <v>UC</v>
      </c>
      <c r="N1052" s="660" t="str">
        <f t="shared" si="87"/>
        <v>PAAS</v>
      </c>
      <c r="O1052" s="659" t="str">
        <f t="shared" si="88"/>
        <v/>
      </c>
    </row>
    <row r="1053" spans="1:15">
      <c r="A1053" s="661">
        <v>0</v>
      </c>
      <c r="B1053" s="659">
        <v>0</v>
      </c>
      <c r="C1053" s="664">
        <v>0</v>
      </c>
      <c r="D1053" s="664">
        <v>0</v>
      </c>
      <c r="E1053" s="664">
        <v>0</v>
      </c>
      <c r="F1053" s="664" t="s">
        <v>2290</v>
      </c>
      <c r="G1053" s="664" t="s">
        <v>2393</v>
      </c>
      <c r="H1053" s="664" t="s">
        <v>2394</v>
      </c>
      <c r="I1053" s="664" t="s">
        <v>1636</v>
      </c>
      <c r="J1053" s="664" t="s">
        <v>2159</v>
      </c>
      <c r="K1053" s="662" t="str">
        <f t="shared" si="84"/>
        <v>Deprecated</v>
      </c>
      <c r="L1053" s="660" t="str">
        <f t="shared" si="85"/>
        <v>UNIT</v>
      </c>
      <c r="M1053" s="660" t="str">
        <f t="shared" si="86"/>
        <v>UC</v>
      </c>
      <c r="N1053" s="660" t="str">
        <f t="shared" si="87"/>
        <v>PAAS</v>
      </c>
      <c r="O1053" s="659" t="str">
        <f t="shared" si="88"/>
        <v/>
      </c>
    </row>
    <row r="1054" spans="1:15">
      <c r="A1054" s="661">
        <v>0</v>
      </c>
      <c r="B1054" s="659">
        <v>0</v>
      </c>
      <c r="C1054" s="664">
        <v>0</v>
      </c>
      <c r="D1054" s="664">
        <v>0</v>
      </c>
      <c r="E1054" s="664">
        <v>0</v>
      </c>
      <c r="F1054" s="664" t="s">
        <v>2290</v>
      </c>
      <c r="G1054" s="664" t="s">
        <v>2393</v>
      </c>
      <c r="H1054" s="664" t="s">
        <v>2394</v>
      </c>
      <c r="I1054" s="664" t="s">
        <v>1636</v>
      </c>
      <c r="J1054" s="664" t="s">
        <v>2159</v>
      </c>
      <c r="K1054" s="662" t="str">
        <f t="shared" si="84"/>
        <v>Deprecated</v>
      </c>
      <c r="L1054" s="660" t="str">
        <f t="shared" si="85"/>
        <v>UNIT</v>
      </c>
      <c r="M1054" s="660" t="str">
        <f t="shared" si="86"/>
        <v>UC</v>
      </c>
      <c r="N1054" s="660" t="str">
        <f t="shared" si="87"/>
        <v>PAAS</v>
      </c>
      <c r="O1054" s="659" t="str">
        <f t="shared" si="88"/>
        <v/>
      </c>
    </row>
    <row r="1055" spans="1:15">
      <c r="A1055" s="661">
        <v>0</v>
      </c>
      <c r="B1055" s="659">
        <v>0</v>
      </c>
      <c r="C1055" s="664">
        <v>0</v>
      </c>
      <c r="D1055" s="664">
        <v>0</v>
      </c>
      <c r="E1055" s="664">
        <v>0</v>
      </c>
      <c r="F1055" s="664" t="s">
        <v>2290</v>
      </c>
      <c r="G1055" s="664" t="s">
        <v>2393</v>
      </c>
      <c r="H1055" s="664" t="s">
        <v>2394</v>
      </c>
      <c r="I1055" s="664" t="s">
        <v>1636</v>
      </c>
      <c r="J1055" s="664" t="s">
        <v>2159</v>
      </c>
      <c r="K1055" s="662" t="str">
        <f t="shared" si="84"/>
        <v>Deprecated</v>
      </c>
      <c r="L1055" s="660" t="str">
        <f t="shared" si="85"/>
        <v>UNIT</v>
      </c>
      <c r="M1055" s="660" t="str">
        <f t="shared" si="86"/>
        <v>UC</v>
      </c>
      <c r="N1055" s="660" t="str">
        <f t="shared" si="87"/>
        <v>PAAS</v>
      </c>
      <c r="O1055" s="659" t="str">
        <f t="shared" si="88"/>
        <v/>
      </c>
    </row>
    <row r="1056" spans="1:15">
      <c r="A1056" s="661">
        <v>0</v>
      </c>
      <c r="B1056" s="659">
        <v>0</v>
      </c>
      <c r="C1056" s="664">
        <v>0</v>
      </c>
      <c r="D1056" s="664">
        <v>0</v>
      </c>
      <c r="E1056" s="664">
        <v>0</v>
      </c>
      <c r="F1056" s="664" t="s">
        <v>2290</v>
      </c>
      <c r="G1056" s="664" t="s">
        <v>2393</v>
      </c>
      <c r="H1056" s="664" t="s">
        <v>2394</v>
      </c>
      <c r="I1056" s="664" t="s">
        <v>1636</v>
      </c>
      <c r="J1056" s="664" t="s">
        <v>2159</v>
      </c>
      <c r="K1056" s="662" t="str">
        <f t="shared" si="84"/>
        <v>Deprecated</v>
      </c>
      <c r="L1056" s="660" t="str">
        <f t="shared" si="85"/>
        <v>UNIT</v>
      </c>
      <c r="M1056" s="660" t="str">
        <f t="shared" si="86"/>
        <v>UC</v>
      </c>
      <c r="N1056" s="660" t="str">
        <f t="shared" si="87"/>
        <v>PAAS</v>
      </c>
      <c r="O1056" s="659" t="str">
        <f t="shared" si="88"/>
        <v/>
      </c>
    </row>
    <row r="1057" spans="1:15">
      <c r="A1057" s="661">
        <v>0</v>
      </c>
      <c r="B1057" s="659">
        <v>0</v>
      </c>
      <c r="C1057" s="664">
        <v>0</v>
      </c>
      <c r="D1057" s="664">
        <v>0</v>
      </c>
      <c r="E1057" s="664">
        <v>0</v>
      </c>
      <c r="F1057" s="664" t="s">
        <v>2290</v>
      </c>
      <c r="G1057" s="664" t="s">
        <v>2393</v>
      </c>
      <c r="H1057" s="664" t="s">
        <v>2394</v>
      </c>
      <c r="I1057" s="664" t="s">
        <v>1636</v>
      </c>
      <c r="J1057" s="664" t="s">
        <v>2159</v>
      </c>
      <c r="K1057" s="662" t="str">
        <f t="shared" si="84"/>
        <v>Deprecated</v>
      </c>
      <c r="L1057" s="660" t="str">
        <f t="shared" si="85"/>
        <v>UNIT</v>
      </c>
      <c r="M1057" s="660" t="str">
        <f t="shared" si="86"/>
        <v>UC</v>
      </c>
      <c r="N1057" s="660" t="str">
        <f t="shared" si="87"/>
        <v>PAAS</v>
      </c>
      <c r="O1057" s="659" t="str">
        <f t="shared" si="88"/>
        <v/>
      </c>
    </row>
    <row r="1058" spans="1:15">
      <c r="A1058" s="661">
        <v>0</v>
      </c>
      <c r="B1058" s="659">
        <v>0</v>
      </c>
      <c r="C1058" s="664">
        <v>0</v>
      </c>
      <c r="D1058" s="664">
        <v>0</v>
      </c>
      <c r="E1058" s="664">
        <v>0</v>
      </c>
      <c r="F1058" s="664" t="s">
        <v>2290</v>
      </c>
      <c r="G1058" s="664" t="s">
        <v>2393</v>
      </c>
      <c r="H1058" s="664" t="s">
        <v>2394</v>
      </c>
      <c r="I1058" s="664" t="s">
        <v>1636</v>
      </c>
      <c r="J1058" s="664" t="s">
        <v>2159</v>
      </c>
      <c r="K1058" s="662" t="str">
        <f t="shared" si="84"/>
        <v>Deprecated</v>
      </c>
      <c r="L1058" s="660" t="str">
        <f t="shared" si="85"/>
        <v>UNIT</v>
      </c>
      <c r="M1058" s="660" t="str">
        <f t="shared" si="86"/>
        <v>UC</v>
      </c>
      <c r="N1058" s="660" t="str">
        <f t="shared" si="87"/>
        <v>PAAS</v>
      </c>
      <c r="O1058" s="659" t="str">
        <f t="shared" si="88"/>
        <v/>
      </c>
    </row>
    <row r="1059" spans="1:15">
      <c r="A1059" s="661">
        <v>0</v>
      </c>
      <c r="B1059" s="659">
        <v>0</v>
      </c>
      <c r="C1059" s="664">
        <v>0</v>
      </c>
      <c r="D1059" s="664">
        <v>0</v>
      </c>
      <c r="E1059" s="664">
        <v>0</v>
      </c>
      <c r="F1059" s="664" t="s">
        <v>2290</v>
      </c>
      <c r="G1059" s="664" t="s">
        <v>2393</v>
      </c>
      <c r="H1059" s="664" t="s">
        <v>2394</v>
      </c>
      <c r="I1059" s="664" t="s">
        <v>1636</v>
      </c>
      <c r="J1059" s="664" t="s">
        <v>2159</v>
      </c>
      <c r="K1059" s="662" t="str">
        <f t="shared" si="84"/>
        <v>Deprecated</v>
      </c>
      <c r="L1059" s="660" t="str">
        <f t="shared" si="85"/>
        <v>UNIT</v>
      </c>
      <c r="M1059" s="660" t="str">
        <f t="shared" si="86"/>
        <v>UC</v>
      </c>
      <c r="N1059" s="660" t="str">
        <f t="shared" si="87"/>
        <v>PAAS</v>
      </c>
      <c r="O1059" s="659" t="str">
        <f t="shared" si="88"/>
        <v/>
      </c>
    </row>
    <row r="1060" spans="1:15">
      <c r="A1060" s="661">
        <v>0</v>
      </c>
      <c r="B1060" s="659">
        <v>0</v>
      </c>
      <c r="C1060" s="664">
        <v>0</v>
      </c>
      <c r="D1060" s="664">
        <v>0</v>
      </c>
      <c r="E1060" s="664">
        <v>0</v>
      </c>
      <c r="F1060" s="664" t="s">
        <v>2290</v>
      </c>
      <c r="G1060" s="664" t="s">
        <v>2393</v>
      </c>
      <c r="H1060" s="664" t="s">
        <v>2394</v>
      </c>
      <c r="I1060" s="664" t="s">
        <v>1636</v>
      </c>
      <c r="J1060" s="664" t="s">
        <v>2159</v>
      </c>
      <c r="K1060" s="662" t="str">
        <f t="shared" si="84"/>
        <v>Deprecated</v>
      </c>
      <c r="L1060" s="660" t="str">
        <f t="shared" si="85"/>
        <v>UNIT</v>
      </c>
      <c r="M1060" s="660" t="str">
        <f t="shared" si="86"/>
        <v>UC</v>
      </c>
      <c r="N1060" s="660" t="str">
        <f t="shared" si="87"/>
        <v>PAAS</v>
      </c>
      <c r="O1060" s="659" t="str">
        <f t="shared" si="88"/>
        <v/>
      </c>
    </row>
    <row r="1061" spans="1:15">
      <c r="A1061" s="661">
        <v>0</v>
      </c>
      <c r="B1061" s="659">
        <v>0</v>
      </c>
      <c r="C1061" s="664">
        <v>0</v>
      </c>
      <c r="D1061" s="664">
        <v>0</v>
      </c>
      <c r="E1061" s="664">
        <v>0</v>
      </c>
      <c r="F1061" s="664" t="s">
        <v>2290</v>
      </c>
      <c r="G1061" s="664" t="s">
        <v>2393</v>
      </c>
      <c r="H1061" s="664" t="s">
        <v>2394</v>
      </c>
      <c r="I1061" s="664" t="s">
        <v>1636</v>
      </c>
      <c r="J1061" s="664" t="s">
        <v>2159</v>
      </c>
      <c r="K1061" s="662" t="str">
        <f t="shared" si="84"/>
        <v>Deprecated</v>
      </c>
      <c r="L1061" s="660" t="str">
        <f t="shared" si="85"/>
        <v>UNIT</v>
      </c>
      <c r="M1061" s="660" t="str">
        <f t="shared" si="86"/>
        <v>UC</v>
      </c>
      <c r="N1061" s="660" t="str">
        <f t="shared" si="87"/>
        <v>PAAS</v>
      </c>
      <c r="O1061" s="659" t="str">
        <f t="shared" si="88"/>
        <v/>
      </c>
    </row>
    <row r="1062" spans="1:15">
      <c r="A1062" s="661">
        <v>0</v>
      </c>
      <c r="B1062" s="659">
        <v>0</v>
      </c>
      <c r="C1062" s="664">
        <v>0</v>
      </c>
      <c r="D1062" s="664">
        <v>0</v>
      </c>
      <c r="E1062" s="664">
        <v>0</v>
      </c>
      <c r="F1062" s="664" t="s">
        <v>2290</v>
      </c>
      <c r="G1062" s="664" t="s">
        <v>2393</v>
      </c>
      <c r="H1062" s="664" t="s">
        <v>2394</v>
      </c>
      <c r="I1062" s="664" t="s">
        <v>1636</v>
      </c>
      <c r="J1062" s="664" t="s">
        <v>2159</v>
      </c>
      <c r="K1062" s="662" t="str">
        <f t="shared" si="84"/>
        <v>Deprecated</v>
      </c>
      <c r="L1062" s="660" t="str">
        <f t="shared" si="85"/>
        <v>UNIT</v>
      </c>
      <c r="M1062" s="660" t="str">
        <f t="shared" si="86"/>
        <v>UC</v>
      </c>
      <c r="N1062" s="660" t="str">
        <f t="shared" si="87"/>
        <v>PAAS</v>
      </c>
      <c r="O1062" s="659" t="str">
        <f t="shared" si="88"/>
        <v/>
      </c>
    </row>
    <row r="1063" spans="1:15">
      <c r="A1063" s="661">
        <v>0</v>
      </c>
      <c r="B1063" s="659">
        <v>0</v>
      </c>
      <c r="C1063" s="664">
        <v>0</v>
      </c>
      <c r="D1063" s="664">
        <v>0</v>
      </c>
      <c r="E1063" s="664">
        <v>0</v>
      </c>
      <c r="F1063" s="664" t="s">
        <v>2290</v>
      </c>
      <c r="G1063" s="664" t="s">
        <v>2393</v>
      </c>
      <c r="H1063" s="664" t="s">
        <v>2394</v>
      </c>
      <c r="I1063" s="664" t="s">
        <v>1636</v>
      </c>
      <c r="J1063" s="664" t="s">
        <v>2159</v>
      </c>
      <c r="K1063" s="662" t="str">
        <f t="shared" si="84"/>
        <v>Deprecated</v>
      </c>
      <c r="L1063" s="660" t="str">
        <f t="shared" si="85"/>
        <v>UNIT</v>
      </c>
      <c r="M1063" s="660" t="str">
        <f t="shared" si="86"/>
        <v>UC</v>
      </c>
      <c r="N1063" s="660" t="str">
        <f t="shared" si="87"/>
        <v>PAAS</v>
      </c>
      <c r="O1063" s="659" t="str">
        <f t="shared" si="88"/>
        <v/>
      </c>
    </row>
    <row r="1064" spans="1:15">
      <c r="A1064" s="661">
        <v>0</v>
      </c>
      <c r="B1064" s="659">
        <v>0</v>
      </c>
      <c r="C1064" s="664">
        <v>0</v>
      </c>
      <c r="D1064" s="664">
        <v>0</v>
      </c>
      <c r="E1064" s="664">
        <v>0</v>
      </c>
      <c r="F1064" s="664" t="s">
        <v>2290</v>
      </c>
      <c r="G1064" s="664" t="s">
        <v>2393</v>
      </c>
      <c r="H1064" s="664" t="s">
        <v>2394</v>
      </c>
      <c r="I1064" s="664" t="s">
        <v>1636</v>
      </c>
      <c r="J1064" s="664" t="s">
        <v>2159</v>
      </c>
      <c r="K1064" s="662" t="str">
        <f t="shared" si="84"/>
        <v>Deprecated</v>
      </c>
      <c r="L1064" s="660" t="str">
        <f t="shared" si="85"/>
        <v>UNIT</v>
      </c>
      <c r="M1064" s="660" t="str">
        <f t="shared" si="86"/>
        <v>UC</v>
      </c>
      <c r="N1064" s="660" t="str">
        <f t="shared" si="87"/>
        <v>PAAS</v>
      </c>
      <c r="O1064" s="659" t="str">
        <f t="shared" si="88"/>
        <v/>
      </c>
    </row>
    <row r="1065" spans="1:15">
      <c r="A1065" s="661">
        <v>0</v>
      </c>
      <c r="B1065" s="659">
        <v>0</v>
      </c>
      <c r="C1065" s="664">
        <v>0</v>
      </c>
      <c r="D1065" s="664">
        <v>0</v>
      </c>
      <c r="E1065" s="664">
        <v>0</v>
      </c>
      <c r="F1065" s="664" t="s">
        <v>2290</v>
      </c>
      <c r="G1065" s="664" t="s">
        <v>2393</v>
      </c>
      <c r="H1065" s="664" t="s">
        <v>2394</v>
      </c>
      <c r="I1065" s="664" t="s">
        <v>1636</v>
      </c>
      <c r="J1065" s="664" t="s">
        <v>2159</v>
      </c>
      <c r="K1065" s="662" t="str">
        <f t="shared" si="84"/>
        <v>Deprecated</v>
      </c>
      <c r="L1065" s="660" t="str">
        <f t="shared" si="85"/>
        <v>UNIT</v>
      </c>
      <c r="M1065" s="660" t="str">
        <f t="shared" si="86"/>
        <v>UC</v>
      </c>
      <c r="N1065" s="660" t="str">
        <f t="shared" si="87"/>
        <v>PAAS</v>
      </c>
      <c r="O1065" s="659" t="str">
        <f t="shared" si="88"/>
        <v/>
      </c>
    </row>
    <row r="1066" spans="1:15">
      <c r="A1066" s="661">
        <v>0</v>
      </c>
      <c r="B1066" s="659">
        <v>0</v>
      </c>
      <c r="C1066" s="664">
        <v>0</v>
      </c>
      <c r="D1066" s="664">
        <v>0</v>
      </c>
      <c r="E1066" s="664">
        <v>0</v>
      </c>
      <c r="F1066" s="664" t="s">
        <v>2290</v>
      </c>
      <c r="G1066" s="664" t="s">
        <v>2393</v>
      </c>
      <c r="H1066" s="664" t="s">
        <v>2394</v>
      </c>
      <c r="I1066" s="664" t="s">
        <v>1636</v>
      </c>
      <c r="J1066" s="664" t="s">
        <v>2159</v>
      </c>
      <c r="K1066" s="662" t="str">
        <f t="shared" si="84"/>
        <v>Deprecated</v>
      </c>
      <c r="L1066" s="660" t="str">
        <f t="shared" si="85"/>
        <v>UNIT</v>
      </c>
      <c r="M1066" s="660" t="str">
        <f t="shared" si="86"/>
        <v>UC</v>
      </c>
      <c r="N1066" s="660" t="str">
        <f t="shared" si="87"/>
        <v>PAAS</v>
      </c>
      <c r="O1066" s="659" t="str">
        <f t="shared" si="88"/>
        <v/>
      </c>
    </row>
    <row r="1067" spans="1:15">
      <c r="A1067" s="661">
        <v>0</v>
      </c>
      <c r="B1067" s="659">
        <v>0</v>
      </c>
      <c r="C1067" s="664">
        <v>0</v>
      </c>
      <c r="D1067" s="664">
        <v>0</v>
      </c>
      <c r="E1067" s="664">
        <v>0</v>
      </c>
      <c r="F1067" s="664" t="s">
        <v>2290</v>
      </c>
      <c r="G1067" s="664" t="s">
        <v>2393</v>
      </c>
      <c r="H1067" s="664" t="s">
        <v>2394</v>
      </c>
      <c r="I1067" s="664" t="s">
        <v>1636</v>
      </c>
      <c r="J1067" s="664" t="s">
        <v>2159</v>
      </c>
      <c r="K1067" s="662" t="str">
        <f t="shared" si="84"/>
        <v>Deprecated</v>
      </c>
      <c r="L1067" s="660" t="str">
        <f t="shared" si="85"/>
        <v>UNIT</v>
      </c>
      <c r="M1067" s="660" t="str">
        <f t="shared" si="86"/>
        <v>UC</v>
      </c>
      <c r="N1067" s="660" t="str">
        <f t="shared" si="87"/>
        <v>PAAS</v>
      </c>
      <c r="O1067" s="659" t="str">
        <f t="shared" si="88"/>
        <v/>
      </c>
    </row>
    <row r="1068" spans="1:15">
      <c r="A1068" s="661">
        <v>0</v>
      </c>
      <c r="B1068" s="659">
        <v>0</v>
      </c>
      <c r="C1068" s="664">
        <v>0</v>
      </c>
      <c r="D1068" s="664">
        <v>0</v>
      </c>
      <c r="E1068" s="664">
        <v>0</v>
      </c>
      <c r="F1068" s="664" t="s">
        <v>2290</v>
      </c>
      <c r="G1068" s="664" t="s">
        <v>2393</v>
      </c>
      <c r="H1068" s="664" t="s">
        <v>2394</v>
      </c>
      <c r="I1068" s="664" t="s">
        <v>1636</v>
      </c>
      <c r="J1068" s="664" t="s">
        <v>2159</v>
      </c>
      <c r="K1068" s="662" t="str">
        <f t="shared" si="84"/>
        <v>Deprecated</v>
      </c>
      <c r="L1068" s="660" t="str">
        <f t="shared" si="85"/>
        <v>UNIT</v>
      </c>
      <c r="M1068" s="660" t="str">
        <f t="shared" si="86"/>
        <v>UC</v>
      </c>
      <c r="N1068" s="660" t="str">
        <f t="shared" si="87"/>
        <v>PAAS</v>
      </c>
      <c r="O1068" s="659" t="str">
        <f t="shared" si="88"/>
        <v/>
      </c>
    </row>
    <row r="1069" spans="1:15">
      <c r="A1069" s="661">
        <v>0</v>
      </c>
      <c r="B1069" s="659">
        <v>0</v>
      </c>
      <c r="C1069" s="664">
        <v>0</v>
      </c>
      <c r="D1069" s="664">
        <v>0</v>
      </c>
      <c r="E1069" s="664">
        <v>0</v>
      </c>
      <c r="F1069" s="664" t="s">
        <v>2290</v>
      </c>
      <c r="G1069" s="664" t="s">
        <v>2393</v>
      </c>
      <c r="H1069" s="664" t="s">
        <v>2394</v>
      </c>
      <c r="I1069" s="664" t="s">
        <v>1636</v>
      </c>
      <c r="J1069" s="664" t="s">
        <v>2159</v>
      </c>
      <c r="K1069" s="662" t="str">
        <f t="shared" si="84"/>
        <v>Deprecated</v>
      </c>
      <c r="L1069" s="660" t="str">
        <f t="shared" si="85"/>
        <v>UNIT</v>
      </c>
      <c r="M1069" s="660" t="str">
        <f t="shared" si="86"/>
        <v>UC</v>
      </c>
      <c r="N1069" s="660" t="str">
        <f t="shared" si="87"/>
        <v>PAAS</v>
      </c>
      <c r="O1069" s="659" t="str">
        <f t="shared" si="88"/>
        <v/>
      </c>
    </row>
    <row r="1070" spans="1:15">
      <c r="A1070" s="661">
        <v>0</v>
      </c>
      <c r="B1070" s="659">
        <v>0</v>
      </c>
      <c r="C1070" s="664">
        <v>0</v>
      </c>
      <c r="D1070" s="664">
        <v>0</v>
      </c>
      <c r="E1070" s="664">
        <v>0</v>
      </c>
      <c r="F1070" s="664" t="s">
        <v>2290</v>
      </c>
      <c r="G1070" s="664" t="s">
        <v>2393</v>
      </c>
      <c r="H1070" s="664" t="s">
        <v>2394</v>
      </c>
      <c r="I1070" s="664" t="s">
        <v>1636</v>
      </c>
      <c r="J1070" s="664" t="s">
        <v>2159</v>
      </c>
      <c r="K1070" s="662" t="str">
        <f t="shared" si="84"/>
        <v>Deprecated</v>
      </c>
      <c r="L1070" s="660" t="str">
        <f t="shared" si="85"/>
        <v>UNIT</v>
      </c>
      <c r="M1070" s="660" t="str">
        <f t="shared" si="86"/>
        <v>UC</v>
      </c>
      <c r="N1070" s="660" t="str">
        <f t="shared" si="87"/>
        <v>PAAS</v>
      </c>
      <c r="O1070" s="659" t="str">
        <f t="shared" si="88"/>
        <v/>
      </c>
    </row>
    <row r="1071" spans="1:15">
      <c r="A1071" s="661">
        <v>0</v>
      </c>
      <c r="B1071" s="659">
        <v>0</v>
      </c>
      <c r="C1071" s="664">
        <v>0</v>
      </c>
      <c r="D1071" s="664">
        <v>0</v>
      </c>
      <c r="E1071" s="664">
        <v>0</v>
      </c>
      <c r="F1071" s="664" t="s">
        <v>2290</v>
      </c>
      <c r="G1071" s="664" t="s">
        <v>2393</v>
      </c>
      <c r="H1071" s="664" t="s">
        <v>2394</v>
      </c>
      <c r="I1071" s="664" t="s">
        <v>1636</v>
      </c>
      <c r="J1071" s="664" t="s">
        <v>2159</v>
      </c>
      <c r="K1071" s="662" t="str">
        <f t="shared" si="84"/>
        <v>Deprecated</v>
      </c>
      <c r="L1071" s="660" t="str">
        <f t="shared" si="85"/>
        <v>UNIT</v>
      </c>
      <c r="M1071" s="660" t="str">
        <f t="shared" si="86"/>
        <v>UC</v>
      </c>
      <c r="N1071" s="660" t="str">
        <f t="shared" si="87"/>
        <v>PAAS</v>
      </c>
      <c r="O1071" s="659" t="str">
        <f t="shared" si="88"/>
        <v/>
      </c>
    </row>
    <row r="1072" spans="1:15">
      <c r="A1072" s="661">
        <v>0</v>
      </c>
      <c r="B1072" s="659">
        <v>0</v>
      </c>
      <c r="C1072" s="664">
        <v>0</v>
      </c>
      <c r="D1072" s="664">
        <v>0</v>
      </c>
      <c r="E1072" s="664">
        <v>0</v>
      </c>
      <c r="F1072" s="664" t="s">
        <v>2290</v>
      </c>
      <c r="G1072" s="664" t="s">
        <v>2393</v>
      </c>
      <c r="H1072" s="664" t="s">
        <v>2394</v>
      </c>
      <c r="I1072" s="664" t="s">
        <v>1636</v>
      </c>
      <c r="J1072" s="664" t="s">
        <v>2159</v>
      </c>
      <c r="K1072" s="662" t="str">
        <f t="shared" si="84"/>
        <v>Deprecated</v>
      </c>
      <c r="L1072" s="660" t="str">
        <f t="shared" si="85"/>
        <v>UNIT</v>
      </c>
      <c r="M1072" s="660" t="str">
        <f t="shared" si="86"/>
        <v>UC</v>
      </c>
      <c r="N1072" s="660" t="str">
        <f t="shared" si="87"/>
        <v>PAAS</v>
      </c>
      <c r="O1072" s="659" t="str">
        <f t="shared" si="88"/>
        <v/>
      </c>
    </row>
    <row r="1073" spans="1:15">
      <c r="A1073" s="661">
        <v>0</v>
      </c>
      <c r="B1073" s="659">
        <v>0</v>
      </c>
      <c r="C1073" s="664">
        <v>0</v>
      </c>
      <c r="D1073" s="664">
        <v>0</v>
      </c>
      <c r="E1073" s="664">
        <v>0</v>
      </c>
      <c r="F1073" s="664" t="s">
        <v>2290</v>
      </c>
      <c r="G1073" s="664" t="s">
        <v>2393</v>
      </c>
      <c r="H1073" s="664" t="s">
        <v>2394</v>
      </c>
      <c r="I1073" s="664" t="s">
        <v>1636</v>
      </c>
      <c r="J1073" s="664" t="s">
        <v>2159</v>
      </c>
      <c r="K1073" s="662" t="str">
        <f t="shared" si="84"/>
        <v>Deprecated</v>
      </c>
      <c r="L1073" s="660" t="str">
        <f t="shared" si="85"/>
        <v>UNIT</v>
      </c>
      <c r="M1073" s="660" t="str">
        <f t="shared" si="86"/>
        <v>UC</v>
      </c>
      <c r="N1073" s="660" t="str">
        <f t="shared" si="87"/>
        <v>PAAS</v>
      </c>
      <c r="O1073" s="659" t="str">
        <f t="shared" si="88"/>
        <v/>
      </c>
    </row>
    <row r="1074" spans="1:15">
      <c r="A1074" s="661">
        <v>0</v>
      </c>
      <c r="B1074" s="659">
        <v>0</v>
      </c>
      <c r="C1074" s="664">
        <v>0</v>
      </c>
      <c r="D1074" s="664">
        <v>0</v>
      </c>
      <c r="E1074" s="664">
        <v>0</v>
      </c>
      <c r="F1074" s="664" t="s">
        <v>2290</v>
      </c>
      <c r="G1074" s="664" t="s">
        <v>2393</v>
      </c>
      <c r="H1074" s="664" t="s">
        <v>2394</v>
      </c>
      <c r="I1074" s="664" t="s">
        <v>1636</v>
      </c>
      <c r="J1074" s="664" t="s">
        <v>2159</v>
      </c>
      <c r="K1074" s="662" t="str">
        <f t="shared" si="84"/>
        <v>Deprecated</v>
      </c>
      <c r="L1074" s="660" t="str">
        <f t="shared" si="85"/>
        <v>UNIT</v>
      </c>
      <c r="M1074" s="660" t="str">
        <f t="shared" si="86"/>
        <v>UC</v>
      </c>
      <c r="N1074" s="660" t="str">
        <f t="shared" si="87"/>
        <v>PAAS</v>
      </c>
      <c r="O1074" s="659" t="str">
        <f t="shared" si="88"/>
        <v/>
      </c>
    </row>
    <row r="1075" spans="1:15">
      <c r="A1075" s="661">
        <v>0</v>
      </c>
      <c r="B1075" s="659">
        <v>0</v>
      </c>
      <c r="C1075" s="664">
        <v>0</v>
      </c>
      <c r="D1075" s="664">
        <v>0</v>
      </c>
      <c r="E1075" s="664">
        <v>0</v>
      </c>
      <c r="F1075" s="664" t="s">
        <v>2290</v>
      </c>
      <c r="G1075" s="664" t="s">
        <v>2393</v>
      </c>
      <c r="H1075" s="664" t="s">
        <v>2394</v>
      </c>
      <c r="I1075" s="664" t="s">
        <v>1636</v>
      </c>
      <c r="J1075" s="664" t="s">
        <v>2159</v>
      </c>
      <c r="K1075" s="662" t="str">
        <f t="shared" si="84"/>
        <v>Deprecated</v>
      </c>
      <c r="L1075" s="660" t="str">
        <f t="shared" si="85"/>
        <v>UNIT</v>
      </c>
      <c r="M1075" s="660" t="str">
        <f t="shared" si="86"/>
        <v>UC</v>
      </c>
      <c r="N1075" s="660" t="str">
        <f t="shared" si="87"/>
        <v>PAAS</v>
      </c>
      <c r="O1075" s="659" t="str">
        <f t="shared" si="88"/>
        <v/>
      </c>
    </row>
    <row r="1076" spans="1:15">
      <c r="A1076" s="661">
        <v>0</v>
      </c>
      <c r="B1076" s="659">
        <v>0</v>
      </c>
      <c r="C1076" s="664">
        <v>0</v>
      </c>
      <c r="D1076" s="664">
        <v>0</v>
      </c>
      <c r="E1076" s="664">
        <v>0</v>
      </c>
      <c r="F1076" s="664" t="s">
        <v>2290</v>
      </c>
      <c r="G1076" s="664" t="s">
        <v>2393</v>
      </c>
      <c r="H1076" s="664" t="s">
        <v>2394</v>
      </c>
      <c r="I1076" s="664" t="s">
        <v>1636</v>
      </c>
      <c r="J1076" s="664" t="s">
        <v>2159</v>
      </c>
      <c r="K1076" s="662" t="str">
        <f t="shared" si="84"/>
        <v>Deprecated</v>
      </c>
      <c r="L1076" s="660" t="str">
        <f t="shared" si="85"/>
        <v>UNIT</v>
      </c>
      <c r="M1076" s="660" t="str">
        <f t="shared" si="86"/>
        <v>UC</v>
      </c>
      <c r="N1076" s="660" t="str">
        <f t="shared" si="87"/>
        <v>PAAS</v>
      </c>
      <c r="O1076" s="659" t="str">
        <f t="shared" si="88"/>
        <v/>
      </c>
    </row>
    <row r="1077" spans="1:15">
      <c r="A1077" s="661">
        <v>0</v>
      </c>
      <c r="B1077" s="659">
        <v>0</v>
      </c>
      <c r="C1077" s="664">
        <v>0</v>
      </c>
      <c r="D1077" s="664">
        <v>0</v>
      </c>
      <c r="E1077" s="664">
        <v>0</v>
      </c>
      <c r="F1077" s="664" t="s">
        <v>2290</v>
      </c>
      <c r="G1077" s="664" t="s">
        <v>2393</v>
      </c>
      <c r="H1077" s="664" t="s">
        <v>2394</v>
      </c>
      <c r="I1077" s="664" t="s">
        <v>1636</v>
      </c>
      <c r="J1077" s="664" t="s">
        <v>2159</v>
      </c>
      <c r="K1077" s="662" t="str">
        <f t="shared" ref="K1077:K1092" si="89">_xlfn.IFS(
ISNUMBER(SEARCH("Day",E1077)),"Consulting",
ISNUMBER(SEARCH("Starter Pack",B1077)),"Consulting",
ISNUMBER(SEARCH("Design",B1077)),"Consulting",
ISNUMBER(SEARCH("Deploy",B1077)),"Consulting",
ISNUMBER(SEARCH("Expert",B1077)),"Consulting",
ISNUMBER(SEARCH("Installation",B1077)),"Consulting",
ISNUMBER(SEARCH("Recommendation",B1077)),"Consulting",
ISNUMBER(SEARCH("Transition",B1077)),"Consulting",
ISNUMBER(SEARCH("Transition",B1077)),"Support",
ISNUMBER(SEARCH("Transition",B1077)),"Foundation Service",
ISNUMBER(SEARCH("Consulting",B1077)),"Consulting",
ISNUMBER(SEARCH("in Advance",B1077)),"New",
ISNUMBER(SEARCH("Universal Credits",B1077)),"UC",
ISNUMBER(SEARCH("Ravello",B1077)),"Deprecated",
ISNUMBER(SEARCH("Cloud Machine",B1077)),"Deprecated",
ISNUMBER(SEARCH("Compute",B1077)),"Compute",
ISNUMBER(SEARCH("Load Balancer",B1077)),"Network",
ISNUMBER(SEARCH("FastConnect",B1077)),"Network",
ISNUMBER(SEARCH("Database OCPU",B1077)),"CC OCPU",
ISNUMBER(SEARCH("at Customer",B1077)),"CC",
ISNUMBER(SEARCH("Cloud@Customer",B1077)),"CC",
ISNUMBER(SEARCH("Exadata Storage",B1077)),"Exa Storage",
ISNUMBER(SEARCH("Storage",B1077)),"Storage",
ISNUMBER(SEARCH("Block ",B1077)),"Storage",
ISNUMBER(SEARCH("Autonomous Data Warehouse",B1077)),"ADW",
ISNUMBER(SEARCH("Autonomous Transaction Processing",B1077)),"ATP",
ISNUMBER(SEARCH("Database Exadata",B1077)),"ExaCS",
ISNUMBER(SEARCH("Database",B1077)),"DBaaS",
ISNUMBER(SEARCH("Essbase",B1077)),"DBaaS",
ISNUMBER(SEARCH("integration",B1077)),"Integration",
ISNUMBER(SEARCH("SOA",B1077)),"Integration",
ISNUMBER(SEARCH("Management Cloud",B1077)),"Management",
ISNUMBER(SEARCH("Analytics",B1077)),"Analytics",
ISNUMBER(SEARCH("Storage",B1077)),"Storage",
ISNUMBER(SEARCH("Block ",B1077)),"Storage",
ISNUMBER(SEARCH("Identity",B1077)),"Platform",
ISNUMBER(SEARCH("Content",B1077)),"Platform",
ISNUMBER(SEARCH("Weblogic",B1077)),"Platform",
ISNUMBER(SEARCH("Digital Assistant",B1077)),"Platform",
ISNUMBER(SEARCH("Limited",B1077)),"Classic",
ISNUMBER(SEARCH("Classic",B1077)),"Classic",
ISNUMBER(SEARCH("Government",B1077)),"Government",
ISNUMBER(SEARCH("Metered",B1077)),"Deprecated",
VALUE(RIGHT(A1077,5))&lt;88206,"Deprecated",
TRUE,"Platform")</f>
        <v>Deprecated</v>
      </c>
      <c r="L1077" s="660" t="str">
        <f t="shared" si="85"/>
        <v>UNIT</v>
      </c>
      <c r="M1077" s="660" t="str">
        <f t="shared" si="86"/>
        <v>UC</v>
      </c>
      <c r="N1077" s="660" t="str">
        <f t="shared" si="87"/>
        <v>PAAS</v>
      </c>
      <c r="O1077" s="659" t="str">
        <f t="shared" si="88"/>
        <v/>
      </c>
    </row>
    <row r="1078" spans="1:15">
      <c r="A1078" s="661">
        <v>0</v>
      </c>
      <c r="B1078" s="659">
        <v>0</v>
      </c>
      <c r="C1078" s="664">
        <v>0</v>
      </c>
      <c r="D1078" s="664">
        <v>0</v>
      </c>
      <c r="E1078" s="664">
        <v>0</v>
      </c>
      <c r="F1078" s="664" t="s">
        <v>2290</v>
      </c>
      <c r="G1078" s="664" t="s">
        <v>2393</v>
      </c>
      <c r="H1078" s="664" t="s">
        <v>2394</v>
      </c>
      <c r="I1078" s="664" t="s">
        <v>1636</v>
      </c>
      <c r="J1078" s="664" t="s">
        <v>2159</v>
      </c>
      <c r="K1078" s="662" t="str">
        <f t="shared" si="89"/>
        <v>Deprecated</v>
      </c>
      <c r="L1078" s="660" t="str">
        <f t="shared" si="85"/>
        <v>UNIT</v>
      </c>
      <c r="M1078" s="660" t="str">
        <f t="shared" si="86"/>
        <v>UC</v>
      </c>
      <c r="N1078" s="660" t="str">
        <f t="shared" si="87"/>
        <v>PAAS</v>
      </c>
      <c r="O1078" s="659" t="str">
        <f t="shared" si="88"/>
        <v/>
      </c>
    </row>
    <row r="1079" spans="1:15">
      <c r="A1079" s="661">
        <v>0</v>
      </c>
      <c r="B1079" s="659">
        <v>0</v>
      </c>
      <c r="C1079" s="664">
        <v>0</v>
      </c>
      <c r="D1079" s="664">
        <v>0</v>
      </c>
      <c r="E1079" s="664">
        <v>0</v>
      </c>
      <c r="F1079" s="664" t="s">
        <v>2290</v>
      </c>
      <c r="G1079" s="664" t="s">
        <v>2393</v>
      </c>
      <c r="H1079" s="664" t="s">
        <v>2394</v>
      </c>
      <c r="I1079" s="664" t="s">
        <v>1636</v>
      </c>
      <c r="J1079" s="664" t="s">
        <v>2159</v>
      </c>
      <c r="K1079" s="662" t="str">
        <f t="shared" si="89"/>
        <v>Deprecated</v>
      </c>
      <c r="L1079" s="660" t="str">
        <f t="shared" si="85"/>
        <v>UNIT</v>
      </c>
      <c r="M1079" s="660" t="str">
        <f t="shared" si="86"/>
        <v>UC</v>
      </c>
      <c r="N1079" s="660" t="str">
        <f t="shared" si="87"/>
        <v>PAAS</v>
      </c>
      <c r="O1079" s="659" t="str">
        <f t="shared" si="88"/>
        <v/>
      </c>
    </row>
    <row r="1080" spans="1:15">
      <c r="A1080" s="661">
        <v>0</v>
      </c>
      <c r="B1080" s="659">
        <v>0</v>
      </c>
      <c r="C1080" s="664">
        <v>0</v>
      </c>
      <c r="D1080" s="664">
        <v>0</v>
      </c>
      <c r="E1080" s="664">
        <v>0</v>
      </c>
      <c r="F1080" s="664" t="s">
        <v>2290</v>
      </c>
      <c r="G1080" s="664" t="s">
        <v>2393</v>
      </c>
      <c r="H1080" s="664" t="s">
        <v>2394</v>
      </c>
      <c r="I1080" s="664" t="s">
        <v>1636</v>
      </c>
      <c r="J1080" s="664" t="s">
        <v>2159</v>
      </c>
      <c r="K1080" s="662" t="str">
        <f t="shared" si="89"/>
        <v>Deprecated</v>
      </c>
      <c r="L1080" s="660" t="str">
        <f t="shared" si="85"/>
        <v>UNIT</v>
      </c>
      <c r="M1080" s="660" t="str">
        <f t="shared" si="86"/>
        <v>UC</v>
      </c>
      <c r="N1080" s="660" t="str">
        <f t="shared" si="87"/>
        <v>PAAS</v>
      </c>
      <c r="O1080" s="659" t="str">
        <f t="shared" si="88"/>
        <v/>
      </c>
    </row>
    <row r="1081" spans="1:15">
      <c r="A1081" s="661">
        <v>0</v>
      </c>
      <c r="B1081" s="659">
        <v>0</v>
      </c>
      <c r="C1081" s="664">
        <v>0</v>
      </c>
      <c r="D1081" s="664">
        <v>0</v>
      </c>
      <c r="E1081" s="664">
        <v>0</v>
      </c>
      <c r="F1081" s="664" t="s">
        <v>2290</v>
      </c>
      <c r="G1081" s="664" t="s">
        <v>2393</v>
      </c>
      <c r="H1081" s="664" t="s">
        <v>2394</v>
      </c>
      <c r="I1081" s="664" t="s">
        <v>1636</v>
      </c>
      <c r="J1081" s="664" t="s">
        <v>2159</v>
      </c>
      <c r="K1081" s="662" t="str">
        <f t="shared" si="89"/>
        <v>Deprecated</v>
      </c>
      <c r="L1081" s="660" t="str">
        <f t="shared" si="85"/>
        <v>UNIT</v>
      </c>
      <c r="M1081" s="660" t="str">
        <f t="shared" si="86"/>
        <v>UC</v>
      </c>
      <c r="N1081" s="660" t="str">
        <f t="shared" si="87"/>
        <v>PAAS</v>
      </c>
      <c r="O1081" s="659" t="str">
        <f t="shared" si="88"/>
        <v/>
      </c>
    </row>
    <row r="1082" spans="1:15">
      <c r="A1082" s="661">
        <v>0</v>
      </c>
      <c r="B1082" s="659">
        <v>0</v>
      </c>
      <c r="C1082" s="664">
        <v>0</v>
      </c>
      <c r="D1082" s="664">
        <v>0</v>
      </c>
      <c r="E1082" s="664">
        <v>0</v>
      </c>
      <c r="F1082" s="664" t="s">
        <v>2290</v>
      </c>
      <c r="G1082" s="664" t="s">
        <v>2393</v>
      </c>
      <c r="H1082" s="664" t="s">
        <v>2394</v>
      </c>
      <c r="I1082" s="664" t="s">
        <v>1636</v>
      </c>
      <c r="J1082" s="664" t="s">
        <v>2159</v>
      </c>
      <c r="K1082" s="662" t="str">
        <f t="shared" si="89"/>
        <v>Deprecated</v>
      </c>
      <c r="L1082" s="660" t="str">
        <f t="shared" si="85"/>
        <v>UNIT</v>
      </c>
      <c r="M1082" s="660" t="str">
        <f t="shared" si="86"/>
        <v>UC</v>
      </c>
      <c r="N1082" s="660" t="str">
        <f t="shared" si="87"/>
        <v>PAAS</v>
      </c>
      <c r="O1082" s="659" t="str">
        <f t="shared" si="88"/>
        <v/>
      </c>
    </row>
    <row r="1083" spans="1:15">
      <c r="A1083" s="661">
        <v>0</v>
      </c>
      <c r="B1083" s="659">
        <v>0</v>
      </c>
      <c r="C1083" s="664">
        <v>0</v>
      </c>
      <c r="D1083" s="664">
        <v>0</v>
      </c>
      <c r="E1083" s="664">
        <v>0</v>
      </c>
      <c r="F1083" s="664" t="s">
        <v>2290</v>
      </c>
      <c r="G1083" s="664" t="s">
        <v>2393</v>
      </c>
      <c r="H1083" s="664" t="s">
        <v>2394</v>
      </c>
      <c r="I1083" s="664" t="s">
        <v>1636</v>
      </c>
      <c r="J1083" s="664" t="s">
        <v>2159</v>
      </c>
      <c r="K1083" s="662" t="str">
        <f t="shared" si="89"/>
        <v>Deprecated</v>
      </c>
      <c r="L1083" s="660" t="str">
        <f t="shared" si="85"/>
        <v>UNIT</v>
      </c>
      <c r="M1083" s="660" t="str">
        <f t="shared" si="86"/>
        <v>UC</v>
      </c>
      <c r="N1083" s="660" t="str">
        <f t="shared" si="87"/>
        <v>PAAS</v>
      </c>
      <c r="O1083" s="659" t="str">
        <f t="shared" si="88"/>
        <v/>
      </c>
    </row>
    <row r="1084" spans="1:15">
      <c r="A1084" s="661">
        <v>0</v>
      </c>
      <c r="B1084" s="659">
        <v>0</v>
      </c>
      <c r="C1084" s="664">
        <v>0</v>
      </c>
      <c r="D1084" s="664">
        <v>0</v>
      </c>
      <c r="E1084" s="664">
        <v>0</v>
      </c>
      <c r="F1084" s="664" t="s">
        <v>2290</v>
      </c>
      <c r="G1084" s="664" t="s">
        <v>2393</v>
      </c>
      <c r="H1084" s="664" t="s">
        <v>2394</v>
      </c>
      <c r="I1084" s="664" t="s">
        <v>1636</v>
      </c>
      <c r="J1084" s="664" t="s">
        <v>2159</v>
      </c>
      <c r="K1084" s="662" t="str">
        <f t="shared" si="89"/>
        <v>Deprecated</v>
      </c>
      <c r="L1084" s="660" t="str">
        <f t="shared" si="85"/>
        <v>UNIT</v>
      </c>
      <c r="M1084" s="660" t="str">
        <f t="shared" si="86"/>
        <v>UC</v>
      </c>
      <c r="N1084" s="660" t="str">
        <f t="shared" si="87"/>
        <v>PAAS</v>
      </c>
      <c r="O1084" s="659" t="str">
        <f t="shared" si="88"/>
        <v/>
      </c>
    </row>
    <row r="1085" spans="1:15">
      <c r="A1085" s="661">
        <v>0</v>
      </c>
      <c r="B1085" s="659">
        <v>0</v>
      </c>
      <c r="C1085" s="664">
        <v>0</v>
      </c>
      <c r="D1085" s="664">
        <v>0</v>
      </c>
      <c r="E1085" s="664">
        <v>0</v>
      </c>
      <c r="F1085" s="664" t="s">
        <v>2290</v>
      </c>
      <c r="G1085" s="664" t="s">
        <v>2393</v>
      </c>
      <c r="H1085" s="664" t="s">
        <v>2394</v>
      </c>
      <c r="I1085" s="664" t="s">
        <v>1636</v>
      </c>
      <c r="J1085" s="664" t="s">
        <v>2159</v>
      </c>
      <c r="K1085" s="662" t="str">
        <f t="shared" si="89"/>
        <v>Deprecated</v>
      </c>
      <c r="L1085" s="660" t="str">
        <f t="shared" si="85"/>
        <v>UNIT</v>
      </c>
      <c r="M1085" s="660" t="str">
        <f t="shared" si="86"/>
        <v>UC</v>
      </c>
      <c r="N1085" s="660" t="str">
        <f t="shared" si="87"/>
        <v>PAAS</v>
      </c>
      <c r="O1085" s="659" t="str">
        <f t="shared" si="88"/>
        <v/>
      </c>
    </row>
    <row r="1086" spans="1:15">
      <c r="A1086" s="661">
        <v>0</v>
      </c>
      <c r="B1086" s="659">
        <v>0</v>
      </c>
      <c r="C1086" s="664">
        <v>0</v>
      </c>
      <c r="D1086" s="664">
        <v>0</v>
      </c>
      <c r="E1086" s="664">
        <v>0</v>
      </c>
      <c r="F1086" s="664" t="s">
        <v>2290</v>
      </c>
      <c r="G1086" s="664" t="s">
        <v>2393</v>
      </c>
      <c r="H1086" s="664" t="s">
        <v>2394</v>
      </c>
      <c r="I1086" s="664" t="s">
        <v>1636</v>
      </c>
      <c r="J1086" s="664" t="s">
        <v>2159</v>
      </c>
      <c r="K1086" s="662" t="str">
        <f t="shared" si="89"/>
        <v>Deprecated</v>
      </c>
      <c r="L1086" s="660" t="str">
        <f t="shared" si="85"/>
        <v>UNIT</v>
      </c>
      <c r="M1086" s="660" t="str">
        <f t="shared" si="86"/>
        <v>UC</v>
      </c>
      <c r="N1086" s="660" t="str">
        <f t="shared" si="87"/>
        <v>PAAS</v>
      </c>
      <c r="O1086" s="659" t="str">
        <f t="shared" si="88"/>
        <v/>
      </c>
    </row>
    <row r="1087" spans="1:15">
      <c r="A1087" s="661">
        <v>0</v>
      </c>
      <c r="B1087" s="659">
        <v>0</v>
      </c>
      <c r="C1087" s="664">
        <v>0</v>
      </c>
      <c r="D1087" s="664">
        <v>0</v>
      </c>
      <c r="E1087" s="664">
        <v>0</v>
      </c>
      <c r="F1087" s="664" t="s">
        <v>2290</v>
      </c>
      <c r="G1087" s="664" t="s">
        <v>2393</v>
      </c>
      <c r="H1087" s="664" t="s">
        <v>2394</v>
      </c>
      <c r="I1087" s="664" t="s">
        <v>1636</v>
      </c>
      <c r="J1087" s="664" t="s">
        <v>2159</v>
      </c>
      <c r="K1087" s="662" t="str">
        <f t="shared" si="89"/>
        <v>Deprecated</v>
      </c>
      <c r="L1087" s="660" t="str">
        <f t="shared" si="85"/>
        <v>UNIT</v>
      </c>
      <c r="M1087" s="660" t="str">
        <f t="shared" si="86"/>
        <v>UC</v>
      </c>
      <c r="N1087" s="660" t="str">
        <f t="shared" si="87"/>
        <v>PAAS</v>
      </c>
      <c r="O1087" s="659" t="str">
        <f t="shared" si="88"/>
        <v/>
      </c>
    </row>
    <row r="1088" spans="1:15">
      <c r="A1088" s="661">
        <v>0</v>
      </c>
      <c r="B1088" s="659">
        <v>0</v>
      </c>
      <c r="C1088" s="664">
        <v>0</v>
      </c>
      <c r="D1088" s="664">
        <v>0</v>
      </c>
      <c r="E1088" s="664">
        <v>0</v>
      </c>
      <c r="F1088" s="664" t="s">
        <v>2290</v>
      </c>
      <c r="G1088" s="664" t="s">
        <v>2393</v>
      </c>
      <c r="H1088" s="664" t="s">
        <v>2394</v>
      </c>
      <c r="I1088" s="664" t="s">
        <v>1636</v>
      </c>
      <c r="J1088" s="664" t="s">
        <v>2159</v>
      </c>
      <c r="K1088" s="662" t="str">
        <f t="shared" si="89"/>
        <v>Deprecated</v>
      </c>
      <c r="L1088" s="660" t="str">
        <f t="shared" si="85"/>
        <v>UNIT</v>
      </c>
      <c r="M1088" s="660" t="str">
        <f t="shared" si="86"/>
        <v>UC</v>
      </c>
      <c r="N1088" s="660" t="str">
        <f t="shared" si="87"/>
        <v>PAAS</v>
      </c>
      <c r="O1088" s="659" t="str">
        <f t="shared" si="88"/>
        <v/>
      </c>
    </row>
    <row r="1089" spans="1:15">
      <c r="A1089" s="661">
        <v>0</v>
      </c>
      <c r="B1089" s="659">
        <v>0</v>
      </c>
      <c r="C1089" s="664">
        <v>0</v>
      </c>
      <c r="D1089" s="664">
        <v>0</v>
      </c>
      <c r="E1089" s="664">
        <v>0</v>
      </c>
      <c r="F1089" s="664" t="s">
        <v>2290</v>
      </c>
      <c r="G1089" s="664" t="s">
        <v>2393</v>
      </c>
      <c r="H1089" s="664" t="s">
        <v>2394</v>
      </c>
      <c r="I1089" s="664" t="s">
        <v>1636</v>
      </c>
      <c r="J1089" s="664" t="s">
        <v>2159</v>
      </c>
      <c r="K1089" s="662" t="str">
        <f t="shared" si="89"/>
        <v>Deprecated</v>
      </c>
      <c r="L1089" s="660" t="str">
        <f t="shared" si="85"/>
        <v>UNIT</v>
      </c>
      <c r="M1089" s="660" t="str">
        <f t="shared" si="86"/>
        <v>UC</v>
      </c>
      <c r="N1089" s="660" t="str">
        <f t="shared" si="87"/>
        <v>PAAS</v>
      </c>
      <c r="O1089" s="659" t="str">
        <f t="shared" si="88"/>
        <v/>
      </c>
    </row>
    <row r="1090" spans="1:15">
      <c r="A1090" s="661">
        <v>0</v>
      </c>
      <c r="B1090" s="659">
        <v>0</v>
      </c>
      <c r="C1090" s="664">
        <v>0</v>
      </c>
      <c r="D1090" s="664">
        <v>0</v>
      </c>
      <c r="E1090" s="664">
        <v>0</v>
      </c>
      <c r="F1090" s="664" t="s">
        <v>2290</v>
      </c>
      <c r="G1090" s="664" t="s">
        <v>2393</v>
      </c>
      <c r="H1090" s="664" t="s">
        <v>2394</v>
      </c>
      <c r="I1090" s="664" t="s">
        <v>1636</v>
      </c>
      <c r="J1090" s="664" t="s">
        <v>2159</v>
      </c>
      <c r="K1090" s="662" t="str">
        <f t="shared" si="89"/>
        <v>Deprecated</v>
      </c>
      <c r="L1090" s="660" t="str">
        <f t="shared" si="85"/>
        <v>UNIT</v>
      </c>
      <c r="M1090" s="660" t="str">
        <f t="shared" si="86"/>
        <v>UC</v>
      </c>
      <c r="N1090" s="660" t="str">
        <f t="shared" si="87"/>
        <v>PAAS</v>
      </c>
      <c r="O1090" s="659" t="str">
        <f t="shared" si="88"/>
        <v/>
      </c>
    </row>
    <row r="1091" spans="1:15">
      <c r="A1091" s="661">
        <v>0</v>
      </c>
      <c r="B1091" s="659">
        <v>0</v>
      </c>
      <c r="C1091" s="664">
        <v>0</v>
      </c>
      <c r="D1091" s="664">
        <v>0</v>
      </c>
      <c r="E1091" s="664">
        <v>0</v>
      </c>
      <c r="F1091" s="664" t="s">
        <v>2290</v>
      </c>
      <c r="G1091" s="664" t="s">
        <v>2393</v>
      </c>
      <c r="H1091" s="664" t="s">
        <v>2394</v>
      </c>
      <c r="I1091" s="664" t="s">
        <v>1636</v>
      </c>
      <c r="J1091" s="664" t="s">
        <v>2159</v>
      </c>
      <c r="K1091" s="662" t="str">
        <f t="shared" si="89"/>
        <v>Deprecated</v>
      </c>
      <c r="L1091" s="660" t="str">
        <f t="shared" si="85"/>
        <v>UNIT</v>
      </c>
      <c r="M1091" s="660" t="str">
        <f t="shared" si="86"/>
        <v>UC</v>
      </c>
      <c r="N1091" s="660" t="str">
        <f t="shared" si="87"/>
        <v>PAAS</v>
      </c>
      <c r="O1091" s="659" t="str">
        <f t="shared" si="88"/>
        <v/>
      </c>
    </row>
    <row r="1092" spans="1:15">
      <c r="A1092" s="661">
        <v>0</v>
      </c>
      <c r="B1092" s="659">
        <v>0</v>
      </c>
      <c r="C1092" s="664">
        <v>0</v>
      </c>
      <c r="D1092" s="664">
        <v>0</v>
      </c>
      <c r="E1092" s="664">
        <v>0</v>
      </c>
      <c r="F1092" s="664" t="s">
        <v>2290</v>
      </c>
      <c r="G1092" s="664" t="s">
        <v>2393</v>
      </c>
      <c r="H1092" s="664" t="s">
        <v>2394</v>
      </c>
      <c r="I1092" s="664" t="s">
        <v>1636</v>
      </c>
      <c r="J1092" s="664" t="s">
        <v>2159</v>
      </c>
      <c r="K1092" s="662" t="str">
        <f t="shared" si="89"/>
        <v>Deprecated</v>
      </c>
      <c r="L1092" s="660" t="str">
        <f t="shared" si="85"/>
        <v>UNIT</v>
      </c>
      <c r="M1092" s="660" t="str">
        <f t="shared" si="86"/>
        <v>UC</v>
      </c>
      <c r="N1092" s="660" t="str">
        <f t="shared" si="87"/>
        <v>PAAS</v>
      </c>
      <c r="O1092" s="659" t="str">
        <f t="shared" si="88"/>
        <v/>
      </c>
    </row>
    <row r="1093" spans="1:15">
      <c r="A1093" s="661">
        <v>0</v>
      </c>
      <c r="B1093" s="659">
        <v>0</v>
      </c>
      <c r="C1093" s="664">
        <v>0</v>
      </c>
      <c r="D1093" s="664">
        <v>0</v>
      </c>
      <c r="E1093" s="664">
        <v>0</v>
      </c>
      <c r="F1093" s="664" t="s">
        <v>2290</v>
      </c>
    </row>
    <row r="1094" spans="1:15">
      <c r="A1094" s="661">
        <v>0</v>
      </c>
      <c r="B1094" s="659">
        <v>0</v>
      </c>
      <c r="C1094" s="664">
        <v>0</v>
      </c>
      <c r="D1094" s="664">
        <v>0</v>
      </c>
      <c r="E1094" s="664">
        <v>0</v>
      </c>
      <c r="F1094" s="664" t="s">
        <v>2290</v>
      </c>
    </row>
    <row r="1095" spans="1:15">
      <c r="A1095" s="661">
        <v>0</v>
      </c>
      <c r="B1095" s="659">
        <v>0</v>
      </c>
      <c r="C1095" s="664">
        <v>0</v>
      </c>
      <c r="D1095" s="664">
        <v>0</v>
      </c>
      <c r="E1095" s="664">
        <v>0</v>
      </c>
      <c r="F1095" s="664" t="s">
        <v>2290</v>
      </c>
    </row>
    <row r="1096" spans="1:15">
      <c r="A1096" s="661">
        <v>0</v>
      </c>
      <c r="B1096" s="659">
        <v>0</v>
      </c>
      <c r="C1096" s="664">
        <v>0</v>
      </c>
      <c r="D1096" s="664">
        <v>0</v>
      </c>
      <c r="E1096" s="664">
        <v>0</v>
      </c>
      <c r="F1096" s="664" t="s">
        <v>2290</v>
      </c>
    </row>
    <row r="1097" spans="1:15">
      <c r="A1097" s="661">
        <v>0</v>
      </c>
      <c r="B1097" s="659">
        <v>0</v>
      </c>
      <c r="C1097" s="664">
        <v>0</v>
      </c>
      <c r="D1097" s="664">
        <v>0</v>
      </c>
      <c r="E1097" s="664">
        <v>0</v>
      </c>
      <c r="F1097" s="664" t="s">
        <v>2290</v>
      </c>
    </row>
    <row r="1098" spans="1:15">
      <c r="A1098" s="661">
        <v>0</v>
      </c>
      <c r="B1098" s="659">
        <v>0</v>
      </c>
      <c r="C1098" s="664">
        <v>0</v>
      </c>
      <c r="D1098" s="664">
        <v>0</v>
      </c>
      <c r="E1098" s="664">
        <v>0</v>
      </c>
      <c r="F1098" s="664" t="s">
        <v>2290</v>
      </c>
    </row>
    <row r="1099" spans="1:15">
      <c r="A1099" s="661">
        <v>0</v>
      </c>
      <c r="B1099" s="659">
        <v>0</v>
      </c>
      <c r="C1099" s="664">
        <v>0</v>
      </c>
      <c r="D1099" s="664">
        <v>0</v>
      </c>
      <c r="E1099" s="664">
        <v>0</v>
      </c>
      <c r="F1099" s="664" t="s">
        <v>2290</v>
      </c>
    </row>
    <row r="1100" spans="1:15">
      <c r="A1100" s="661">
        <v>0</v>
      </c>
      <c r="B1100" s="659">
        <v>0</v>
      </c>
      <c r="C1100" s="664">
        <v>0</v>
      </c>
      <c r="D1100" s="664">
        <v>0</v>
      </c>
      <c r="E1100" s="664">
        <v>0</v>
      </c>
      <c r="F1100" s="664" t="s">
        <v>2290</v>
      </c>
    </row>
    <row r="1101" spans="1:15">
      <c r="A1101" s="661">
        <v>0</v>
      </c>
      <c r="B1101" s="659">
        <v>0</v>
      </c>
      <c r="C1101" s="664">
        <v>0</v>
      </c>
      <c r="D1101" s="664">
        <v>0</v>
      </c>
      <c r="E1101" s="664">
        <v>0</v>
      </c>
      <c r="F1101" s="664" t="s">
        <v>2290</v>
      </c>
    </row>
    <row r="1102" spans="1:15">
      <c r="A1102" s="661">
        <v>0</v>
      </c>
      <c r="B1102" s="659">
        <v>0</v>
      </c>
      <c r="C1102" s="664">
        <v>0</v>
      </c>
      <c r="D1102" s="664">
        <v>0</v>
      </c>
      <c r="E1102" s="664">
        <v>0</v>
      </c>
      <c r="F1102" s="664" t="s">
        <v>2290</v>
      </c>
    </row>
    <row r="1103" spans="1:15">
      <c r="A1103" s="661">
        <v>0</v>
      </c>
      <c r="B1103" s="659">
        <v>0</v>
      </c>
      <c r="C1103" s="664">
        <v>0</v>
      </c>
      <c r="D1103" s="664">
        <v>0</v>
      </c>
      <c r="E1103" s="664">
        <v>0</v>
      </c>
      <c r="F1103" s="664" t="s">
        <v>2290</v>
      </c>
    </row>
    <row r="1104" spans="1:15">
      <c r="A1104" s="661">
        <v>0</v>
      </c>
      <c r="B1104" s="659">
        <v>0</v>
      </c>
      <c r="C1104" s="664">
        <v>0</v>
      </c>
      <c r="D1104" s="664">
        <v>0</v>
      </c>
      <c r="E1104" s="664">
        <v>0</v>
      </c>
      <c r="F1104" s="664" t="s">
        <v>2290</v>
      </c>
    </row>
    <row r="1105" spans="1:6">
      <c r="A1105" s="661">
        <v>0</v>
      </c>
      <c r="B1105" s="659">
        <v>0</v>
      </c>
      <c r="C1105" s="664">
        <v>0</v>
      </c>
      <c r="D1105" s="664">
        <v>0</v>
      </c>
      <c r="E1105" s="664">
        <v>0</v>
      </c>
      <c r="F1105" s="664" t="s">
        <v>2290</v>
      </c>
    </row>
    <row r="1106" spans="1:6">
      <c r="A1106" s="661">
        <v>0</v>
      </c>
      <c r="B1106" s="659">
        <v>0</v>
      </c>
      <c r="C1106" s="664">
        <v>0</v>
      </c>
      <c r="D1106" s="664">
        <v>0</v>
      </c>
      <c r="E1106" s="664">
        <v>0</v>
      </c>
      <c r="F1106" s="664" t="s">
        <v>2290</v>
      </c>
    </row>
    <row r="1107" spans="1:6">
      <c r="A1107" s="661">
        <v>0</v>
      </c>
      <c r="B1107" s="659">
        <v>0</v>
      </c>
      <c r="C1107" s="664">
        <v>0</v>
      </c>
      <c r="D1107" s="664">
        <v>0</v>
      </c>
      <c r="E1107" s="664">
        <v>0</v>
      </c>
      <c r="F1107" s="664" t="s">
        <v>2290</v>
      </c>
    </row>
    <row r="1108" spans="1:6">
      <c r="A1108" s="661">
        <v>0</v>
      </c>
      <c r="B1108" s="659">
        <v>0</v>
      </c>
      <c r="C1108" s="664">
        <v>0</v>
      </c>
      <c r="D1108" s="664">
        <v>0</v>
      </c>
      <c r="E1108" s="664">
        <v>0</v>
      </c>
      <c r="F1108" s="664" t="s">
        <v>2290</v>
      </c>
    </row>
    <row r="1109" spans="1:6">
      <c r="A1109" s="661">
        <v>0</v>
      </c>
      <c r="B1109" s="659">
        <v>0</v>
      </c>
      <c r="C1109" s="664">
        <v>0</v>
      </c>
      <c r="D1109" s="664">
        <v>0</v>
      </c>
      <c r="E1109" s="664">
        <v>0</v>
      </c>
      <c r="F1109" s="664" t="s">
        <v>2290</v>
      </c>
    </row>
    <row r="1110" spans="1:6">
      <c r="A1110" s="661">
        <v>0</v>
      </c>
      <c r="B1110" s="659">
        <v>0</v>
      </c>
      <c r="C1110" s="664">
        <v>0</v>
      </c>
      <c r="D1110" s="664">
        <v>0</v>
      </c>
      <c r="E1110" s="664">
        <v>0</v>
      </c>
      <c r="F1110" s="664" t="s">
        <v>2290</v>
      </c>
    </row>
    <row r="1111" spans="1:6">
      <c r="A1111" s="661">
        <v>0</v>
      </c>
      <c r="B1111" s="659">
        <v>0</v>
      </c>
      <c r="C1111" s="664">
        <v>0</v>
      </c>
      <c r="D1111" s="664">
        <v>0</v>
      </c>
      <c r="E1111" s="664">
        <v>0</v>
      </c>
      <c r="F1111" s="664" t="s">
        <v>2290</v>
      </c>
    </row>
    <row r="1112" spans="1:6">
      <c r="A1112" s="661">
        <v>0</v>
      </c>
      <c r="B1112" s="659">
        <v>0</v>
      </c>
      <c r="C1112" s="664">
        <v>0</v>
      </c>
      <c r="D1112" s="664">
        <v>0</v>
      </c>
      <c r="E1112" s="664">
        <v>0</v>
      </c>
      <c r="F1112" s="664" t="s">
        <v>2290</v>
      </c>
    </row>
    <row r="1113" spans="1:6">
      <c r="A1113" s="661">
        <v>0</v>
      </c>
      <c r="B1113" s="659">
        <v>0</v>
      </c>
      <c r="C1113" s="664">
        <v>0</v>
      </c>
      <c r="D1113" s="664">
        <v>0</v>
      </c>
      <c r="E1113" s="664">
        <v>0</v>
      </c>
      <c r="F1113" s="664" t="s">
        <v>2290</v>
      </c>
    </row>
    <row r="1114" spans="1:6">
      <c r="A1114" s="661">
        <v>0</v>
      </c>
      <c r="B1114" s="659">
        <v>0</v>
      </c>
      <c r="C1114" s="664">
        <v>0</v>
      </c>
      <c r="D1114" s="664">
        <v>0</v>
      </c>
      <c r="E1114" s="664">
        <v>0</v>
      </c>
      <c r="F1114" s="664" t="s">
        <v>2290</v>
      </c>
    </row>
    <row r="1115" spans="1:6">
      <c r="A1115" s="661">
        <v>0</v>
      </c>
      <c r="B1115" s="659">
        <v>0</v>
      </c>
      <c r="C1115" s="664">
        <v>0</v>
      </c>
      <c r="D1115" s="664">
        <v>0</v>
      </c>
      <c r="E1115" s="664">
        <v>0</v>
      </c>
      <c r="F1115" s="664" t="s">
        <v>2290</v>
      </c>
    </row>
    <row r="1116" spans="1:6">
      <c r="A1116" s="661">
        <v>0</v>
      </c>
      <c r="B1116" s="659">
        <v>0</v>
      </c>
      <c r="C1116" s="664">
        <v>0</v>
      </c>
      <c r="D1116" s="664">
        <v>0</v>
      </c>
      <c r="E1116" s="664">
        <v>0</v>
      </c>
      <c r="F1116" s="664" t="s">
        <v>2290</v>
      </c>
    </row>
    <row r="1117" spans="1:6">
      <c r="A1117" s="661">
        <v>0</v>
      </c>
      <c r="B1117" s="659">
        <v>0</v>
      </c>
      <c r="C1117" s="664">
        <v>0</v>
      </c>
      <c r="D1117" s="664">
        <v>0</v>
      </c>
      <c r="E1117" s="664">
        <v>0</v>
      </c>
      <c r="F1117" s="664" t="s">
        <v>2290</v>
      </c>
    </row>
    <row r="1118" spans="1:6">
      <c r="A1118" s="661">
        <v>0</v>
      </c>
      <c r="B1118" s="659">
        <v>0</v>
      </c>
      <c r="C1118" s="664">
        <v>0</v>
      </c>
      <c r="D1118" s="664">
        <v>0</v>
      </c>
      <c r="E1118" s="664">
        <v>0</v>
      </c>
      <c r="F1118" s="664" t="s">
        <v>2290</v>
      </c>
    </row>
    <row r="1119" spans="1:6">
      <c r="A1119" s="661">
        <v>0</v>
      </c>
      <c r="B1119" s="659">
        <v>0</v>
      </c>
      <c r="C1119" s="664">
        <v>0</v>
      </c>
      <c r="D1119" s="664">
        <v>0</v>
      </c>
      <c r="E1119" s="664">
        <v>0</v>
      </c>
      <c r="F1119" s="664" t="s">
        <v>2290</v>
      </c>
    </row>
    <row r="1120" spans="1:6">
      <c r="A1120" s="661">
        <v>0</v>
      </c>
      <c r="B1120" s="659">
        <v>0</v>
      </c>
      <c r="C1120" s="664">
        <v>0</v>
      </c>
      <c r="D1120" s="664">
        <v>0</v>
      </c>
      <c r="E1120" s="664">
        <v>0</v>
      </c>
      <c r="F1120" s="664" t="s">
        <v>2290</v>
      </c>
    </row>
    <row r="1121" spans="1:6">
      <c r="A1121" s="661">
        <v>0</v>
      </c>
      <c r="B1121" s="659">
        <v>0</v>
      </c>
      <c r="C1121" s="664">
        <v>0</v>
      </c>
      <c r="D1121" s="664">
        <v>0</v>
      </c>
      <c r="E1121" s="664">
        <v>0</v>
      </c>
      <c r="F1121" s="664" t="s">
        <v>2290</v>
      </c>
    </row>
    <row r="1122" spans="1:6">
      <c r="A1122" s="661">
        <v>0</v>
      </c>
      <c r="B1122" s="659">
        <v>0</v>
      </c>
      <c r="C1122" s="664">
        <v>0</v>
      </c>
      <c r="D1122" s="664">
        <v>0</v>
      </c>
      <c r="E1122" s="664">
        <v>0</v>
      </c>
      <c r="F1122" s="664" t="s">
        <v>2290</v>
      </c>
    </row>
    <row r="1123" spans="1:6">
      <c r="A1123" s="661">
        <v>0</v>
      </c>
      <c r="B1123" s="659">
        <v>0</v>
      </c>
      <c r="C1123" s="664">
        <v>0</v>
      </c>
      <c r="D1123" s="664">
        <v>0</v>
      </c>
      <c r="E1123" s="664">
        <v>0</v>
      </c>
      <c r="F1123" s="664" t="s">
        <v>2290</v>
      </c>
    </row>
    <row r="1124" spans="1:6">
      <c r="A1124" s="661">
        <v>0</v>
      </c>
      <c r="B1124" s="659">
        <v>0</v>
      </c>
      <c r="C1124" s="664">
        <v>0</v>
      </c>
      <c r="D1124" s="664">
        <v>0</v>
      </c>
      <c r="E1124" s="664">
        <v>0</v>
      </c>
      <c r="F1124" s="664" t="s">
        <v>2290</v>
      </c>
    </row>
    <row r="1125" spans="1:6">
      <c r="A1125" s="661">
        <v>0</v>
      </c>
      <c r="B1125" s="659">
        <v>0</v>
      </c>
      <c r="C1125" s="664">
        <v>0</v>
      </c>
      <c r="D1125" s="664">
        <v>0</v>
      </c>
      <c r="E1125" s="664">
        <v>0</v>
      </c>
      <c r="F1125" s="664" t="s">
        <v>2290</v>
      </c>
    </row>
    <row r="1126" spans="1:6">
      <c r="A1126" s="661">
        <v>0</v>
      </c>
      <c r="B1126" s="659">
        <v>0</v>
      </c>
      <c r="C1126" s="664">
        <v>0</v>
      </c>
      <c r="D1126" s="664">
        <v>0</v>
      </c>
      <c r="E1126" s="664">
        <v>0</v>
      </c>
      <c r="F1126" s="664" t="s">
        <v>2290</v>
      </c>
    </row>
    <row r="1127" spans="1:6">
      <c r="A1127" s="661">
        <v>0</v>
      </c>
      <c r="B1127" s="659">
        <v>0</v>
      </c>
      <c r="C1127" s="664">
        <v>0</v>
      </c>
      <c r="D1127" s="664">
        <v>0</v>
      </c>
      <c r="E1127" s="664">
        <v>0</v>
      </c>
      <c r="F1127" s="664" t="s">
        <v>2290</v>
      </c>
    </row>
    <row r="1128" spans="1:6">
      <c r="A1128" s="661">
        <v>0</v>
      </c>
      <c r="B1128" s="659">
        <v>0</v>
      </c>
      <c r="C1128" s="664">
        <v>0</v>
      </c>
      <c r="D1128" s="664">
        <v>0</v>
      </c>
      <c r="E1128" s="664">
        <v>0</v>
      </c>
      <c r="F1128" s="664" t="s">
        <v>2290</v>
      </c>
    </row>
    <row r="1129" spans="1:6">
      <c r="A1129" s="661">
        <v>0</v>
      </c>
      <c r="B1129" s="659">
        <v>0</v>
      </c>
      <c r="C1129" s="664">
        <v>0</v>
      </c>
      <c r="D1129" s="664">
        <v>0</v>
      </c>
      <c r="E1129" s="664">
        <v>0</v>
      </c>
      <c r="F1129" s="664" t="s">
        <v>2290</v>
      </c>
    </row>
    <row r="1130" spans="1:6">
      <c r="A1130" s="661">
        <v>0</v>
      </c>
      <c r="B1130" s="659">
        <v>0</v>
      </c>
      <c r="C1130" s="664">
        <v>0</v>
      </c>
      <c r="D1130" s="664">
        <v>0</v>
      </c>
      <c r="E1130" s="664">
        <v>0</v>
      </c>
      <c r="F1130" s="664" t="s">
        <v>2290</v>
      </c>
    </row>
    <row r="1131" spans="1:6">
      <c r="A1131" s="661">
        <v>0</v>
      </c>
      <c r="B1131" s="659">
        <v>0</v>
      </c>
      <c r="C1131" s="664">
        <v>0</v>
      </c>
      <c r="D1131" s="664">
        <v>0</v>
      </c>
      <c r="E1131" s="664">
        <v>0</v>
      </c>
      <c r="F1131" s="664" t="s">
        <v>2290</v>
      </c>
    </row>
    <row r="1132" spans="1:6">
      <c r="A1132" s="661">
        <v>0</v>
      </c>
      <c r="B1132" s="659">
        <v>0</v>
      </c>
      <c r="C1132" s="664">
        <v>0</v>
      </c>
      <c r="D1132" s="664">
        <v>0</v>
      </c>
      <c r="E1132" s="664">
        <v>0</v>
      </c>
      <c r="F1132" s="664" t="s">
        <v>2290</v>
      </c>
    </row>
    <row r="1133" spans="1:6">
      <c r="A1133" s="661">
        <v>0</v>
      </c>
      <c r="B1133" s="659">
        <v>0</v>
      </c>
      <c r="C1133" s="664">
        <v>0</v>
      </c>
      <c r="D1133" s="664">
        <v>0</v>
      </c>
      <c r="E1133" s="664">
        <v>0</v>
      </c>
      <c r="F1133" s="664" t="s">
        <v>2290</v>
      </c>
    </row>
    <row r="1134" spans="1:6">
      <c r="A1134" s="661">
        <v>0</v>
      </c>
      <c r="B1134" s="659">
        <v>0</v>
      </c>
      <c r="C1134" s="664">
        <v>0</v>
      </c>
      <c r="D1134" s="664">
        <v>0</v>
      </c>
      <c r="E1134" s="664">
        <v>0</v>
      </c>
      <c r="F1134" s="664" t="s">
        <v>2290</v>
      </c>
    </row>
    <row r="1135" spans="1:6">
      <c r="A1135" s="661">
        <v>0</v>
      </c>
      <c r="B1135" s="659">
        <v>0</v>
      </c>
      <c r="C1135" s="664">
        <v>0</v>
      </c>
      <c r="D1135" s="664">
        <v>0</v>
      </c>
      <c r="E1135" s="664">
        <v>0</v>
      </c>
      <c r="F1135" s="664" t="s">
        <v>2290</v>
      </c>
    </row>
    <row r="1136" spans="1:6">
      <c r="A1136" s="661">
        <v>0</v>
      </c>
      <c r="B1136" s="659">
        <v>0</v>
      </c>
      <c r="C1136" s="664">
        <v>0</v>
      </c>
      <c r="D1136" s="664">
        <v>0</v>
      </c>
      <c r="E1136" s="664">
        <v>0</v>
      </c>
      <c r="F1136" s="664" t="s">
        <v>2290</v>
      </c>
    </row>
    <row r="1137" spans="1:6">
      <c r="A1137" s="661">
        <v>0</v>
      </c>
      <c r="B1137" s="659">
        <v>0</v>
      </c>
      <c r="C1137" s="664">
        <v>0</v>
      </c>
      <c r="D1137" s="664">
        <v>0</v>
      </c>
      <c r="E1137" s="664">
        <v>0</v>
      </c>
      <c r="F1137" s="664" t="s">
        <v>2290</v>
      </c>
    </row>
    <row r="1138" spans="1:6">
      <c r="A1138" s="661">
        <v>0</v>
      </c>
      <c r="B1138" s="659">
        <v>0</v>
      </c>
      <c r="C1138" s="664">
        <v>0</v>
      </c>
      <c r="D1138" s="664">
        <v>0</v>
      </c>
      <c r="E1138" s="664">
        <v>0</v>
      </c>
      <c r="F1138" s="664" t="s">
        <v>2290</v>
      </c>
    </row>
    <row r="1139" spans="1:6">
      <c r="A1139" s="661">
        <v>0</v>
      </c>
      <c r="B1139" s="659">
        <v>0</v>
      </c>
      <c r="C1139" s="664">
        <v>0</v>
      </c>
      <c r="D1139" s="664">
        <v>0</v>
      </c>
      <c r="E1139" s="664">
        <v>0</v>
      </c>
      <c r="F1139" s="664" t="s">
        <v>2290</v>
      </c>
    </row>
    <row r="1140" spans="1:6">
      <c r="A1140" s="661">
        <v>0</v>
      </c>
      <c r="B1140" s="659">
        <v>0</v>
      </c>
      <c r="C1140" s="664">
        <v>0</v>
      </c>
      <c r="D1140" s="664">
        <v>0</v>
      </c>
      <c r="E1140" s="664">
        <v>0</v>
      </c>
      <c r="F1140" s="664" t="s">
        <v>2290</v>
      </c>
    </row>
    <row r="1141" spans="1:6">
      <c r="A1141" s="661">
        <v>0</v>
      </c>
      <c r="B1141" s="659">
        <v>0</v>
      </c>
      <c r="C1141" s="664">
        <v>0</v>
      </c>
      <c r="D1141" s="664">
        <v>0</v>
      </c>
      <c r="E1141" s="664">
        <v>0</v>
      </c>
      <c r="F1141" s="664" t="s">
        <v>2290</v>
      </c>
    </row>
    <row r="1142" spans="1:6">
      <c r="A1142" s="661">
        <v>0</v>
      </c>
      <c r="B1142" s="659">
        <v>0</v>
      </c>
      <c r="C1142" s="664">
        <v>0</v>
      </c>
      <c r="D1142" s="664">
        <v>0</v>
      </c>
      <c r="E1142" s="664">
        <v>0</v>
      </c>
      <c r="F1142" s="664" t="s">
        <v>2290</v>
      </c>
    </row>
    <row r="1143" spans="1:6">
      <c r="A1143" s="661">
        <v>0</v>
      </c>
      <c r="B1143" s="659">
        <v>0</v>
      </c>
      <c r="C1143" s="664">
        <v>0</v>
      </c>
      <c r="D1143" s="664">
        <v>0</v>
      </c>
      <c r="E1143" s="664">
        <v>0</v>
      </c>
      <c r="F1143" s="664" t="s">
        <v>2290</v>
      </c>
    </row>
    <row r="1144" spans="1:6">
      <c r="A1144" s="661">
        <v>0</v>
      </c>
      <c r="B1144" s="659">
        <v>0</v>
      </c>
      <c r="C1144" s="664">
        <v>0</v>
      </c>
      <c r="D1144" s="664">
        <v>0</v>
      </c>
      <c r="E1144" s="664">
        <v>0</v>
      </c>
      <c r="F1144" s="664" t="s">
        <v>2290</v>
      </c>
    </row>
    <row r="1145" spans="1:6">
      <c r="A1145" s="661">
        <v>0</v>
      </c>
      <c r="B1145" s="659">
        <v>0</v>
      </c>
      <c r="C1145" s="664">
        <v>0</v>
      </c>
      <c r="D1145" s="664">
        <v>0</v>
      </c>
      <c r="E1145" s="664">
        <v>0</v>
      </c>
      <c r="F1145" s="664" t="s">
        <v>2290</v>
      </c>
    </row>
    <row r="1146" spans="1:6">
      <c r="A1146" s="661">
        <v>0</v>
      </c>
      <c r="B1146" s="659">
        <v>0</v>
      </c>
      <c r="C1146" s="664">
        <v>0</v>
      </c>
      <c r="D1146" s="664">
        <v>0</v>
      </c>
      <c r="E1146" s="664">
        <v>0</v>
      </c>
      <c r="F1146" s="664" t="s">
        <v>2290</v>
      </c>
    </row>
    <row r="1147" spans="1:6">
      <c r="A1147" s="661">
        <v>0</v>
      </c>
      <c r="B1147" s="659">
        <v>0</v>
      </c>
      <c r="C1147" s="664">
        <v>0</v>
      </c>
      <c r="D1147" s="664">
        <v>0</v>
      </c>
      <c r="E1147" s="664">
        <v>0</v>
      </c>
      <c r="F1147" s="664" t="s">
        <v>2290</v>
      </c>
    </row>
    <row r="1148" spans="1:6">
      <c r="A1148" s="661">
        <v>0</v>
      </c>
      <c r="B1148" s="659">
        <v>0</v>
      </c>
      <c r="C1148" s="664">
        <v>0</v>
      </c>
      <c r="D1148" s="664">
        <v>0</v>
      </c>
      <c r="E1148" s="664">
        <v>0</v>
      </c>
      <c r="F1148" s="664" t="s">
        <v>2290</v>
      </c>
    </row>
    <row r="1149" spans="1:6">
      <c r="A1149" s="661">
        <v>0</v>
      </c>
      <c r="B1149" s="659">
        <v>0</v>
      </c>
      <c r="C1149" s="664">
        <v>0</v>
      </c>
      <c r="D1149" s="664">
        <v>0</v>
      </c>
      <c r="E1149" s="664">
        <v>0</v>
      </c>
      <c r="F1149" s="664" t="s">
        <v>2290</v>
      </c>
    </row>
    <row r="1150" spans="1:6">
      <c r="A1150" s="661">
        <v>0</v>
      </c>
      <c r="B1150" s="659">
        <v>0</v>
      </c>
      <c r="C1150" s="664">
        <v>0</v>
      </c>
      <c r="D1150" s="664">
        <v>0</v>
      </c>
      <c r="E1150" s="664">
        <v>0</v>
      </c>
      <c r="F1150" s="664" t="s">
        <v>2290</v>
      </c>
    </row>
    <row r="1151" spans="1:6">
      <c r="A1151" s="661">
        <v>0</v>
      </c>
      <c r="B1151" s="659">
        <v>0</v>
      </c>
      <c r="C1151" s="664">
        <v>0</v>
      </c>
      <c r="D1151" s="664">
        <v>0</v>
      </c>
      <c r="E1151" s="664">
        <v>0</v>
      </c>
      <c r="F1151" s="664" t="s">
        <v>2290</v>
      </c>
    </row>
    <row r="1152" spans="1:6">
      <c r="A1152" s="661">
        <v>0</v>
      </c>
      <c r="B1152" s="659">
        <v>0</v>
      </c>
      <c r="C1152" s="664">
        <v>0</v>
      </c>
      <c r="D1152" s="664">
        <v>0</v>
      </c>
      <c r="E1152" s="664">
        <v>0</v>
      </c>
      <c r="F1152" s="664" t="s">
        <v>2290</v>
      </c>
    </row>
    <row r="1153" spans="1:6">
      <c r="A1153" s="661">
        <v>0</v>
      </c>
      <c r="B1153" s="659">
        <v>0</v>
      </c>
      <c r="C1153" s="664">
        <v>0</v>
      </c>
      <c r="D1153" s="664">
        <v>0</v>
      </c>
      <c r="E1153" s="664">
        <v>0</v>
      </c>
      <c r="F1153" s="664" t="s">
        <v>2290</v>
      </c>
    </row>
    <row r="1154" spans="1:6">
      <c r="A1154" s="661">
        <v>0</v>
      </c>
      <c r="B1154" s="659">
        <v>0</v>
      </c>
      <c r="C1154" s="664">
        <v>0</v>
      </c>
      <c r="D1154" s="664">
        <v>0</v>
      </c>
      <c r="E1154" s="664">
        <v>0</v>
      </c>
      <c r="F1154" s="664" t="s">
        <v>2290</v>
      </c>
    </row>
    <row r="1155" spans="1:6">
      <c r="A1155" s="661">
        <v>0</v>
      </c>
      <c r="B1155" s="659">
        <v>0</v>
      </c>
      <c r="C1155" s="664">
        <v>0</v>
      </c>
      <c r="D1155" s="664">
        <v>0</v>
      </c>
      <c r="E1155" s="664">
        <v>0</v>
      </c>
      <c r="F1155" s="664" t="s">
        <v>2290</v>
      </c>
    </row>
    <row r="1156" spans="1:6">
      <c r="A1156" s="661">
        <v>0</v>
      </c>
      <c r="B1156" s="659">
        <v>0</v>
      </c>
      <c r="C1156" s="664">
        <v>0</v>
      </c>
      <c r="D1156" s="664">
        <v>0</v>
      </c>
      <c r="E1156" s="664">
        <v>0</v>
      </c>
      <c r="F1156" s="664" t="s">
        <v>2290</v>
      </c>
    </row>
    <row r="1157" spans="1:6">
      <c r="A1157" s="661">
        <v>0</v>
      </c>
      <c r="B1157" s="659">
        <v>0</v>
      </c>
      <c r="C1157" s="664">
        <v>0</v>
      </c>
      <c r="D1157" s="664">
        <v>0</v>
      </c>
      <c r="E1157" s="664">
        <v>0</v>
      </c>
      <c r="F1157" s="664" t="s">
        <v>2290</v>
      </c>
    </row>
    <row r="1158" spans="1:6">
      <c r="A1158" s="661">
        <v>0</v>
      </c>
      <c r="B1158" s="659">
        <v>0</v>
      </c>
      <c r="C1158" s="664">
        <v>0</v>
      </c>
      <c r="D1158" s="664">
        <v>0</v>
      </c>
      <c r="E1158" s="664">
        <v>0</v>
      </c>
      <c r="F1158" s="664" t="s">
        <v>2290</v>
      </c>
    </row>
    <row r="1159" spans="1:6">
      <c r="A1159" s="661">
        <v>0</v>
      </c>
      <c r="B1159" s="659">
        <v>0</v>
      </c>
      <c r="C1159" s="664">
        <v>0</v>
      </c>
      <c r="D1159" s="664">
        <v>0</v>
      </c>
      <c r="E1159" s="664">
        <v>0</v>
      </c>
      <c r="F1159" s="664" t="s">
        <v>2290</v>
      </c>
    </row>
    <row r="1160" spans="1:6">
      <c r="A1160" s="661">
        <v>0</v>
      </c>
      <c r="B1160" s="659">
        <v>0</v>
      </c>
      <c r="C1160" s="664">
        <v>0</v>
      </c>
      <c r="D1160" s="664">
        <v>0</v>
      </c>
      <c r="E1160" s="664">
        <v>0</v>
      </c>
      <c r="F1160" s="664" t="s">
        <v>2290</v>
      </c>
    </row>
    <row r="1161" spans="1:6">
      <c r="A1161" s="661">
        <v>0</v>
      </c>
      <c r="B1161" s="659">
        <v>0</v>
      </c>
      <c r="C1161" s="664">
        <v>0</v>
      </c>
      <c r="D1161" s="664">
        <v>0</v>
      </c>
      <c r="E1161" s="664">
        <v>0</v>
      </c>
      <c r="F1161" s="664" t="s">
        <v>2290</v>
      </c>
    </row>
    <row r="1162" spans="1:6">
      <c r="A1162" s="661">
        <v>0</v>
      </c>
      <c r="B1162" s="659">
        <v>0</v>
      </c>
      <c r="C1162" s="664">
        <v>0</v>
      </c>
      <c r="D1162" s="664">
        <v>0</v>
      </c>
      <c r="E1162" s="664">
        <v>0</v>
      </c>
      <c r="F1162" s="664" t="s">
        <v>2290</v>
      </c>
    </row>
    <row r="1163" spans="1:6">
      <c r="A1163" s="661">
        <v>0</v>
      </c>
      <c r="B1163" s="659">
        <v>0</v>
      </c>
      <c r="C1163" s="664">
        <v>0</v>
      </c>
      <c r="D1163" s="664">
        <v>0</v>
      </c>
      <c r="E1163" s="664">
        <v>0</v>
      </c>
      <c r="F1163" s="664" t="s">
        <v>2290</v>
      </c>
    </row>
    <row r="1164" spans="1:6">
      <c r="A1164" s="661">
        <v>0</v>
      </c>
      <c r="B1164" s="659">
        <v>0</v>
      </c>
      <c r="C1164" s="664">
        <v>0</v>
      </c>
      <c r="D1164" s="664">
        <v>0</v>
      </c>
      <c r="E1164" s="664">
        <v>0</v>
      </c>
      <c r="F1164" s="664" t="s">
        <v>2290</v>
      </c>
    </row>
    <row r="1165" spans="1:6">
      <c r="A1165" s="661">
        <v>0</v>
      </c>
      <c r="B1165" s="659">
        <v>0</v>
      </c>
      <c r="C1165" s="664">
        <v>0</v>
      </c>
      <c r="D1165" s="664">
        <v>0</v>
      </c>
      <c r="E1165" s="664">
        <v>0</v>
      </c>
      <c r="F1165" s="664" t="s">
        <v>2290</v>
      </c>
    </row>
    <row r="1166" spans="1:6">
      <c r="A1166" s="661">
        <v>0</v>
      </c>
      <c r="B1166" s="659">
        <v>0</v>
      </c>
      <c r="C1166" s="664">
        <v>0</v>
      </c>
      <c r="D1166" s="664">
        <v>0</v>
      </c>
      <c r="E1166" s="664">
        <v>0</v>
      </c>
      <c r="F1166" s="664" t="s">
        <v>2290</v>
      </c>
    </row>
    <row r="1167" spans="1:6">
      <c r="A1167" s="661">
        <v>0</v>
      </c>
      <c r="B1167" s="659">
        <v>0</v>
      </c>
      <c r="C1167" s="664">
        <v>0</v>
      </c>
      <c r="D1167" s="664">
        <v>0</v>
      </c>
      <c r="E1167" s="664">
        <v>0</v>
      </c>
      <c r="F1167" s="664" t="s">
        <v>2290</v>
      </c>
    </row>
    <row r="1168" spans="1:6">
      <c r="A1168" s="661">
        <v>0</v>
      </c>
      <c r="B1168" s="659">
        <v>0</v>
      </c>
      <c r="C1168" s="664">
        <v>0</v>
      </c>
      <c r="D1168" s="664">
        <v>0</v>
      </c>
      <c r="E1168" s="664">
        <v>0</v>
      </c>
      <c r="F1168" s="664" t="s">
        <v>2290</v>
      </c>
    </row>
    <row r="1169" spans="1:6">
      <c r="A1169" s="661">
        <v>0</v>
      </c>
      <c r="B1169" s="659">
        <v>0</v>
      </c>
      <c r="C1169" s="664">
        <v>0</v>
      </c>
      <c r="D1169" s="664">
        <v>0</v>
      </c>
      <c r="E1169" s="664">
        <v>0</v>
      </c>
      <c r="F1169" s="664" t="s">
        <v>2290</v>
      </c>
    </row>
    <row r="1170" spans="1:6">
      <c r="A1170" s="661">
        <v>0</v>
      </c>
      <c r="B1170" s="659">
        <v>0</v>
      </c>
      <c r="C1170" s="664">
        <v>0</v>
      </c>
      <c r="D1170" s="664">
        <v>0</v>
      </c>
      <c r="E1170" s="664">
        <v>0</v>
      </c>
      <c r="F1170" s="664" t="s">
        <v>2290</v>
      </c>
    </row>
    <row r="1171" spans="1:6">
      <c r="A1171" s="661">
        <v>0</v>
      </c>
      <c r="B1171" s="659">
        <v>0</v>
      </c>
      <c r="C1171" s="664">
        <v>0</v>
      </c>
      <c r="D1171" s="664">
        <v>0</v>
      </c>
      <c r="E1171" s="664">
        <v>0</v>
      </c>
      <c r="F1171" s="664" t="s">
        <v>2290</v>
      </c>
    </row>
    <row r="1172" spans="1:6">
      <c r="A1172" s="661">
        <v>0</v>
      </c>
      <c r="B1172" s="659">
        <v>0</v>
      </c>
      <c r="C1172" s="664">
        <v>0</v>
      </c>
      <c r="D1172" s="664">
        <v>0</v>
      </c>
      <c r="E1172" s="664">
        <v>0</v>
      </c>
      <c r="F1172" s="664" t="s">
        <v>2290</v>
      </c>
    </row>
    <row r="1173" spans="1:6">
      <c r="A1173" s="661">
        <v>0</v>
      </c>
      <c r="B1173" s="659">
        <v>0</v>
      </c>
      <c r="C1173" s="664">
        <v>0</v>
      </c>
      <c r="D1173" s="664">
        <v>0</v>
      </c>
      <c r="E1173" s="664">
        <v>0</v>
      </c>
      <c r="F1173" s="664" t="s">
        <v>2290</v>
      </c>
    </row>
    <row r="1174" spans="1:6">
      <c r="A1174" s="661">
        <v>0</v>
      </c>
      <c r="B1174" s="659">
        <v>0</v>
      </c>
      <c r="C1174" s="664">
        <v>0</v>
      </c>
      <c r="D1174" s="664">
        <v>0</v>
      </c>
      <c r="E1174" s="664">
        <v>0</v>
      </c>
      <c r="F1174" s="664" t="s">
        <v>2290</v>
      </c>
    </row>
    <row r="1175" spans="1:6">
      <c r="A1175" s="661">
        <v>0</v>
      </c>
      <c r="B1175" s="659">
        <v>0</v>
      </c>
      <c r="C1175" s="664">
        <v>0</v>
      </c>
      <c r="D1175" s="664">
        <v>0</v>
      </c>
      <c r="E1175" s="664">
        <v>0</v>
      </c>
      <c r="F1175" s="664" t="s">
        <v>2290</v>
      </c>
    </row>
    <row r="1176" spans="1:6">
      <c r="A1176" s="661">
        <v>0</v>
      </c>
      <c r="B1176" s="659">
        <v>0</v>
      </c>
      <c r="C1176" s="664">
        <v>0</v>
      </c>
      <c r="D1176" s="664">
        <v>0</v>
      </c>
      <c r="E1176" s="664">
        <v>0</v>
      </c>
      <c r="F1176" s="664" t="s">
        <v>2290</v>
      </c>
    </row>
    <row r="1177" spans="1:6">
      <c r="A1177" s="661">
        <v>0</v>
      </c>
      <c r="B1177" s="659">
        <v>0</v>
      </c>
      <c r="C1177" s="664">
        <v>0</v>
      </c>
      <c r="D1177" s="664">
        <v>0</v>
      </c>
      <c r="E1177" s="664">
        <v>0</v>
      </c>
      <c r="F1177" s="664" t="s">
        <v>2290</v>
      </c>
    </row>
    <row r="1178" spans="1:6">
      <c r="A1178" s="661">
        <v>0</v>
      </c>
      <c r="B1178" s="659">
        <v>0</v>
      </c>
      <c r="C1178" s="664">
        <v>0</v>
      </c>
      <c r="D1178" s="664">
        <v>0</v>
      </c>
      <c r="E1178" s="664">
        <v>0</v>
      </c>
      <c r="F1178" s="664" t="s">
        <v>2290</v>
      </c>
    </row>
    <row r="1179" spans="1:6">
      <c r="A1179" s="661">
        <v>0</v>
      </c>
      <c r="B1179" s="659">
        <v>0</v>
      </c>
      <c r="C1179" s="664">
        <v>0</v>
      </c>
      <c r="D1179" s="664">
        <v>0</v>
      </c>
      <c r="E1179" s="664">
        <v>0</v>
      </c>
      <c r="F1179" s="664" t="s">
        <v>2290</v>
      </c>
    </row>
    <row r="1180" spans="1:6">
      <c r="A1180" s="661">
        <v>0</v>
      </c>
      <c r="B1180" s="659">
        <v>0</v>
      </c>
      <c r="C1180" s="664">
        <v>0</v>
      </c>
      <c r="D1180" s="664">
        <v>0</v>
      </c>
      <c r="E1180" s="664">
        <v>0</v>
      </c>
      <c r="F1180" s="664" t="s">
        <v>2290</v>
      </c>
    </row>
    <row r="1181" spans="1:6">
      <c r="A1181" s="661">
        <v>0</v>
      </c>
      <c r="B1181" s="659">
        <v>0</v>
      </c>
      <c r="C1181" s="664">
        <v>0</v>
      </c>
      <c r="D1181" s="664">
        <v>0</v>
      </c>
      <c r="E1181" s="664">
        <v>0</v>
      </c>
      <c r="F1181" s="664" t="s">
        <v>2290</v>
      </c>
    </row>
    <row r="1182" spans="1:6">
      <c r="A1182" s="661">
        <v>0</v>
      </c>
      <c r="B1182" s="659">
        <v>0</v>
      </c>
      <c r="C1182" s="664">
        <v>0</v>
      </c>
      <c r="D1182" s="664">
        <v>0</v>
      </c>
      <c r="E1182" s="664">
        <v>0</v>
      </c>
      <c r="F1182" s="664" t="s">
        <v>2290</v>
      </c>
    </row>
    <row r="1183" spans="1:6">
      <c r="A1183" s="661">
        <v>0</v>
      </c>
      <c r="B1183" s="659">
        <v>0</v>
      </c>
      <c r="C1183" s="664">
        <v>0</v>
      </c>
      <c r="D1183" s="664">
        <v>0</v>
      </c>
      <c r="E1183" s="664">
        <v>0</v>
      </c>
      <c r="F1183" s="664" t="s">
        <v>2290</v>
      </c>
    </row>
    <row r="1184" spans="1:6">
      <c r="A1184" s="661">
        <v>0</v>
      </c>
      <c r="B1184" s="659">
        <v>0</v>
      </c>
      <c r="C1184" s="664">
        <v>0</v>
      </c>
      <c r="D1184" s="664">
        <v>0</v>
      </c>
      <c r="E1184" s="664">
        <v>0</v>
      </c>
      <c r="F1184" s="664" t="s">
        <v>2290</v>
      </c>
    </row>
    <row r="1185" spans="1:6">
      <c r="A1185" s="661">
        <v>0</v>
      </c>
      <c r="B1185" s="659">
        <v>0</v>
      </c>
      <c r="C1185" s="664">
        <v>0</v>
      </c>
      <c r="D1185" s="664">
        <v>0</v>
      </c>
      <c r="E1185" s="664">
        <v>0</v>
      </c>
      <c r="F1185" s="664" t="s">
        <v>2290</v>
      </c>
    </row>
    <row r="1186" spans="1:6">
      <c r="A1186" s="661">
        <v>0</v>
      </c>
      <c r="B1186" s="659">
        <v>0</v>
      </c>
      <c r="C1186" s="664">
        <v>0</v>
      </c>
      <c r="D1186" s="664">
        <v>0</v>
      </c>
      <c r="E1186" s="664">
        <v>0</v>
      </c>
      <c r="F1186" s="664" t="s">
        <v>2290</v>
      </c>
    </row>
    <row r="1187" spans="1:6">
      <c r="A1187" s="661">
        <v>0</v>
      </c>
      <c r="B1187" s="659">
        <v>0</v>
      </c>
      <c r="C1187" s="664">
        <v>0</v>
      </c>
      <c r="D1187" s="664">
        <v>0</v>
      </c>
      <c r="E1187" s="664">
        <v>0</v>
      </c>
      <c r="F1187" s="664" t="s">
        <v>2290</v>
      </c>
    </row>
    <row r="1188" spans="1:6">
      <c r="A1188" s="661">
        <v>0</v>
      </c>
      <c r="B1188" s="659">
        <v>0</v>
      </c>
      <c r="C1188" s="664">
        <v>0</v>
      </c>
      <c r="D1188" s="664">
        <v>0</v>
      </c>
      <c r="E1188" s="664">
        <v>0</v>
      </c>
      <c r="F1188" s="664" t="s">
        <v>2290</v>
      </c>
    </row>
    <row r="1189" spans="1:6">
      <c r="A1189" s="661">
        <v>0</v>
      </c>
      <c r="B1189" s="659">
        <v>0</v>
      </c>
      <c r="C1189" s="664">
        <v>0</v>
      </c>
      <c r="D1189" s="664">
        <v>0</v>
      </c>
      <c r="E1189" s="664">
        <v>0</v>
      </c>
      <c r="F1189" s="664" t="s">
        <v>2290</v>
      </c>
    </row>
    <row r="1190" spans="1:6">
      <c r="A1190" s="661">
        <v>0</v>
      </c>
      <c r="B1190" s="659">
        <v>0</v>
      </c>
      <c r="C1190" s="664">
        <v>0</v>
      </c>
      <c r="D1190" s="664">
        <v>0</v>
      </c>
      <c r="E1190" s="664">
        <v>0</v>
      </c>
      <c r="F1190" s="664" t="s">
        <v>2290</v>
      </c>
    </row>
    <row r="1191" spans="1:6">
      <c r="A1191" s="661">
        <v>0</v>
      </c>
      <c r="B1191" s="659">
        <v>0</v>
      </c>
      <c r="C1191" s="664">
        <v>0</v>
      </c>
      <c r="D1191" s="664">
        <v>0</v>
      </c>
      <c r="E1191" s="664">
        <v>0</v>
      </c>
      <c r="F1191" s="664" t="s">
        <v>2290</v>
      </c>
    </row>
    <row r="1192" spans="1:6">
      <c r="A1192" s="661">
        <v>0</v>
      </c>
      <c r="B1192" s="659">
        <v>0</v>
      </c>
      <c r="C1192" s="664">
        <v>0</v>
      </c>
      <c r="D1192" s="664">
        <v>0</v>
      </c>
      <c r="E1192" s="664">
        <v>0</v>
      </c>
      <c r="F1192" s="664" t="s">
        <v>2290</v>
      </c>
    </row>
    <row r="1193" spans="1:6">
      <c r="A1193" s="661">
        <v>0</v>
      </c>
      <c r="B1193" s="659">
        <v>0</v>
      </c>
      <c r="C1193" s="664">
        <v>0</v>
      </c>
      <c r="D1193" s="664">
        <v>0</v>
      </c>
      <c r="E1193" s="664">
        <v>0</v>
      </c>
      <c r="F1193" s="664" t="s">
        <v>2290</v>
      </c>
    </row>
    <row r="1194" spans="1:6">
      <c r="A1194" s="661">
        <v>0</v>
      </c>
      <c r="B1194" s="659">
        <v>0</v>
      </c>
      <c r="C1194" s="664">
        <v>0</v>
      </c>
      <c r="D1194" s="664">
        <v>0</v>
      </c>
      <c r="E1194" s="664">
        <v>0</v>
      </c>
      <c r="F1194" s="664" t="s">
        <v>2290</v>
      </c>
    </row>
    <row r="1195" spans="1:6">
      <c r="A1195" s="661">
        <v>0</v>
      </c>
      <c r="B1195" s="659">
        <v>0</v>
      </c>
      <c r="C1195" s="664">
        <v>0</v>
      </c>
      <c r="D1195" s="664">
        <v>0</v>
      </c>
      <c r="E1195" s="664">
        <v>0</v>
      </c>
      <c r="F1195" s="664" t="s">
        <v>2290</v>
      </c>
    </row>
    <row r="1196" spans="1:6">
      <c r="A1196" s="661">
        <v>0</v>
      </c>
      <c r="B1196" s="659">
        <v>0</v>
      </c>
      <c r="C1196" s="664">
        <v>0</v>
      </c>
      <c r="D1196" s="664">
        <v>0</v>
      </c>
      <c r="E1196" s="664">
        <v>0</v>
      </c>
      <c r="F1196" s="664" t="s">
        <v>2290</v>
      </c>
    </row>
    <row r="1197" spans="1:6">
      <c r="A1197" s="661">
        <v>0</v>
      </c>
      <c r="B1197" s="659">
        <v>0</v>
      </c>
      <c r="C1197" s="664">
        <v>0</v>
      </c>
      <c r="D1197" s="664">
        <v>0</v>
      </c>
      <c r="E1197" s="664">
        <v>0</v>
      </c>
      <c r="F1197" s="664" t="s">
        <v>2290</v>
      </c>
    </row>
    <row r="1198" spans="1:6">
      <c r="A1198" s="661">
        <v>0</v>
      </c>
      <c r="B1198" s="659">
        <v>0</v>
      </c>
      <c r="C1198" s="664">
        <v>0</v>
      </c>
      <c r="D1198" s="664">
        <v>0</v>
      </c>
      <c r="E1198" s="664">
        <v>0</v>
      </c>
      <c r="F1198" s="664" t="s">
        <v>2290</v>
      </c>
    </row>
    <row r="1199" spans="1:6">
      <c r="A1199" s="661">
        <v>0</v>
      </c>
      <c r="B1199" s="659">
        <v>0</v>
      </c>
      <c r="C1199" s="664">
        <v>0</v>
      </c>
      <c r="D1199" s="664">
        <v>0</v>
      </c>
      <c r="E1199" s="664">
        <v>0</v>
      </c>
      <c r="F1199" s="664" t="s">
        <v>2290</v>
      </c>
    </row>
    <row r="1200" spans="1:6">
      <c r="A1200" s="661">
        <v>0</v>
      </c>
      <c r="B1200" s="659">
        <v>0</v>
      </c>
      <c r="C1200" s="664">
        <v>0</v>
      </c>
      <c r="D1200" s="664">
        <v>0</v>
      </c>
      <c r="E1200" s="664">
        <v>0</v>
      </c>
      <c r="F1200" s="664" t="s">
        <v>2290</v>
      </c>
    </row>
    <row r="1201" spans="1:6">
      <c r="A1201" s="661">
        <v>0</v>
      </c>
      <c r="B1201" s="659">
        <v>0</v>
      </c>
      <c r="C1201" s="664">
        <v>0</v>
      </c>
      <c r="D1201" s="664">
        <v>0</v>
      </c>
      <c r="E1201" s="664">
        <v>0</v>
      </c>
      <c r="F1201" s="664" t="s">
        <v>2290</v>
      </c>
    </row>
    <row r="1202" spans="1:6">
      <c r="A1202" s="661">
        <v>0</v>
      </c>
      <c r="B1202" s="659">
        <v>0</v>
      </c>
      <c r="C1202" s="664">
        <v>0</v>
      </c>
      <c r="D1202" s="664">
        <v>0</v>
      </c>
      <c r="E1202" s="664">
        <v>0</v>
      </c>
      <c r="F1202" s="664" t="s">
        <v>2290</v>
      </c>
    </row>
    <row r="1203" spans="1:6">
      <c r="A1203" s="661">
        <v>0</v>
      </c>
      <c r="B1203" s="659">
        <v>0</v>
      </c>
      <c r="C1203" s="664">
        <v>0</v>
      </c>
      <c r="D1203" s="664">
        <v>0</v>
      </c>
      <c r="E1203" s="664">
        <v>0</v>
      </c>
      <c r="F1203" s="664" t="s">
        <v>2290</v>
      </c>
    </row>
    <row r="1204" spans="1:6">
      <c r="A1204" s="661">
        <v>0</v>
      </c>
      <c r="B1204" s="659">
        <v>0</v>
      </c>
      <c r="C1204" s="664">
        <v>0</v>
      </c>
      <c r="D1204" s="664">
        <v>0</v>
      </c>
      <c r="E1204" s="664">
        <v>0</v>
      </c>
      <c r="F1204" s="664" t="s">
        <v>2290</v>
      </c>
    </row>
    <row r="1205" spans="1:6">
      <c r="A1205" s="661">
        <v>0</v>
      </c>
      <c r="B1205" s="659">
        <v>0</v>
      </c>
      <c r="C1205" s="664">
        <v>0</v>
      </c>
      <c r="D1205" s="664">
        <v>0</v>
      </c>
      <c r="E1205" s="664">
        <v>0</v>
      </c>
      <c r="F1205" s="664" t="s">
        <v>2290</v>
      </c>
    </row>
    <row r="1206" spans="1:6">
      <c r="A1206" s="661">
        <v>0</v>
      </c>
      <c r="B1206" s="659">
        <v>0</v>
      </c>
      <c r="C1206" s="664">
        <v>0</v>
      </c>
      <c r="D1206" s="664">
        <v>0</v>
      </c>
      <c r="E1206" s="664">
        <v>0</v>
      </c>
      <c r="F1206" s="664" t="s">
        <v>2290</v>
      </c>
    </row>
    <row r="1207" spans="1:6">
      <c r="A1207" s="661">
        <v>0</v>
      </c>
      <c r="B1207" s="659">
        <v>0</v>
      </c>
      <c r="C1207" s="664">
        <v>0</v>
      </c>
      <c r="D1207" s="664">
        <v>0</v>
      </c>
      <c r="E1207" s="664">
        <v>0</v>
      </c>
      <c r="F1207" s="664" t="s">
        <v>2290</v>
      </c>
    </row>
    <row r="1208" spans="1:6">
      <c r="A1208" s="661">
        <v>0</v>
      </c>
      <c r="B1208" s="659">
        <v>0</v>
      </c>
      <c r="C1208" s="664">
        <v>0</v>
      </c>
      <c r="D1208" s="664">
        <v>0</v>
      </c>
      <c r="E1208" s="664">
        <v>0</v>
      </c>
      <c r="F1208" s="664" t="s">
        <v>2290</v>
      </c>
    </row>
    <row r="1209" spans="1:6">
      <c r="A1209" s="661">
        <v>0</v>
      </c>
      <c r="B1209" s="659">
        <v>0</v>
      </c>
      <c r="C1209" s="664">
        <v>0</v>
      </c>
      <c r="D1209" s="664">
        <v>0</v>
      </c>
      <c r="E1209" s="664">
        <v>0</v>
      </c>
      <c r="F1209" s="664" t="s">
        <v>2290</v>
      </c>
    </row>
    <row r="1210" spans="1:6">
      <c r="A1210" s="661">
        <v>0</v>
      </c>
      <c r="B1210" s="659">
        <v>0</v>
      </c>
      <c r="C1210" s="664">
        <v>0</v>
      </c>
      <c r="D1210" s="664">
        <v>0</v>
      </c>
      <c r="E1210" s="664">
        <v>0</v>
      </c>
      <c r="F1210" s="664" t="s">
        <v>2290</v>
      </c>
    </row>
    <row r="1211" spans="1:6">
      <c r="A1211" s="661">
        <v>0</v>
      </c>
      <c r="B1211" s="659">
        <v>0</v>
      </c>
      <c r="C1211" s="664">
        <v>0</v>
      </c>
      <c r="D1211" s="664">
        <v>0</v>
      </c>
      <c r="E1211" s="664">
        <v>0</v>
      </c>
      <c r="F1211" s="664" t="s">
        <v>2290</v>
      </c>
    </row>
    <row r="1212" spans="1:6">
      <c r="A1212" s="661">
        <v>0</v>
      </c>
      <c r="B1212" s="659">
        <v>0</v>
      </c>
      <c r="C1212" s="664">
        <v>0</v>
      </c>
      <c r="D1212" s="664">
        <v>0</v>
      </c>
      <c r="E1212" s="664">
        <v>0</v>
      </c>
      <c r="F1212" s="664" t="s">
        <v>2290</v>
      </c>
    </row>
    <row r="1213" spans="1:6">
      <c r="A1213" s="661">
        <v>0</v>
      </c>
      <c r="B1213" s="659">
        <v>0</v>
      </c>
      <c r="C1213" s="664">
        <v>0</v>
      </c>
      <c r="D1213" s="664">
        <v>0</v>
      </c>
      <c r="E1213" s="664">
        <v>0</v>
      </c>
      <c r="F1213" s="664" t="s">
        <v>2290</v>
      </c>
    </row>
    <row r="1214" spans="1:6">
      <c r="A1214" s="661">
        <v>0</v>
      </c>
      <c r="B1214" s="659">
        <v>0</v>
      </c>
      <c r="C1214" s="664">
        <v>0</v>
      </c>
      <c r="D1214" s="664">
        <v>0</v>
      </c>
      <c r="E1214" s="664">
        <v>0</v>
      </c>
      <c r="F1214" s="664" t="s">
        <v>2290</v>
      </c>
    </row>
    <row r="1215" spans="1:6">
      <c r="A1215" s="661">
        <v>0</v>
      </c>
      <c r="B1215" s="659">
        <v>0</v>
      </c>
      <c r="C1215" s="664">
        <v>0</v>
      </c>
      <c r="D1215" s="664">
        <v>0</v>
      </c>
      <c r="E1215" s="664">
        <v>0</v>
      </c>
      <c r="F1215" s="664" t="s">
        <v>2290</v>
      </c>
    </row>
    <row r="1216" spans="1:6">
      <c r="A1216" s="661">
        <v>0</v>
      </c>
      <c r="B1216" s="659">
        <v>0</v>
      </c>
      <c r="C1216" s="664">
        <v>0</v>
      </c>
      <c r="D1216" s="664">
        <v>0</v>
      </c>
      <c r="E1216" s="664">
        <v>0</v>
      </c>
      <c r="F1216" s="664" t="s">
        <v>2290</v>
      </c>
    </row>
    <row r="1217" spans="1:6">
      <c r="A1217" s="661">
        <v>0</v>
      </c>
      <c r="B1217" s="659">
        <v>0</v>
      </c>
      <c r="C1217" s="664">
        <v>0</v>
      </c>
      <c r="D1217" s="664">
        <v>0</v>
      </c>
      <c r="E1217" s="664">
        <v>0</v>
      </c>
      <c r="F1217" s="664" t="s">
        <v>2290</v>
      </c>
    </row>
    <row r="1218" spans="1:6">
      <c r="A1218" s="661">
        <v>0</v>
      </c>
      <c r="B1218" s="659">
        <v>0</v>
      </c>
      <c r="C1218" s="664">
        <v>0</v>
      </c>
      <c r="D1218" s="664">
        <v>0</v>
      </c>
      <c r="E1218" s="664">
        <v>0</v>
      </c>
      <c r="F1218" s="664" t="s">
        <v>2290</v>
      </c>
    </row>
    <row r="1219" spans="1:6">
      <c r="A1219" s="661">
        <v>0</v>
      </c>
      <c r="B1219" s="659">
        <v>0</v>
      </c>
      <c r="C1219" s="664">
        <v>0</v>
      </c>
      <c r="D1219" s="664">
        <v>0</v>
      </c>
      <c r="E1219" s="664">
        <v>0</v>
      </c>
      <c r="F1219" s="664" t="s">
        <v>2290</v>
      </c>
    </row>
    <row r="1220" spans="1:6">
      <c r="A1220" s="661">
        <v>0</v>
      </c>
      <c r="B1220" s="659">
        <v>0</v>
      </c>
      <c r="C1220" s="664">
        <v>0</v>
      </c>
      <c r="D1220" s="664">
        <v>0</v>
      </c>
      <c r="E1220" s="664">
        <v>0</v>
      </c>
      <c r="F1220" s="664" t="s">
        <v>2290</v>
      </c>
    </row>
    <row r="1221" spans="1:6">
      <c r="A1221" s="661">
        <v>0</v>
      </c>
      <c r="B1221" s="659">
        <v>0</v>
      </c>
      <c r="C1221" s="664">
        <v>0</v>
      </c>
      <c r="D1221" s="664">
        <v>0</v>
      </c>
      <c r="E1221" s="664">
        <v>0</v>
      </c>
      <c r="F1221" s="664" t="s">
        <v>2290</v>
      </c>
    </row>
    <row r="1222" spans="1:6">
      <c r="A1222" s="661">
        <v>0</v>
      </c>
      <c r="B1222" s="659">
        <v>0</v>
      </c>
      <c r="C1222" s="664">
        <v>0</v>
      </c>
      <c r="D1222" s="664">
        <v>0</v>
      </c>
      <c r="E1222" s="664">
        <v>0</v>
      </c>
      <c r="F1222" s="664" t="s">
        <v>2290</v>
      </c>
    </row>
    <row r="1223" spans="1:6">
      <c r="A1223" s="661">
        <v>0</v>
      </c>
      <c r="B1223" s="659">
        <v>0</v>
      </c>
      <c r="C1223" s="664">
        <v>0</v>
      </c>
      <c r="D1223" s="664">
        <v>0</v>
      </c>
      <c r="E1223" s="664">
        <v>0</v>
      </c>
      <c r="F1223" s="664" t="s">
        <v>2290</v>
      </c>
    </row>
    <row r="1224" spans="1:6">
      <c r="A1224" s="661">
        <v>0</v>
      </c>
      <c r="B1224" s="659">
        <v>0</v>
      </c>
      <c r="C1224" s="664">
        <v>0</v>
      </c>
      <c r="D1224" s="664">
        <v>0</v>
      </c>
      <c r="E1224" s="664">
        <v>0</v>
      </c>
      <c r="F1224" s="664" t="s">
        <v>2290</v>
      </c>
    </row>
    <row r="1225" spans="1:6">
      <c r="A1225" s="661">
        <v>0</v>
      </c>
      <c r="B1225" s="659">
        <v>0</v>
      </c>
      <c r="C1225" s="664">
        <v>0</v>
      </c>
      <c r="D1225" s="664">
        <v>0</v>
      </c>
      <c r="E1225" s="664">
        <v>0</v>
      </c>
      <c r="F1225" s="664" t="s">
        <v>2290</v>
      </c>
    </row>
    <row r="1226" spans="1:6">
      <c r="A1226" s="661">
        <v>0</v>
      </c>
      <c r="B1226" s="659">
        <v>0</v>
      </c>
      <c r="C1226" s="664">
        <v>0</v>
      </c>
      <c r="D1226" s="664">
        <v>0</v>
      </c>
      <c r="E1226" s="664">
        <v>0</v>
      </c>
      <c r="F1226" s="664" t="s">
        <v>2290</v>
      </c>
    </row>
    <row r="1227" spans="1:6">
      <c r="A1227" s="661">
        <v>0</v>
      </c>
      <c r="B1227" s="659">
        <v>0</v>
      </c>
      <c r="C1227" s="664">
        <v>0</v>
      </c>
      <c r="D1227" s="664">
        <v>0</v>
      </c>
      <c r="E1227" s="664">
        <v>0</v>
      </c>
      <c r="F1227" s="664" t="s">
        <v>2290</v>
      </c>
    </row>
    <row r="1228" spans="1:6">
      <c r="A1228" s="661">
        <v>0</v>
      </c>
      <c r="B1228" s="659">
        <v>0</v>
      </c>
      <c r="C1228" s="664">
        <v>0</v>
      </c>
      <c r="D1228" s="664">
        <v>0</v>
      </c>
      <c r="E1228" s="664">
        <v>0</v>
      </c>
      <c r="F1228" s="664" t="s">
        <v>2290</v>
      </c>
    </row>
    <row r="1229" spans="1:6">
      <c r="A1229" s="661">
        <v>0</v>
      </c>
      <c r="B1229" s="659">
        <v>0</v>
      </c>
      <c r="C1229" s="664">
        <v>0</v>
      </c>
      <c r="D1229" s="664">
        <v>0</v>
      </c>
      <c r="E1229" s="664">
        <v>0</v>
      </c>
      <c r="F1229" s="664" t="s">
        <v>2290</v>
      </c>
    </row>
    <row r="1230" spans="1:6">
      <c r="A1230" s="661">
        <v>0</v>
      </c>
      <c r="B1230" s="659">
        <v>0</v>
      </c>
      <c r="C1230" s="664">
        <v>0</v>
      </c>
      <c r="D1230" s="664">
        <v>0</v>
      </c>
      <c r="E1230" s="664">
        <v>0</v>
      </c>
      <c r="F1230" s="664" t="s">
        <v>2290</v>
      </c>
    </row>
    <row r="1231" spans="1:6">
      <c r="A1231" s="661">
        <v>0</v>
      </c>
      <c r="B1231" s="659">
        <v>0</v>
      </c>
      <c r="C1231" s="664">
        <v>0</v>
      </c>
      <c r="D1231" s="664">
        <v>0</v>
      </c>
      <c r="E1231" s="664">
        <v>0</v>
      </c>
      <c r="F1231" s="664" t="s">
        <v>2290</v>
      </c>
    </row>
    <row r="1232" spans="1:6">
      <c r="A1232" s="661">
        <v>0</v>
      </c>
      <c r="B1232" s="659">
        <v>0</v>
      </c>
      <c r="C1232" s="664">
        <v>0</v>
      </c>
      <c r="D1232" s="664">
        <v>0</v>
      </c>
      <c r="E1232" s="664">
        <v>0</v>
      </c>
      <c r="F1232" s="664" t="s">
        <v>2290</v>
      </c>
    </row>
    <row r="1233" spans="1:6">
      <c r="A1233" s="661">
        <v>0</v>
      </c>
      <c r="B1233" s="659">
        <v>0</v>
      </c>
      <c r="C1233" s="664">
        <v>0</v>
      </c>
      <c r="D1233" s="664">
        <v>0</v>
      </c>
      <c r="E1233" s="664">
        <v>0</v>
      </c>
      <c r="F1233" s="664" t="s">
        <v>2290</v>
      </c>
    </row>
    <row r="1234" spans="1:6">
      <c r="A1234" s="661">
        <v>0</v>
      </c>
      <c r="B1234" s="659">
        <v>0</v>
      </c>
      <c r="C1234" s="664">
        <v>0</v>
      </c>
      <c r="D1234" s="664">
        <v>0</v>
      </c>
      <c r="E1234" s="664">
        <v>0</v>
      </c>
      <c r="F1234" s="664" t="s">
        <v>2290</v>
      </c>
    </row>
    <row r="1235" spans="1:6">
      <c r="A1235" s="661">
        <v>0</v>
      </c>
      <c r="B1235" s="659">
        <v>0</v>
      </c>
      <c r="C1235" s="664">
        <v>0</v>
      </c>
      <c r="D1235" s="664">
        <v>0</v>
      </c>
      <c r="E1235" s="664">
        <v>0</v>
      </c>
      <c r="F1235" s="664" t="s">
        <v>2290</v>
      </c>
    </row>
    <row r="1236" spans="1:6">
      <c r="A1236" s="661">
        <v>0</v>
      </c>
      <c r="B1236" s="659">
        <v>0</v>
      </c>
      <c r="C1236" s="664">
        <v>0</v>
      </c>
      <c r="D1236" s="664">
        <v>0</v>
      </c>
      <c r="E1236" s="664">
        <v>0</v>
      </c>
      <c r="F1236" s="664" t="s">
        <v>2290</v>
      </c>
    </row>
    <row r="1237" spans="1:6">
      <c r="A1237" s="661">
        <v>0</v>
      </c>
      <c r="B1237" s="659">
        <v>0</v>
      </c>
      <c r="C1237" s="664">
        <v>0</v>
      </c>
      <c r="D1237" s="664">
        <v>0</v>
      </c>
      <c r="E1237" s="664">
        <v>0</v>
      </c>
      <c r="F1237" s="664" t="s">
        <v>2290</v>
      </c>
    </row>
    <row r="1238" spans="1:6">
      <c r="A1238" s="661">
        <v>0</v>
      </c>
      <c r="B1238" s="659">
        <v>0</v>
      </c>
      <c r="C1238" s="664">
        <v>0</v>
      </c>
      <c r="D1238" s="664">
        <v>0</v>
      </c>
      <c r="E1238" s="664">
        <v>0</v>
      </c>
      <c r="F1238" s="664" t="s">
        <v>2290</v>
      </c>
    </row>
    <row r="1239" spans="1:6">
      <c r="A1239" s="661">
        <v>0</v>
      </c>
      <c r="B1239" s="659">
        <v>0</v>
      </c>
      <c r="C1239" s="664">
        <v>0</v>
      </c>
      <c r="D1239" s="664">
        <v>0</v>
      </c>
      <c r="E1239" s="664">
        <v>0</v>
      </c>
      <c r="F1239" s="664" t="s">
        <v>2290</v>
      </c>
    </row>
    <row r="1240" spans="1:6">
      <c r="A1240" s="661">
        <v>0</v>
      </c>
      <c r="B1240" s="659">
        <v>0</v>
      </c>
      <c r="C1240" s="664">
        <v>0</v>
      </c>
      <c r="D1240" s="664">
        <v>0</v>
      </c>
      <c r="E1240" s="664">
        <v>0</v>
      </c>
      <c r="F1240" s="664" t="s">
        <v>2290</v>
      </c>
    </row>
    <row r="1241" spans="1:6">
      <c r="A1241" s="661">
        <v>0</v>
      </c>
      <c r="B1241" s="659">
        <v>0</v>
      </c>
      <c r="C1241" s="664">
        <v>0</v>
      </c>
      <c r="D1241" s="664">
        <v>0</v>
      </c>
      <c r="E1241" s="664">
        <v>0</v>
      </c>
      <c r="F1241" s="664" t="s">
        <v>2290</v>
      </c>
    </row>
    <row r="1242" spans="1:6">
      <c r="A1242" s="661">
        <v>0</v>
      </c>
      <c r="B1242" s="659">
        <v>0</v>
      </c>
      <c r="C1242" s="664">
        <v>0</v>
      </c>
      <c r="D1242" s="664">
        <v>0</v>
      </c>
      <c r="E1242" s="664">
        <v>0</v>
      </c>
      <c r="F1242" s="664" t="s">
        <v>2290</v>
      </c>
    </row>
    <row r="1243" spans="1:6">
      <c r="A1243" s="661">
        <v>0</v>
      </c>
      <c r="B1243" s="659">
        <v>0</v>
      </c>
      <c r="C1243" s="664">
        <v>0</v>
      </c>
      <c r="D1243" s="664">
        <v>0</v>
      </c>
      <c r="E1243" s="664">
        <v>0</v>
      </c>
      <c r="F1243" s="664" t="s">
        <v>2290</v>
      </c>
    </row>
    <row r="1244" spans="1:6">
      <c r="A1244" s="661">
        <v>0</v>
      </c>
      <c r="B1244" s="659">
        <v>0</v>
      </c>
      <c r="C1244" s="664">
        <v>0</v>
      </c>
      <c r="D1244" s="664">
        <v>0</v>
      </c>
      <c r="E1244" s="664">
        <v>0</v>
      </c>
      <c r="F1244" s="664" t="s">
        <v>2290</v>
      </c>
    </row>
    <row r="1245" spans="1:6">
      <c r="A1245" s="661">
        <v>0</v>
      </c>
      <c r="B1245" s="659">
        <v>0</v>
      </c>
      <c r="C1245" s="664">
        <v>0</v>
      </c>
      <c r="D1245" s="664">
        <v>0</v>
      </c>
      <c r="E1245" s="664">
        <v>0</v>
      </c>
      <c r="F1245" s="664" t="s">
        <v>2290</v>
      </c>
    </row>
    <row r="1246" spans="1:6">
      <c r="A1246" s="661">
        <v>0</v>
      </c>
      <c r="B1246" s="659">
        <v>0</v>
      </c>
      <c r="C1246" s="664">
        <v>0</v>
      </c>
      <c r="D1246" s="664">
        <v>0</v>
      </c>
      <c r="E1246" s="664">
        <v>0</v>
      </c>
      <c r="F1246" s="664" t="s">
        <v>2290</v>
      </c>
    </row>
    <row r="1247" spans="1:6">
      <c r="A1247" s="661">
        <v>0</v>
      </c>
      <c r="B1247" s="659">
        <v>0</v>
      </c>
      <c r="C1247" s="664">
        <v>0</v>
      </c>
      <c r="D1247" s="664">
        <v>0</v>
      </c>
      <c r="E1247" s="664">
        <v>0</v>
      </c>
      <c r="F1247" s="664" t="s">
        <v>2290</v>
      </c>
    </row>
    <row r="1248" spans="1:6">
      <c r="A1248" s="661">
        <v>0</v>
      </c>
      <c r="B1248" s="659">
        <v>0</v>
      </c>
      <c r="C1248" s="664">
        <v>0</v>
      </c>
      <c r="D1248" s="664">
        <v>0</v>
      </c>
      <c r="E1248" s="664">
        <v>0</v>
      </c>
      <c r="F1248" s="664" t="s">
        <v>2290</v>
      </c>
    </row>
    <row r="1249" spans="1:6">
      <c r="A1249" s="661">
        <v>0</v>
      </c>
      <c r="B1249" s="659">
        <v>0</v>
      </c>
      <c r="C1249" s="664">
        <v>0</v>
      </c>
      <c r="D1249" s="664">
        <v>0</v>
      </c>
      <c r="E1249" s="664">
        <v>0</v>
      </c>
      <c r="F1249" s="664" t="s">
        <v>2290</v>
      </c>
    </row>
    <row r="1250" spans="1:6">
      <c r="A1250" s="661">
        <v>0</v>
      </c>
      <c r="B1250" s="659">
        <v>0</v>
      </c>
      <c r="C1250" s="664">
        <v>0</v>
      </c>
      <c r="D1250" s="664">
        <v>0</v>
      </c>
      <c r="E1250" s="664">
        <v>0</v>
      </c>
      <c r="F1250" s="664" t="s">
        <v>2290</v>
      </c>
    </row>
    <row r="1251" spans="1:6">
      <c r="A1251" s="661">
        <v>0</v>
      </c>
      <c r="B1251" s="659">
        <v>0</v>
      </c>
      <c r="C1251" s="664">
        <v>0</v>
      </c>
      <c r="D1251" s="664">
        <v>0</v>
      </c>
      <c r="E1251" s="664">
        <v>0</v>
      </c>
      <c r="F1251" s="664" t="s">
        <v>2290</v>
      </c>
    </row>
    <row r="1252" spans="1:6">
      <c r="A1252" s="661">
        <v>0</v>
      </c>
      <c r="B1252" s="659">
        <v>0</v>
      </c>
      <c r="C1252" s="664">
        <v>0</v>
      </c>
      <c r="D1252" s="664">
        <v>0</v>
      </c>
      <c r="E1252" s="664">
        <v>0</v>
      </c>
      <c r="F1252" s="664" t="s">
        <v>2290</v>
      </c>
    </row>
    <row r="1253" spans="1:6">
      <c r="A1253" s="661">
        <v>0</v>
      </c>
      <c r="B1253" s="659">
        <v>0</v>
      </c>
      <c r="C1253" s="664">
        <v>0</v>
      </c>
      <c r="D1253" s="664">
        <v>0</v>
      </c>
      <c r="E1253" s="664">
        <v>0</v>
      </c>
      <c r="F1253" s="664" t="s">
        <v>2290</v>
      </c>
    </row>
    <row r="1254" spans="1:6">
      <c r="A1254" s="661">
        <v>0</v>
      </c>
      <c r="B1254" s="659">
        <v>0</v>
      </c>
      <c r="C1254" s="664">
        <v>0</v>
      </c>
      <c r="D1254" s="664">
        <v>0</v>
      </c>
      <c r="E1254" s="664">
        <v>0</v>
      </c>
      <c r="F1254" s="664" t="s">
        <v>2290</v>
      </c>
    </row>
    <row r="1255" spans="1:6">
      <c r="A1255" s="661">
        <v>0</v>
      </c>
      <c r="B1255" s="659">
        <v>0</v>
      </c>
      <c r="C1255" s="664">
        <v>0</v>
      </c>
      <c r="D1255" s="664">
        <v>0</v>
      </c>
      <c r="E1255" s="664">
        <v>0</v>
      </c>
      <c r="F1255" s="664" t="s">
        <v>2290</v>
      </c>
    </row>
    <row r="1256" spans="1:6">
      <c r="A1256" s="661">
        <v>0</v>
      </c>
      <c r="B1256" s="659">
        <v>0</v>
      </c>
      <c r="C1256" s="664">
        <v>0</v>
      </c>
      <c r="D1256" s="664">
        <v>0</v>
      </c>
      <c r="E1256" s="664">
        <v>0</v>
      </c>
      <c r="F1256" s="664" t="s">
        <v>2290</v>
      </c>
    </row>
    <row r="1257" spans="1:6">
      <c r="A1257" s="661">
        <v>0</v>
      </c>
      <c r="B1257" s="659">
        <v>0</v>
      </c>
      <c r="C1257" s="664">
        <v>0</v>
      </c>
      <c r="D1257" s="664">
        <v>0</v>
      </c>
      <c r="E1257" s="664">
        <v>0</v>
      </c>
      <c r="F1257" s="664" t="s">
        <v>2290</v>
      </c>
    </row>
    <row r="1258" spans="1:6">
      <c r="A1258" s="661">
        <v>0</v>
      </c>
      <c r="B1258" s="659">
        <v>0</v>
      </c>
      <c r="C1258" s="664">
        <v>0</v>
      </c>
      <c r="D1258" s="664">
        <v>0</v>
      </c>
      <c r="E1258" s="664">
        <v>0</v>
      </c>
      <c r="F1258" s="664" t="s">
        <v>2290</v>
      </c>
    </row>
    <row r="1259" spans="1:6">
      <c r="A1259" s="661">
        <v>0</v>
      </c>
      <c r="B1259" s="659">
        <v>0</v>
      </c>
      <c r="C1259" s="664">
        <v>0</v>
      </c>
      <c r="D1259" s="664">
        <v>0</v>
      </c>
      <c r="E1259" s="664">
        <v>0</v>
      </c>
      <c r="F1259" s="664" t="s">
        <v>2290</v>
      </c>
    </row>
    <row r="1260" spans="1:6">
      <c r="A1260" s="661">
        <v>0</v>
      </c>
      <c r="B1260" s="659">
        <v>0</v>
      </c>
      <c r="C1260" s="664">
        <v>0</v>
      </c>
      <c r="D1260" s="664">
        <v>0</v>
      </c>
      <c r="E1260" s="664">
        <v>0</v>
      </c>
      <c r="F1260" s="664" t="s">
        <v>2290</v>
      </c>
    </row>
    <row r="1261" spans="1:6">
      <c r="A1261" s="661">
        <v>0</v>
      </c>
      <c r="B1261" s="659">
        <v>0</v>
      </c>
      <c r="C1261" s="664">
        <v>0</v>
      </c>
      <c r="D1261" s="664">
        <v>0</v>
      </c>
      <c r="E1261" s="664">
        <v>0</v>
      </c>
      <c r="F1261" s="664" t="s">
        <v>2290</v>
      </c>
    </row>
    <row r="1262" spans="1:6">
      <c r="A1262" s="661">
        <v>0</v>
      </c>
      <c r="B1262" s="659">
        <v>0</v>
      </c>
      <c r="C1262" s="664">
        <v>0</v>
      </c>
      <c r="D1262" s="664">
        <v>0</v>
      </c>
      <c r="E1262" s="664">
        <v>0</v>
      </c>
      <c r="F1262" s="664" t="s">
        <v>2290</v>
      </c>
    </row>
    <row r="1263" spans="1:6">
      <c r="A1263" s="661">
        <v>0</v>
      </c>
      <c r="B1263" s="659">
        <v>0</v>
      </c>
      <c r="C1263" s="664">
        <v>0</v>
      </c>
      <c r="D1263" s="664">
        <v>0</v>
      </c>
      <c r="E1263" s="664">
        <v>0</v>
      </c>
      <c r="F1263" s="664" t="s">
        <v>2290</v>
      </c>
    </row>
    <row r="1264" spans="1:6">
      <c r="A1264" s="661">
        <v>0</v>
      </c>
      <c r="B1264" s="659">
        <v>0</v>
      </c>
      <c r="C1264" s="664">
        <v>0</v>
      </c>
      <c r="D1264" s="664">
        <v>0</v>
      </c>
      <c r="E1264" s="664">
        <v>0</v>
      </c>
      <c r="F1264" s="664" t="s">
        <v>2290</v>
      </c>
    </row>
    <row r="1265" spans="1:6">
      <c r="A1265" s="661">
        <v>0</v>
      </c>
      <c r="B1265" s="659">
        <v>0</v>
      </c>
      <c r="C1265" s="664">
        <v>0</v>
      </c>
      <c r="D1265" s="664">
        <v>0</v>
      </c>
      <c r="E1265" s="664">
        <v>0</v>
      </c>
      <c r="F1265" s="664" t="s">
        <v>2290</v>
      </c>
    </row>
    <row r="1266" spans="1:6">
      <c r="A1266" s="661">
        <v>0</v>
      </c>
      <c r="B1266" s="659">
        <v>0</v>
      </c>
      <c r="C1266" s="664">
        <v>0</v>
      </c>
      <c r="D1266" s="664">
        <v>0</v>
      </c>
      <c r="E1266" s="664">
        <v>0</v>
      </c>
      <c r="F1266" s="664" t="s">
        <v>2290</v>
      </c>
    </row>
    <row r="1267" spans="1:6">
      <c r="A1267" s="661">
        <v>0</v>
      </c>
      <c r="B1267" s="659">
        <v>0</v>
      </c>
      <c r="C1267" s="664">
        <v>0</v>
      </c>
      <c r="D1267" s="664">
        <v>0</v>
      </c>
      <c r="E1267" s="664">
        <v>0</v>
      </c>
      <c r="F1267" s="664" t="s">
        <v>2290</v>
      </c>
    </row>
    <row r="1268" spans="1:6">
      <c r="A1268" s="661">
        <v>0</v>
      </c>
      <c r="B1268" s="659">
        <v>0</v>
      </c>
      <c r="C1268" s="664">
        <v>0</v>
      </c>
      <c r="D1268" s="664">
        <v>0</v>
      </c>
      <c r="E1268" s="664">
        <v>0</v>
      </c>
      <c r="F1268" s="664" t="s">
        <v>2290</v>
      </c>
    </row>
    <row r="1269" spans="1:6">
      <c r="A1269" s="661">
        <v>0</v>
      </c>
      <c r="B1269" s="659">
        <v>0</v>
      </c>
      <c r="C1269" s="664">
        <v>0</v>
      </c>
      <c r="D1269" s="664">
        <v>0</v>
      </c>
      <c r="E1269" s="664">
        <v>0</v>
      </c>
      <c r="F1269" s="664" t="s">
        <v>2290</v>
      </c>
    </row>
    <row r="1270" spans="1:6">
      <c r="A1270" s="661">
        <v>0</v>
      </c>
      <c r="B1270" s="659">
        <v>0</v>
      </c>
      <c r="C1270" s="664">
        <v>0</v>
      </c>
      <c r="D1270" s="664">
        <v>0</v>
      </c>
      <c r="E1270" s="664">
        <v>0</v>
      </c>
      <c r="F1270" s="664" t="s">
        <v>2290</v>
      </c>
    </row>
    <row r="1271" spans="1:6">
      <c r="A1271" s="661">
        <v>0</v>
      </c>
      <c r="B1271" s="659">
        <v>0</v>
      </c>
      <c r="C1271" s="664">
        <v>0</v>
      </c>
      <c r="D1271" s="664">
        <v>0</v>
      </c>
      <c r="E1271" s="664">
        <v>0</v>
      </c>
      <c r="F1271" s="664" t="s">
        <v>2290</v>
      </c>
    </row>
    <row r="1272" spans="1:6">
      <c r="A1272" s="661">
        <v>0</v>
      </c>
      <c r="B1272" s="659">
        <v>0</v>
      </c>
      <c r="C1272" s="664">
        <v>0</v>
      </c>
      <c r="D1272" s="664">
        <v>0</v>
      </c>
      <c r="E1272" s="664">
        <v>0</v>
      </c>
      <c r="F1272" s="664" t="s">
        <v>2290</v>
      </c>
    </row>
    <row r="1273" spans="1:6">
      <c r="A1273" s="661">
        <v>0</v>
      </c>
      <c r="B1273" s="659">
        <v>0</v>
      </c>
      <c r="C1273" s="664">
        <v>0</v>
      </c>
      <c r="D1273" s="664">
        <v>0</v>
      </c>
      <c r="E1273" s="664">
        <v>0</v>
      </c>
      <c r="F1273" s="664" t="s">
        <v>2290</v>
      </c>
    </row>
    <row r="1274" spans="1:6">
      <c r="A1274" s="661">
        <v>0</v>
      </c>
      <c r="B1274" s="659">
        <v>0</v>
      </c>
      <c r="C1274" s="664">
        <v>0</v>
      </c>
      <c r="D1274" s="664">
        <v>0</v>
      </c>
      <c r="E1274" s="664">
        <v>0</v>
      </c>
      <c r="F1274" s="664" t="s">
        <v>2290</v>
      </c>
    </row>
    <row r="1275" spans="1:6">
      <c r="A1275" s="661">
        <v>0</v>
      </c>
      <c r="B1275" s="659">
        <v>0</v>
      </c>
      <c r="C1275" s="664">
        <v>0</v>
      </c>
      <c r="D1275" s="664">
        <v>0</v>
      </c>
      <c r="E1275" s="664">
        <v>0</v>
      </c>
      <c r="F1275" s="664" t="s">
        <v>2290</v>
      </c>
    </row>
    <row r="1276" spans="1:6">
      <c r="A1276" s="661">
        <v>0</v>
      </c>
      <c r="B1276" s="659">
        <v>0</v>
      </c>
      <c r="C1276" s="664">
        <v>0</v>
      </c>
      <c r="D1276" s="664">
        <v>0</v>
      </c>
      <c r="E1276" s="664">
        <v>0</v>
      </c>
      <c r="F1276" s="664" t="s">
        <v>2290</v>
      </c>
    </row>
    <row r="1277" spans="1:6">
      <c r="A1277" s="661">
        <v>0</v>
      </c>
      <c r="B1277" s="659">
        <v>0</v>
      </c>
      <c r="C1277" s="664">
        <v>0</v>
      </c>
      <c r="D1277" s="664">
        <v>0</v>
      </c>
      <c r="E1277" s="664">
        <v>0</v>
      </c>
      <c r="F1277" s="664" t="s">
        <v>2290</v>
      </c>
    </row>
    <row r="1278" spans="1:6">
      <c r="A1278" s="661">
        <v>0</v>
      </c>
      <c r="B1278" s="659">
        <v>0</v>
      </c>
      <c r="C1278" s="664">
        <v>0</v>
      </c>
      <c r="D1278" s="664">
        <v>0</v>
      </c>
      <c r="E1278" s="664">
        <v>0</v>
      </c>
      <c r="F1278" s="664" t="s">
        <v>2290</v>
      </c>
    </row>
    <row r="1279" spans="1:6">
      <c r="A1279" s="661">
        <v>0</v>
      </c>
      <c r="B1279" s="659">
        <v>0</v>
      </c>
      <c r="C1279" s="664">
        <v>0</v>
      </c>
      <c r="D1279" s="664">
        <v>0</v>
      </c>
      <c r="E1279" s="664">
        <v>0</v>
      </c>
      <c r="F1279" s="664" t="s">
        <v>2290</v>
      </c>
    </row>
    <row r="1280" spans="1:6">
      <c r="A1280" s="661">
        <v>0</v>
      </c>
      <c r="B1280" s="659">
        <v>0</v>
      </c>
      <c r="C1280" s="664">
        <v>0</v>
      </c>
      <c r="D1280" s="664">
        <v>0</v>
      </c>
      <c r="E1280" s="664">
        <v>0</v>
      </c>
      <c r="F1280" s="664" t="s">
        <v>2290</v>
      </c>
    </row>
    <row r="1281" spans="1:6">
      <c r="A1281" s="661">
        <v>0</v>
      </c>
      <c r="B1281" s="659">
        <v>0</v>
      </c>
      <c r="C1281" s="664">
        <v>0</v>
      </c>
      <c r="D1281" s="664">
        <v>0</v>
      </c>
      <c r="E1281" s="664">
        <v>0</v>
      </c>
      <c r="F1281" s="664" t="s">
        <v>2290</v>
      </c>
    </row>
    <row r="1282" spans="1:6">
      <c r="A1282" s="661">
        <v>0</v>
      </c>
      <c r="B1282" s="659">
        <v>0</v>
      </c>
      <c r="C1282" s="664">
        <v>0</v>
      </c>
      <c r="D1282" s="664">
        <v>0</v>
      </c>
      <c r="E1282" s="664">
        <v>0</v>
      </c>
      <c r="F1282" s="664" t="s">
        <v>2290</v>
      </c>
    </row>
    <row r="1283" spans="1:6">
      <c r="A1283" s="661">
        <v>0</v>
      </c>
      <c r="B1283" s="659">
        <v>0</v>
      </c>
      <c r="C1283" s="664">
        <v>0</v>
      </c>
      <c r="D1283" s="664">
        <v>0</v>
      </c>
      <c r="E1283" s="664">
        <v>0</v>
      </c>
      <c r="F1283" s="664" t="s">
        <v>2290</v>
      </c>
    </row>
    <row r="1284" spans="1:6">
      <c r="A1284" s="661">
        <v>0</v>
      </c>
      <c r="B1284" s="659">
        <v>0</v>
      </c>
      <c r="C1284" s="664">
        <v>0</v>
      </c>
      <c r="D1284" s="664">
        <v>0</v>
      </c>
      <c r="E1284" s="664">
        <v>0</v>
      </c>
      <c r="F1284" s="664" t="s">
        <v>2290</v>
      </c>
    </row>
  </sheetData>
  <autoFilter ref="A2:N1284" xr:uid="{A099B277-0503-4AA4-8E3F-3CB22A144B07}"/>
  <sortState xmlns:xlrd2="http://schemas.microsoft.com/office/spreadsheetml/2017/richdata2" ref="A4:J6">
    <sortCondition ref="A4:A6"/>
  </sortState>
  <conditionalFormatting sqref="A13:A460 A8:A9">
    <cfRule type="cellIs" dxfId="8" priority="13" operator="equal">
      <formula>A7</formula>
    </cfRule>
  </conditionalFormatting>
  <conditionalFormatting sqref="A2:A5">
    <cfRule type="cellIs" dxfId="7" priority="14" operator="equal">
      <formula>#REF!</formula>
    </cfRule>
  </conditionalFormatting>
  <conditionalFormatting sqref="A18">
    <cfRule type="cellIs" dxfId="6" priority="12" operator="equal">
      <formula>A17</formula>
    </cfRule>
  </conditionalFormatting>
  <conditionalFormatting sqref="A12">
    <cfRule type="cellIs" dxfId="5" priority="17" operator="equal">
      <formula>#REF!</formula>
    </cfRule>
  </conditionalFormatting>
  <conditionalFormatting sqref="A11">
    <cfRule type="cellIs" dxfId="4" priority="11" operator="equal">
      <formula>#REF!</formula>
    </cfRule>
  </conditionalFormatting>
  <conditionalFormatting sqref="A461:A641">
    <cfRule type="cellIs" dxfId="3" priority="10" operator="equal">
      <formula>A460</formula>
    </cfRule>
  </conditionalFormatting>
  <conditionalFormatting sqref="A10">
    <cfRule type="cellIs" dxfId="2" priority="5" operator="equal">
      <formula>#REF!</formula>
    </cfRule>
  </conditionalFormatting>
  <conditionalFormatting sqref="A6">
    <cfRule type="cellIs" dxfId="1" priority="3" operator="equal">
      <formula>#REF!</formula>
    </cfRule>
  </conditionalFormatting>
  <conditionalFormatting sqref="A7">
    <cfRule type="cellIs" dxfId="0" priority="19" operator="equal">
      <formula>#REF!</formula>
    </cfRule>
  </conditionalFormatting>
  <hyperlinks>
    <hyperlink ref="B1" r:id="rId1" xr:uid="{B9B87080-EED2-1344-BE7D-93F0EFD35D4D}"/>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5026727-6A3B-47BE-94D8-21B35F3EF1E6}">
          <x14:formula1>
            <xm:f>Exchange!$A$3:$A$75</xm:f>
          </x14:formula1>
          <xm:sqref>D1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sheetPr>
  <dimension ref="A1:BL52"/>
  <sheetViews>
    <sheetView zoomScale="120" zoomScaleNormal="120" workbookViewId="0"/>
  </sheetViews>
  <sheetFormatPr baseColWidth="10" defaultColWidth="9.1640625" defaultRowHeight="16"/>
  <cols>
    <col min="1" max="1" width="14.33203125" style="37" customWidth="1"/>
    <col min="2" max="2" width="8.33203125" style="57" bestFit="1" customWidth="1"/>
    <col min="3" max="62" width="10.6640625" style="37" customWidth="1"/>
    <col min="63" max="16384" width="9.1640625" style="37"/>
  </cols>
  <sheetData>
    <row r="1" spans="1:64">
      <c r="A1" s="36"/>
      <c r="B1" s="36"/>
      <c r="C1" s="776" t="s">
        <v>481</v>
      </c>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777"/>
      <c r="AN1" s="777"/>
      <c r="AO1" s="777"/>
      <c r="AP1" s="777"/>
      <c r="AQ1" s="777"/>
      <c r="AR1" s="777"/>
      <c r="AS1" s="777"/>
      <c r="AT1" s="777"/>
      <c r="AU1" s="777"/>
      <c r="AV1" s="777"/>
      <c r="AW1" s="777"/>
      <c r="AX1" s="777"/>
      <c r="AY1" s="777"/>
      <c r="AZ1" s="777"/>
      <c r="BA1" s="777"/>
      <c r="BB1" s="777"/>
      <c r="BC1" s="777"/>
      <c r="BD1" s="777"/>
      <c r="BE1" s="777"/>
      <c r="BF1" s="777"/>
      <c r="BG1" s="777"/>
      <c r="BH1" s="777"/>
      <c r="BI1" s="777"/>
      <c r="BJ1" s="777"/>
    </row>
    <row r="2" spans="1:64" s="57" customFormat="1" hidden="1">
      <c r="A2" s="36" t="s">
        <v>1046</v>
      </c>
      <c r="B2" s="36"/>
      <c r="C2" s="53">
        <f>YEAR(C6)</f>
        <v>2021</v>
      </c>
      <c r="D2" s="53">
        <f t="shared" ref="D2:BJ2" si="0">YEAR(D6)</f>
        <v>2021</v>
      </c>
      <c r="E2" s="53">
        <f t="shared" si="0"/>
        <v>2021</v>
      </c>
      <c r="F2" s="53">
        <f t="shared" si="0"/>
        <v>2021</v>
      </c>
      <c r="G2" s="53">
        <f t="shared" si="0"/>
        <v>2021</v>
      </c>
      <c r="H2" s="53">
        <f t="shared" si="0"/>
        <v>2022</v>
      </c>
      <c r="I2" s="53">
        <f t="shared" si="0"/>
        <v>2022</v>
      </c>
      <c r="J2" s="53">
        <f t="shared" si="0"/>
        <v>2022</v>
      </c>
      <c r="K2" s="53">
        <f t="shared" si="0"/>
        <v>2022</v>
      </c>
      <c r="L2" s="53">
        <f t="shared" si="0"/>
        <v>2022</v>
      </c>
      <c r="M2" s="53">
        <f t="shared" si="0"/>
        <v>2022</v>
      </c>
      <c r="N2" s="53">
        <f t="shared" si="0"/>
        <v>2022</v>
      </c>
      <c r="O2" s="53">
        <f t="shared" si="0"/>
        <v>2022</v>
      </c>
      <c r="P2" s="53">
        <f t="shared" si="0"/>
        <v>2022</v>
      </c>
      <c r="Q2" s="53">
        <f t="shared" si="0"/>
        <v>2022</v>
      </c>
      <c r="R2" s="53">
        <f t="shared" si="0"/>
        <v>2022</v>
      </c>
      <c r="S2" s="53">
        <f t="shared" si="0"/>
        <v>2022</v>
      </c>
      <c r="T2" s="53">
        <f t="shared" si="0"/>
        <v>2023</v>
      </c>
      <c r="U2" s="53">
        <f t="shared" si="0"/>
        <v>2023</v>
      </c>
      <c r="V2" s="53">
        <f t="shared" si="0"/>
        <v>2023</v>
      </c>
      <c r="W2" s="53">
        <f t="shared" si="0"/>
        <v>2023</v>
      </c>
      <c r="X2" s="53">
        <f t="shared" si="0"/>
        <v>2023</v>
      </c>
      <c r="Y2" s="53">
        <f t="shared" si="0"/>
        <v>2023</v>
      </c>
      <c r="Z2" s="53">
        <f t="shared" si="0"/>
        <v>2023</v>
      </c>
      <c r="AA2" s="53">
        <f t="shared" si="0"/>
        <v>2023</v>
      </c>
      <c r="AB2" s="53">
        <f t="shared" si="0"/>
        <v>2023</v>
      </c>
      <c r="AC2" s="53">
        <f t="shared" si="0"/>
        <v>2023</v>
      </c>
      <c r="AD2" s="53">
        <f t="shared" si="0"/>
        <v>2023</v>
      </c>
      <c r="AE2" s="53">
        <f t="shared" si="0"/>
        <v>2023</v>
      </c>
      <c r="AF2" s="53">
        <f t="shared" si="0"/>
        <v>2024</v>
      </c>
      <c r="AG2" s="53">
        <f t="shared" si="0"/>
        <v>2024</v>
      </c>
      <c r="AH2" s="53">
        <f t="shared" si="0"/>
        <v>2024</v>
      </c>
      <c r="AI2" s="53">
        <f t="shared" si="0"/>
        <v>2024</v>
      </c>
      <c r="AJ2" s="53">
        <f t="shared" si="0"/>
        <v>2024</v>
      </c>
      <c r="AK2" s="53">
        <f t="shared" si="0"/>
        <v>2024</v>
      </c>
      <c r="AL2" s="53">
        <f t="shared" si="0"/>
        <v>2024</v>
      </c>
      <c r="AM2" s="53">
        <f t="shared" si="0"/>
        <v>2024</v>
      </c>
      <c r="AN2" s="53">
        <f t="shared" si="0"/>
        <v>2024</v>
      </c>
      <c r="AO2" s="53">
        <f t="shared" si="0"/>
        <v>2024</v>
      </c>
      <c r="AP2" s="53">
        <f t="shared" si="0"/>
        <v>2024</v>
      </c>
      <c r="AQ2" s="53">
        <f t="shared" si="0"/>
        <v>2024</v>
      </c>
      <c r="AR2" s="53">
        <f t="shared" si="0"/>
        <v>2025</v>
      </c>
      <c r="AS2" s="53">
        <f t="shared" si="0"/>
        <v>2025</v>
      </c>
      <c r="AT2" s="53">
        <f t="shared" si="0"/>
        <v>2025</v>
      </c>
      <c r="AU2" s="53">
        <f t="shared" si="0"/>
        <v>2025</v>
      </c>
      <c r="AV2" s="53">
        <f t="shared" si="0"/>
        <v>2025</v>
      </c>
      <c r="AW2" s="53">
        <f t="shared" si="0"/>
        <v>2025</v>
      </c>
      <c r="AX2" s="53">
        <f t="shared" si="0"/>
        <v>2025</v>
      </c>
      <c r="AY2" s="53">
        <f t="shared" si="0"/>
        <v>2025</v>
      </c>
      <c r="AZ2" s="53">
        <f t="shared" si="0"/>
        <v>2025</v>
      </c>
      <c r="BA2" s="53">
        <f t="shared" si="0"/>
        <v>2025</v>
      </c>
      <c r="BB2" s="53">
        <f t="shared" si="0"/>
        <v>2025</v>
      </c>
      <c r="BC2" s="53">
        <f t="shared" si="0"/>
        <v>2025</v>
      </c>
      <c r="BD2" s="53">
        <f t="shared" si="0"/>
        <v>2026</v>
      </c>
      <c r="BE2" s="53">
        <f t="shared" si="0"/>
        <v>2026</v>
      </c>
      <c r="BF2" s="53">
        <f t="shared" si="0"/>
        <v>2026</v>
      </c>
      <c r="BG2" s="53">
        <f t="shared" si="0"/>
        <v>2026</v>
      </c>
      <c r="BH2" s="53">
        <f t="shared" si="0"/>
        <v>2026</v>
      </c>
      <c r="BI2" s="53">
        <f t="shared" si="0"/>
        <v>2026</v>
      </c>
      <c r="BJ2" s="53">
        <f t="shared" si="0"/>
        <v>2026</v>
      </c>
    </row>
    <row r="3" spans="1:64" hidden="1">
      <c r="A3" s="36" t="s">
        <v>494</v>
      </c>
      <c r="B3" s="36"/>
      <c r="C3" s="53">
        <f>ROUNDUP(C5/12,0)</f>
        <v>1</v>
      </c>
      <c r="D3" s="53">
        <f t="shared" ref="D3:BJ3" si="1">ROUNDUP(D5/12,0)</f>
        <v>1</v>
      </c>
      <c r="E3" s="53">
        <f t="shared" si="1"/>
        <v>1</v>
      </c>
      <c r="F3" s="53">
        <f t="shared" si="1"/>
        <v>1</v>
      </c>
      <c r="G3" s="53">
        <f t="shared" si="1"/>
        <v>1</v>
      </c>
      <c r="H3" s="53">
        <f t="shared" si="1"/>
        <v>1</v>
      </c>
      <c r="I3" s="53">
        <f t="shared" si="1"/>
        <v>1</v>
      </c>
      <c r="J3" s="53">
        <f t="shared" si="1"/>
        <v>1</v>
      </c>
      <c r="K3" s="53">
        <f t="shared" si="1"/>
        <v>1</v>
      </c>
      <c r="L3" s="53">
        <f t="shared" si="1"/>
        <v>1</v>
      </c>
      <c r="M3" s="53">
        <f t="shared" si="1"/>
        <v>1</v>
      </c>
      <c r="N3" s="53">
        <f t="shared" si="1"/>
        <v>1</v>
      </c>
      <c r="O3" s="53">
        <f t="shared" si="1"/>
        <v>2</v>
      </c>
      <c r="P3" s="53">
        <f t="shared" si="1"/>
        <v>2</v>
      </c>
      <c r="Q3" s="53">
        <f t="shared" si="1"/>
        <v>2</v>
      </c>
      <c r="R3" s="53">
        <f t="shared" si="1"/>
        <v>2</v>
      </c>
      <c r="S3" s="53">
        <f t="shared" si="1"/>
        <v>2</v>
      </c>
      <c r="T3" s="53">
        <f t="shared" si="1"/>
        <v>2</v>
      </c>
      <c r="U3" s="53">
        <f t="shared" si="1"/>
        <v>2</v>
      </c>
      <c r="V3" s="53">
        <f t="shared" si="1"/>
        <v>2</v>
      </c>
      <c r="W3" s="53">
        <f t="shared" si="1"/>
        <v>2</v>
      </c>
      <c r="X3" s="53">
        <f t="shared" si="1"/>
        <v>2</v>
      </c>
      <c r="Y3" s="53">
        <f t="shared" si="1"/>
        <v>2</v>
      </c>
      <c r="Z3" s="53">
        <f t="shared" si="1"/>
        <v>2</v>
      </c>
      <c r="AA3" s="53">
        <f t="shared" si="1"/>
        <v>3</v>
      </c>
      <c r="AB3" s="53">
        <f t="shared" si="1"/>
        <v>3</v>
      </c>
      <c r="AC3" s="53">
        <f t="shared" si="1"/>
        <v>3</v>
      </c>
      <c r="AD3" s="53">
        <f t="shared" si="1"/>
        <v>3</v>
      </c>
      <c r="AE3" s="53">
        <f t="shared" si="1"/>
        <v>3</v>
      </c>
      <c r="AF3" s="53">
        <f t="shared" si="1"/>
        <v>3</v>
      </c>
      <c r="AG3" s="53">
        <f t="shared" si="1"/>
        <v>3</v>
      </c>
      <c r="AH3" s="53">
        <f t="shared" si="1"/>
        <v>3</v>
      </c>
      <c r="AI3" s="53">
        <f t="shared" si="1"/>
        <v>3</v>
      </c>
      <c r="AJ3" s="53">
        <f t="shared" si="1"/>
        <v>3</v>
      </c>
      <c r="AK3" s="53">
        <f t="shared" si="1"/>
        <v>3</v>
      </c>
      <c r="AL3" s="53">
        <f t="shared" si="1"/>
        <v>3</v>
      </c>
      <c r="AM3" s="53">
        <f t="shared" si="1"/>
        <v>4</v>
      </c>
      <c r="AN3" s="53">
        <f t="shared" si="1"/>
        <v>4</v>
      </c>
      <c r="AO3" s="53">
        <f t="shared" si="1"/>
        <v>4</v>
      </c>
      <c r="AP3" s="53">
        <f t="shared" si="1"/>
        <v>4</v>
      </c>
      <c r="AQ3" s="53">
        <f t="shared" si="1"/>
        <v>4</v>
      </c>
      <c r="AR3" s="53">
        <f t="shared" si="1"/>
        <v>4</v>
      </c>
      <c r="AS3" s="53">
        <f t="shared" si="1"/>
        <v>4</v>
      </c>
      <c r="AT3" s="53">
        <f t="shared" si="1"/>
        <v>4</v>
      </c>
      <c r="AU3" s="53">
        <f t="shared" si="1"/>
        <v>4</v>
      </c>
      <c r="AV3" s="53">
        <f t="shared" si="1"/>
        <v>4</v>
      </c>
      <c r="AW3" s="53">
        <f t="shared" si="1"/>
        <v>4</v>
      </c>
      <c r="AX3" s="53">
        <f t="shared" si="1"/>
        <v>4</v>
      </c>
      <c r="AY3" s="53">
        <f t="shared" si="1"/>
        <v>5</v>
      </c>
      <c r="AZ3" s="53">
        <f t="shared" si="1"/>
        <v>5</v>
      </c>
      <c r="BA3" s="53">
        <f t="shared" si="1"/>
        <v>5</v>
      </c>
      <c r="BB3" s="53">
        <f t="shared" si="1"/>
        <v>5</v>
      </c>
      <c r="BC3" s="53">
        <f t="shared" si="1"/>
        <v>5</v>
      </c>
      <c r="BD3" s="53">
        <f t="shared" si="1"/>
        <v>5</v>
      </c>
      <c r="BE3" s="53">
        <f t="shared" si="1"/>
        <v>5</v>
      </c>
      <c r="BF3" s="53">
        <f t="shared" si="1"/>
        <v>5</v>
      </c>
      <c r="BG3" s="53">
        <f t="shared" si="1"/>
        <v>5</v>
      </c>
      <c r="BH3" s="53">
        <f t="shared" si="1"/>
        <v>5</v>
      </c>
      <c r="BI3" s="53">
        <f t="shared" si="1"/>
        <v>5</v>
      </c>
      <c r="BJ3" s="53">
        <f t="shared" si="1"/>
        <v>5</v>
      </c>
    </row>
    <row r="4" spans="1:64" hidden="1">
      <c r="A4" s="36" t="s">
        <v>495</v>
      </c>
      <c r="B4" s="36"/>
      <c r="C4" s="53">
        <f>ROUNDUP(C5/3,0)</f>
        <v>1</v>
      </c>
      <c r="D4" s="53">
        <f t="shared" ref="D4:BJ4" si="2">ROUNDUP(D5/3,0)</f>
        <v>1</v>
      </c>
      <c r="E4" s="53">
        <f t="shared" si="2"/>
        <v>1</v>
      </c>
      <c r="F4" s="53">
        <f t="shared" si="2"/>
        <v>2</v>
      </c>
      <c r="G4" s="53">
        <f t="shared" si="2"/>
        <v>2</v>
      </c>
      <c r="H4" s="53">
        <f t="shared" si="2"/>
        <v>2</v>
      </c>
      <c r="I4" s="53">
        <f t="shared" si="2"/>
        <v>3</v>
      </c>
      <c r="J4" s="53">
        <f t="shared" si="2"/>
        <v>3</v>
      </c>
      <c r="K4" s="53">
        <f t="shared" si="2"/>
        <v>3</v>
      </c>
      <c r="L4" s="53">
        <f t="shared" si="2"/>
        <v>4</v>
      </c>
      <c r="M4" s="53">
        <f t="shared" si="2"/>
        <v>4</v>
      </c>
      <c r="N4" s="53">
        <f t="shared" si="2"/>
        <v>4</v>
      </c>
      <c r="O4" s="53">
        <f t="shared" si="2"/>
        <v>5</v>
      </c>
      <c r="P4" s="53">
        <f t="shared" si="2"/>
        <v>5</v>
      </c>
      <c r="Q4" s="53">
        <f t="shared" si="2"/>
        <v>5</v>
      </c>
      <c r="R4" s="53">
        <f t="shared" si="2"/>
        <v>6</v>
      </c>
      <c r="S4" s="53">
        <f t="shared" si="2"/>
        <v>6</v>
      </c>
      <c r="T4" s="53">
        <f t="shared" si="2"/>
        <v>6</v>
      </c>
      <c r="U4" s="53">
        <f t="shared" si="2"/>
        <v>7</v>
      </c>
      <c r="V4" s="53">
        <f t="shared" si="2"/>
        <v>7</v>
      </c>
      <c r="W4" s="53">
        <f t="shared" si="2"/>
        <v>7</v>
      </c>
      <c r="X4" s="53">
        <f t="shared" si="2"/>
        <v>8</v>
      </c>
      <c r="Y4" s="53">
        <f t="shared" si="2"/>
        <v>8</v>
      </c>
      <c r="Z4" s="53">
        <f t="shared" si="2"/>
        <v>8</v>
      </c>
      <c r="AA4" s="53">
        <f t="shared" si="2"/>
        <v>9</v>
      </c>
      <c r="AB4" s="53">
        <f t="shared" si="2"/>
        <v>9</v>
      </c>
      <c r="AC4" s="53">
        <f t="shared" si="2"/>
        <v>9</v>
      </c>
      <c r="AD4" s="53">
        <f t="shared" si="2"/>
        <v>10</v>
      </c>
      <c r="AE4" s="53">
        <f t="shared" si="2"/>
        <v>10</v>
      </c>
      <c r="AF4" s="53">
        <f t="shared" si="2"/>
        <v>10</v>
      </c>
      <c r="AG4" s="53">
        <f t="shared" si="2"/>
        <v>11</v>
      </c>
      <c r="AH4" s="53">
        <f t="shared" si="2"/>
        <v>11</v>
      </c>
      <c r="AI4" s="53">
        <f t="shared" si="2"/>
        <v>11</v>
      </c>
      <c r="AJ4" s="53">
        <f t="shared" si="2"/>
        <v>12</v>
      </c>
      <c r="AK4" s="53">
        <f t="shared" si="2"/>
        <v>12</v>
      </c>
      <c r="AL4" s="53">
        <f t="shared" si="2"/>
        <v>12</v>
      </c>
      <c r="AM4" s="53">
        <f t="shared" si="2"/>
        <v>13</v>
      </c>
      <c r="AN4" s="53">
        <f t="shared" si="2"/>
        <v>13</v>
      </c>
      <c r="AO4" s="53">
        <f t="shared" si="2"/>
        <v>13</v>
      </c>
      <c r="AP4" s="53">
        <f t="shared" si="2"/>
        <v>14</v>
      </c>
      <c r="AQ4" s="53">
        <f t="shared" si="2"/>
        <v>14</v>
      </c>
      <c r="AR4" s="53">
        <f t="shared" si="2"/>
        <v>14</v>
      </c>
      <c r="AS4" s="53">
        <f t="shared" si="2"/>
        <v>15</v>
      </c>
      <c r="AT4" s="53">
        <f t="shared" si="2"/>
        <v>15</v>
      </c>
      <c r="AU4" s="53">
        <f t="shared" si="2"/>
        <v>15</v>
      </c>
      <c r="AV4" s="53">
        <f t="shared" si="2"/>
        <v>16</v>
      </c>
      <c r="AW4" s="53">
        <f t="shared" si="2"/>
        <v>16</v>
      </c>
      <c r="AX4" s="53">
        <f t="shared" si="2"/>
        <v>16</v>
      </c>
      <c r="AY4" s="53">
        <f t="shared" si="2"/>
        <v>17</v>
      </c>
      <c r="AZ4" s="53">
        <f t="shared" si="2"/>
        <v>17</v>
      </c>
      <c r="BA4" s="53">
        <f t="shared" si="2"/>
        <v>17</v>
      </c>
      <c r="BB4" s="53">
        <f t="shared" si="2"/>
        <v>18</v>
      </c>
      <c r="BC4" s="53">
        <f t="shared" si="2"/>
        <v>18</v>
      </c>
      <c r="BD4" s="53">
        <f t="shared" si="2"/>
        <v>18</v>
      </c>
      <c r="BE4" s="53">
        <f t="shared" si="2"/>
        <v>19</v>
      </c>
      <c r="BF4" s="53">
        <f t="shared" si="2"/>
        <v>19</v>
      </c>
      <c r="BG4" s="53">
        <f t="shared" si="2"/>
        <v>19</v>
      </c>
      <c r="BH4" s="53">
        <f t="shared" si="2"/>
        <v>20</v>
      </c>
      <c r="BI4" s="53">
        <f t="shared" si="2"/>
        <v>20</v>
      </c>
      <c r="BJ4" s="53">
        <f t="shared" si="2"/>
        <v>20</v>
      </c>
    </row>
    <row r="5" spans="1:64">
      <c r="A5" s="36" t="s">
        <v>496</v>
      </c>
      <c r="B5" s="36"/>
      <c r="C5" s="53">
        <v>1</v>
      </c>
      <c r="D5" s="53">
        <f t="shared" ref="D5:BJ5" si="3">C5+1</f>
        <v>2</v>
      </c>
      <c r="E5" s="53">
        <f t="shared" si="3"/>
        <v>3</v>
      </c>
      <c r="F5" s="53">
        <f t="shared" si="3"/>
        <v>4</v>
      </c>
      <c r="G5" s="53">
        <f t="shared" si="3"/>
        <v>5</v>
      </c>
      <c r="H5" s="53">
        <f t="shared" si="3"/>
        <v>6</v>
      </c>
      <c r="I5" s="53">
        <f t="shared" si="3"/>
        <v>7</v>
      </c>
      <c r="J5" s="53">
        <f t="shared" si="3"/>
        <v>8</v>
      </c>
      <c r="K5" s="53">
        <f t="shared" si="3"/>
        <v>9</v>
      </c>
      <c r="L5" s="53">
        <f t="shared" si="3"/>
        <v>10</v>
      </c>
      <c r="M5" s="53">
        <f t="shared" si="3"/>
        <v>11</v>
      </c>
      <c r="N5" s="53">
        <f t="shared" si="3"/>
        <v>12</v>
      </c>
      <c r="O5" s="53">
        <f t="shared" si="3"/>
        <v>13</v>
      </c>
      <c r="P5" s="53">
        <f t="shared" si="3"/>
        <v>14</v>
      </c>
      <c r="Q5" s="53">
        <f t="shared" si="3"/>
        <v>15</v>
      </c>
      <c r="R5" s="53">
        <f t="shared" si="3"/>
        <v>16</v>
      </c>
      <c r="S5" s="53">
        <f t="shared" si="3"/>
        <v>17</v>
      </c>
      <c r="T5" s="53">
        <f t="shared" si="3"/>
        <v>18</v>
      </c>
      <c r="U5" s="53">
        <f t="shared" si="3"/>
        <v>19</v>
      </c>
      <c r="V5" s="53">
        <f t="shared" si="3"/>
        <v>20</v>
      </c>
      <c r="W5" s="53">
        <f t="shared" si="3"/>
        <v>21</v>
      </c>
      <c r="X5" s="53">
        <f t="shared" si="3"/>
        <v>22</v>
      </c>
      <c r="Y5" s="53">
        <f t="shared" si="3"/>
        <v>23</v>
      </c>
      <c r="Z5" s="53">
        <f t="shared" si="3"/>
        <v>24</v>
      </c>
      <c r="AA5" s="53">
        <f t="shared" si="3"/>
        <v>25</v>
      </c>
      <c r="AB5" s="53">
        <f t="shared" si="3"/>
        <v>26</v>
      </c>
      <c r="AC5" s="53">
        <f t="shared" si="3"/>
        <v>27</v>
      </c>
      <c r="AD5" s="53">
        <f t="shared" si="3"/>
        <v>28</v>
      </c>
      <c r="AE5" s="53">
        <f t="shared" si="3"/>
        <v>29</v>
      </c>
      <c r="AF5" s="53">
        <f t="shared" si="3"/>
        <v>30</v>
      </c>
      <c r="AG5" s="53">
        <f t="shared" si="3"/>
        <v>31</v>
      </c>
      <c r="AH5" s="53">
        <f t="shared" si="3"/>
        <v>32</v>
      </c>
      <c r="AI5" s="53">
        <f t="shared" si="3"/>
        <v>33</v>
      </c>
      <c r="AJ5" s="53">
        <f t="shared" si="3"/>
        <v>34</v>
      </c>
      <c r="AK5" s="53">
        <f t="shared" si="3"/>
        <v>35</v>
      </c>
      <c r="AL5" s="53">
        <f t="shared" si="3"/>
        <v>36</v>
      </c>
      <c r="AM5" s="53">
        <f t="shared" si="3"/>
        <v>37</v>
      </c>
      <c r="AN5" s="53">
        <f t="shared" si="3"/>
        <v>38</v>
      </c>
      <c r="AO5" s="53">
        <f t="shared" si="3"/>
        <v>39</v>
      </c>
      <c r="AP5" s="53">
        <f t="shared" si="3"/>
        <v>40</v>
      </c>
      <c r="AQ5" s="53">
        <f t="shared" si="3"/>
        <v>41</v>
      </c>
      <c r="AR5" s="53">
        <f t="shared" si="3"/>
        <v>42</v>
      </c>
      <c r="AS5" s="53">
        <f t="shared" si="3"/>
        <v>43</v>
      </c>
      <c r="AT5" s="53">
        <f t="shared" si="3"/>
        <v>44</v>
      </c>
      <c r="AU5" s="53">
        <f t="shared" si="3"/>
        <v>45</v>
      </c>
      <c r="AV5" s="53">
        <f t="shared" si="3"/>
        <v>46</v>
      </c>
      <c r="AW5" s="53">
        <f t="shared" si="3"/>
        <v>47</v>
      </c>
      <c r="AX5" s="53">
        <f t="shared" si="3"/>
        <v>48</v>
      </c>
      <c r="AY5" s="53">
        <f t="shared" si="3"/>
        <v>49</v>
      </c>
      <c r="AZ5" s="53">
        <f t="shared" si="3"/>
        <v>50</v>
      </c>
      <c r="BA5" s="53">
        <f t="shared" si="3"/>
        <v>51</v>
      </c>
      <c r="BB5" s="53">
        <f t="shared" si="3"/>
        <v>52</v>
      </c>
      <c r="BC5" s="53">
        <f t="shared" si="3"/>
        <v>53</v>
      </c>
      <c r="BD5" s="53">
        <f t="shared" si="3"/>
        <v>54</v>
      </c>
      <c r="BE5" s="53">
        <f t="shared" si="3"/>
        <v>55</v>
      </c>
      <c r="BF5" s="53">
        <f t="shared" si="3"/>
        <v>56</v>
      </c>
      <c r="BG5" s="53">
        <f t="shared" si="3"/>
        <v>57</v>
      </c>
      <c r="BH5" s="53">
        <f t="shared" si="3"/>
        <v>58</v>
      </c>
      <c r="BI5" s="53">
        <f t="shared" si="3"/>
        <v>59</v>
      </c>
      <c r="BJ5" s="53">
        <f t="shared" si="3"/>
        <v>60</v>
      </c>
    </row>
    <row r="6" spans="1:64">
      <c r="A6" s="36"/>
      <c r="B6" s="36"/>
      <c r="C6" s="778">
        <v>44409</v>
      </c>
      <c r="D6" s="778">
        <f t="shared" ref="D6:BJ6" si="4">EDATE(C6,1)</f>
        <v>44440</v>
      </c>
      <c r="E6" s="778">
        <f t="shared" si="4"/>
        <v>44470</v>
      </c>
      <c r="F6" s="778">
        <f t="shared" si="4"/>
        <v>44501</v>
      </c>
      <c r="G6" s="778">
        <f t="shared" si="4"/>
        <v>44531</v>
      </c>
      <c r="H6" s="778">
        <f t="shared" si="4"/>
        <v>44562</v>
      </c>
      <c r="I6" s="778">
        <f t="shared" si="4"/>
        <v>44593</v>
      </c>
      <c r="J6" s="778">
        <f t="shared" si="4"/>
        <v>44621</v>
      </c>
      <c r="K6" s="778">
        <f t="shared" si="4"/>
        <v>44652</v>
      </c>
      <c r="L6" s="778">
        <f t="shared" si="4"/>
        <v>44682</v>
      </c>
      <c r="M6" s="778">
        <f t="shared" si="4"/>
        <v>44713</v>
      </c>
      <c r="N6" s="778">
        <f t="shared" si="4"/>
        <v>44743</v>
      </c>
      <c r="O6" s="778">
        <f t="shared" si="4"/>
        <v>44774</v>
      </c>
      <c r="P6" s="778">
        <f t="shared" si="4"/>
        <v>44805</v>
      </c>
      <c r="Q6" s="778">
        <f t="shared" si="4"/>
        <v>44835</v>
      </c>
      <c r="R6" s="778">
        <f t="shared" si="4"/>
        <v>44866</v>
      </c>
      <c r="S6" s="778">
        <f t="shared" si="4"/>
        <v>44896</v>
      </c>
      <c r="T6" s="778">
        <f t="shared" si="4"/>
        <v>44927</v>
      </c>
      <c r="U6" s="778">
        <f t="shared" si="4"/>
        <v>44958</v>
      </c>
      <c r="V6" s="778">
        <f t="shared" si="4"/>
        <v>44986</v>
      </c>
      <c r="W6" s="778">
        <f t="shared" si="4"/>
        <v>45017</v>
      </c>
      <c r="X6" s="778">
        <f t="shared" si="4"/>
        <v>45047</v>
      </c>
      <c r="Y6" s="778">
        <f t="shared" si="4"/>
        <v>45078</v>
      </c>
      <c r="Z6" s="778">
        <f t="shared" si="4"/>
        <v>45108</v>
      </c>
      <c r="AA6" s="778">
        <f t="shared" si="4"/>
        <v>45139</v>
      </c>
      <c r="AB6" s="778">
        <f t="shared" si="4"/>
        <v>45170</v>
      </c>
      <c r="AC6" s="778">
        <f t="shared" si="4"/>
        <v>45200</v>
      </c>
      <c r="AD6" s="778">
        <f t="shared" si="4"/>
        <v>45231</v>
      </c>
      <c r="AE6" s="778">
        <f t="shared" si="4"/>
        <v>45261</v>
      </c>
      <c r="AF6" s="778">
        <f t="shared" si="4"/>
        <v>45292</v>
      </c>
      <c r="AG6" s="778">
        <f t="shared" si="4"/>
        <v>45323</v>
      </c>
      <c r="AH6" s="778">
        <f t="shared" si="4"/>
        <v>45352</v>
      </c>
      <c r="AI6" s="778">
        <f t="shared" si="4"/>
        <v>45383</v>
      </c>
      <c r="AJ6" s="778">
        <f t="shared" si="4"/>
        <v>45413</v>
      </c>
      <c r="AK6" s="778">
        <f t="shared" si="4"/>
        <v>45444</v>
      </c>
      <c r="AL6" s="778">
        <f t="shared" si="4"/>
        <v>45474</v>
      </c>
      <c r="AM6" s="778">
        <f t="shared" si="4"/>
        <v>45505</v>
      </c>
      <c r="AN6" s="778">
        <f t="shared" si="4"/>
        <v>45536</v>
      </c>
      <c r="AO6" s="778">
        <f t="shared" si="4"/>
        <v>45566</v>
      </c>
      <c r="AP6" s="778">
        <f t="shared" si="4"/>
        <v>45597</v>
      </c>
      <c r="AQ6" s="778">
        <f t="shared" si="4"/>
        <v>45627</v>
      </c>
      <c r="AR6" s="778">
        <f t="shared" si="4"/>
        <v>45658</v>
      </c>
      <c r="AS6" s="778">
        <f t="shared" si="4"/>
        <v>45689</v>
      </c>
      <c r="AT6" s="778">
        <f t="shared" si="4"/>
        <v>45717</v>
      </c>
      <c r="AU6" s="778">
        <f t="shared" si="4"/>
        <v>45748</v>
      </c>
      <c r="AV6" s="778">
        <f t="shared" si="4"/>
        <v>45778</v>
      </c>
      <c r="AW6" s="778">
        <f t="shared" si="4"/>
        <v>45809</v>
      </c>
      <c r="AX6" s="778">
        <f t="shared" si="4"/>
        <v>45839</v>
      </c>
      <c r="AY6" s="778">
        <f t="shared" si="4"/>
        <v>45870</v>
      </c>
      <c r="AZ6" s="778">
        <f t="shared" si="4"/>
        <v>45901</v>
      </c>
      <c r="BA6" s="778">
        <f t="shared" si="4"/>
        <v>45931</v>
      </c>
      <c r="BB6" s="778">
        <f t="shared" si="4"/>
        <v>45962</v>
      </c>
      <c r="BC6" s="778">
        <f t="shared" si="4"/>
        <v>45992</v>
      </c>
      <c r="BD6" s="778">
        <f t="shared" si="4"/>
        <v>46023</v>
      </c>
      <c r="BE6" s="778">
        <f t="shared" si="4"/>
        <v>46054</v>
      </c>
      <c r="BF6" s="778">
        <f t="shared" si="4"/>
        <v>46082</v>
      </c>
      <c r="BG6" s="778">
        <f t="shared" si="4"/>
        <v>46113</v>
      </c>
      <c r="BH6" s="778">
        <f t="shared" si="4"/>
        <v>46143</v>
      </c>
      <c r="BI6" s="778">
        <f t="shared" si="4"/>
        <v>46174</v>
      </c>
      <c r="BJ6" s="778">
        <f t="shared" si="4"/>
        <v>46204</v>
      </c>
    </row>
    <row r="7" spans="1:64" s="57" customFormat="1" hidden="1">
      <c r="B7" s="95" t="s">
        <v>2999</v>
      </c>
      <c r="C7" s="95">
        <v>0</v>
      </c>
      <c r="D7" s="95">
        <f>C7</f>
        <v>0</v>
      </c>
      <c r="E7" s="95">
        <f t="shared" ref="E7:N7" si="5">D7</f>
        <v>0</v>
      </c>
      <c r="F7" s="95">
        <f t="shared" si="5"/>
        <v>0</v>
      </c>
      <c r="G7" s="95">
        <f t="shared" si="5"/>
        <v>0</v>
      </c>
      <c r="H7" s="95">
        <f t="shared" si="5"/>
        <v>0</v>
      </c>
      <c r="I7" s="95">
        <f t="shared" si="5"/>
        <v>0</v>
      </c>
      <c r="J7" s="95">
        <f t="shared" si="5"/>
        <v>0</v>
      </c>
      <c r="K7" s="95">
        <f t="shared" si="5"/>
        <v>0</v>
      </c>
      <c r="L7" s="95">
        <f t="shared" si="5"/>
        <v>0</v>
      </c>
      <c r="M7" s="95">
        <f t="shared" si="5"/>
        <v>0</v>
      </c>
      <c r="N7" s="95">
        <f t="shared" si="5"/>
        <v>0</v>
      </c>
      <c r="O7" s="95">
        <f t="shared" ref="O7" si="6">N7</f>
        <v>0</v>
      </c>
      <c r="P7" s="95">
        <f t="shared" ref="P7" si="7">O7</f>
        <v>0</v>
      </c>
      <c r="Q7" s="95">
        <f t="shared" ref="Q7" si="8">P7</f>
        <v>0</v>
      </c>
      <c r="R7" s="95">
        <f t="shared" ref="R7" si="9">Q7</f>
        <v>0</v>
      </c>
      <c r="S7" s="95">
        <f t="shared" ref="S7" si="10">R7</f>
        <v>0</v>
      </c>
      <c r="T7" s="95">
        <f t="shared" ref="T7" si="11">S7</f>
        <v>0</v>
      </c>
      <c r="U7" s="95">
        <f t="shared" ref="U7" si="12">T7</f>
        <v>0</v>
      </c>
      <c r="V7" s="95">
        <f t="shared" ref="V7" si="13">U7</f>
        <v>0</v>
      </c>
      <c r="W7" s="95">
        <f t="shared" ref="W7" si="14">V7</f>
        <v>0</v>
      </c>
      <c r="X7" s="95">
        <f t="shared" ref="X7" si="15">W7</f>
        <v>0</v>
      </c>
      <c r="Y7" s="95">
        <f t="shared" ref="Y7" si="16">X7</f>
        <v>0</v>
      </c>
      <c r="Z7" s="95">
        <f t="shared" ref="Z7" si="17">Y7</f>
        <v>0</v>
      </c>
      <c r="AA7" s="95">
        <f t="shared" ref="AA7" si="18">Z7</f>
        <v>0</v>
      </c>
      <c r="AB7" s="95">
        <f t="shared" ref="AB7" si="19">AA7</f>
        <v>0</v>
      </c>
      <c r="AC7" s="95">
        <f t="shared" ref="AC7" si="20">AB7</f>
        <v>0</v>
      </c>
      <c r="AD7" s="95">
        <f t="shared" ref="AD7" si="21">AC7</f>
        <v>0</v>
      </c>
      <c r="AE7" s="95">
        <f t="shared" ref="AE7" si="22">AD7</f>
        <v>0</v>
      </c>
      <c r="AF7" s="95">
        <f t="shared" ref="AF7" si="23">AE7</f>
        <v>0</v>
      </c>
      <c r="AG7" s="95">
        <f t="shared" ref="AG7" si="24">AF7</f>
        <v>0</v>
      </c>
      <c r="AH7" s="95">
        <f t="shared" ref="AH7" si="25">AG7</f>
        <v>0</v>
      </c>
      <c r="AI7" s="95">
        <f t="shared" ref="AI7" si="26">AH7</f>
        <v>0</v>
      </c>
      <c r="AJ7" s="95">
        <f t="shared" ref="AJ7" si="27">AI7</f>
        <v>0</v>
      </c>
      <c r="AK7" s="95">
        <f t="shared" ref="AK7" si="28">AJ7</f>
        <v>0</v>
      </c>
      <c r="AL7" s="95">
        <f t="shared" ref="AL7" si="29">AK7</f>
        <v>0</v>
      </c>
      <c r="AM7" s="95"/>
      <c r="AN7" s="95"/>
      <c r="AO7" s="95"/>
      <c r="AP7" s="95"/>
      <c r="AQ7" s="95"/>
      <c r="AR7" s="95"/>
      <c r="AS7" s="95"/>
      <c r="AT7" s="95"/>
      <c r="AU7" s="95"/>
      <c r="AV7" s="95"/>
      <c r="AW7" s="95"/>
      <c r="AX7" s="95"/>
      <c r="AY7" s="95"/>
      <c r="AZ7" s="95"/>
      <c r="BA7" s="95"/>
      <c r="BB7" s="95"/>
      <c r="BC7" s="95"/>
      <c r="BD7" s="95"/>
      <c r="BE7" s="95"/>
      <c r="BF7" s="95"/>
      <c r="BG7" s="95"/>
      <c r="BH7" s="95"/>
      <c r="BI7" s="95"/>
      <c r="BJ7" s="95"/>
    </row>
    <row r="8" spans="1:64">
      <c r="A8" s="36" t="str">
        <f>BOM!I9</f>
        <v>Prod</v>
      </c>
      <c r="B8" s="13">
        <f>BOM!L68</f>
        <v>104353.79879999999</v>
      </c>
      <c r="C8" s="13">
        <f t="shared" ref="C8:L9" si="30">$B8*(1-C$7)</f>
        <v>104353.79879999999</v>
      </c>
      <c r="D8" s="13">
        <f t="shared" si="30"/>
        <v>104353.79879999999</v>
      </c>
      <c r="E8" s="13">
        <f t="shared" si="30"/>
        <v>104353.79879999999</v>
      </c>
      <c r="F8" s="13">
        <f t="shared" si="30"/>
        <v>104353.79879999999</v>
      </c>
      <c r="G8" s="13">
        <f t="shared" si="30"/>
        <v>104353.79879999999</v>
      </c>
      <c r="H8" s="13">
        <f t="shared" si="30"/>
        <v>104353.79879999999</v>
      </c>
      <c r="I8" s="13">
        <f t="shared" si="30"/>
        <v>104353.79879999999</v>
      </c>
      <c r="J8" s="13">
        <f t="shared" si="30"/>
        <v>104353.79879999999</v>
      </c>
      <c r="K8" s="13">
        <f t="shared" si="30"/>
        <v>104353.79879999999</v>
      </c>
      <c r="L8" s="13">
        <f t="shared" si="30"/>
        <v>104353.79879999999</v>
      </c>
      <c r="M8" s="13">
        <f t="shared" ref="M8:V9" si="31">$B8*(1-M$7)</f>
        <v>104353.79879999999</v>
      </c>
      <c r="N8" s="13">
        <f t="shared" si="31"/>
        <v>104353.79879999999</v>
      </c>
      <c r="O8" s="13">
        <f t="shared" si="31"/>
        <v>104353.79879999999</v>
      </c>
      <c r="P8" s="13">
        <f t="shared" si="31"/>
        <v>104353.79879999999</v>
      </c>
      <c r="Q8" s="13">
        <f t="shared" si="31"/>
        <v>104353.79879999999</v>
      </c>
      <c r="R8" s="13">
        <f t="shared" si="31"/>
        <v>104353.79879999999</v>
      </c>
      <c r="S8" s="13">
        <f t="shared" si="31"/>
        <v>104353.79879999999</v>
      </c>
      <c r="T8" s="13">
        <f t="shared" si="31"/>
        <v>104353.79879999999</v>
      </c>
      <c r="U8" s="13">
        <f t="shared" si="31"/>
        <v>104353.79879999999</v>
      </c>
      <c r="V8" s="13">
        <f t="shared" si="31"/>
        <v>104353.79879999999</v>
      </c>
      <c r="W8" s="13">
        <f t="shared" ref="W8:AF9" si="32">$B8*(1-W$7)</f>
        <v>104353.79879999999</v>
      </c>
      <c r="X8" s="13">
        <f t="shared" si="32"/>
        <v>104353.79879999999</v>
      </c>
      <c r="Y8" s="13">
        <f t="shared" si="32"/>
        <v>104353.79879999999</v>
      </c>
      <c r="Z8" s="13">
        <f t="shared" si="32"/>
        <v>104353.79879999999</v>
      </c>
      <c r="AA8" s="13">
        <f t="shared" si="32"/>
        <v>104353.79879999999</v>
      </c>
      <c r="AB8" s="13">
        <f t="shared" si="32"/>
        <v>104353.79879999999</v>
      </c>
      <c r="AC8" s="13">
        <f t="shared" si="32"/>
        <v>104353.79879999999</v>
      </c>
      <c r="AD8" s="13">
        <f t="shared" si="32"/>
        <v>104353.79879999999</v>
      </c>
      <c r="AE8" s="13">
        <f t="shared" si="32"/>
        <v>104353.79879999999</v>
      </c>
      <c r="AF8" s="13">
        <f t="shared" si="32"/>
        <v>104353.79879999999</v>
      </c>
      <c r="AG8" s="13">
        <f t="shared" ref="AG8:AP9" si="33">$B8*(1-AG$7)</f>
        <v>104353.79879999999</v>
      </c>
      <c r="AH8" s="13">
        <f t="shared" si="33"/>
        <v>104353.79879999999</v>
      </c>
      <c r="AI8" s="13">
        <f t="shared" si="33"/>
        <v>104353.79879999999</v>
      </c>
      <c r="AJ8" s="13">
        <f t="shared" si="33"/>
        <v>104353.79879999999</v>
      </c>
      <c r="AK8" s="13">
        <f t="shared" si="33"/>
        <v>104353.79879999999</v>
      </c>
      <c r="AL8" s="13">
        <f t="shared" si="33"/>
        <v>104353.79879999999</v>
      </c>
      <c r="AM8" s="13">
        <f t="shared" si="33"/>
        <v>104353.79879999999</v>
      </c>
      <c r="AN8" s="13">
        <f t="shared" si="33"/>
        <v>104353.79879999999</v>
      </c>
      <c r="AO8" s="13">
        <f t="shared" si="33"/>
        <v>104353.79879999999</v>
      </c>
      <c r="AP8" s="13">
        <f t="shared" si="33"/>
        <v>104353.79879999999</v>
      </c>
      <c r="AQ8" s="13">
        <f t="shared" ref="AQ8:AZ9" si="34">$B8*(1-AQ$7)</f>
        <v>104353.79879999999</v>
      </c>
      <c r="AR8" s="13">
        <f t="shared" si="34"/>
        <v>104353.79879999999</v>
      </c>
      <c r="AS8" s="13">
        <f t="shared" si="34"/>
        <v>104353.79879999999</v>
      </c>
      <c r="AT8" s="13">
        <f t="shared" si="34"/>
        <v>104353.79879999999</v>
      </c>
      <c r="AU8" s="13">
        <f t="shared" si="34"/>
        <v>104353.79879999999</v>
      </c>
      <c r="AV8" s="13">
        <f t="shared" si="34"/>
        <v>104353.79879999999</v>
      </c>
      <c r="AW8" s="13">
        <f t="shared" si="34"/>
        <v>104353.79879999999</v>
      </c>
      <c r="AX8" s="13">
        <f t="shared" si="34"/>
        <v>104353.79879999999</v>
      </c>
      <c r="AY8" s="13">
        <f t="shared" si="34"/>
        <v>104353.79879999999</v>
      </c>
      <c r="AZ8" s="13">
        <f t="shared" si="34"/>
        <v>104353.79879999999</v>
      </c>
      <c r="BA8" s="13">
        <f t="shared" ref="BA8:BJ9" si="35">$B8*(1-BA$7)</f>
        <v>104353.79879999999</v>
      </c>
      <c r="BB8" s="13">
        <f t="shared" si="35"/>
        <v>104353.79879999999</v>
      </c>
      <c r="BC8" s="13">
        <f t="shared" si="35"/>
        <v>104353.79879999999</v>
      </c>
      <c r="BD8" s="13">
        <f t="shared" si="35"/>
        <v>104353.79879999999</v>
      </c>
      <c r="BE8" s="13">
        <f t="shared" si="35"/>
        <v>104353.79879999999</v>
      </c>
      <c r="BF8" s="13">
        <f t="shared" si="35"/>
        <v>104353.79879999999</v>
      </c>
      <c r="BG8" s="13">
        <f t="shared" si="35"/>
        <v>104353.79879999999</v>
      </c>
      <c r="BH8" s="13">
        <f t="shared" si="35"/>
        <v>104353.79879999999</v>
      </c>
      <c r="BI8" s="13">
        <f t="shared" si="35"/>
        <v>104353.79879999999</v>
      </c>
      <c r="BJ8" s="13">
        <f t="shared" si="35"/>
        <v>104353.79879999999</v>
      </c>
    </row>
    <row r="9" spans="1:64">
      <c r="A9" s="36" t="str">
        <f>BOM!N9</f>
        <v>Non-Prod</v>
      </c>
      <c r="B9" s="13">
        <f>BOM!Q68</f>
        <v>38660.135999999999</v>
      </c>
      <c r="C9" s="13">
        <f t="shared" si="30"/>
        <v>38660.135999999999</v>
      </c>
      <c r="D9" s="13">
        <f t="shared" si="30"/>
        <v>38660.135999999999</v>
      </c>
      <c r="E9" s="13">
        <f t="shared" si="30"/>
        <v>38660.135999999999</v>
      </c>
      <c r="F9" s="13">
        <f t="shared" si="30"/>
        <v>38660.135999999999</v>
      </c>
      <c r="G9" s="13">
        <f t="shared" si="30"/>
        <v>38660.135999999999</v>
      </c>
      <c r="H9" s="13">
        <f t="shared" si="30"/>
        <v>38660.135999999999</v>
      </c>
      <c r="I9" s="13">
        <f t="shared" si="30"/>
        <v>38660.135999999999</v>
      </c>
      <c r="J9" s="13">
        <f t="shared" si="30"/>
        <v>38660.135999999999</v>
      </c>
      <c r="K9" s="13">
        <f t="shared" si="30"/>
        <v>38660.135999999999</v>
      </c>
      <c r="L9" s="13">
        <f t="shared" si="30"/>
        <v>38660.135999999999</v>
      </c>
      <c r="M9" s="13">
        <f t="shared" si="31"/>
        <v>38660.135999999999</v>
      </c>
      <c r="N9" s="13">
        <f t="shared" si="31"/>
        <v>38660.135999999999</v>
      </c>
      <c r="O9" s="13">
        <f t="shared" si="31"/>
        <v>38660.135999999999</v>
      </c>
      <c r="P9" s="13">
        <f t="shared" si="31"/>
        <v>38660.135999999999</v>
      </c>
      <c r="Q9" s="13">
        <f t="shared" si="31"/>
        <v>38660.135999999999</v>
      </c>
      <c r="R9" s="13">
        <f t="shared" si="31"/>
        <v>38660.135999999999</v>
      </c>
      <c r="S9" s="13">
        <f t="shared" si="31"/>
        <v>38660.135999999999</v>
      </c>
      <c r="T9" s="13">
        <f t="shared" si="31"/>
        <v>38660.135999999999</v>
      </c>
      <c r="U9" s="13">
        <f t="shared" si="31"/>
        <v>38660.135999999999</v>
      </c>
      <c r="V9" s="13">
        <f t="shared" si="31"/>
        <v>38660.135999999999</v>
      </c>
      <c r="W9" s="13">
        <f t="shared" si="32"/>
        <v>38660.135999999999</v>
      </c>
      <c r="X9" s="13">
        <f t="shared" si="32"/>
        <v>38660.135999999999</v>
      </c>
      <c r="Y9" s="13">
        <f t="shared" si="32"/>
        <v>38660.135999999999</v>
      </c>
      <c r="Z9" s="13">
        <f t="shared" si="32"/>
        <v>38660.135999999999</v>
      </c>
      <c r="AA9" s="13">
        <f t="shared" si="32"/>
        <v>38660.135999999999</v>
      </c>
      <c r="AB9" s="13">
        <f t="shared" si="32"/>
        <v>38660.135999999999</v>
      </c>
      <c r="AC9" s="13">
        <f t="shared" si="32"/>
        <v>38660.135999999999</v>
      </c>
      <c r="AD9" s="13">
        <f t="shared" si="32"/>
        <v>38660.135999999999</v>
      </c>
      <c r="AE9" s="13">
        <f t="shared" si="32"/>
        <v>38660.135999999999</v>
      </c>
      <c r="AF9" s="13">
        <f t="shared" si="32"/>
        <v>38660.135999999999</v>
      </c>
      <c r="AG9" s="13">
        <f t="shared" si="33"/>
        <v>38660.135999999999</v>
      </c>
      <c r="AH9" s="13">
        <f t="shared" si="33"/>
        <v>38660.135999999999</v>
      </c>
      <c r="AI9" s="13">
        <f t="shared" si="33"/>
        <v>38660.135999999999</v>
      </c>
      <c r="AJ9" s="13">
        <f t="shared" si="33"/>
        <v>38660.135999999999</v>
      </c>
      <c r="AK9" s="13">
        <f t="shared" si="33"/>
        <v>38660.135999999999</v>
      </c>
      <c r="AL9" s="13">
        <f t="shared" si="33"/>
        <v>38660.135999999999</v>
      </c>
      <c r="AM9" s="13">
        <f t="shared" si="33"/>
        <v>38660.135999999999</v>
      </c>
      <c r="AN9" s="13">
        <f t="shared" si="33"/>
        <v>38660.135999999999</v>
      </c>
      <c r="AO9" s="13">
        <f t="shared" si="33"/>
        <v>38660.135999999999</v>
      </c>
      <c r="AP9" s="13">
        <f t="shared" si="33"/>
        <v>38660.135999999999</v>
      </c>
      <c r="AQ9" s="13">
        <f t="shared" si="34"/>
        <v>38660.135999999999</v>
      </c>
      <c r="AR9" s="13">
        <f t="shared" si="34"/>
        <v>38660.135999999999</v>
      </c>
      <c r="AS9" s="13">
        <f t="shared" si="34"/>
        <v>38660.135999999999</v>
      </c>
      <c r="AT9" s="13">
        <f t="shared" si="34"/>
        <v>38660.135999999999</v>
      </c>
      <c r="AU9" s="13">
        <f t="shared" si="34"/>
        <v>38660.135999999999</v>
      </c>
      <c r="AV9" s="13">
        <f t="shared" si="34"/>
        <v>38660.135999999999</v>
      </c>
      <c r="AW9" s="13">
        <f t="shared" si="34"/>
        <v>38660.135999999999</v>
      </c>
      <c r="AX9" s="13">
        <f t="shared" si="34"/>
        <v>38660.135999999999</v>
      </c>
      <c r="AY9" s="13">
        <f t="shared" si="34"/>
        <v>38660.135999999999</v>
      </c>
      <c r="AZ9" s="13">
        <f t="shared" si="34"/>
        <v>38660.135999999999</v>
      </c>
      <c r="BA9" s="13">
        <f t="shared" si="35"/>
        <v>38660.135999999999</v>
      </c>
      <c r="BB9" s="13">
        <f t="shared" si="35"/>
        <v>38660.135999999999</v>
      </c>
      <c r="BC9" s="13">
        <f t="shared" si="35"/>
        <v>38660.135999999999</v>
      </c>
      <c r="BD9" s="13">
        <f t="shared" si="35"/>
        <v>38660.135999999999</v>
      </c>
      <c r="BE9" s="13">
        <f t="shared" si="35"/>
        <v>38660.135999999999</v>
      </c>
      <c r="BF9" s="13">
        <f t="shared" si="35"/>
        <v>38660.135999999999</v>
      </c>
      <c r="BG9" s="13">
        <f t="shared" si="35"/>
        <v>38660.135999999999</v>
      </c>
      <c r="BH9" s="13">
        <f t="shared" si="35"/>
        <v>38660.135999999999</v>
      </c>
      <c r="BI9" s="13">
        <f t="shared" si="35"/>
        <v>38660.135999999999</v>
      </c>
      <c r="BJ9" s="13">
        <f t="shared" si="35"/>
        <v>38660.135999999999</v>
      </c>
    </row>
    <row r="10" spans="1:64">
      <c r="A10" s="36" t="str">
        <f>BOM!S9</f>
        <v>DR</v>
      </c>
      <c r="B10" s="13">
        <f>BOM!V68</f>
        <v>0</v>
      </c>
      <c r="C10" s="13">
        <f t="shared" ref="C10:S12" si="36">$B10*(1-C$7)</f>
        <v>0</v>
      </c>
      <c r="D10" s="13">
        <f t="shared" si="36"/>
        <v>0</v>
      </c>
      <c r="E10" s="13">
        <f t="shared" si="36"/>
        <v>0</v>
      </c>
      <c r="F10" s="13">
        <f t="shared" si="36"/>
        <v>0</v>
      </c>
      <c r="G10" s="13">
        <f t="shared" si="36"/>
        <v>0</v>
      </c>
      <c r="H10" s="13">
        <f t="shared" si="36"/>
        <v>0</v>
      </c>
      <c r="I10" s="13">
        <f t="shared" si="36"/>
        <v>0</v>
      </c>
      <c r="J10" s="13">
        <f t="shared" si="36"/>
        <v>0</v>
      </c>
      <c r="K10" s="13">
        <f t="shared" si="36"/>
        <v>0</v>
      </c>
      <c r="L10" s="13">
        <f t="shared" si="36"/>
        <v>0</v>
      </c>
      <c r="M10" s="13">
        <f t="shared" si="36"/>
        <v>0</v>
      </c>
      <c r="N10" s="13">
        <f t="shared" si="36"/>
        <v>0</v>
      </c>
      <c r="O10" s="13">
        <f t="shared" si="36"/>
        <v>0</v>
      </c>
      <c r="P10" s="13">
        <f t="shared" si="36"/>
        <v>0</v>
      </c>
      <c r="Q10" s="13">
        <f t="shared" si="36"/>
        <v>0</v>
      </c>
      <c r="R10" s="13">
        <f t="shared" si="36"/>
        <v>0</v>
      </c>
      <c r="S10" s="13">
        <f t="shared" si="36"/>
        <v>0</v>
      </c>
      <c r="T10" s="13">
        <f t="shared" ref="T10:AI12" si="37">$B10*(1-T$7)</f>
        <v>0</v>
      </c>
      <c r="U10" s="13">
        <f t="shared" si="37"/>
        <v>0</v>
      </c>
      <c r="V10" s="13">
        <f t="shared" si="37"/>
        <v>0</v>
      </c>
      <c r="W10" s="13">
        <f t="shared" si="37"/>
        <v>0</v>
      </c>
      <c r="X10" s="13">
        <f t="shared" si="37"/>
        <v>0</v>
      </c>
      <c r="Y10" s="13">
        <f t="shared" si="37"/>
        <v>0</v>
      </c>
      <c r="Z10" s="13">
        <f t="shared" si="37"/>
        <v>0</v>
      </c>
      <c r="AA10" s="13">
        <f t="shared" si="37"/>
        <v>0</v>
      </c>
      <c r="AB10" s="13">
        <f t="shared" si="37"/>
        <v>0</v>
      </c>
      <c r="AC10" s="13">
        <f t="shared" si="37"/>
        <v>0</v>
      </c>
      <c r="AD10" s="13">
        <f t="shared" si="37"/>
        <v>0</v>
      </c>
      <c r="AE10" s="13">
        <f t="shared" si="37"/>
        <v>0</v>
      </c>
      <c r="AF10" s="13">
        <f t="shared" si="37"/>
        <v>0</v>
      </c>
      <c r="AG10" s="13">
        <f t="shared" si="37"/>
        <v>0</v>
      </c>
      <c r="AH10" s="13">
        <f t="shared" si="37"/>
        <v>0</v>
      </c>
      <c r="AI10" s="13">
        <f t="shared" si="37"/>
        <v>0</v>
      </c>
      <c r="AJ10" s="13">
        <f t="shared" ref="AJ10:AL12" si="38">$B10*(1-AJ$7)</f>
        <v>0</v>
      </c>
      <c r="AK10" s="13">
        <f t="shared" si="38"/>
        <v>0</v>
      </c>
      <c r="AL10" s="13">
        <f t="shared" si="38"/>
        <v>0</v>
      </c>
      <c r="AM10" s="13">
        <f t="shared" ref="AM10:BJ12" si="39">$B10*(1-AM$7)</f>
        <v>0</v>
      </c>
      <c r="AN10" s="13">
        <f t="shared" si="39"/>
        <v>0</v>
      </c>
      <c r="AO10" s="13">
        <f t="shared" si="39"/>
        <v>0</v>
      </c>
      <c r="AP10" s="13">
        <f t="shared" si="39"/>
        <v>0</v>
      </c>
      <c r="AQ10" s="13">
        <f t="shared" si="39"/>
        <v>0</v>
      </c>
      <c r="AR10" s="13">
        <f t="shared" si="39"/>
        <v>0</v>
      </c>
      <c r="AS10" s="13">
        <f t="shared" si="39"/>
        <v>0</v>
      </c>
      <c r="AT10" s="13">
        <f t="shared" si="39"/>
        <v>0</v>
      </c>
      <c r="AU10" s="13">
        <f t="shared" si="39"/>
        <v>0</v>
      </c>
      <c r="AV10" s="13">
        <f t="shared" si="39"/>
        <v>0</v>
      </c>
      <c r="AW10" s="13">
        <f t="shared" si="39"/>
        <v>0</v>
      </c>
      <c r="AX10" s="13">
        <f t="shared" si="39"/>
        <v>0</v>
      </c>
      <c r="AY10" s="13">
        <f t="shared" si="39"/>
        <v>0</v>
      </c>
      <c r="AZ10" s="13">
        <f t="shared" si="39"/>
        <v>0</v>
      </c>
      <c r="BA10" s="13">
        <f t="shared" si="39"/>
        <v>0</v>
      </c>
      <c r="BB10" s="13">
        <f t="shared" si="39"/>
        <v>0</v>
      </c>
      <c r="BC10" s="13">
        <f t="shared" si="39"/>
        <v>0</v>
      </c>
      <c r="BD10" s="13">
        <f t="shared" si="39"/>
        <v>0</v>
      </c>
      <c r="BE10" s="13">
        <f t="shared" si="39"/>
        <v>0</v>
      </c>
      <c r="BF10" s="13">
        <f t="shared" si="39"/>
        <v>0</v>
      </c>
      <c r="BG10" s="13">
        <f t="shared" si="39"/>
        <v>0</v>
      </c>
      <c r="BH10" s="13">
        <f t="shared" si="39"/>
        <v>0</v>
      </c>
      <c r="BI10" s="13">
        <f t="shared" si="39"/>
        <v>0</v>
      </c>
      <c r="BJ10" s="13">
        <f t="shared" si="39"/>
        <v>0</v>
      </c>
    </row>
    <row r="11" spans="1:64">
      <c r="A11" s="36" t="str">
        <f>BOM!X9</f>
        <v>Dev</v>
      </c>
      <c r="B11" s="13">
        <f>BOM!AA68</f>
        <v>0</v>
      </c>
      <c r="C11" s="13">
        <f t="shared" si="36"/>
        <v>0</v>
      </c>
      <c r="D11" s="13">
        <f t="shared" si="36"/>
        <v>0</v>
      </c>
      <c r="E11" s="13">
        <f t="shared" si="36"/>
        <v>0</v>
      </c>
      <c r="F11" s="13">
        <f t="shared" si="36"/>
        <v>0</v>
      </c>
      <c r="G11" s="13">
        <f t="shared" si="36"/>
        <v>0</v>
      </c>
      <c r="H11" s="13">
        <f t="shared" si="36"/>
        <v>0</v>
      </c>
      <c r="I11" s="13">
        <f t="shared" si="36"/>
        <v>0</v>
      </c>
      <c r="J11" s="13">
        <f t="shared" si="36"/>
        <v>0</v>
      </c>
      <c r="K11" s="13">
        <f t="shared" si="36"/>
        <v>0</v>
      </c>
      <c r="L11" s="13">
        <f t="shared" si="36"/>
        <v>0</v>
      </c>
      <c r="M11" s="13">
        <f t="shared" si="36"/>
        <v>0</v>
      </c>
      <c r="N11" s="13">
        <f t="shared" si="36"/>
        <v>0</v>
      </c>
      <c r="O11" s="13">
        <f t="shared" si="36"/>
        <v>0</v>
      </c>
      <c r="P11" s="13">
        <f t="shared" si="36"/>
        <v>0</v>
      </c>
      <c r="Q11" s="13">
        <f t="shared" si="36"/>
        <v>0</v>
      </c>
      <c r="R11" s="13">
        <f t="shared" si="36"/>
        <v>0</v>
      </c>
      <c r="S11" s="13">
        <f t="shared" si="36"/>
        <v>0</v>
      </c>
      <c r="T11" s="13">
        <f t="shared" si="37"/>
        <v>0</v>
      </c>
      <c r="U11" s="13">
        <f t="shared" si="37"/>
        <v>0</v>
      </c>
      <c r="V11" s="13">
        <f t="shared" si="37"/>
        <v>0</v>
      </c>
      <c r="W11" s="13">
        <f t="shared" si="37"/>
        <v>0</v>
      </c>
      <c r="X11" s="13">
        <f t="shared" si="37"/>
        <v>0</v>
      </c>
      <c r="Y11" s="13">
        <f t="shared" si="37"/>
        <v>0</v>
      </c>
      <c r="Z11" s="13">
        <f t="shared" si="37"/>
        <v>0</v>
      </c>
      <c r="AA11" s="13">
        <f t="shared" si="37"/>
        <v>0</v>
      </c>
      <c r="AB11" s="13">
        <f t="shared" si="37"/>
        <v>0</v>
      </c>
      <c r="AC11" s="13">
        <f t="shared" si="37"/>
        <v>0</v>
      </c>
      <c r="AD11" s="13">
        <f t="shared" si="37"/>
        <v>0</v>
      </c>
      <c r="AE11" s="13">
        <f t="shared" si="37"/>
        <v>0</v>
      </c>
      <c r="AF11" s="13">
        <f t="shared" si="37"/>
        <v>0</v>
      </c>
      <c r="AG11" s="13">
        <f t="shared" si="37"/>
        <v>0</v>
      </c>
      <c r="AH11" s="13">
        <f t="shared" si="37"/>
        <v>0</v>
      </c>
      <c r="AI11" s="13">
        <f t="shared" si="37"/>
        <v>0</v>
      </c>
      <c r="AJ11" s="13">
        <f t="shared" si="38"/>
        <v>0</v>
      </c>
      <c r="AK11" s="13">
        <f t="shared" si="38"/>
        <v>0</v>
      </c>
      <c r="AL11" s="13">
        <f t="shared" si="38"/>
        <v>0</v>
      </c>
      <c r="AM11" s="13">
        <f t="shared" si="39"/>
        <v>0</v>
      </c>
      <c r="AN11" s="13">
        <f t="shared" si="39"/>
        <v>0</v>
      </c>
      <c r="AO11" s="13">
        <f t="shared" si="39"/>
        <v>0</v>
      </c>
      <c r="AP11" s="13">
        <f t="shared" si="39"/>
        <v>0</v>
      </c>
      <c r="AQ11" s="13">
        <f t="shared" si="39"/>
        <v>0</v>
      </c>
      <c r="AR11" s="13">
        <f t="shared" si="39"/>
        <v>0</v>
      </c>
      <c r="AS11" s="13">
        <f t="shared" si="39"/>
        <v>0</v>
      </c>
      <c r="AT11" s="13">
        <f t="shared" si="39"/>
        <v>0</v>
      </c>
      <c r="AU11" s="13">
        <f t="shared" si="39"/>
        <v>0</v>
      </c>
      <c r="AV11" s="13">
        <f t="shared" si="39"/>
        <v>0</v>
      </c>
      <c r="AW11" s="13">
        <f t="shared" si="39"/>
        <v>0</v>
      </c>
      <c r="AX11" s="13">
        <f t="shared" si="39"/>
        <v>0</v>
      </c>
      <c r="AY11" s="13">
        <f t="shared" si="39"/>
        <v>0</v>
      </c>
      <c r="AZ11" s="13">
        <f t="shared" si="39"/>
        <v>0</v>
      </c>
      <c r="BA11" s="13">
        <f t="shared" si="39"/>
        <v>0</v>
      </c>
      <c r="BB11" s="13">
        <f t="shared" si="39"/>
        <v>0</v>
      </c>
      <c r="BC11" s="13">
        <f t="shared" si="39"/>
        <v>0</v>
      </c>
      <c r="BD11" s="13">
        <f t="shared" si="39"/>
        <v>0</v>
      </c>
      <c r="BE11" s="13">
        <f t="shared" si="39"/>
        <v>0</v>
      </c>
      <c r="BF11" s="13">
        <f t="shared" si="39"/>
        <v>0</v>
      </c>
      <c r="BG11" s="13">
        <f t="shared" si="39"/>
        <v>0</v>
      </c>
      <c r="BH11" s="13">
        <f t="shared" si="39"/>
        <v>0</v>
      </c>
      <c r="BI11" s="13">
        <f t="shared" si="39"/>
        <v>0</v>
      </c>
      <c r="BJ11" s="13">
        <f t="shared" si="39"/>
        <v>0</v>
      </c>
    </row>
    <row r="12" spans="1:64" s="57" customFormat="1">
      <c r="A12" s="36" t="str">
        <f>BOM!AC9</f>
        <v>Other - CM and Asserter</v>
      </c>
      <c r="B12" s="13">
        <f>BOM!AF68</f>
        <v>1873.3620000000001</v>
      </c>
      <c r="C12" s="13">
        <f t="shared" si="36"/>
        <v>1873.3620000000001</v>
      </c>
      <c r="D12" s="13">
        <f t="shared" si="36"/>
        <v>1873.3620000000001</v>
      </c>
      <c r="E12" s="13">
        <f t="shared" si="36"/>
        <v>1873.3620000000001</v>
      </c>
      <c r="F12" s="13">
        <f t="shared" si="36"/>
        <v>1873.3620000000001</v>
      </c>
      <c r="G12" s="13">
        <f t="shared" si="36"/>
        <v>1873.3620000000001</v>
      </c>
      <c r="H12" s="13">
        <f t="shared" si="36"/>
        <v>1873.3620000000001</v>
      </c>
      <c r="I12" s="13">
        <f t="shared" si="36"/>
        <v>1873.3620000000001</v>
      </c>
      <c r="J12" s="13">
        <f t="shared" si="36"/>
        <v>1873.3620000000001</v>
      </c>
      <c r="K12" s="13">
        <f t="shared" si="36"/>
        <v>1873.3620000000001</v>
      </c>
      <c r="L12" s="13">
        <f t="shared" si="36"/>
        <v>1873.3620000000001</v>
      </c>
      <c r="M12" s="13">
        <f t="shared" si="36"/>
        <v>1873.3620000000001</v>
      </c>
      <c r="N12" s="13">
        <f t="shared" si="36"/>
        <v>1873.3620000000001</v>
      </c>
      <c r="O12" s="13">
        <f t="shared" si="36"/>
        <v>1873.3620000000001</v>
      </c>
      <c r="P12" s="13">
        <f t="shared" si="36"/>
        <v>1873.3620000000001</v>
      </c>
      <c r="Q12" s="13">
        <f t="shared" si="36"/>
        <v>1873.3620000000001</v>
      </c>
      <c r="R12" s="13">
        <f t="shared" si="36"/>
        <v>1873.3620000000001</v>
      </c>
      <c r="S12" s="13">
        <f t="shared" si="36"/>
        <v>1873.3620000000001</v>
      </c>
      <c r="T12" s="13">
        <f t="shared" si="37"/>
        <v>1873.3620000000001</v>
      </c>
      <c r="U12" s="13">
        <f t="shared" si="37"/>
        <v>1873.3620000000001</v>
      </c>
      <c r="V12" s="13">
        <f t="shared" si="37"/>
        <v>1873.3620000000001</v>
      </c>
      <c r="W12" s="13">
        <f t="shared" si="37"/>
        <v>1873.3620000000001</v>
      </c>
      <c r="X12" s="13">
        <f t="shared" si="37"/>
        <v>1873.3620000000001</v>
      </c>
      <c r="Y12" s="13">
        <f t="shared" si="37"/>
        <v>1873.3620000000001</v>
      </c>
      <c r="Z12" s="13">
        <f t="shared" si="37"/>
        <v>1873.3620000000001</v>
      </c>
      <c r="AA12" s="13">
        <f t="shared" si="37"/>
        <v>1873.3620000000001</v>
      </c>
      <c r="AB12" s="13">
        <f t="shared" si="37"/>
        <v>1873.3620000000001</v>
      </c>
      <c r="AC12" s="13">
        <f t="shared" si="37"/>
        <v>1873.3620000000001</v>
      </c>
      <c r="AD12" s="13">
        <f t="shared" si="37"/>
        <v>1873.3620000000001</v>
      </c>
      <c r="AE12" s="13">
        <f t="shared" si="37"/>
        <v>1873.3620000000001</v>
      </c>
      <c r="AF12" s="13">
        <f t="shared" si="37"/>
        <v>1873.3620000000001</v>
      </c>
      <c r="AG12" s="13">
        <f t="shared" si="37"/>
        <v>1873.3620000000001</v>
      </c>
      <c r="AH12" s="13">
        <f t="shared" si="37"/>
        <v>1873.3620000000001</v>
      </c>
      <c r="AI12" s="13">
        <f t="shared" si="37"/>
        <v>1873.3620000000001</v>
      </c>
      <c r="AJ12" s="13">
        <f t="shared" si="38"/>
        <v>1873.3620000000001</v>
      </c>
      <c r="AK12" s="13">
        <f t="shared" si="38"/>
        <v>1873.3620000000001</v>
      </c>
      <c r="AL12" s="13">
        <f t="shared" si="38"/>
        <v>1873.3620000000001</v>
      </c>
      <c r="AM12" s="13">
        <f t="shared" si="39"/>
        <v>1873.3620000000001</v>
      </c>
      <c r="AN12" s="13">
        <f t="shared" si="39"/>
        <v>1873.3620000000001</v>
      </c>
      <c r="AO12" s="13">
        <f t="shared" si="39"/>
        <v>1873.3620000000001</v>
      </c>
      <c r="AP12" s="13">
        <f t="shared" si="39"/>
        <v>1873.3620000000001</v>
      </c>
      <c r="AQ12" s="13">
        <f t="shared" si="39"/>
        <v>1873.3620000000001</v>
      </c>
      <c r="AR12" s="13">
        <f t="shared" si="39"/>
        <v>1873.3620000000001</v>
      </c>
      <c r="AS12" s="13">
        <f t="shared" si="39"/>
        <v>1873.3620000000001</v>
      </c>
      <c r="AT12" s="13">
        <f t="shared" si="39"/>
        <v>1873.3620000000001</v>
      </c>
      <c r="AU12" s="13">
        <f t="shared" si="39"/>
        <v>1873.3620000000001</v>
      </c>
      <c r="AV12" s="13">
        <f t="shared" si="39"/>
        <v>1873.3620000000001</v>
      </c>
      <c r="AW12" s="13">
        <f t="shared" si="39"/>
        <v>1873.3620000000001</v>
      </c>
      <c r="AX12" s="13">
        <f t="shared" si="39"/>
        <v>1873.3620000000001</v>
      </c>
      <c r="AY12" s="13">
        <f t="shared" si="39"/>
        <v>1873.3620000000001</v>
      </c>
      <c r="AZ12" s="13">
        <f t="shared" si="39"/>
        <v>1873.3620000000001</v>
      </c>
      <c r="BA12" s="13">
        <f t="shared" si="39"/>
        <v>1873.3620000000001</v>
      </c>
      <c r="BB12" s="13">
        <f t="shared" si="39"/>
        <v>1873.3620000000001</v>
      </c>
      <c r="BC12" s="13">
        <f t="shared" si="39"/>
        <v>1873.3620000000001</v>
      </c>
      <c r="BD12" s="13">
        <f t="shared" si="39"/>
        <v>1873.3620000000001</v>
      </c>
      <c r="BE12" s="13">
        <f t="shared" si="39"/>
        <v>1873.3620000000001</v>
      </c>
      <c r="BF12" s="13">
        <f t="shared" si="39"/>
        <v>1873.3620000000001</v>
      </c>
      <c r="BG12" s="13">
        <f t="shared" si="39"/>
        <v>1873.3620000000001</v>
      </c>
      <c r="BH12" s="13">
        <f t="shared" si="39"/>
        <v>1873.3620000000001</v>
      </c>
      <c r="BI12" s="13">
        <f t="shared" si="39"/>
        <v>1873.3620000000001</v>
      </c>
      <c r="BJ12" s="13">
        <f t="shared" si="39"/>
        <v>1873.3620000000001</v>
      </c>
    </row>
    <row r="13" spans="1:64">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row>
    <row r="14" spans="1:64" s="39" customFormat="1">
      <c r="A14" s="38" t="s">
        <v>490</v>
      </c>
      <c r="B14" s="38"/>
      <c r="C14" s="38">
        <f>SUM(C8:C13)</f>
        <v>144887.29679999998</v>
      </c>
      <c r="D14" s="38">
        <f t="shared" ref="D14:BC14" si="40">SUM(D8:D13)</f>
        <v>144887.29679999998</v>
      </c>
      <c r="E14" s="38">
        <f t="shared" si="40"/>
        <v>144887.29679999998</v>
      </c>
      <c r="F14" s="38">
        <f t="shared" si="40"/>
        <v>144887.29679999998</v>
      </c>
      <c r="G14" s="38">
        <f t="shared" si="40"/>
        <v>144887.29679999998</v>
      </c>
      <c r="H14" s="38">
        <f t="shared" si="40"/>
        <v>144887.29679999998</v>
      </c>
      <c r="I14" s="38">
        <f t="shared" si="40"/>
        <v>144887.29679999998</v>
      </c>
      <c r="J14" s="38">
        <f t="shared" si="40"/>
        <v>144887.29679999998</v>
      </c>
      <c r="K14" s="38">
        <f t="shared" si="40"/>
        <v>144887.29679999998</v>
      </c>
      <c r="L14" s="38">
        <f t="shared" si="40"/>
        <v>144887.29679999998</v>
      </c>
      <c r="M14" s="38">
        <f t="shared" si="40"/>
        <v>144887.29679999998</v>
      </c>
      <c r="N14" s="38">
        <f t="shared" si="40"/>
        <v>144887.29679999998</v>
      </c>
      <c r="O14" s="38">
        <f t="shared" si="40"/>
        <v>144887.29679999998</v>
      </c>
      <c r="P14" s="38">
        <f t="shared" si="40"/>
        <v>144887.29679999998</v>
      </c>
      <c r="Q14" s="38">
        <f t="shared" si="40"/>
        <v>144887.29679999998</v>
      </c>
      <c r="R14" s="38">
        <f t="shared" si="40"/>
        <v>144887.29679999998</v>
      </c>
      <c r="S14" s="38">
        <f t="shared" si="40"/>
        <v>144887.29679999998</v>
      </c>
      <c r="T14" s="38">
        <f t="shared" si="40"/>
        <v>144887.29679999998</v>
      </c>
      <c r="U14" s="38">
        <f t="shared" si="40"/>
        <v>144887.29679999998</v>
      </c>
      <c r="V14" s="38">
        <f t="shared" si="40"/>
        <v>144887.29679999998</v>
      </c>
      <c r="W14" s="38">
        <f t="shared" si="40"/>
        <v>144887.29679999998</v>
      </c>
      <c r="X14" s="38">
        <f t="shared" si="40"/>
        <v>144887.29679999998</v>
      </c>
      <c r="Y14" s="38">
        <f t="shared" si="40"/>
        <v>144887.29679999998</v>
      </c>
      <c r="Z14" s="38">
        <f t="shared" si="40"/>
        <v>144887.29679999998</v>
      </c>
      <c r="AA14" s="38">
        <f t="shared" si="40"/>
        <v>144887.29679999998</v>
      </c>
      <c r="AB14" s="38">
        <f t="shared" si="40"/>
        <v>144887.29679999998</v>
      </c>
      <c r="AC14" s="38">
        <f t="shared" si="40"/>
        <v>144887.29679999998</v>
      </c>
      <c r="AD14" s="38">
        <f t="shared" si="40"/>
        <v>144887.29679999998</v>
      </c>
      <c r="AE14" s="38">
        <f t="shared" si="40"/>
        <v>144887.29679999998</v>
      </c>
      <c r="AF14" s="38">
        <f t="shared" si="40"/>
        <v>144887.29679999998</v>
      </c>
      <c r="AG14" s="38">
        <f t="shared" si="40"/>
        <v>144887.29679999998</v>
      </c>
      <c r="AH14" s="38">
        <f t="shared" si="40"/>
        <v>144887.29679999998</v>
      </c>
      <c r="AI14" s="38">
        <f t="shared" si="40"/>
        <v>144887.29679999998</v>
      </c>
      <c r="AJ14" s="38">
        <f t="shared" si="40"/>
        <v>144887.29679999998</v>
      </c>
      <c r="AK14" s="38">
        <f t="shared" si="40"/>
        <v>144887.29679999998</v>
      </c>
      <c r="AL14" s="38">
        <f t="shared" si="40"/>
        <v>144887.29679999998</v>
      </c>
      <c r="AM14" s="38">
        <f t="shared" si="40"/>
        <v>144887.29679999998</v>
      </c>
      <c r="AN14" s="38">
        <f t="shared" si="40"/>
        <v>144887.29679999998</v>
      </c>
      <c r="AO14" s="38">
        <f t="shared" si="40"/>
        <v>144887.29679999998</v>
      </c>
      <c r="AP14" s="38">
        <f t="shared" si="40"/>
        <v>144887.29679999998</v>
      </c>
      <c r="AQ14" s="38">
        <f t="shared" si="40"/>
        <v>144887.29679999998</v>
      </c>
      <c r="AR14" s="38">
        <f t="shared" si="40"/>
        <v>144887.29679999998</v>
      </c>
      <c r="AS14" s="38">
        <f t="shared" si="40"/>
        <v>144887.29679999998</v>
      </c>
      <c r="AT14" s="38">
        <f t="shared" si="40"/>
        <v>144887.29679999998</v>
      </c>
      <c r="AU14" s="38">
        <f t="shared" si="40"/>
        <v>144887.29679999998</v>
      </c>
      <c r="AV14" s="38">
        <f t="shared" si="40"/>
        <v>144887.29679999998</v>
      </c>
      <c r="AW14" s="38">
        <f t="shared" si="40"/>
        <v>144887.29679999998</v>
      </c>
      <c r="AX14" s="38">
        <f t="shared" si="40"/>
        <v>144887.29679999998</v>
      </c>
      <c r="AY14" s="38">
        <f t="shared" si="40"/>
        <v>144887.29679999998</v>
      </c>
      <c r="AZ14" s="38">
        <f t="shared" si="40"/>
        <v>144887.29679999998</v>
      </c>
      <c r="BA14" s="38">
        <f t="shared" si="40"/>
        <v>144887.29679999998</v>
      </c>
      <c r="BB14" s="38">
        <f t="shared" si="40"/>
        <v>144887.29679999998</v>
      </c>
      <c r="BC14" s="38">
        <f t="shared" si="40"/>
        <v>144887.29679999998</v>
      </c>
      <c r="BD14" s="38">
        <f t="shared" ref="BD14" si="41">SUM(BD8:BD13)</f>
        <v>144887.29679999998</v>
      </c>
      <c r="BE14" s="38">
        <f t="shared" ref="BE14" si="42">SUM(BE8:BE13)</f>
        <v>144887.29679999998</v>
      </c>
      <c r="BF14" s="38">
        <f t="shared" ref="BF14" si="43">SUM(BF8:BF13)</f>
        <v>144887.29679999998</v>
      </c>
      <c r="BG14" s="38">
        <f t="shared" ref="BG14" si="44">SUM(BG8:BG13)</f>
        <v>144887.29679999998</v>
      </c>
      <c r="BH14" s="38">
        <f t="shared" ref="BH14" si="45">SUM(BH8:BH13)</f>
        <v>144887.29679999998</v>
      </c>
      <c r="BI14" s="38">
        <f t="shared" ref="BI14" si="46">SUM(BI8:BI13)</f>
        <v>144887.29679999998</v>
      </c>
      <c r="BJ14" s="38">
        <f t="shared" ref="BJ14" si="47">SUM(BJ8:BJ13)</f>
        <v>144887.29679999998</v>
      </c>
      <c r="BK14" s="37"/>
      <c r="BL14" s="37"/>
    </row>
    <row r="15" spans="1:64">
      <c r="A15" s="36"/>
      <c r="B15" s="36"/>
      <c r="C15" s="36"/>
      <c r="D15" s="40"/>
      <c r="E15" s="36"/>
      <c r="F15" s="36"/>
      <c r="G15" s="36"/>
      <c r="H15" s="36"/>
      <c r="I15" s="36"/>
      <c r="J15" s="36"/>
      <c r="K15" s="36"/>
      <c r="L15" s="36"/>
      <c r="M15" s="36"/>
      <c r="N15" s="36"/>
      <c r="O15" s="36"/>
      <c r="P15" s="36"/>
      <c r="Q15" s="36"/>
      <c r="R15" s="36"/>
      <c r="S15" s="36"/>
      <c r="T15" s="36"/>
      <c r="U15" s="36"/>
      <c r="V15" s="36"/>
      <c r="W15" s="36"/>
      <c r="X15" s="36"/>
      <c r="Y15" s="36"/>
      <c r="Z15" s="36"/>
      <c r="AA15" s="36"/>
      <c r="AB15" s="36"/>
      <c r="AC15" s="41"/>
      <c r="AD15" s="41"/>
      <c r="AE15" s="41"/>
      <c r="AF15" s="41"/>
      <c r="AG15" s="41"/>
      <c r="AH15" s="41"/>
      <c r="AI15" s="41"/>
      <c r="AJ15" s="41"/>
      <c r="AK15" s="41"/>
      <c r="AL15" s="41"/>
    </row>
    <row r="16" spans="1:64">
      <c r="A16" s="36"/>
      <c r="B16" s="36"/>
      <c r="C16" s="36"/>
      <c r="D16" s="40"/>
      <c r="E16" s="36"/>
      <c r="F16" s="36"/>
      <c r="G16" s="36"/>
      <c r="H16" s="36"/>
      <c r="I16" s="36"/>
      <c r="J16" s="36"/>
      <c r="K16" s="36"/>
      <c r="L16" s="36"/>
      <c r="M16" s="36"/>
      <c r="N16" s="36"/>
      <c r="O16" s="36"/>
      <c r="P16" s="36"/>
      <c r="Q16" s="36"/>
      <c r="R16" s="36"/>
      <c r="S16" s="36"/>
      <c r="T16" s="36"/>
      <c r="U16" s="36"/>
      <c r="V16" s="36"/>
      <c r="W16" s="36"/>
      <c r="X16" s="36"/>
      <c r="Y16" s="36"/>
      <c r="Z16" s="36"/>
      <c r="AA16" s="36"/>
      <c r="AB16" s="36"/>
      <c r="AC16" s="41"/>
      <c r="AD16" s="41"/>
      <c r="AE16" s="41"/>
      <c r="AF16" s="41"/>
      <c r="AG16" s="41"/>
      <c r="AH16" s="41"/>
      <c r="AI16" s="41"/>
      <c r="AJ16" s="41"/>
      <c r="AK16" s="41"/>
      <c r="AL16" s="41"/>
    </row>
    <row r="17" spans="1:38" hidden="1">
      <c r="A17" s="36"/>
      <c r="B17" s="36"/>
      <c r="C17" s="42" t="s">
        <v>491</v>
      </c>
      <c r="D17" s="43"/>
      <c r="E17" s="44"/>
      <c r="F17" s="44"/>
      <c r="G17" s="44"/>
      <c r="H17" s="44"/>
      <c r="I17" s="44"/>
      <c r="J17" s="44"/>
      <c r="K17" s="44"/>
      <c r="L17" s="44"/>
      <c r="M17" s="44"/>
      <c r="N17" s="44"/>
      <c r="O17" s="44"/>
      <c r="P17" s="44"/>
      <c r="Q17" s="44"/>
      <c r="R17" s="44"/>
      <c r="S17" s="44"/>
      <c r="T17" s="44"/>
      <c r="U17" s="44"/>
      <c r="V17" s="44"/>
      <c r="W17" s="36"/>
      <c r="X17" s="36"/>
      <c r="Y17" s="36"/>
      <c r="Z17" s="36"/>
      <c r="AA17" s="36"/>
      <c r="AB17" s="36"/>
      <c r="AC17" s="41"/>
      <c r="AD17" s="41"/>
      <c r="AE17" s="41"/>
      <c r="AF17" s="41"/>
      <c r="AG17" s="41"/>
      <c r="AH17" s="41"/>
      <c r="AI17" s="41"/>
      <c r="AJ17" s="41"/>
      <c r="AK17" s="41"/>
      <c r="AL17" s="41"/>
    </row>
    <row r="18" spans="1:38" hidden="1">
      <c r="A18" s="36"/>
      <c r="B18" s="36"/>
      <c r="C18" s="45">
        <v>1</v>
      </c>
      <c r="D18" s="45">
        <f t="shared" ref="D18:V18" si="48">C18+1</f>
        <v>2</v>
      </c>
      <c r="E18" s="45">
        <f t="shared" si="48"/>
        <v>3</v>
      </c>
      <c r="F18" s="45">
        <f t="shared" si="48"/>
        <v>4</v>
      </c>
      <c r="G18" s="45">
        <f t="shared" si="48"/>
        <v>5</v>
      </c>
      <c r="H18" s="45">
        <f t="shared" si="48"/>
        <v>6</v>
      </c>
      <c r="I18" s="45">
        <f t="shared" si="48"/>
        <v>7</v>
      </c>
      <c r="J18" s="45">
        <f t="shared" si="48"/>
        <v>8</v>
      </c>
      <c r="K18" s="45">
        <f t="shared" si="48"/>
        <v>9</v>
      </c>
      <c r="L18" s="45">
        <f t="shared" si="48"/>
        <v>10</v>
      </c>
      <c r="M18" s="45">
        <f t="shared" si="48"/>
        <v>11</v>
      </c>
      <c r="N18" s="45">
        <f t="shared" si="48"/>
        <v>12</v>
      </c>
      <c r="O18" s="45">
        <f t="shared" si="48"/>
        <v>13</v>
      </c>
      <c r="P18" s="45">
        <f t="shared" si="48"/>
        <v>14</v>
      </c>
      <c r="Q18" s="45">
        <f t="shared" si="48"/>
        <v>15</v>
      </c>
      <c r="R18" s="45">
        <f t="shared" si="48"/>
        <v>16</v>
      </c>
      <c r="S18" s="45">
        <f t="shared" si="48"/>
        <v>17</v>
      </c>
      <c r="T18" s="45">
        <f t="shared" si="48"/>
        <v>18</v>
      </c>
      <c r="U18" s="45">
        <f t="shared" si="48"/>
        <v>19</v>
      </c>
      <c r="V18" s="45">
        <f t="shared" si="48"/>
        <v>20</v>
      </c>
      <c r="W18" s="36"/>
      <c r="X18" s="36"/>
      <c r="Y18" s="36"/>
      <c r="Z18" s="36"/>
      <c r="AA18" s="36"/>
      <c r="AB18" s="36"/>
      <c r="AC18" s="41"/>
      <c r="AD18" s="41"/>
      <c r="AE18" s="41"/>
      <c r="AF18" s="41"/>
      <c r="AG18" s="41"/>
      <c r="AH18" s="41"/>
      <c r="AI18" s="41"/>
      <c r="AJ18" s="41"/>
      <c r="AK18" s="41"/>
      <c r="AL18" s="41"/>
    </row>
    <row r="19" spans="1:38" hidden="1">
      <c r="A19" s="36"/>
      <c r="B19" s="36"/>
      <c r="C19" s="46">
        <f>C6</f>
        <v>44409</v>
      </c>
      <c r="D19" s="46">
        <f t="shared" ref="D19:V19" si="49">EDATE(C19,3)</f>
        <v>44501</v>
      </c>
      <c r="E19" s="46">
        <f t="shared" si="49"/>
        <v>44593</v>
      </c>
      <c r="F19" s="46">
        <f t="shared" si="49"/>
        <v>44682</v>
      </c>
      <c r="G19" s="46">
        <f t="shared" si="49"/>
        <v>44774</v>
      </c>
      <c r="H19" s="46">
        <f t="shared" si="49"/>
        <v>44866</v>
      </c>
      <c r="I19" s="46">
        <f t="shared" si="49"/>
        <v>44958</v>
      </c>
      <c r="J19" s="46">
        <f t="shared" si="49"/>
        <v>45047</v>
      </c>
      <c r="K19" s="46">
        <f t="shared" si="49"/>
        <v>45139</v>
      </c>
      <c r="L19" s="46">
        <f t="shared" si="49"/>
        <v>45231</v>
      </c>
      <c r="M19" s="46">
        <f t="shared" si="49"/>
        <v>45323</v>
      </c>
      <c r="N19" s="46">
        <f t="shared" si="49"/>
        <v>45413</v>
      </c>
      <c r="O19" s="46">
        <f t="shared" si="49"/>
        <v>45505</v>
      </c>
      <c r="P19" s="46">
        <f t="shared" si="49"/>
        <v>45597</v>
      </c>
      <c r="Q19" s="46">
        <f t="shared" si="49"/>
        <v>45689</v>
      </c>
      <c r="R19" s="46">
        <f t="shared" si="49"/>
        <v>45778</v>
      </c>
      <c r="S19" s="46">
        <f t="shared" si="49"/>
        <v>45870</v>
      </c>
      <c r="T19" s="46">
        <f t="shared" si="49"/>
        <v>45962</v>
      </c>
      <c r="U19" s="46">
        <f t="shared" si="49"/>
        <v>46054</v>
      </c>
      <c r="V19" s="46">
        <f t="shared" si="49"/>
        <v>46143</v>
      </c>
      <c r="W19" s="36"/>
      <c r="X19" s="36"/>
      <c r="Y19" s="36"/>
      <c r="Z19" s="36"/>
      <c r="AA19" s="36"/>
      <c r="AB19" s="36"/>
      <c r="AC19" s="41"/>
      <c r="AD19" s="41"/>
      <c r="AE19" s="41"/>
      <c r="AF19" s="41"/>
      <c r="AG19" s="41"/>
      <c r="AH19" s="41"/>
      <c r="AI19" s="41"/>
      <c r="AJ19" s="41"/>
      <c r="AK19" s="41"/>
      <c r="AL19" s="41"/>
    </row>
    <row r="20" spans="1:38" hidden="1">
      <c r="A20" s="41"/>
      <c r="B20" s="41"/>
      <c r="C20" s="47" t="str">
        <f t="shared" ref="C20:V20" si="50">"Q"&amp;ROUNDUP(MONTH(C19)/3,0)&amp;" "&amp;YEAR(C19)</f>
        <v>Q3 2021</v>
      </c>
      <c r="D20" s="47" t="str">
        <f t="shared" si="50"/>
        <v>Q4 2021</v>
      </c>
      <c r="E20" s="47" t="str">
        <f t="shared" si="50"/>
        <v>Q1 2022</v>
      </c>
      <c r="F20" s="47" t="str">
        <f t="shared" si="50"/>
        <v>Q2 2022</v>
      </c>
      <c r="G20" s="47" t="str">
        <f t="shared" si="50"/>
        <v>Q3 2022</v>
      </c>
      <c r="H20" s="47" t="str">
        <f t="shared" si="50"/>
        <v>Q4 2022</v>
      </c>
      <c r="I20" s="47" t="str">
        <f t="shared" si="50"/>
        <v>Q1 2023</v>
      </c>
      <c r="J20" s="47" t="str">
        <f t="shared" si="50"/>
        <v>Q2 2023</v>
      </c>
      <c r="K20" s="47" t="str">
        <f t="shared" si="50"/>
        <v>Q3 2023</v>
      </c>
      <c r="L20" s="47" t="str">
        <f t="shared" si="50"/>
        <v>Q4 2023</v>
      </c>
      <c r="M20" s="47" t="str">
        <f t="shared" si="50"/>
        <v>Q1 2024</v>
      </c>
      <c r="N20" s="47" t="str">
        <f t="shared" si="50"/>
        <v>Q2 2024</v>
      </c>
      <c r="O20" s="47" t="str">
        <f t="shared" si="50"/>
        <v>Q3 2024</v>
      </c>
      <c r="P20" s="47" t="str">
        <f t="shared" si="50"/>
        <v>Q4 2024</v>
      </c>
      <c r="Q20" s="47" t="str">
        <f t="shared" si="50"/>
        <v>Q1 2025</v>
      </c>
      <c r="R20" s="47" t="str">
        <f t="shared" si="50"/>
        <v>Q2 2025</v>
      </c>
      <c r="S20" s="47" t="str">
        <f t="shared" si="50"/>
        <v>Q3 2025</v>
      </c>
      <c r="T20" s="47" t="str">
        <f t="shared" si="50"/>
        <v>Q4 2025</v>
      </c>
      <c r="U20" s="47" t="str">
        <f t="shared" si="50"/>
        <v>Q1 2026</v>
      </c>
      <c r="V20" s="47" t="str">
        <f t="shared" si="50"/>
        <v>Q2 2026</v>
      </c>
      <c r="W20" s="36"/>
      <c r="X20" s="36"/>
      <c r="Y20" s="36"/>
      <c r="Z20" s="36"/>
      <c r="AA20" s="36"/>
      <c r="AB20" s="36"/>
      <c r="AC20" s="41"/>
      <c r="AD20" s="41"/>
      <c r="AE20" s="41"/>
      <c r="AF20" s="41"/>
      <c r="AG20" s="41"/>
      <c r="AH20" s="41"/>
      <c r="AI20" s="41"/>
      <c r="AJ20" s="41"/>
      <c r="AK20" s="41"/>
      <c r="AL20" s="41"/>
    </row>
    <row r="21" spans="1:38" hidden="1">
      <c r="A21" s="36" t="str">
        <f>A8</f>
        <v>Prod</v>
      </c>
      <c r="B21" s="36"/>
      <c r="C21" s="48">
        <f t="shared" ref="C21:V21" si="51">SUMIF($C$4:$BJ$4,C$18,$C8:$BJ8)</f>
        <v>313061.39639999997</v>
      </c>
      <c r="D21" s="48">
        <f t="shared" si="51"/>
        <v>313061.39639999997</v>
      </c>
      <c r="E21" s="48">
        <f t="shared" si="51"/>
        <v>313061.39639999997</v>
      </c>
      <c r="F21" s="48">
        <f t="shared" si="51"/>
        <v>313061.39639999997</v>
      </c>
      <c r="G21" s="48">
        <f t="shared" si="51"/>
        <v>313061.39639999997</v>
      </c>
      <c r="H21" s="48">
        <f t="shared" si="51"/>
        <v>313061.39639999997</v>
      </c>
      <c r="I21" s="48">
        <f t="shared" si="51"/>
        <v>313061.39639999997</v>
      </c>
      <c r="J21" s="48">
        <f t="shared" si="51"/>
        <v>313061.39639999997</v>
      </c>
      <c r="K21" s="48">
        <f t="shared" si="51"/>
        <v>313061.39639999997</v>
      </c>
      <c r="L21" s="48">
        <f t="shared" si="51"/>
        <v>313061.39639999997</v>
      </c>
      <c r="M21" s="48">
        <f t="shared" si="51"/>
        <v>313061.39639999997</v>
      </c>
      <c r="N21" s="48">
        <f t="shared" si="51"/>
        <v>313061.39639999997</v>
      </c>
      <c r="O21" s="48">
        <f t="shared" si="51"/>
        <v>313061.39639999997</v>
      </c>
      <c r="P21" s="48">
        <f t="shared" si="51"/>
        <v>313061.39639999997</v>
      </c>
      <c r="Q21" s="48">
        <f t="shared" si="51"/>
        <v>313061.39639999997</v>
      </c>
      <c r="R21" s="48">
        <f t="shared" si="51"/>
        <v>313061.39639999997</v>
      </c>
      <c r="S21" s="48">
        <f t="shared" si="51"/>
        <v>313061.39639999997</v>
      </c>
      <c r="T21" s="48">
        <f t="shared" si="51"/>
        <v>313061.39639999997</v>
      </c>
      <c r="U21" s="48">
        <f t="shared" si="51"/>
        <v>313061.39639999997</v>
      </c>
      <c r="V21" s="48">
        <f t="shared" si="51"/>
        <v>313061.39639999997</v>
      </c>
      <c r="W21" s="36"/>
      <c r="X21" s="36"/>
      <c r="Y21" s="36"/>
      <c r="Z21" s="36"/>
      <c r="AA21" s="36"/>
      <c r="AB21" s="36"/>
      <c r="AC21" s="41"/>
      <c r="AD21" s="41"/>
      <c r="AE21" s="41"/>
      <c r="AF21" s="41"/>
      <c r="AG21" s="41"/>
      <c r="AH21" s="41"/>
      <c r="AI21" s="41"/>
      <c r="AJ21" s="41"/>
      <c r="AK21" s="41"/>
      <c r="AL21" s="41"/>
    </row>
    <row r="22" spans="1:38" hidden="1">
      <c r="A22" s="36" t="str">
        <f>A9</f>
        <v>Non-Prod</v>
      </c>
      <c r="B22" s="36"/>
      <c r="C22" s="48">
        <f t="shared" ref="C22:V22" si="52">SUMIF($C$4:$BJ$4,C$18,$C9:$BJ9)</f>
        <v>115980.408</v>
      </c>
      <c r="D22" s="48">
        <f t="shared" si="52"/>
        <v>115980.408</v>
      </c>
      <c r="E22" s="48">
        <f t="shared" si="52"/>
        <v>115980.408</v>
      </c>
      <c r="F22" s="48">
        <f t="shared" si="52"/>
        <v>115980.408</v>
      </c>
      <c r="G22" s="48">
        <f t="shared" si="52"/>
        <v>115980.408</v>
      </c>
      <c r="H22" s="48">
        <f t="shared" si="52"/>
        <v>115980.408</v>
      </c>
      <c r="I22" s="48">
        <f t="shared" si="52"/>
        <v>115980.408</v>
      </c>
      <c r="J22" s="48">
        <f t="shared" si="52"/>
        <v>115980.408</v>
      </c>
      <c r="K22" s="48">
        <f t="shared" si="52"/>
        <v>115980.408</v>
      </c>
      <c r="L22" s="48">
        <f t="shared" si="52"/>
        <v>115980.408</v>
      </c>
      <c r="M22" s="48">
        <f t="shared" si="52"/>
        <v>115980.408</v>
      </c>
      <c r="N22" s="48">
        <f t="shared" si="52"/>
        <v>115980.408</v>
      </c>
      <c r="O22" s="48">
        <f t="shared" si="52"/>
        <v>115980.408</v>
      </c>
      <c r="P22" s="48">
        <f t="shared" si="52"/>
        <v>115980.408</v>
      </c>
      <c r="Q22" s="48">
        <f t="shared" si="52"/>
        <v>115980.408</v>
      </c>
      <c r="R22" s="48">
        <f t="shared" si="52"/>
        <v>115980.408</v>
      </c>
      <c r="S22" s="48">
        <f t="shared" si="52"/>
        <v>115980.408</v>
      </c>
      <c r="T22" s="48">
        <f t="shared" si="52"/>
        <v>115980.408</v>
      </c>
      <c r="U22" s="48">
        <f t="shared" si="52"/>
        <v>115980.408</v>
      </c>
      <c r="V22" s="48">
        <f t="shared" si="52"/>
        <v>115980.408</v>
      </c>
      <c r="W22" s="36"/>
      <c r="X22" s="36"/>
      <c r="Y22" s="36"/>
      <c r="Z22" s="36"/>
      <c r="AA22" s="36"/>
      <c r="AB22" s="36"/>
      <c r="AC22" s="41"/>
      <c r="AD22" s="41"/>
      <c r="AE22" s="41"/>
      <c r="AF22" s="41"/>
      <c r="AG22" s="41"/>
      <c r="AH22" s="41"/>
      <c r="AI22" s="41"/>
      <c r="AJ22" s="41"/>
      <c r="AK22" s="41"/>
      <c r="AL22" s="41"/>
    </row>
    <row r="23" spans="1:38" hidden="1">
      <c r="A23" s="36" t="str">
        <f>A10</f>
        <v>DR</v>
      </c>
      <c r="B23" s="36"/>
      <c r="C23" s="48">
        <f t="shared" ref="C23:V23" si="53">SUMIF($C$4:$BJ$4,C$18,$C10:$BJ10)</f>
        <v>0</v>
      </c>
      <c r="D23" s="48">
        <f t="shared" si="53"/>
        <v>0</v>
      </c>
      <c r="E23" s="48">
        <f t="shared" si="53"/>
        <v>0</v>
      </c>
      <c r="F23" s="48">
        <f t="shared" si="53"/>
        <v>0</v>
      </c>
      <c r="G23" s="48">
        <f t="shared" si="53"/>
        <v>0</v>
      </c>
      <c r="H23" s="48">
        <f t="shared" si="53"/>
        <v>0</v>
      </c>
      <c r="I23" s="48">
        <f t="shared" si="53"/>
        <v>0</v>
      </c>
      <c r="J23" s="48">
        <f t="shared" si="53"/>
        <v>0</v>
      </c>
      <c r="K23" s="48">
        <f t="shared" si="53"/>
        <v>0</v>
      </c>
      <c r="L23" s="48">
        <f t="shared" si="53"/>
        <v>0</v>
      </c>
      <c r="M23" s="48">
        <f t="shared" si="53"/>
        <v>0</v>
      </c>
      <c r="N23" s="48">
        <f t="shared" si="53"/>
        <v>0</v>
      </c>
      <c r="O23" s="48">
        <f t="shared" si="53"/>
        <v>0</v>
      </c>
      <c r="P23" s="48">
        <f t="shared" si="53"/>
        <v>0</v>
      </c>
      <c r="Q23" s="48">
        <f t="shared" si="53"/>
        <v>0</v>
      </c>
      <c r="R23" s="48">
        <f t="shared" si="53"/>
        <v>0</v>
      </c>
      <c r="S23" s="48">
        <f t="shared" si="53"/>
        <v>0</v>
      </c>
      <c r="T23" s="48">
        <f t="shared" si="53"/>
        <v>0</v>
      </c>
      <c r="U23" s="48">
        <f t="shared" si="53"/>
        <v>0</v>
      </c>
      <c r="V23" s="48">
        <f t="shared" si="53"/>
        <v>0</v>
      </c>
      <c r="W23" s="36"/>
      <c r="X23" s="36"/>
      <c r="Y23" s="36"/>
      <c r="Z23" s="36"/>
      <c r="AA23" s="36"/>
      <c r="AB23" s="36"/>
      <c r="AC23" s="41"/>
      <c r="AD23" s="41"/>
      <c r="AE23" s="41"/>
      <c r="AF23" s="41"/>
      <c r="AG23" s="41"/>
      <c r="AH23" s="41"/>
      <c r="AI23" s="41"/>
      <c r="AJ23" s="41"/>
      <c r="AK23" s="41"/>
      <c r="AL23" s="41"/>
    </row>
    <row r="24" spans="1:38" hidden="1">
      <c r="A24" s="36" t="str">
        <f>A11</f>
        <v>Dev</v>
      </c>
      <c r="B24" s="36"/>
      <c r="C24" s="48">
        <f t="shared" ref="C24:V25" si="54">SUMIF($C$4:$BJ$4,C$18,$C11:$BJ11)</f>
        <v>0</v>
      </c>
      <c r="D24" s="48">
        <f t="shared" si="54"/>
        <v>0</v>
      </c>
      <c r="E24" s="48">
        <f t="shared" si="54"/>
        <v>0</v>
      </c>
      <c r="F24" s="48">
        <f t="shared" si="54"/>
        <v>0</v>
      </c>
      <c r="G24" s="48">
        <f t="shared" si="54"/>
        <v>0</v>
      </c>
      <c r="H24" s="48">
        <f t="shared" si="54"/>
        <v>0</v>
      </c>
      <c r="I24" s="48">
        <f t="shared" si="54"/>
        <v>0</v>
      </c>
      <c r="J24" s="48">
        <f t="shared" si="54"/>
        <v>0</v>
      </c>
      <c r="K24" s="48">
        <f t="shared" si="54"/>
        <v>0</v>
      </c>
      <c r="L24" s="48">
        <f t="shared" si="54"/>
        <v>0</v>
      </c>
      <c r="M24" s="48">
        <f t="shared" si="54"/>
        <v>0</v>
      </c>
      <c r="N24" s="48">
        <f t="shared" si="54"/>
        <v>0</v>
      </c>
      <c r="O24" s="48">
        <f t="shared" si="54"/>
        <v>0</v>
      </c>
      <c r="P24" s="48">
        <f t="shared" si="54"/>
        <v>0</v>
      </c>
      <c r="Q24" s="48">
        <f t="shared" si="54"/>
        <v>0</v>
      </c>
      <c r="R24" s="48">
        <f t="shared" si="54"/>
        <v>0</v>
      </c>
      <c r="S24" s="48">
        <f t="shared" si="54"/>
        <v>0</v>
      </c>
      <c r="T24" s="48">
        <f t="shared" si="54"/>
        <v>0</v>
      </c>
      <c r="U24" s="48">
        <f t="shared" si="54"/>
        <v>0</v>
      </c>
      <c r="V24" s="48">
        <f t="shared" si="54"/>
        <v>0</v>
      </c>
      <c r="W24" s="36"/>
      <c r="X24" s="36"/>
      <c r="Y24" s="36"/>
      <c r="Z24" s="36"/>
      <c r="AA24" s="36"/>
      <c r="AB24" s="36"/>
      <c r="AC24" s="41"/>
      <c r="AD24" s="41"/>
      <c r="AE24" s="41"/>
      <c r="AF24" s="41"/>
      <c r="AG24" s="41"/>
      <c r="AH24" s="41"/>
      <c r="AI24" s="41"/>
      <c r="AJ24" s="41"/>
      <c r="AK24" s="41"/>
      <c r="AL24" s="41"/>
    </row>
    <row r="25" spans="1:38" s="57" customFormat="1" hidden="1">
      <c r="A25" s="36" t="str">
        <f>A12</f>
        <v>Other - CM and Asserter</v>
      </c>
      <c r="B25" s="36"/>
      <c r="C25" s="48">
        <f t="shared" si="54"/>
        <v>5620.0860000000002</v>
      </c>
      <c r="D25" s="48">
        <f t="shared" si="54"/>
        <v>5620.0860000000002</v>
      </c>
      <c r="E25" s="48">
        <f t="shared" si="54"/>
        <v>5620.0860000000002</v>
      </c>
      <c r="F25" s="48">
        <f t="shared" si="54"/>
        <v>5620.0860000000002</v>
      </c>
      <c r="G25" s="48">
        <f t="shared" si="54"/>
        <v>5620.0860000000002</v>
      </c>
      <c r="H25" s="48">
        <f t="shared" si="54"/>
        <v>5620.0860000000002</v>
      </c>
      <c r="I25" s="48">
        <f t="shared" si="54"/>
        <v>5620.0860000000002</v>
      </c>
      <c r="J25" s="48">
        <f t="shared" si="54"/>
        <v>5620.0860000000002</v>
      </c>
      <c r="K25" s="48">
        <f t="shared" si="54"/>
        <v>5620.0860000000002</v>
      </c>
      <c r="L25" s="48">
        <f t="shared" si="54"/>
        <v>5620.0860000000002</v>
      </c>
      <c r="M25" s="48">
        <f t="shared" si="54"/>
        <v>5620.0860000000002</v>
      </c>
      <c r="N25" s="48">
        <f t="shared" si="54"/>
        <v>5620.0860000000002</v>
      </c>
      <c r="O25" s="48">
        <f t="shared" si="54"/>
        <v>5620.0860000000002</v>
      </c>
      <c r="P25" s="48">
        <f t="shared" si="54"/>
        <v>5620.0860000000002</v>
      </c>
      <c r="Q25" s="48">
        <f t="shared" si="54"/>
        <v>5620.0860000000002</v>
      </c>
      <c r="R25" s="48">
        <f t="shared" si="54"/>
        <v>5620.0860000000002</v>
      </c>
      <c r="S25" s="48">
        <f t="shared" si="54"/>
        <v>5620.0860000000002</v>
      </c>
      <c r="T25" s="48">
        <f t="shared" si="54"/>
        <v>5620.0860000000002</v>
      </c>
      <c r="U25" s="48">
        <f t="shared" si="54"/>
        <v>5620.0860000000002</v>
      </c>
      <c r="V25" s="48">
        <f t="shared" si="54"/>
        <v>5620.0860000000002</v>
      </c>
      <c r="W25" s="36"/>
      <c r="X25" s="36"/>
      <c r="Y25" s="36"/>
      <c r="Z25" s="36"/>
      <c r="AA25" s="36"/>
      <c r="AB25" s="36"/>
      <c r="AC25" s="41"/>
      <c r="AD25" s="41"/>
      <c r="AE25" s="41"/>
      <c r="AF25" s="41"/>
      <c r="AG25" s="41"/>
      <c r="AH25" s="41"/>
      <c r="AI25" s="41"/>
      <c r="AJ25" s="41"/>
      <c r="AK25" s="41"/>
      <c r="AL25" s="41"/>
    </row>
    <row r="26" spans="1:38" hidden="1">
      <c r="A26" s="36"/>
      <c r="B26" s="36"/>
      <c r="C26" s="48"/>
      <c r="D26" s="48"/>
      <c r="E26" s="48"/>
      <c r="F26" s="48"/>
      <c r="G26" s="48"/>
      <c r="H26" s="48"/>
      <c r="I26" s="48"/>
      <c r="J26" s="48"/>
      <c r="K26" s="48"/>
      <c r="L26" s="48"/>
      <c r="M26" s="48"/>
      <c r="N26" s="48"/>
      <c r="O26" s="48"/>
      <c r="P26" s="48"/>
      <c r="Q26" s="48"/>
      <c r="R26" s="48"/>
      <c r="S26" s="48"/>
      <c r="T26" s="48"/>
      <c r="U26" s="48"/>
      <c r="V26" s="48"/>
      <c r="W26" s="36"/>
      <c r="X26" s="36"/>
      <c r="Y26" s="36"/>
      <c r="Z26" s="36"/>
      <c r="AA26" s="36"/>
      <c r="AB26" s="36"/>
      <c r="AC26" s="41"/>
      <c r="AD26" s="41"/>
      <c r="AE26" s="41"/>
      <c r="AF26" s="41"/>
      <c r="AG26" s="41"/>
      <c r="AH26" s="41"/>
      <c r="AI26" s="41"/>
      <c r="AJ26" s="41"/>
      <c r="AK26" s="41"/>
      <c r="AL26" s="41"/>
    </row>
    <row r="27" spans="1:38" hidden="1">
      <c r="A27" s="49" t="s">
        <v>492</v>
      </c>
      <c r="B27" s="49"/>
      <c r="C27" s="49">
        <f>SUM(C21:C26)</f>
        <v>434661.89039999997</v>
      </c>
      <c r="D27" s="49">
        <f t="shared" ref="D27:V27" si="55">SUM(D21:D26)</f>
        <v>434661.89039999997</v>
      </c>
      <c r="E27" s="49">
        <f t="shared" si="55"/>
        <v>434661.89039999997</v>
      </c>
      <c r="F27" s="49">
        <f t="shared" si="55"/>
        <v>434661.89039999997</v>
      </c>
      <c r="G27" s="49">
        <f t="shared" si="55"/>
        <v>434661.89039999997</v>
      </c>
      <c r="H27" s="49">
        <f t="shared" si="55"/>
        <v>434661.89039999997</v>
      </c>
      <c r="I27" s="49">
        <f t="shared" si="55"/>
        <v>434661.89039999997</v>
      </c>
      <c r="J27" s="49">
        <f t="shared" si="55"/>
        <v>434661.89039999997</v>
      </c>
      <c r="K27" s="49">
        <f t="shared" si="55"/>
        <v>434661.89039999997</v>
      </c>
      <c r="L27" s="49">
        <f t="shared" si="55"/>
        <v>434661.89039999997</v>
      </c>
      <c r="M27" s="49">
        <f t="shared" si="55"/>
        <v>434661.89039999997</v>
      </c>
      <c r="N27" s="49">
        <f t="shared" si="55"/>
        <v>434661.89039999997</v>
      </c>
      <c r="O27" s="49">
        <f t="shared" si="55"/>
        <v>434661.89039999997</v>
      </c>
      <c r="P27" s="49">
        <f t="shared" si="55"/>
        <v>434661.89039999997</v>
      </c>
      <c r="Q27" s="49">
        <f t="shared" si="55"/>
        <v>434661.89039999997</v>
      </c>
      <c r="R27" s="49">
        <f t="shared" si="55"/>
        <v>434661.89039999997</v>
      </c>
      <c r="S27" s="49">
        <f t="shared" si="55"/>
        <v>434661.89039999997</v>
      </c>
      <c r="T27" s="49">
        <f t="shared" si="55"/>
        <v>434661.89039999997</v>
      </c>
      <c r="U27" s="49">
        <f t="shared" si="55"/>
        <v>434661.89039999997</v>
      </c>
      <c r="V27" s="49">
        <f t="shared" si="55"/>
        <v>434661.89039999997</v>
      </c>
      <c r="W27" s="41"/>
      <c r="X27" s="41"/>
      <c r="Y27" s="41"/>
      <c r="Z27" s="41"/>
      <c r="AA27" s="41"/>
      <c r="AB27" s="41"/>
      <c r="AC27" s="41"/>
      <c r="AD27" s="41"/>
      <c r="AE27" s="41"/>
      <c r="AF27" s="41"/>
      <c r="AG27" s="41"/>
      <c r="AH27" s="41"/>
      <c r="AI27" s="41"/>
      <c r="AJ27" s="41"/>
      <c r="AK27" s="41"/>
      <c r="AL27" s="41"/>
    </row>
    <row r="28" spans="1:38" hidden="1">
      <c r="A28" s="49" t="s">
        <v>493</v>
      </c>
      <c r="B28" s="49"/>
      <c r="C28" s="49"/>
      <c r="D28" s="49"/>
      <c r="E28" s="49"/>
      <c r="F28" s="49">
        <f>SUM(C27:F27)</f>
        <v>1738647.5615999999</v>
      </c>
      <c r="G28" s="49"/>
      <c r="H28" s="49"/>
      <c r="I28" s="49"/>
      <c r="J28" s="49">
        <f>SUM(G27:J27)</f>
        <v>1738647.5615999999</v>
      </c>
      <c r="K28" s="49"/>
      <c r="L28" s="49"/>
      <c r="M28" s="49"/>
      <c r="N28" s="49">
        <f>SUM(K27:N27)</f>
        <v>1738647.5615999999</v>
      </c>
      <c r="O28" s="49"/>
      <c r="P28" s="49"/>
      <c r="Q28" s="49"/>
      <c r="R28" s="49">
        <f>SUM(O27:R27)</f>
        <v>1738647.5615999999</v>
      </c>
      <c r="S28" s="49"/>
      <c r="T28" s="49"/>
      <c r="U28" s="49"/>
      <c r="V28" s="49">
        <f>SUM(S27:V27)</f>
        <v>1738647.5615999999</v>
      </c>
    </row>
    <row r="29" spans="1:38" hidden="1"/>
    <row r="31" spans="1:38">
      <c r="A31" s="48"/>
      <c r="B31" s="48"/>
      <c r="C31" s="772" t="s">
        <v>1048</v>
      </c>
      <c r="D31" s="773"/>
      <c r="E31" s="774"/>
      <c r="F31" s="774"/>
      <c r="G31" s="774"/>
    </row>
    <row r="32" spans="1:38">
      <c r="A32" s="48"/>
      <c r="B32" s="48"/>
      <c r="C32" s="771">
        <v>1</v>
      </c>
      <c r="D32" s="771">
        <f t="shared" ref="D32:G32" si="56">C32+1</f>
        <v>2</v>
      </c>
      <c r="E32" s="771">
        <f t="shared" si="56"/>
        <v>3</v>
      </c>
      <c r="F32" s="771">
        <f t="shared" si="56"/>
        <v>4</v>
      </c>
      <c r="G32" s="771">
        <f t="shared" si="56"/>
        <v>5</v>
      </c>
    </row>
    <row r="33" spans="1:7">
      <c r="A33" s="48"/>
      <c r="B33" s="48"/>
      <c r="C33" s="775">
        <f>YEAR(F19)</f>
        <v>2022</v>
      </c>
      <c r="D33" s="775">
        <f>YEAR(J19)</f>
        <v>2023</v>
      </c>
      <c r="E33" s="775">
        <f>YEAR(N19)</f>
        <v>2024</v>
      </c>
      <c r="F33" s="775">
        <f>YEAR(O19)</f>
        <v>2024</v>
      </c>
      <c r="G33" s="775">
        <f>YEAR(P19)</f>
        <v>2024</v>
      </c>
    </row>
    <row r="34" spans="1:7">
      <c r="A34" s="36" t="str">
        <f>A8</f>
        <v>Prod</v>
      </c>
      <c r="B34" s="36"/>
      <c r="C34" s="48">
        <f t="shared" ref="C34:G38" si="57">SUMIF($C$3:$BJ$3,C$32,$C8:$BJ8)</f>
        <v>1252245.5855999999</v>
      </c>
      <c r="D34" s="48">
        <f t="shared" si="57"/>
        <v>1252245.5855999999</v>
      </c>
      <c r="E34" s="48">
        <f t="shared" si="57"/>
        <v>1252245.5855999999</v>
      </c>
      <c r="F34" s="48">
        <f t="shared" si="57"/>
        <v>1252245.5855999999</v>
      </c>
      <c r="G34" s="48">
        <f t="shared" si="57"/>
        <v>1252245.5855999999</v>
      </c>
    </row>
    <row r="35" spans="1:7">
      <c r="A35" s="36" t="str">
        <f>A9</f>
        <v>Non-Prod</v>
      </c>
      <c r="B35" s="36"/>
      <c r="C35" s="48">
        <f t="shared" si="57"/>
        <v>463921.63199999998</v>
      </c>
      <c r="D35" s="48">
        <f t="shared" si="57"/>
        <v>463921.63199999998</v>
      </c>
      <c r="E35" s="48">
        <f t="shared" si="57"/>
        <v>463921.63199999998</v>
      </c>
      <c r="F35" s="48">
        <f t="shared" si="57"/>
        <v>463921.63199999998</v>
      </c>
      <c r="G35" s="48">
        <f t="shared" si="57"/>
        <v>463921.63199999998</v>
      </c>
    </row>
    <row r="36" spans="1:7">
      <c r="A36" s="36" t="str">
        <f>A10</f>
        <v>DR</v>
      </c>
      <c r="B36" s="36"/>
      <c r="C36" s="48">
        <f t="shared" si="57"/>
        <v>0</v>
      </c>
      <c r="D36" s="48">
        <f t="shared" si="57"/>
        <v>0</v>
      </c>
      <c r="E36" s="48">
        <f t="shared" si="57"/>
        <v>0</v>
      </c>
      <c r="F36" s="48">
        <f t="shared" si="57"/>
        <v>0</v>
      </c>
      <c r="G36" s="48">
        <f t="shared" si="57"/>
        <v>0</v>
      </c>
    </row>
    <row r="37" spans="1:7">
      <c r="A37" s="36" t="str">
        <f>A11</f>
        <v>Dev</v>
      </c>
      <c r="B37" s="36"/>
      <c r="C37" s="48">
        <f t="shared" si="57"/>
        <v>0</v>
      </c>
      <c r="D37" s="48">
        <f t="shared" si="57"/>
        <v>0</v>
      </c>
      <c r="E37" s="48">
        <f t="shared" si="57"/>
        <v>0</v>
      </c>
      <c r="F37" s="48">
        <f t="shared" si="57"/>
        <v>0</v>
      </c>
      <c r="G37" s="48">
        <f t="shared" si="57"/>
        <v>0</v>
      </c>
    </row>
    <row r="38" spans="1:7" s="57" customFormat="1">
      <c r="A38" s="36" t="str">
        <f>A12</f>
        <v>Other - CM and Asserter</v>
      </c>
      <c r="B38" s="36"/>
      <c r="C38" s="48">
        <f t="shared" si="57"/>
        <v>22480.344000000008</v>
      </c>
      <c r="D38" s="48">
        <f t="shared" si="57"/>
        <v>22480.344000000008</v>
      </c>
      <c r="E38" s="48">
        <f t="shared" si="57"/>
        <v>22480.344000000008</v>
      </c>
      <c r="F38" s="48">
        <f t="shared" si="57"/>
        <v>22480.344000000008</v>
      </c>
      <c r="G38" s="48">
        <f t="shared" si="57"/>
        <v>22480.344000000008</v>
      </c>
    </row>
    <row r="39" spans="1:7">
      <c r="A39" s="48"/>
      <c r="B39" s="48"/>
      <c r="C39" s="48"/>
      <c r="D39" s="48"/>
      <c r="E39" s="48"/>
      <c r="F39" s="48"/>
    </row>
    <row r="40" spans="1:7" s="39" customFormat="1">
      <c r="A40" s="49" t="s">
        <v>493</v>
      </c>
      <c r="B40" s="49"/>
      <c r="C40" s="49">
        <f>SUM(C34:C39)</f>
        <v>1738647.5615999999</v>
      </c>
      <c r="D40" s="49">
        <f t="shared" ref="D40:G40" si="58">SUM(D34:D39)</f>
        <v>1738647.5615999999</v>
      </c>
      <c r="E40" s="49">
        <f t="shared" si="58"/>
        <v>1738647.5615999999</v>
      </c>
      <c r="F40" s="49">
        <f t="shared" si="58"/>
        <v>1738647.5615999999</v>
      </c>
      <c r="G40" s="49">
        <f t="shared" si="58"/>
        <v>1738647.5615999999</v>
      </c>
    </row>
    <row r="41" spans="1:7">
      <c r="A41" s="55"/>
      <c r="B41" s="55"/>
      <c r="C41" s="48"/>
      <c r="D41" s="48"/>
      <c r="E41" s="48"/>
      <c r="F41" s="48"/>
    </row>
    <row r="42" spans="1:7">
      <c r="A42" s="57"/>
      <c r="C42" s="57"/>
      <c r="D42" s="57"/>
      <c r="E42" s="57"/>
      <c r="F42" s="57"/>
      <c r="G42" s="57"/>
    </row>
    <row r="43" spans="1:7" hidden="1">
      <c r="A43" s="48"/>
      <c r="B43" s="48"/>
      <c r="C43" s="50" t="s">
        <v>1047</v>
      </c>
      <c r="D43" s="51"/>
      <c r="E43" s="52"/>
      <c r="F43" s="52"/>
      <c r="G43" s="52"/>
    </row>
    <row r="44" spans="1:7" hidden="1">
      <c r="A44" s="48"/>
      <c r="B44" s="48"/>
      <c r="C44" s="53">
        <v>1</v>
      </c>
      <c r="D44" s="53">
        <f t="shared" ref="D44:G45" si="59">C44+1</f>
        <v>2</v>
      </c>
      <c r="E44" s="53">
        <f t="shared" si="59"/>
        <v>3</v>
      </c>
      <c r="F44" s="53">
        <f t="shared" si="59"/>
        <v>4</v>
      </c>
      <c r="G44" s="53">
        <f t="shared" si="59"/>
        <v>5</v>
      </c>
    </row>
    <row r="45" spans="1:7" hidden="1">
      <c r="A45" s="48"/>
      <c r="B45" s="48"/>
      <c r="C45" s="54">
        <f>YEAR(C6)</f>
        <v>2021</v>
      </c>
      <c r="D45" s="54">
        <f>C45+1</f>
        <v>2022</v>
      </c>
      <c r="E45" s="54">
        <f t="shared" si="59"/>
        <v>2023</v>
      </c>
      <c r="F45" s="54">
        <f t="shared" si="59"/>
        <v>2024</v>
      </c>
      <c r="G45" s="54">
        <f t="shared" si="59"/>
        <v>2025</v>
      </c>
    </row>
    <row r="46" spans="1:7" hidden="1">
      <c r="A46" s="36" t="str">
        <f>A8</f>
        <v>Prod</v>
      </c>
      <c r="B46" s="36"/>
      <c r="C46" s="48">
        <f>SUMIF($C$2:$BJ$2,C$45,$C8:$BJ8)</f>
        <v>521768.99399999995</v>
      </c>
      <c r="D46" s="48">
        <f t="shared" ref="D46:F46" si="60">SUMIF($C$2:$BJ$2,D$45,$C8:$BJ8)</f>
        <v>1252245.5855999999</v>
      </c>
      <c r="E46" s="48">
        <f t="shared" si="60"/>
        <v>1252245.5855999999</v>
      </c>
      <c r="F46" s="48">
        <f t="shared" si="60"/>
        <v>1252245.5855999999</v>
      </c>
      <c r="G46" s="48">
        <f>SUMIF($C$2:$BJ$2,G$45,$C8:$BJ8)</f>
        <v>1252245.5855999999</v>
      </c>
    </row>
    <row r="47" spans="1:7" hidden="1">
      <c r="A47" s="36" t="str">
        <f>A9</f>
        <v>Non-Prod</v>
      </c>
      <c r="B47" s="36"/>
      <c r="C47" s="48">
        <f t="shared" ref="C47:G50" si="61">SUMIF($C$2:$BJ$2,C$45,$C9:$BJ9)</f>
        <v>193300.68</v>
      </c>
      <c r="D47" s="48">
        <f t="shared" si="61"/>
        <v>463921.63199999998</v>
      </c>
      <c r="E47" s="48">
        <f t="shared" si="61"/>
        <v>463921.63199999998</v>
      </c>
      <c r="F47" s="48">
        <f t="shared" si="61"/>
        <v>463921.63199999998</v>
      </c>
      <c r="G47" s="48">
        <f t="shared" si="61"/>
        <v>463921.63199999998</v>
      </c>
    </row>
    <row r="48" spans="1:7" hidden="1">
      <c r="A48" s="36" t="str">
        <f t="shared" ref="A48:A50" si="62">A10</f>
        <v>DR</v>
      </c>
      <c r="B48" s="36"/>
      <c r="C48" s="48">
        <f t="shared" si="61"/>
        <v>0</v>
      </c>
      <c r="D48" s="48">
        <f t="shared" si="61"/>
        <v>0</v>
      </c>
      <c r="E48" s="48">
        <f t="shared" si="61"/>
        <v>0</v>
      </c>
      <c r="F48" s="48">
        <f t="shared" si="61"/>
        <v>0</v>
      </c>
      <c r="G48" s="48">
        <f t="shared" si="61"/>
        <v>0</v>
      </c>
    </row>
    <row r="49" spans="1:7" hidden="1">
      <c r="A49" s="36" t="str">
        <f t="shared" si="62"/>
        <v>Dev</v>
      </c>
      <c r="B49" s="36"/>
      <c r="C49" s="48">
        <f t="shared" si="61"/>
        <v>0</v>
      </c>
      <c r="D49" s="48">
        <f t="shared" si="61"/>
        <v>0</v>
      </c>
      <c r="E49" s="48">
        <f t="shared" si="61"/>
        <v>0</v>
      </c>
      <c r="F49" s="48">
        <f t="shared" si="61"/>
        <v>0</v>
      </c>
      <c r="G49" s="48">
        <f t="shared" si="61"/>
        <v>0</v>
      </c>
    </row>
    <row r="50" spans="1:7" hidden="1">
      <c r="A50" s="36" t="str">
        <f t="shared" si="62"/>
        <v>Other - CM and Asserter</v>
      </c>
      <c r="B50" s="36"/>
      <c r="C50" s="48">
        <f t="shared" si="61"/>
        <v>9366.8100000000013</v>
      </c>
      <c r="D50" s="48">
        <f t="shared" si="61"/>
        <v>22480.344000000008</v>
      </c>
      <c r="E50" s="48">
        <f t="shared" si="61"/>
        <v>22480.344000000008</v>
      </c>
      <c r="F50" s="48">
        <f t="shared" si="61"/>
        <v>22480.344000000008</v>
      </c>
      <c r="G50" s="48">
        <f t="shared" si="61"/>
        <v>22480.344000000008</v>
      </c>
    </row>
    <row r="51" spans="1:7" hidden="1">
      <c r="A51" s="48"/>
      <c r="B51" s="48"/>
      <c r="C51" s="48"/>
      <c r="D51" s="48"/>
      <c r="E51" s="48"/>
      <c r="F51" s="48"/>
      <c r="G51" s="57"/>
    </row>
    <row r="52" spans="1:7" hidden="1">
      <c r="A52" s="49" t="s">
        <v>493</v>
      </c>
      <c r="B52" s="49"/>
      <c r="C52" s="49">
        <f>SUM(C46:C51)</f>
        <v>724436.48399999994</v>
      </c>
      <c r="D52" s="49">
        <f t="shared" ref="D52:G52" si="63">SUM(D46:D51)</f>
        <v>1738647.5615999999</v>
      </c>
      <c r="E52" s="49">
        <f t="shared" si="63"/>
        <v>1738647.5615999999</v>
      </c>
      <c r="F52" s="49">
        <f t="shared" si="63"/>
        <v>1738647.5615999999</v>
      </c>
      <c r="G52" s="49">
        <f t="shared" si="63"/>
        <v>1738647.5615999999</v>
      </c>
    </row>
  </sheetData>
  <conditionalFormatting sqref="C8:BJ12">
    <cfRule type="expression" dxfId="101" priority="1">
      <formula>C8=0</formula>
    </cfRule>
    <cfRule type="expression" dxfId="100" priority="2">
      <formula>C8&gt;=0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58736-F193-4F4A-A078-88CD58F12099}">
  <sheetPr>
    <tabColor theme="6"/>
  </sheetPr>
  <dimension ref="A1:BP85"/>
  <sheetViews>
    <sheetView workbookViewId="0"/>
  </sheetViews>
  <sheetFormatPr baseColWidth="10" defaultColWidth="9.1640625" defaultRowHeight="16"/>
  <cols>
    <col min="1" max="1" width="14.33203125" style="57" customWidth="1"/>
    <col min="2" max="2" width="64" style="57" bestFit="1" customWidth="1"/>
    <col min="3" max="3" width="9" style="785" bestFit="1" customWidth="1"/>
    <col min="4" max="4" width="6.1640625" style="787" bestFit="1" customWidth="1"/>
    <col min="5" max="5" width="8.6640625" style="57" bestFit="1" customWidth="1"/>
    <col min="6" max="6" width="1.6640625" style="795" customWidth="1"/>
    <col min="7" max="66" width="10.6640625" style="57" customWidth="1"/>
    <col min="67" max="16384" width="9.1640625" style="57"/>
  </cols>
  <sheetData>
    <row r="1" spans="1:66">
      <c r="A1" s="36" t="s">
        <v>482</v>
      </c>
      <c r="B1" s="786">
        <f>BOM!A6</f>
        <v>730</v>
      </c>
      <c r="C1" s="780"/>
      <c r="D1" s="36"/>
      <c r="E1" s="36"/>
      <c r="F1" s="790"/>
      <c r="G1" s="776" t="s">
        <v>481</v>
      </c>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777"/>
      <c r="AN1" s="777"/>
      <c r="AO1" s="777"/>
      <c r="AP1" s="777"/>
      <c r="AQ1" s="777"/>
      <c r="AR1" s="777"/>
      <c r="AS1" s="777"/>
      <c r="AT1" s="777"/>
      <c r="AU1" s="777"/>
      <c r="AV1" s="777"/>
      <c r="AW1" s="777"/>
      <c r="AX1" s="777"/>
      <c r="AY1" s="777"/>
      <c r="AZ1" s="777"/>
      <c r="BA1" s="777"/>
      <c r="BB1" s="777"/>
      <c r="BC1" s="777"/>
      <c r="BD1" s="777"/>
      <c r="BE1" s="777"/>
      <c r="BF1" s="777"/>
      <c r="BG1" s="777"/>
      <c r="BH1" s="777"/>
      <c r="BI1" s="777"/>
      <c r="BJ1" s="777"/>
      <c r="BK1" s="777"/>
      <c r="BL1" s="777"/>
      <c r="BM1" s="777"/>
      <c r="BN1" s="777"/>
    </row>
    <row r="2" spans="1:66" hidden="1">
      <c r="A2" s="36" t="s">
        <v>1046</v>
      </c>
      <c r="B2" s="36"/>
      <c r="C2" s="780"/>
      <c r="D2" s="36"/>
      <c r="E2" s="36"/>
      <c r="F2" s="790"/>
      <c r="G2" s="53">
        <f>YEAR(G6)</f>
        <v>2021</v>
      </c>
      <c r="H2" s="53">
        <f t="shared" ref="H2:BN2" si="0">YEAR(H6)</f>
        <v>2021</v>
      </c>
      <c r="I2" s="53">
        <f t="shared" si="0"/>
        <v>2021</v>
      </c>
      <c r="J2" s="53">
        <f t="shared" si="0"/>
        <v>2021</v>
      </c>
      <c r="K2" s="53">
        <f t="shared" si="0"/>
        <v>2021</v>
      </c>
      <c r="L2" s="53">
        <f t="shared" si="0"/>
        <v>2022</v>
      </c>
      <c r="M2" s="53">
        <f t="shared" si="0"/>
        <v>2022</v>
      </c>
      <c r="N2" s="53">
        <f t="shared" si="0"/>
        <v>2022</v>
      </c>
      <c r="O2" s="53">
        <f t="shared" si="0"/>
        <v>2022</v>
      </c>
      <c r="P2" s="53">
        <f t="shared" si="0"/>
        <v>2022</v>
      </c>
      <c r="Q2" s="53">
        <f t="shared" si="0"/>
        <v>2022</v>
      </c>
      <c r="R2" s="53">
        <f t="shared" si="0"/>
        <v>2022</v>
      </c>
      <c r="S2" s="53">
        <f t="shared" si="0"/>
        <v>2022</v>
      </c>
      <c r="T2" s="53">
        <f t="shared" si="0"/>
        <v>2022</v>
      </c>
      <c r="U2" s="53">
        <f t="shared" si="0"/>
        <v>2022</v>
      </c>
      <c r="V2" s="53">
        <f t="shared" si="0"/>
        <v>2022</v>
      </c>
      <c r="W2" s="53">
        <f t="shared" si="0"/>
        <v>2022</v>
      </c>
      <c r="X2" s="53">
        <f t="shared" si="0"/>
        <v>2023</v>
      </c>
      <c r="Y2" s="53">
        <f t="shared" si="0"/>
        <v>2023</v>
      </c>
      <c r="Z2" s="53">
        <f t="shared" si="0"/>
        <v>2023</v>
      </c>
      <c r="AA2" s="53">
        <f t="shared" si="0"/>
        <v>2023</v>
      </c>
      <c r="AB2" s="53">
        <f t="shared" si="0"/>
        <v>2023</v>
      </c>
      <c r="AC2" s="53">
        <f t="shared" si="0"/>
        <v>2023</v>
      </c>
      <c r="AD2" s="53">
        <f t="shared" si="0"/>
        <v>2023</v>
      </c>
      <c r="AE2" s="53">
        <f t="shared" si="0"/>
        <v>2023</v>
      </c>
      <c r="AF2" s="53">
        <f t="shared" si="0"/>
        <v>2023</v>
      </c>
      <c r="AG2" s="53">
        <f t="shared" si="0"/>
        <v>2023</v>
      </c>
      <c r="AH2" s="53">
        <f t="shared" si="0"/>
        <v>2023</v>
      </c>
      <c r="AI2" s="53">
        <f t="shared" si="0"/>
        <v>2023</v>
      </c>
      <c r="AJ2" s="53">
        <f t="shared" si="0"/>
        <v>2024</v>
      </c>
      <c r="AK2" s="53">
        <f t="shared" si="0"/>
        <v>2024</v>
      </c>
      <c r="AL2" s="53">
        <f t="shared" si="0"/>
        <v>2024</v>
      </c>
      <c r="AM2" s="53">
        <f t="shared" si="0"/>
        <v>2024</v>
      </c>
      <c r="AN2" s="53">
        <f t="shared" si="0"/>
        <v>2024</v>
      </c>
      <c r="AO2" s="53">
        <f t="shared" si="0"/>
        <v>2024</v>
      </c>
      <c r="AP2" s="53">
        <f t="shared" si="0"/>
        <v>2024</v>
      </c>
      <c r="AQ2" s="53">
        <f t="shared" si="0"/>
        <v>2024</v>
      </c>
      <c r="AR2" s="53">
        <f t="shared" si="0"/>
        <v>2024</v>
      </c>
      <c r="AS2" s="53">
        <f t="shared" si="0"/>
        <v>2024</v>
      </c>
      <c r="AT2" s="53">
        <f t="shared" si="0"/>
        <v>2024</v>
      </c>
      <c r="AU2" s="53">
        <f t="shared" si="0"/>
        <v>2024</v>
      </c>
      <c r="AV2" s="53">
        <f t="shared" si="0"/>
        <v>2025</v>
      </c>
      <c r="AW2" s="53">
        <f t="shared" si="0"/>
        <v>2025</v>
      </c>
      <c r="AX2" s="53">
        <f t="shared" si="0"/>
        <v>2025</v>
      </c>
      <c r="AY2" s="53">
        <f t="shared" si="0"/>
        <v>2025</v>
      </c>
      <c r="AZ2" s="53">
        <f t="shared" si="0"/>
        <v>2025</v>
      </c>
      <c r="BA2" s="53">
        <f t="shared" si="0"/>
        <v>2025</v>
      </c>
      <c r="BB2" s="53">
        <f t="shared" si="0"/>
        <v>2025</v>
      </c>
      <c r="BC2" s="53">
        <f t="shared" si="0"/>
        <v>2025</v>
      </c>
      <c r="BD2" s="53">
        <f t="shared" si="0"/>
        <v>2025</v>
      </c>
      <c r="BE2" s="53">
        <f t="shared" si="0"/>
        <v>2025</v>
      </c>
      <c r="BF2" s="53">
        <f t="shared" si="0"/>
        <v>2025</v>
      </c>
      <c r="BG2" s="53">
        <f t="shared" si="0"/>
        <v>2025</v>
      </c>
      <c r="BH2" s="53">
        <f t="shared" si="0"/>
        <v>2026</v>
      </c>
      <c r="BI2" s="53">
        <f t="shared" si="0"/>
        <v>2026</v>
      </c>
      <c r="BJ2" s="53">
        <f t="shared" si="0"/>
        <v>2026</v>
      </c>
      <c r="BK2" s="53">
        <f t="shared" si="0"/>
        <v>2026</v>
      </c>
      <c r="BL2" s="53">
        <f t="shared" si="0"/>
        <v>2026</v>
      </c>
      <c r="BM2" s="53">
        <f t="shared" si="0"/>
        <v>2026</v>
      </c>
      <c r="BN2" s="53">
        <f t="shared" si="0"/>
        <v>2026</v>
      </c>
    </row>
    <row r="3" spans="1:66" hidden="1">
      <c r="A3" s="36" t="s">
        <v>494</v>
      </c>
      <c r="B3" s="36"/>
      <c r="C3" s="780"/>
      <c r="D3" s="36"/>
      <c r="E3" s="36"/>
      <c r="F3" s="790"/>
      <c r="G3" s="53">
        <f>ROUNDUP(G5/12,0)</f>
        <v>1</v>
      </c>
      <c r="H3" s="53">
        <f t="shared" ref="H3:BN3" si="1">ROUNDUP(H5/12,0)</f>
        <v>1</v>
      </c>
      <c r="I3" s="53">
        <f t="shared" si="1"/>
        <v>1</v>
      </c>
      <c r="J3" s="53">
        <f t="shared" si="1"/>
        <v>1</v>
      </c>
      <c r="K3" s="53">
        <f t="shared" si="1"/>
        <v>1</v>
      </c>
      <c r="L3" s="53">
        <f t="shared" si="1"/>
        <v>1</v>
      </c>
      <c r="M3" s="53">
        <f t="shared" si="1"/>
        <v>1</v>
      </c>
      <c r="N3" s="53">
        <f t="shared" si="1"/>
        <v>1</v>
      </c>
      <c r="O3" s="53">
        <f t="shared" si="1"/>
        <v>1</v>
      </c>
      <c r="P3" s="53">
        <f t="shared" si="1"/>
        <v>1</v>
      </c>
      <c r="Q3" s="53">
        <f t="shared" si="1"/>
        <v>1</v>
      </c>
      <c r="R3" s="53">
        <f t="shared" si="1"/>
        <v>1</v>
      </c>
      <c r="S3" s="53">
        <f t="shared" si="1"/>
        <v>2</v>
      </c>
      <c r="T3" s="53">
        <f t="shared" si="1"/>
        <v>2</v>
      </c>
      <c r="U3" s="53">
        <f t="shared" si="1"/>
        <v>2</v>
      </c>
      <c r="V3" s="53">
        <f t="shared" si="1"/>
        <v>2</v>
      </c>
      <c r="W3" s="53">
        <f t="shared" si="1"/>
        <v>2</v>
      </c>
      <c r="X3" s="53">
        <f t="shared" si="1"/>
        <v>2</v>
      </c>
      <c r="Y3" s="53">
        <f t="shared" si="1"/>
        <v>2</v>
      </c>
      <c r="Z3" s="53">
        <f t="shared" si="1"/>
        <v>2</v>
      </c>
      <c r="AA3" s="53">
        <f t="shared" si="1"/>
        <v>2</v>
      </c>
      <c r="AB3" s="53">
        <f t="shared" si="1"/>
        <v>2</v>
      </c>
      <c r="AC3" s="53">
        <f t="shared" si="1"/>
        <v>2</v>
      </c>
      <c r="AD3" s="53">
        <f t="shared" si="1"/>
        <v>2</v>
      </c>
      <c r="AE3" s="53">
        <f t="shared" si="1"/>
        <v>3</v>
      </c>
      <c r="AF3" s="53">
        <f t="shared" si="1"/>
        <v>3</v>
      </c>
      <c r="AG3" s="53">
        <f t="shared" si="1"/>
        <v>3</v>
      </c>
      <c r="AH3" s="53">
        <f t="shared" si="1"/>
        <v>3</v>
      </c>
      <c r="AI3" s="53">
        <f t="shared" si="1"/>
        <v>3</v>
      </c>
      <c r="AJ3" s="53">
        <f t="shared" si="1"/>
        <v>3</v>
      </c>
      <c r="AK3" s="53">
        <f t="shared" si="1"/>
        <v>3</v>
      </c>
      <c r="AL3" s="53">
        <f t="shared" si="1"/>
        <v>3</v>
      </c>
      <c r="AM3" s="53">
        <f t="shared" si="1"/>
        <v>3</v>
      </c>
      <c r="AN3" s="53">
        <f t="shared" si="1"/>
        <v>3</v>
      </c>
      <c r="AO3" s="53">
        <f t="shared" si="1"/>
        <v>3</v>
      </c>
      <c r="AP3" s="53">
        <f t="shared" si="1"/>
        <v>3</v>
      </c>
      <c r="AQ3" s="53">
        <f t="shared" si="1"/>
        <v>4</v>
      </c>
      <c r="AR3" s="53">
        <f t="shared" si="1"/>
        <v>4</v>
      </c>
      <c r="AS3" s="53">
        <f t="shared" si="1"/>
        <v>4</v>
      </c>
      <c r="AT3" s="53">
        <f t="shared" si="1"/>
        <v>4</v>
      </c>
      <c r="AU3" s="53">
        <f t="shared" si="1"/>
        <v>4</v>
      </c>
      <c r="AV3" s="53">
        <f t="shared" si="1"/>
        <v>4</v>
      </c>
      <c r="AW3" s="53">
        <f t="shared" si="1"/>
        <v>4</v>
      </c>
      <c r="AX3" s="53">
        <f t="shared" si="1"/>
        <v>4</v>
      </c>
      <c r="AY3" s="53">
        <f t="shared" si="1"/>
        <v>4</v>
      </c>
      <c r="AZ3" s="53">
        <f t="shared" si="1"/>
        <v>4</v>
      </c>
      <c r="BA3" s="53">
        <f t="shared" si="1"/>
        <v>4</v>
      </c>
      <c r="BB3" s="53">
        <f t="shared" si="1"/>
        <v>4</v>
      </c>
      <c r="BC3" s="53">
        <f t="shared" si="1"/>
        <v>5</v>
      </c>
      <c r="BD3" s="53">
        <f t="shared" si="1"/>
        <v>5</v>
      </c>
      <c r="BE3" s="53">
        <f t="shared" si="1"/>
        <v>5</v>
      </c>
      <c r="BF3" s="53">
        <f t="shared" si="1"/>
        <v>5</v>
      </c>
      <c r="BG3" s="53">
        <f t="shared" si="1"/>
        <v>5</v>
      </c>
      <c r="BH3" s="53">
        <f t="shared" si="1"/>
        <v>5</v>
      </c>
      <c r="BI3" s="53">
        <f t="shared" si="1"/>
        <v>5</v>
      </c>
      <c r="BJ3" s="53">
        <f t="shared" si="1"/>
        <v>5</v>
      </c>
      <c r="BK3" s="53">
        <f t="shared" si="1"/>
        <v>5</v>
      </c>
      <c r="BL3" s="53">
        <f t="shared" si="1"/>
        <v>5</v>
      </c>
      <c r="BM3" s="53">
        <f t="shared" si="1"/>
        <v>5</v>
      </c>
      <c r="BN3" s="53">
        <f t="shared" si="1"/>
        <v>5</v>
      </c>
    </row>
    <row r="4" spans="1:66" hidden="1">
      <c r="A4" s="36" t="s">
        <v>495</v>
      </c>
      <c r="B4" s="36"/>
      <c r="C4" s="780"/>
      <c r="D4" s="36"/>
      <c r="E4" s="36"/>
      <c r="F4" s="790"/>
      <c r="G4" s="53">
        <f>ROUNDUP(G5/3,0)</f>
        <v>1</v>
      </c>
      <c r="H4" s="53">
        <f t="shared" ref="H4:BN4" si="2">ROUNDUP(H5/3,0)</f>
        <v>1</v>
      </c>
      <c r="I4" s="53">
        <f t="shared" si="2"/>
        <v>1</v>
      </c>
      <c r="J4" s="53">
        <f t="shared" si="2"/>
        <v>2</v>
      </c>
      <c r="K4" s="53">
        <f t="shared" si="2"/>
        <v>2</v>
      </c>
      <c r="L4" s="53">
        <f t="shared" si="2"/>
        <v>2</v>
      </c>
      <c r="M4" s="53">
        <f t="shared" si="2"/>
        <v>3</v>
      </c>
      <c r="N4" s="53">
        <f t="shared" si="2"/>
        <v>3</v>
      </c>
      <c r="O4" s="53">
        <f t="shared" si="2"/>
        <v>3</v>
      </c>
      <c r="P4" s="53">
        <f t="shared" si="2"/>
        <v>4</v>
      </c>
      <c r="Q4" s="53">
        <f t="shared" si="2"/>
        <v>4</v>
      </c>
      <c r="R4" s="53">
        <f t="shared" si="2"/>
        <v>4</v>
      </c>
      <c r="S4" s="53">
        <f t="shared" si="2"/>
        <v>5</v>
      </c>
      <c r="T4" s="53">
        <f t="shared" si="2"/>
        <v>5</v>
      </c>
      <c r="U4" s="53">
        <f t="shared" si="2"/>
        <v>5</v>
      </c>
      <c r="V4" s="53">
        <f t="shared" si="2"/>
        <v>6</v>
      </c>
      <c r="W4" s="53">
        <f t="shared" si="2"/>
        <v>6</v>
      </c>
      <c r="X4" s="53">
        <f t="shared" si="2"/>
        <v>6</v>
      </c>
      <c r="Y4" s="53">
        <f t="shared" si="2"/>
        <v>7</v>
      </c>
      <c r="Z4" s="53">
        <f t="shared" si="2"/>
        <v>7</v>
      </c>
      <c r="AA4" s="53">
        <f t="shared" si="2"/>
        <v>7</v>
      </c>
      <c r="AB4" s="53">
        <f t="shared" si="2"/>
        <v>8</v>
      </c>
      <c r="AC4" s="53">
        <f t="shared" si="2"/>
        <v>8</v>
      </c>
      <c r="AD4" s="53">
        <f t="shared" si="2"/>
        <v>8</v>
      </c>
      <c r="AE4" s="53">
        <f t="shared" si="2"/>
        <v>9</v>
      </c>
      <c r="AF4" s="53">
        <f t="shared" si="2"/>
        <v>9</v>
      </c>
      <c r="AG4" s="53">
        <f t="shared" si="2"/>
        <v>9</v>
      </c>
      <c r="AH4" s="53">
        <f t="shared" si="2"/>
        <v>10</v>
      </c>
      <c r="AI4" s="53">
        <f t="shared" si="2"/>
        <v>10</v>
      </c>
      <c r="AJ4" s="53">
        <f t="shared" si="2"/>
        <v>10</v>
      </c>
      <c r="AK4" s="53">
        <f t="shared" si="2"/>
        <v>11</v>
      </c>
      <c r="AL4" s="53">
        <f t="shared" si="2"/>
        <v>11</v>
      </c>
      <c r="AM4" s="53">
        <f t="shared" si="2"/>
        <v>11</v>
      </c>
      <c r="AN4" s="53">
        <f t="shared" si="2"/>
        <v>12</v>
      </c>
      <c r="AO4" s="53">
        <f t="shared" si="2"/>
        <v>12</v>
      </c>
      <c r="AP4" s="53">
        <f t="shared" si="2"/>
        <v>12</v>
      </c>
      <c r="AQ4" s="53">
        <f t="shared" si="2"/>
        <v>13</v>
      </c>
      <c r="AR4" s="53">
        <f t="shared" si="2"/>
        <v>13</v>
      </c>
      <c r="AS4" s="53">
        <f t="shared" si="2"/>
        <v>13</v>
      </c>
      <c r="AT4" s="53">
        <f t="shared" si="2"/>
        <v>14</v>
      </c>
      <c r="AU4" s="53">
        <f t="shared" si="2"/>
        <v>14</v>
      </c>
      <c r="AV4" s="53">
        <f t="shared" si="2"/>
        <v>14</v>
      </c>
      <c r="AW4" s="53">
        <f t="shared" si="2"/>
        <v>15</v>
      </c>
      <c r="AX4" s="53">
        <f t="shared" si="2"/>
        <v>15</v>
      </c>
      <c r="AY4" s="53">
        <f t="shared" si="2"/>
        <v>15</v>
      </c>
      <c r="AZ4" s="53">
        <f t="shared" si="2"/>
        <v>16</v>
      </c>
      <c r="BA4" s="53">
        <f t="shared" si="2"/>
        <v>16</v>
      </c>
      <c r="BB4" s="53">
        <f t="shared" si="2"/>
        <v>16</v>
      </c>
      <c r="BC4" s="53">
        <f t="shared" si="2"/>
        <v>17</v>
      </c>
      <c r="BD4" s="53">
        <f t="shared" si="2"/>
        <v>17</v>
      </c>
      <c r="BE4" s="53">
        <f t="shared" si="2"/>
        <v>17</v>
      </c>
      <c r="BF4" s="53">
        <f t="shared" si="2"/>
        <v>18</v>
      </c>
      <c r="BG4" s="53">
        <f t="shared" si="2"/>
        <v>18</v>
      </c>
      <c r="BH4" s="53">
        <f t="shared" si="2"/>
        <v>18</v>
      </c>
      <c r="BI4" s="53">
        <f t="shared" si="2"/>
        <v>19</v>
      </c>
      <c r="BJ4" s="53">
        <f t="shared" si="2"/>
        <v>19</v>
      </c>
      <c r="BK4" s="53">
        <f t="shared" si="2"/>
        <v>19</v>
      </c>
      <c r="BL4" s="53">
        <f t="shared" si="2"/>
        <v>20</v>
      </c>
      <c r="BM4" s="53">
        <f t="shared" si="2"/>
        <v>20</v>
      </c>
      <c r="BN4" s="53">
        <f t="shared" si="2"/>
        <v>20</v>
      </c>
    </row>
    <row r="5" spans="1:66">
      <c r="A5" s="36"/>
      <c r="B5" s="36"/>
      <c r="C5" s="780"/>
      <c r="D5" s="36"/>
      <c r="E5" s="36"/>
      <c r="F5" s="790"/>
      <c r="G5" s="53">
        <v>1</v>
      </c>
      <c r="H5" s="53">
        <f t="shared" ref="H5:BN5" si="3">G5+1</f>
        <v>2</v>
      </c>
      <c r="I5" s="53">
        <f t="shared" si="3"/>
        <v>3</v>
      </c>
      <c r="J5" s="53">
        <f t="shared" si="3"/>
        <v>4</v>
      </c>
      <c r="K5" s="53">
        <f t="shared" si="3"/>
        <v>5</v>
      </c>
      <c r="L5" s="53">
        <f t="shared" si="3"/>
        <v>6</v>
      </c>
      <c r="M5" s="53">
        <f t="shared" si="3"/>
        <v>7</v>
      </c>
      <c r="N5" s="53">
        <f t="shared" si="3"/>
        <v>8</v>
      </c>
      <c r="O5" s="53">
        <f t="shared" si="3"/>
        <v>9</v>
      </c>
      <c r="P5" s="53">
        <f t="shared" si="3"/>
        <v>10</v>
      </c>
      <c r="Q5" s="53">
        <f t="shared" si="3"/>
        <v>11</v>
      </c>
      <c r="R5" s="53">
        <f t="shared" si="3"/>
        <v>12</v>
      </c>
      <c r="S5" s="53">
        <f t="shared" si="3"/>
        <v>13</v>
      </c>
      <c r="T5" s="53">
        <f t="shared" si="3"/>
        <v>14</v>
      </c>
      <c r="U5" s="53">
        <f t="shared" si="3"/>
        <v>15</v>
      </c>
      <c r="V5" s="53">
        <f t="shared" si="3"/>
        <v>16</v>
      </c>
      <c r="W5" s="53">
        <f t="shared" si="3"/>
        <v>17</v>
      </c>
      <c r="X5" s="53">
        <f t="shared" si="3"/>
        <v>18</v>
      </c>
      <c r="Y5" s="53">
        <f t="shared" si="3"/>
        <v>19</v>
      </c>
      <c r="Z5" s="53">
        <f t="shared" si="3"/>
        <v>20</v>
      </c>
      <c r="AA5" s="53">
        <f t="shared" si="3"/>
        <v>21</v>
      </c>
      <c r="AB5" s="53">
        <f t="shared" si="3"/>
        <v>22</v>
      </c>
      <c r="AC5" s="53">
        <f t="shared" si="3"/>
        <v>23</v>
      </c>
      <c r="AD5" s="53">
        <f t="shared" si="3"/>
        <v>24</v>
      </c>
      <c r="AE5" s="53">
        <f t="shared" si="3"/>
        <v>25</v>
      </c>
      <c r="AF5" s="53">
        <f t="shared" si="3"/>
        <v>26</v>
      </c>
      <c r="AG5" s="53">
        <f t="shared" si="3"/>
        <v>27</v>
      </c>
      <c r="AH5" s="53">
        <f t="shared" si="3"/>
        <v>28</v>
      </c>
      <c r="AI5" s="53">
        <f t="shared" si="3"/>
        <v>29</v>
      </c>
      <c r="AJ5" s="53">
        <f t="shared" si="3"/>
        <v>30</v>
      </c>
      <c r="AK5" s="53">
        <f t="shared" si="3"/>
        <v>31</v>
      </c>
      <c r="AL5" s="53">
        <f t="shared" si="3"/>
        <v>32</v>
      </c>
      <c r="AM5" s="53">
        <f t="shared" si="3"/>
        <v>33</v>
      </c>
      <c r="AN5" s="53">
        <f t="shared" si="3"/>
        <v>34</v>
      </c>
      <c r="AO5" s="53">
        <f t="shared" si="3"/>
        <v>35</v>
      </c>
      <c r="AP5" s="53">
        <f t="shared" si="3"/>
        <v>36</v>
      </c>
      <c r="AQ5" s="53">
        <f t="shared" si="3"/>
        <v>37</v>
      </c>
      <c r="AR5" s="53">
        <f t="shared" si="3"/>
        <v>38</v>
      </c>
      <c r="AS5" s="53">
        <f t="shared" si="3"/>
        <v>39</v>
      </c>
      <c r="AT5" s="53">
        <f t="shared" si="3"/>
        <v>40</v>
      </c>
      <c r="AU5" s="53">
        <f t="shared" si="3"/>
        <v>41</v>
      </c>
      <c r="AV5" s="53">
        <f t="shared" si="3"/>
        <v>42</v>
      </c>
      <c r="AW5" s="53">
        <f t="shared" si="3"/>
        <v>43</v>
      </c>
      <c r="AX5" s="53">
        <f t="shared" si="3"/>
        <v>44</v>
      </c>
      <c r="AY5" s="53">
        <f t="shared" si="3"/>
        <v>45</v>
      </c>
      <c r="AZ5" s="53">
        <f t="shared" si="3"/>
        <v>46</v>
      </c>
      <c r="BA5" s="53">
        <f t="shared" si="3"/>
        <v>47</v>
      </c>
      <c r="BB5" s="53">
        <f t="shared" si="3"/>
        <v>48</v>
      </c>
      <c r="BC5" s="53">
        <f t="shared" si="3"/>
        <v>49</v>
      </c>
      <c r="BD5" s="53">
        <f t="shared" si="3"/>
        <v>50</v>
      </c>
      <c r="BE5" s="53">
        <f t="shared" si="3"/>
        <v>51</v>
      </c>
      <c r="BF5" s="53">
        <f t="shared" si="3"/>
        <v>52</v>
      </c>
      <c r="BG5" s="53">
        <f t="shared" si="3"/>
        <v>53</v>
      </c>
      <c r="BH5" s="53">
        <f t="shared" si="3"/>
        <v>54</v>
      </c>
      <c r="BI5" s="53">
        <f t="shared" si="3"/>
        <v>55</v>
      </c>
      <c r="BJ5" s="53">
        <f t="shared" si="3"/>
        <v>56</v>
      </c>
      <c r="BK5" s="53">
        <f t="shared" si="3"/>
        <v>57</v>
      </c>
      <c r="BL5" s="53">
        <f t="shared" si="3"/>
        <v>58</v>
      </c>
      <c r="BM5" s="53">
        <f t="shared" si="3"/>
        <v>59</v>
      </c>
      <c r="BN5" s="53">
        <f t="shared" si="3"/>
        <v>60</v>
      </c>
    </row>
    <row r="6" spans="1:66">
      <c r="A6" s="739" t="s">
        <v>13</v>
      </c>
      <c r="B6" s="739" t="s">
        <v>498</v>
      </c>
      <c r="C6" s="788" t="s">
        <v>3005</v>
      </c>
      <c r="D6" s="789" t="s">
        <v>482</v>
      </c>
      <c r="E6" s="788" t="s">
        <v>3006</v>
      </c>
      <c r="F6" s="791"/>
      <c r="G6" s="778">
        <v>44409</v>
      </c>
      <c r="H6" s="778">
        <f t="shared" ref="H6:BN6" si="4">EDATE(G6,1)</f>
        <v>44440</v>
      </c>
      <c r="I6" s="778">
        <f t="shared" si="4"/>
        <v>44470</v>
      </c>
      <c r="J6" s="778">
        <f t="shared" si="4"/>
        <v>44501</v>
      </c>
      <c r="K6" s="778">
        <f t="shared" si="4"/>
        <v>44531</v>
      </c>
      <c r="L6" s="778">
        <f t="shared" si="4"/>
        <v>44562</v>
      </c>
      <c r="M6" s="778">
        <f t="shared" si="4"/>
        <v>44593</v>
      </c>
      <c r="N6" s="778">
        <f t="shared" si="4"/>
        <v>44621</v>
      </c>
      <c r="O6" s="778">
        <f t="shared" si="4"/>
        <v>44652</v>
      </c>
      <c r="P6" s="778">
        <f t="shared" si="4"/>
        <v>44682</v>
      </c>
      <c r="Q6" s="778">
        <f t="shared" si="4"/>
        <v>44713</v>
      </c>
      <c r="R6" s="778">
        <f t="shared" si="4"/>
        <v>44743</v>
      </c>
      <c r="S6" s="778">
        <f t="shared" si="4"/>
        <v>44774</v>
      </c>
      <c r="T6" s="778">
        <f t="shared" si="4"/>
        <v>44805</v>
      </c>
      <c r="U6" s="778">
        <f t="shared" si="4"/>
        <v>44835</v>
      </c>
      <c r="V6" s="778">
        <f t="shared" si="4"/>
        <v>44866</v>
      </c>
      <c r="W6" s="778">
        <f t="shared" si="4"/>
        <v>44896</v>
      </c>
      <c r="X6" s="778">
        <f t="shared" si="4"/>
        <v>44927</v>
      </c>
      <c r="Y6" s="778">
        <f t="shared" si="4"/>
        <v>44958</v>
      </c>
      <c r="Z6" s="778">
        <f t="shared" si="4"/>
        <v>44986</v>
      </c>
      <c r="AA6" s="778">
        <f t="shared" si="4"/>
        <v>45017</v>
      </c>
      <c r="AB6" s="778">
        <f t="shared" si="4"/>
        <v>45047</v>
      </c>
      <c r="AC6" s="778">
        <f t="shared" si="4"/>
        <v>45078</v>
      </c>
      <c r="AD6" s="778">
        <f t="shared" si="4"/>
        <v>45108</v>
      </c>
      <c r="AE6" s="778">
        <f t="shared" si="4"/>
        <v>45139</v>
      </c>
      <c r="AF6" s="778">
        <f t="shared" si="4"/>
        <v>45170</v>
      </c>
      <c r="AG6" s="778">
        <f t="shared" si="4"/>
        <v>45200</v>
      </c>
      <c r="AH6" s="778">
        <f t="shared" si="4"/>
        <v>45231</v>
      </c>
      <c r="AI6" s="778">
        <f t="shared" si="4"/>
        <v>45261</v>
      </c>
      <c r="AJ6" s="778">
        <f t="shared" si="4"/>
        <v>45292</v>
      </c>
      <c r="AK6" s="778">
        <f t="shared" si="4"/>
        <v>45323</v>
      </c>
      <c r="AL6" s="778">
        <f t="shared" si="4"/>
        <v>45352</v>
      </c>
      <c r="AM6" s="778">
        <f t="shared" si="4"/>
        <v>45383</v>
      </c>
      <c r="AN6" s="778">
        <f t="shared" si="4"/>
        <v>45413</v>
      </c>
      <c r="AO6" s="778">
        <f t="shared" si="4"/>
        <v>45444</v>
      </c>
      <c r="AP6" s="778">
        <f t="shared" si="4"/>
        <v>45474</v>
      </c>
      <c r="AQ6" s="778">
        <f t="shared" si="4"/>
        <v>45505</v>
      </c>
      <c r="AR6" s="778">
        <f t="shared" si="4"/>
        <v>45536</v>
      </c>
      <c r="AS6" s="778">
        <f t="shared" si="4"/>
        <v>45566</v>
      </c>
      <c r="AT6" s="778">
        <f t="shared" si="4"/>
        <v>45597</v>
      </c>
      <c r="AU6" s="778">
        <f t="shared" si="4"/>
        <v>45627</v>
      </c>
      <c r="AV6" s="778">
        <f t="shared" si="4"/>
        <v>45658</v>
      </c>
      <c r="AW6" s="778">
        <f t="shared" si="4"/>
        <v>45689</v>
      </c>
      <c r="AX6" s="778">
        <f t="shared" si="4"/>
        <v>45717</v>
      </c>
      <c r="AY6" s="778">
        <f t="shared" si="4"/>
        <v>45748</v>
      </c>
      <c r="AZ6" s="778">
        <f t="shared" si="4"/>
        <v>45778</v>
      </c>
      <c r="BA6" s="778">
        <f t="shared" si="4"/>
        <v>45809</v>
      </c>
      <c r="BB6" s="778">
        <f t="shared" si="4"/>
        <v>45839</v>
      </c>
      <c r="BC6" s="778">
        <f t="shared" si="4"/>
        <v>45870</v>
      </c>
      <c r="BD6" s="778">
        <f t="shared" si="4"/>
        <v>45901</v>
      </c>
      <c r="BE6" s="778">
        <f t="shared" si="4"/>
        <v>45931</v>
      </c>
      <c r="BF6" s="778">
        <f t="shared" si="4"/>
        <v>45962</v>
      </c>
      <c r="BG6" s="778">
        <f t="shared" si="4"/>
        <v>45992</v>
      </c>
      <c r="BH6" s="778">
        <f t="shared" si="4"/>
        <v>46023</v>
      </c>
      <c r="BI6" s="778">
        <f t="shared" si="4"/>
        <v>46054</v>
      </c>
      <c r="BJ6" s="778">
        <f t="shared" si="4"/>
        <v>46082</v>
      </c>
      <c r="BK6" s="778">
        <f t="shared" si="4"/>
        <v>46113</v>
      </c>
      <c r="BL6" s="778">
        <f t="shared" si="4"/>
        <v>46143</v>
      </c>
      <c r="BM6" s="778">
        <f t="shared" si="4"/>
        <v>46174</v>
      </c>
      <c r="BN6" s="778">
        <f t="shared" si="4"/>
        <v>46204</v>
      </c>
    </row>
    <row r="7" spans="1:66">
      <c r="A7" s="796" t="s">
        <v>3009</v>
      </c>
      <c r="B7" s="36"/>
      <c r="C7" s="780"/>
      <c r="D7" s="36"/>
      <c r="E7" s="36"/>
      <c r="F7" s="790"/>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row>
    <row r="8" spans="1:66">
      <c r="A8" s="36" t="str">
        <f>BOM!A12</f>
        <v>B94176</v>
      </c>
      <c r="B8" s="36" t="str">
        <f>INDEX('Cloud Price List'!$B$3:$N$1491,MATCH(BOM!$A12,'Cloud Price List'!$A$3:$A$1491,0),1)</f>
        <v xml:space="preserve">Oracle Cloud Infrastructure - Compute - Standard - X9 </v>
      </c>
      <c r="C8" s="780">
        <f>BOM!AL12</f>
        <v>3.7999999999999999E-2</v>
      </c>
      <c r="D8" s="36">
        <f>IF(ISNUMBER(SEARCH("Hour",TEXT(BOM!C12,0))),$B$1,1)</f>
        <v>730</v>
      </c>
      <c r="E8" s="13">
        <f>BOM!AH12</f>
        <v>0</v>
      </c>
      <c r="F8" s="792"/>
      <c r="G8" s="13">
        <f t="shared" ref="G8:V23" si="5">$E8</f>
        <v>0</v>
      </c>
      <c r="H8" s="13">
        <f t="shared" ref="H8:W21" si="6">$E8</f>
        <v>0</v>
      </c>
      <c r="I8" s="13">
        <f t="shared" si="6"/>
        <v>0</v>
      </c>
      <c r="J8" s="13">
        <f t="shared" si="6"/>
        <v>0</v>
      </c>
      <c r="K8" s="13">
        <f t="shared" si="6"/>
        <v>0</v>
      </c>
      <c r="L8" s="13">
        <f t="shared" si="6"/>
        <v>0</v>
      </c>
      <c r="M8" s="13">
        <f t="shared" si="6"/>
        <v>0</v>
      </c>
      <c r="N8" s="13">
        <f t="shared" si="6"/>
        <v>0</v>
      </c>
      <c r="O8" s="13">
        <f t="shared" si="6"/>
        <v>0</v>
      </c>
      <c r="P8" s="13">
        <f t="shared" si="6"/>
        <v>0</v>
      </c>
      <c r="Q8" s="13">
        <f t="shared" si="6"/>
        <v>0</v>
      </c>
      <c r="R8" s="13">
        <f t="shared" si="6"/>
        <v>0</v>
      </c>
      <c r="S8" s="13">
        <f t="shared" si="6"/>
        <v>0</v>
      </c>
      <c r="T8" s="13">
        <f t="shared" si="6"/>
        <v>0</v>
      </c>
      <c r="U8" s="13">
        <f t="shared" si="6"/>
        <v>0</v>
      </c>
      <c r="V8" s="13">
        <f t="shared" si="6"/>
        <v>0</v>
      </c>
      <c r="W8" s="13">
        <f t="shared" si="6"/>
        <v>0</v>
      </c>
      <c r="X8" s="13">
        <f t="shared" ref="X8:AM21" si="7">$E8</f>
        <v>0</v>
      </c>
      <c r="Y8" s="13">
        <f t="shared" si="7"/>
        <v>0</v>
      </c>
      <c r="Z8" s="13">
        <f t="shared" si="7"/>
        <v>0</v>
      </c>
      <c r="AA8" s="13">
        <f t="shared" si="7"/>
        <v>0</v>
      </c>
      <c r="AB8" s="13">
        <f t="shared" si="7"/>
        <v>0</v>
      </c>
      <c r="AC8" s="13">
        <f t="shared" si="7"/>
        <v>0</v>
      </c>
      <c r="AD8" s="13">
        <f t="shared" si="7"/>
        <v>0</v>
      </c>
      <c r="AE8" s="13">
        <f t="shared" si="7"/>
        <v>0</v>
      </c>
      <c r="AF8" s="13">
        <f t="shared" si="7"/>
        <v>0</v>
      </c>
      <c r="AG8" s="13">
        <f t="shared" si="7"/>
        <v>0</v>
      </c>
      <c r="AH8" s="13">
        <f t="shared" si="7"/>
        <v>0</v>
      </c>
      <c r="AI8" s="13">
        <f t="shared" si="7"/>
        <v>0</v>
      </c>
      <c r="AJ8" s="13">
        <f t="shared" si="7"/>
        <v>0</v>
      </c>
      <c r="AK8" s="13">
        <f t="shared" si="7"/>
        <v>0</v>
      </c>
      <c r="AL8" s="13">
        <f t="shared" si="7"/>
        <v>0</v>
      </c>
      <c r="AM8" s="13">
        <f t="shared" si="7"/>
        <v>0</v>
      </c>
      <c r="AN8" s="13">
        <f t="shared" ref="AN8:BC21" si="8">$E8</f>
        <v>0</v>
      </c>
      <c r="AO8" s="13">
        <f t="shared" si="8"/>
        <v>0</v>
      </c>
      <c r="AP8" s="13">
        <f t="shared" si="8"/>
        <v>0</v>
      </c>
      <c r="AQ8" s="13">
        <f t="shared" si="8"/>
        <v>0</v>
      </c>
      <c r="AR8" s="13">
        <f t="shared" si="8"/>
        <v>0</v>
      </c>
      <c r="AS8" s="13">
        <f t="shared" si="8"/>
        <v>0</v>
      </c>
      <c r="AT8" s="13">
        <f t="shared" si="8"/>
        <v>0</v>
      </c>
      <c r="AU8" s="13">
        <f t="shared" si="8"/>
        <v>0</v>
      </c>
      <c r="AV8" s="13">
        <f t="shared" si="8"/>
        <v>0</v>
      </c>
      <c r="AW8" s="13">
        <f t="shared" si="8"/>
        <v>0</v>
      </c>
      <c r="AX8" s="13">
        <f t="shared" si="8"/>
        <v>0</v>
      </c>
      <c r="AY8" s="13">
        <f t="shared" si="8"/>
        <v>0</v>
      </c>
      <c r="AZ8" s="13">
        <f t="shared" si="8"/>
        <v>0</v>
      </c>
      <c r="BA8" s="13">
        <f t="shared" si="8"/>
        <v>0</v>
      </c>
      <c r="BB8" s="13">
        <f t="shared" si="8"/>
        <v>0</v>
      </c>
      <c r="BC8" s="13">
        <f t="shared" si="8"/>
        <v>0</v>
      </c>
      <c r="BD8" s="13">
        <f t="shared" ref="BD8:BN23" si="9">$E8</f>
        <v>0</v>
      </c>
      <c r="BE8" s="13">
        <f t="shared" si="9"/>
        <v>0</v>
      </c>
      <c r="BF8" s="13">
        <f t="shared" si="9"/>
        <v>0</v>
      </c>
      <c r="BG8" s="13">
        <f t="shared" si="9"/>
        <v>0</v>
      </c>
      <c r="BH8" s="13">
        <f t="shared" si="9"/>
        <v>0</v>
      </c>
      <c r="BI8" s="13">
        <f t="shared" si="9"/>
        <v>0</v>
      </c>
      <c r="BJ8" s="13">
        <f t="shared" si="9"/>
        <v>0</v>
      </c>
      <c r="BK8" s="13">
        <f t="shared" si="9"/>
        <v>0</v>
      </c>
      <c r="BL8" s="13">
        <f t="shared" si="9"/>
        <v>0</v>
      </c>
      <c r="BM8" s="13">
        <f t="shared" si="9"/>
        <v>0</v>
      </c>
      <c r="BN8" s="13">
        <f t="shared" si="9"/>
        <v>0</v>
      </c>
    </row>
    <row r="9" spans="1:66">
      <c r="A9" s="36" t="str">
        <f>BOM!A14</f>
        <v>B93311</v>
      </c>
      <c r="B9" s="36" t="str">
        <f>INDEX('Cloud Price List'!$B$3:$N$1491,MATCH(BOM!$A14,'Cloud Price List'!$A$3:$A$1491,0),1)</f>
        <v>Oracle Cloud Infrastructure - Compute - Optimized - X9</v>
      </c>
      <c r="C9" s="780">
        <f>BOM!AL14</f>
        <v>5.1299999999999998E-2</v>
      </c>
      <c r="D9" s="36">
        <f>IF(ISNUMBER(SEARCH("Hour",TEXT(BOM!C14,0))),$B$1,1)</f>
        <v>730</v>
      </c>
      <c r="E9" s="13">
        <f>BOM!AH14</f>
        <v>0</v>
      </c>
      <c r="F9" s="792"/>
      <c r="G9" s="13">
        <f t="shared" si="5"/>
        <v>0</v>
      </c>
      <c r="H9" s="13">
        <f t="shared" si="6"/>
        <v>0</v>
      </c>
      <c r="I9" s="13">
        <f t="shared" si="6"/>
        <v>0</v>
      </c>
      <c r="J9" s="13">
        <f t="shared" si="6"/>
        <v>0</v>
      </c>
      <c r="K9" s="13">
        <f t="shared" si="6"/>
        <v>0</v>
      </c>
      <c r="L9" s="13">
        <f t="shared" si="6"/>
        <v>0</v>
      </c>
      <c r="M9" s="13">
        <f t="shared" si="6"/>
        <v>0</v>
      </c>
      <c r="N9" s="13">
        <f t="shared" si="6"/>
        <v>0</v>
      </c>
      <c r="O9" s="13">
        <f t="shared" si="6"/>
        <v>0</v>
      </c>
      <c r="P9" s="13">
        <f t="shared" si="6"/>
        <v>0</v>
      </c>
      <c r="Q9" s="13">
        <f t="shared" si="6"/>
        <v>0</v>
      </c>
      <c r="R9" s="13">
        <f t="shared" si="6"/>
        <v>0</v>
      </c>
      <c r="S9" s="13">
        <f t="shared" si="6"/>
        <v>0</v>
      </c>
      <c r="T9" s="13">
        <f t="shared" si="6"/>
        <v>0</v>
      </c>
      <c r="U9" s="13">
        <f t="shared" si="6"/>
        <v>0</v>
      </c>
      <c r="V9" s="13">
        <f t="shared" si="6"/>
        <v>0</v>
      </c>
      <c r="W9" s="13">
        <f t="shared" si="6"/>
        <v>0</v>
      </c>
      <c r="X9" s="13">
        <f t="shared" si="7"/>
        <v>0</v>
      </c>
      <c r="Y9" s="13">
        <f t="shared" si="7"/>
        <v>0</v>
      </c>
      <c r="Z9" s="13">
        <f t="shared" si="7"/>
        <v>0</v>
      </c>
      <c r="AA9" s="13">
        <f t="shared" si="7"/>
        <v>0</v>
      </c>
      <c r="AB9" s="13">
        <f t="shared" si="7"/>
        <v>0</v>
      </c>
      <c r="AC9" s="13">
        <f t="shared" si="7"/>
        <v>0</v>
      </c>
      <c r="AD9" s="13">
        <f t="shared" si="7"/>
        <v>0</v>
      </c>
      <c r="AE9" s="13">
        <f t="shared" si="7"/>
        <v>0</v>
      </c>
      <c r="AF9" s="13">
        <f t="shared" si="7"/>
        <v>0</v>
      </c>
      <c r="AG9" s="13">
        <f t="shared" si="7"/>
        <v>0</v>
      </c>
      <c r="AH9" s="13">
        <f t="shared" si="7"/>
        <v>0</v>
      </c>
      <c r="AI9" s="13">
        <f t="shared" si="7"/>
        <v>0</v>
      </c>
      <c r="AJ9" s="13">
        <f t="shared" si="7"/>
        <v>0</v>
      </c>
      <c r="AK9" s="13">
        <f t="shared" si="7"/>
        <v>0</v>
      </c>
      <c r="AL9" s="13">
        <f t="shared" si="7"/>
        <v>0</v>
      </c>
      <c r="AM9" s="13">
        <f t="shared" si="7"/>
        <v>0</v>
      </c>
      <c r="AN9" s="13">
        <f t="shared" si="8"/>
        <v>0</v>
      </c>
      <c r="AO9" s="13">
        <f t="shared" si="8"/>
        <v>0</v>
      </c>
      <c r="AP9" s="13">
        <f t="shared" si="8"/>
        <v>0</v>
      </c>
      <c r="AQ9" s="13">
        <f t="shared" si="8"/>
        <v>0</v>
      </c>
      <c r="AR9" s="13">
        <f t="shared" si="8"/>
        <v>0</v>
      </c>
      <c r="AS9" s="13">
        <f t="shared" si="8"/>
        <v>0</v>
      </c>
      <c r="AT9" s="13">
        <f t="shared" si="8"/>
        <v>0</v>
      </c>
      <c r="AU9" s="13">
        <f t="shared" si="8"/>
        <v>0</v>
      </c>
      <c r="AV9" s="13">
        <f t="shared" si="8"/>
        <v>0</v>
      </c>
      <c r="AW9" s="13">
        <f t="shared" si="8"/>
        <v>0</v>
      </c>
      <c r="AX9" s="13">
        <f t="shared" si="8"/>
        <v>0</v>
      </c>
      <c r="AY9" s="13">
        <f t="shared" si="8"/>
        <v>0</v>
      </c>
      <c r="AZ9" s="13">
        <f t="shared" si="8"/>
        <v>0</v>
      </c>
      <c r="BA9" s="13">
        <f t="shared" si="8"/>
        <v>0</v>
      </c>
      <c r="BB9" s="13">
        <f t="shared" si="8"/>
        <v>0</v>
      </c>
      <c r="BC9" s="13">
        <f t="shared" si="8"/>
        <v>0</v>
      </c>
      <c r="BD9" s="13">
        <f t="shared" si="9"/>
        <v>0</v>
      </c>
      <c r="BE9" s="13">
        <f t="shared" si="9"/>
        <v>0</v>
      </c>
      <c r="BF9" s="13">
        <f t="shared" si="9"/>
        <v>0</v>
      </c>
      <c r="BG9" s="13">
        <f t="shared" si="9"/>
        <v>0</v>
      </c>
      <c r="BH9" s="13">
        <f t="shared" si="9"/>
        <v>0</v>
      </c>
      <c r="BI9" s="13">
        <f t="shared" si="9"/>
        <v>0</v>
      </c>
      <c r="BJ9" s="13">
        <f t="shared" si="9"/>
        <v>0</v>
      </c>
      <c r="BK9" s="13">
        <f t="shared" si="9"/>
        <v>0</v>
      </c>
      <c r="BL9" s="13">
        <f t="shared" si="9"/>
        <v>0</v>
      </c>
      <c r="BM9" s="13">
        <f t="shared" si="9"/>
        <v>0</v>
      </c>
      <c r="BN9" s="13">
        <f t="shared" si="9"/>
        <v>0</v>
      </c>
    </row>
    <row r="10" spans="1:66">
      <c r="A10" s="36" t="str">
        <f>BOM!A15</f>
        <v>B93312</v>
      </c>
      <c r="B10" s="36" t="str">
        <f>INDEX('Cloud Price List'!$B$3:$N$1491,MATCH(BOM!$A15,'Cloud Price List'!$A$3:$A$1491,0),1)</f>
        <v>Oracle Cloud Infrastructure - Compute - Optimized - X9 - Memory</v>
      </c>
      <c r="C10" s="780">
        <f>BOM!AL15</f>
        <v>1.4250000000000001E-3</v>
      </c>
      <c r="D10" s="36">
        <f>IF(ISNUMBER(SEARCH("Hour",TEXT(BOM!C15,0))),$B$1,1)</f>
        <v>730</v>
      </c>
      <c r="E10" s="13">
        <f>BOM!AH15</f>
        <v>0</v>
      </c>
      <c r="F10" s="792"/>
      <c r="G10" s="13">
        <f t="shared" si="5"/>
        <v>0</v>
      </c>
      <c r="H10" s="13">
        <f t="shared" si="6"/>
        <v>0</v>
      </c>
      <c r="I10" s="13">
        <f t="shared" si="6"/>
        <v>0</v>
      </c>
      <c r="J10" s="13">
        <f t="shared" si="6"/>
        <v>0</v>
      </c>
      <c r="K10" s="13">
        <f t="shared" si="6"/>
        <v>0</v>
      </c>
      <c r="L10" s="13">
        <f t="shared" si="6"/>
        <v>0</v>
      </c>
      <c r="M10" s="13">
        <f t="shared" si="6"/>
        <v>0</v>
      </c>
      <c r="N10" s="13">
        <f t="shared" si="6"/>
        <v>0</v>
      </c>
      <c r="O10" s="13">
        <f t="shared" si="6"/>
        <v>0</v>
      </c>
      <c r="P10" s="13">
        <f t="shared" si="6"/>
        <v>0</v>
      </c>
      <c r="Q10" s="13">
        <f t="shared" si="6"/>
        <v>0</v>
      </c>
      <c r="R10" s="13">
        <f t="shared" si="6"/>
        <v>0</v>
      </c>
      <c r="S10" s="13">
        <f t="shared" si="6"/>
        <v>0</v>
      </c>
      <c r="T10" s="13">
        <f t="shared" si="6"/>
        <v>0</v>
      </c>
      <c r="U10" s="13">
        <f t="shared" si="6"/>
        <v>0</v>
      </c>
      <c r="V10" s="13">
        <f t="shared" si="6"/>
        <v>0</v>
      </c>
      <c r="W10" s="13">
        <f t="shared" si="6"/>
        <v>0</v>
      </c>
      <c r="X10" s="13">
        <f t="shared" si="7"/>
        <v>0</v>
      </c>
      <c r="Y10" s="13">
        <f t="shared" si="7"/>
        <v>0</v>
      </c>
      <c r="Z10" s="13">
        <f t="shared" si="7"/>
        <v>0</v>
      </c>
      <c r="AA10" s="13">
        <f t="shared" si="7"/>
        <v>0</v>
      </c>
      <c r="AB10" s="13">
        <f t="shared" si="7"/>
        <v>0</v>
      </c>
      <c r="AC10" s="13">
        <f t="shared" si="7"/>
        <v>0</v>
      </c>
      <c r="AD10" s="13">
        <f t="shared" si="7"/>
        <v>0</v>
      </c>
      <c r="AE10" s="13">
        <f t="shared" si="7"/>
        <v>0</v>
      </c>
      <c r="AF10" s="13">
        <f t="shared" si="7"/>
        <v>0</v>
      </c>
      <c r="AG10" s="13">
        <f t="shared" si="7"/>
        <v>0</v>
      </c>
      <c r="AH10" s="13">
        <f t="shared" si="7"/>
        <v>0</v>
      </c>
      <c r="AI10" s="13">
        <f t="shared" si="7"/>
        <v>0</v>
      </c>
      <c r="AJ10" s="13">
        <f t="shared" si="7"/>
        <v>0</v>
      </c>
      <c r="AK10" s="13">
        <f t="shared" si="7"/>
        <v>0</v>
      </c>
      <c r="AL10" s="13">
        <f t="shared" si="7"/>
        <v>0</v>
      </c>
      <c r="AM10" s="13">
        <f t="shared" si="7"/>
        <v>0</v>
      </c>
      <c r="AN10" s="13">
        <f t="shared" si="8"/>
        <v>0</v>
      </c>
      <c r="AO10" s="13">
        <f t="shared" si="8"/>
        <v>0</v>
      </c>
      <c r="AP10" s="13">
        <f t="shared" si="8"/>
        <v>0</v>
      </c>
      <c r="AQ10" s="13">
        <f t="shared" si="8"/>
        <v>0</v>
      </c>
      <c r="AR10" s="13">
        <f t="shared" si="8"/>
        <v>0</v>
      </c>
      <c r="AS10" s="13">
        <f t="shared" si="8"/>
        <v>0</v>
      </c>
      <c r="AT10" s="13">
        <f t="shared" si="8"/>
        <v>0</v>
      </c>
      <c r="AU10" s="13">
        <f t="shared" si="8"/>
        <v>0</v>
      </c>
      <c r="AV10" s="13">
        <f t="shared" si="8"/>
        <v>0</v>
      </c>
      <c r="AW10" s="13">
        <f t="shared" si="8"/>
        <v>0</v>
      </c>
      <c r="AX10" s="13">
        <f t="shared" si="8"/>
        <v>0</v>
      </c>
      <c r="AY10" s="13">
        <f t="shared" si="8"/>
        <v>0</v>
      </c>
      <c r="AZ10" s="13">
        <f t="shared" si="8"/>
        <v>0</v>
      </c>
      <c r="BA10" s="13">
        <f t="shared" si="8"/>
        <v>0</v>
      </c>
      <c r="BB10" s="13">
        <f t="shared" si="8"/>
        <v>0</v>
      </c>
      <c r="BC10" s="13">
        <f t="shared" si="8"/>
        <v>0</v>
      </c>
      <c r="BD10" s="13">
        <f t="shared" si="9"/>
        <v>0</v>
      </c>
      <c r="BE10" s="13">
        <f t="shared" si="9"/>
        <v>0</v>
      </c>
      <c r="BF10" s="13">
        <f t="shared" si="9"/>
        <v>0</v>
      </c>
      <c r="BG10" s="13">
        <f t="shared" si="9"/>
        <v>0</v>
      </c>
      <c r="BH10" s="13">
        <f t="shared" si="9"/>
        <v>0</v>
      </c>
      <c r="BI10" s="13">
        <f t="shared" si="9"/>
        <v>0</v>
      </c>
      <c r="BJ10" s="13">
        <f t="shared" si="9"/>
        <v>0</v>
      </c>
      <c r="BK10" s="13">
        <f t="shared" si="9"/>
        <v>0</v>
      </c>
      <c r="BL10" s="13">
        <f t="shared" si="9"/>
        <v>0</v>
      </c>
      <c r="BM10" s="13">
        <f t="shared" si="9"/>
        <v>0</v>
      </c>
      <c r="BN10" s="13">
        <f t="shared" si="9"/>
        <v>0</v>
      </c>
    </row>
    <row r="11" spans="1:66">
      <c r="A11" s="36" t="str">
        <f>BOM!A16</f>
        <v>B93113</v>
      </c>
      <c r="B11" s="36" t="str">
        <f>INDEX('Cloud Price List'!$B$3:$N$1491,MATCH(BOM!$A16,'Cloud Price List'!$A$3:$A$1491,0),1)</f>
        <v>Oracle Cloud Infrastructure - Compute - Standard - E4</v>
      </c>
      <c r="C11" s="780">
        <f>BOM!AL16</f>
        <v>2.375E-2</v>
      </c>
      <c r="D11" s="36">
        <f>IF(ISNUMBER(SEARCH("Hour",TEXT(BOM!C16,0))),$B$1,1)</f>
        <v>730</v>
      </c>
      <c r="E11" s="13">
        <f>BOM!AH16</f>
        <v>13</v>
      </c>
      <c r="F11" s="792"/>
      <c r="G11" s="13">
        <f t="shared" si="5"/>
        <v>13</v>
      </c>
      <c r="H11" s="13">
        <f t="shared" si="6"/>
        <v>13</v>
      </c>
      <c r="I11" s="13">
        <f t="shared" si="6"/>
        <v>13</v>
      </c>
      <c r="J11" s="13">
        <f t="shared" si="6"/>
        <v>13</v>
      </c>
      <c r="K11" s="13">
        <f t="shared" si="6"/>
        <v>13</v>
      </c>
      <c r="L11" s="13">
        <f t="shared" si="6"/>
        <v>13</v>
      </c>
      <c r="M11" s="13">
        <f t="shared" si="6"/>
        <v>13</v>
      </c>
      <c r="N11" s="13">
        <f t="shared" si="6"/>
        <v>13</v>
      </c>
      <c r="O11" s="13">
        <f t="shared" si="6"/>
        <v>13</v>
      </c>
      <c r="P11" s="13">
        <f t="shared" si="6"/>
        <v>13</v>
      </c>
      <c r="Q11" s="13">
        <f t="shared" si="6"/>
        <v>13</v>
      </c>
      <c r="R11" s="13">
        <f t="shared" si="6"/>
        <v>13</v>
      </c>
      <c r="S11" s="13">
        <f t="shared" si="6"/>
        <v>13</v>
      </c>
      <c r="T11" s="13">
        <f t="shared" si="6"/>
        <v>13</v>
      </c>
      <c r="U11" s="13">
        <f t="shared" si="6"/>
        <v>13</v>
      </c>
      <c r="V11" s="13">
        <f t="shared" si="6"/>
        <v>13</v>
      </c>
      <c r="W11" s="13">
        <f t="shared" si="6"/>
        <v>13</v>
      </c>
      <c r="X11" s="13">
        <f t="shared" si="7"/>
        <v>13</v>
      </c>
      <c r="Y11" s="13">
        <f t="shared" si="7"/>
        <v>13</v>
      </c>
      <c r="Z11" s="13">
        <f t="shared" si="7"/>
        <v>13</v>
      </c>
      <c r="AA11" s="13">
        <f t="shared" si="7"/>
        <v>13</v>
      </c>
      <c r="AB11" s="13">
        <f t="shared" si="7"/>
        <v>13</v>
      </c>
      <c r="AC11" s="13">
        <f t="shared" si="7"/>
        <v>13</v>
      </c>
      <c r="AD11" s="13">
        <f t="shared" si="7"/>
        <v>13</v>
      </c>
      <c r="AE11" s="13">
        <f t="shared" si="7"/>
        <v>13</v>
      </c>
      <c r="AF11" s="13">
        <f t="shared" si="7"/>
        <v>13</v>
      </c>
      <c r="AG11" s="13">
        <f t="shared" si="7"/>
        <v>13</v>
      </c>
      <c r="AH11" s="13">
        <f t="shared" si="7"/>
        <v>13</v>
      </c>
      <c r="AI11" s="13">
        <f t="shared" si="7"/>
        <v>13</v>
      </c>
      <c r="AJ11" s="13">
        <f t="shared" si="7"/>
        <v>13</v>
      </c>
      <c r="AK11" s="13">
        <f t="shared" si="7"/>
        <v>13</v>
      </c>
      <c r="AL11" s="13">
        <f t="shared" si="7"/>
        <v>13</v>
      </c>
      <c r="AM11" s="13">
        <f t="shared" si="7"/>
        <v>13</v>
      </c>
      <c r="AN11" s="13">
        <f t="shared" si="8"/>
        <v>13</v>
      </c>
      <c r="AO11" s="13">
        <f t="shared" si="8"/>
        <v>13</v>
      </c>
      <c r="AP11" s="13">
        <f t="shared" si="8"/>
        <v>13</v>
      </c>
      <c r="AQ11" s="13">
        <f t="shared" si="8"/>
        <v>13</v>
      </c>
      <c r="AR11" s="13">
        <f t="shared" si="8"/>
        <v>13</v>
      </c>
      <c r="AS11" s="13">
        <f t="shared" si="8"/>
        <v>13</v>
      </c>
      <c r="AT11" s="13">
        <f t="shared" si="8"/>
        <v>13</v>
      </c>
      <c r="AU11" s="13">
        <f t="shared" si="8"/>
        <v>13</v>
      </c>
      <c r="AV11" s="13">
        <f t="shared" si="8"/>
        <v>13</v>
      </c>
      <c r="AW11" s="13">
        <f t="shared" si="8"/>
        <v>13</v>
      </c>
      <c r="AX11" s="13">
        <f t="shared" si="8"/>
        <v>13</v>
      </c>
      <c r="AY11" s="13">
        <f t="shared" si="8"/>
        <v>13</v>
      </c>
      <c r="AZ11" s="13">
        <f t="shared" si="8"/>
        <v>13</v>
      </c>
      <c r="BA11" s="13">
        <f t="shared" si="8"/>
        <v>13</v>
      </c>
      <c r="BB11" s="13">
        <f t="shared" si="8"/>
        <v>13</v>
      </c>
      <c r="BC11" s="13">
        <f t="shared" si="8"/>
        <v>13</v>
      </c>
      <c r="BD11" s="13">
        <f t="shared" si="9"/>
        <v>13</v>
      </c>
      <c r="BE11" s="13">
        <f t="shared" si="9"/>
        <v>13</v>
      </c>
      <c r="BF11" s="13">
        <f t="shared" si="9"/>
        <v>13</v>
      </c>
      <c r="BG11" s="13">
        <f t="shared" si="9"/>
        <v>13</v>
      </c>
      <c r="BH11" s="13">
        <f t="shared" si="9"/>
        <v>13</v>
      </c>
      <c r="BI11" s="13">
        <f t="shared" si="9"/>
        <v>13</v>
      </c>
      <c r="BJ11" s="13">
        <f t="shared" si="9"/>
        <v>13</v>
      </c>
      <c r="BK11" s="13">
        <f t="shared" si="9"/>
        <v>13</v>
      </c>
      <c r="BL11" s="13">
        <f t="shared" si="9"/>
        <v>13</v>
      </c>
      <c r="BM11" s="13">
        <f t="shared" si="9"/>
        <v>13</v>
      </c>
      <c r="BN11" s="13">
        <f t="shared" si="9"/>
        <v>13</v>
      </c>
    </row>
    <row r="12" spans="1:66">
      <c r="A12" s="36" t="str">
        <f>BOM!A17</f>
        <v>B93114</v>
      </c>
      <c r="B12" s="36" t="str">
        <f>INDEX('Cloud Price List'!$B$3:$N$1491,MATCH(BOM!$A17,'Cloud Price List'!$A$3:$A$1491,0),1)</f>
        <v>Oracle Cloud Infrastructure - Compute - Standard - E4  - Memory</v>
      </c>
      <c r="C12" s="780">
        <f>BOM!AL17</f>
        <v>1.4250000000000001E-3</v>
      </c>
      <c r="D12" s="36">
        <f>IF(ISNUMBER(SEARCH("Hour",TEXT(BOM!C17,0))),$B$1,1)</f>
        <v>730</v>
      </c>
      <c r="E12" s="13">
        <f>BOM!AH17</f>
        <v>208</v>
      </c>
      <c r="F12" s="792"/>
      <c r="G12" s="13">
        <f t="shared" si="5"/>
        <v>208</v>
      </c>
      <c r="H12" s="13">
        <f t="shared" si="6"/>
        <v>208</v>
      </c>
      <c r="I12" s="13">
        <f t="shared" si="6"/>
        <v>208</v>
      </c>
      <c r="J12" s="13">
        <f t="shared" si="6"/>
        <v>208</v>
      </c>
      <c r="K12" s="13">
        <f t="shared" si="6"/>
        <v>208</v>
      </c>
      <c r="L12" s="13">
        <f t="shared" si="6"/>
        <v>208</v>
      </c>
      <c r="M12" s="13">
        <f t="shared" si="6"/>
        <v>208</v>
      </c>
      <c r="N12" s="13">
        <f t="shared" si="6"/>
        <v>208</v>
      </c>
      <c r="O12" s="13">
        <f t="shared" si="6"/>
        <v>208</v>
      </c>
      <c r="P12" s="13">
        <f t="shared" si="6"/>
        <v>208</v>
      </c>
      <c r="Q12" s="13">
        <f t="shared" si="6"/>
        <v>208</v>
      </c>
      <c r="R12" s="13">
        <f t="shared" si="6"/>
        <v>208</v>
      </c>
      <c r="S12" s="13">
        <f t="shared" si="6"/>
        <v>208</v>
      </c>
      <c r="T12" s="13">
        <f t="shared" si="6"/>
        <v>208</v>
      </c>
      <c r="U12" s="13">
        <f t="shared" si="6"/>
        <v>208</v>
      </c>
      <c r="V12" s="13">
        <f t="shared" si="6"/>
        <v>208</v>
      </c>
      <c r="W12" s="13">
        <f t="shared" si="6"/>
        <v>208</v>
      </c>
      <c r="X12" s="13">
        <f t="shared" si="7"/>
        <v>208</v>
      </c>
      <c r="Y12" s="13">
        <f t="shared" si="7"/>
        <v>208</v>
      </c>
      <c r="Z12" s="13">
        <f t="shared" si="7"/>
        <v>208</v>
      </c>
      <c r="AA12" s="13">
        <f t="shared" si="7"/>
        <v>208</v>
      </c>
      <c r="AB12" s="13">
        <f t="shared" si="7"/>
        <v>208</v>
      </c>
      <c r="AC12" s="13">
        <f t="shared" si="7"/>
        <v>208</v>
      </c>
      <c r="AD12" s="13">
        <f t="shared" si="7"/>
        <v>208</v>
      </c>
      <c r="AE12" s="13">
        <f t="shared" si="7"/>
        <v>208</v>
      </c>
      <c r="AF12" s="13">
        <f t="shared" si="7"/>
        <v>208</v>
      </c>
      <c r="AG12" s="13">
        <f t="shared" si="7"/>
        <v>208</v>
      </c>
      <c r="AH12" s="13">
        <f t="shared" si="7"/>
        <v>208</v>
      </c>
      <c r="AI12" s="13">
        <f t="shared" si="7"/>
        <v>208</v>
      </c>
      <c r="AJ12" s="13">
        <f t="shared" si="7"/>
        <v>208</v>
      </c>
      <c r="AK12" s="13">
        <f t="shared" si="7"/>
        <v>208</v>
      </c>
      <c r="AL12" s="13">
        <f t="shared" si="7"/>
        <v>208</v>
      </c>
      <c r="AM12" s="13">
        <f t="shared" si="7"/>
        <v>208</v>
      </c>
      <c r="AN12" s="13">
        <f t="shared" si="8"/>
        <v>208</v>
      </c>
      <c r="AO12" s="13">
        <f t="shared" si="8"/>
        <v>208</v>
      </c>
      <c r="AP12" s="13">
        <f t="shared" si="8"/>
        <v>208</v>
      </c>
      <c r="AQ12" s="13">
        <f t="shared" si="8"/>
        <v>208</v>
      </c>
      <c r="AR12" s="13">
        <f t="shared" si="8"/>
        <v>208</v>
      </c>
      <c r="AS12" s="13">
        <f t="shared" si="8"/>
        <v>208</v>
      </c>
      <c r="AT12" s="13">
        <f t="shared" si="8"/>
        <v>208</v>
      </c>
      <c r="AU12" s="13">
        <f t="shared" si="8"/>
        <v>208</v>
      </c>
      <c r="AV12" s="13">
        <f t="shared" si="8"/>
        <v>208</v>
      </c>
      <c r="AW12" s="13">
        <f t="shared" si="8"/>
        <v>208</v>
      </c>
      <c r="AX12" s="13">
        <f t="shared" si="8"/>
        <v>208</v>
      </c>
      <c r="AY12" s="13">
        <f t="shared" si="8"/>
        <v>208</v>
      </c>
      <c r="AZ12" s="13">
        <f t="shared" si="8"/>
        <v>208</v>
      </c>
      <c r="BA12" s="13">
        <f t="shared" si="8"/>
        <v>208</v>
      </c>
      <c r="BB12" s="13">
        <f t="shared" si="8"/>
        <v>208</v>
      </c>
      <c r="BC12" s="13">
        <f t="shared" si="8"/>
        <v>208</v>
      </c>
      <c r="BD12" s="13">
        <f t="shared" si="9"/>
        <v>208</v>
      </c>
      <c r="BE12" s="13">
        <f t="shared" si="9"/>
        <v>208</v>
      </c>
      <c r="BF12" s="13">
        <f t="shared" si="9"/>
        <v>208</v>
      </c>
      <c r="BG12" s="13">
        <f t="shared" si="9"/>
        <v>208</v>
      </c>
      <c r="BH12" s="13">
        <f t="shared" si="9"/>
        <v>208</v>
      </c>
      <c r="BI12" s="13">
        <f t="shared" si="9"/>
        <v>208</v>
      </c>
      <c r="BJ12" s="13">
        <f t="shared" si="9"/>
        <v>208</v>
      </c>
      <c r="BK12" s="13">
        <f t="shared" si="9"/>
        <v>208</v>
      </c>
      <c r="BL12" s="13">
        <f t="shared" si="9"/>
        <v>208</v>
      </c>
      <c r="BM12" s="13">
        <f t="shared" si="9"/>
        <v>208</v>
      </c>
      <c r="BN12" s="13">
        <f t="shared" si="9"/>
        <v>208</v>
      </c>
    </row>
    <row r="13" spans="1:66">
      <c r="A13" s="36" t="str">
        <f>BOM!A18</f>
        <v>B88318</v>
      </c>
      <c r="B13" s="36" t="str">
        <f>INDEX('Cloud Price List'!$B$3:$N$1491,MATCH(BOM!$A18,'Cloud Price List'!$A$3:$A$1491,0),1)</f>
        <v>Oracle Cloud Infrastructure - Compute - Windows OS</v>
      </c>
      <c r="C13" s="780">
        <f>BOM!AL18</f>
        <v>9.1999999999999998E-2</v>
      </c>
      <c r="D13" s="36">
        <f>IF(ISNUMBER(SEARCH("Hour",TEXT(BOM!C18,0))),$B$1,1)</f>
        <v>730</v>
      </c>
      <c r="E13" s="13">
        <f>BOM!AH18</f>
        <v>0</v>
      </c>
      <c r="F13" s="792"/>
      <c r="G13" s="13">
        <f t="shared" si="5"/>
        <v>0</v>
      </c>
      <c r="H13" s="13">
        <f t="shared" si="6"/>
        <v>0</v>
      </c>
      <c r="I13" s="13">
        <f t="shared" si="6"/>
        <v>0</v>
      </c>
      <c r="J13" s="13">
        <f t="shared" si="6"/>
        <v>0</v>
      </c>
      <c r="K13" s="13">
        <f t="shared" si="6"/>
        <v>0</v>
      </c>
      <c r="L13" s="13">
        <f t="shared" si="6"/>
        <v>0</v>
      </c>
      <c r="M13" s="13">
        <f t="shared" si="6"/>
        <v>0</v>
      </c>
      <c r="N13" s="13">
        <f t="shared" si="6"/>
        <v>0</v>
      </c>
      <c r="O13" s="13">
        <f t="shared" si="6"/>
        <v>0</v>
      </c>
      <c r="P13" s="13">
        <f t="shared" si="6"/>
        <v>0</v>
      </c>
      <c r="Q13" s="13">
        <f t="shared" si="6"/>
        <v>0</v>
      </c>
      <c r="R13" s="13">
        <f t="shared" si="6"/>
        <v>0</v>
      </c>
      <c r="S13" s="13">
        <f t="shared" si="6"/>
        <v>0</v>
      </c>
      <c r="T13" s="13">
        <f t="shared" si="6"/>
        <v>0</v>
      </c>
      <c r="U13" s="13">
        <f t="shared" si="6"/>
        <v>0</v>
      </c>
      <c r="V13" s="13">
        <f t="shared" si="6"/>
        <v>0</v>
      </c>
      <c r="W13" s="13">
        <f t="shared" si="6"/>
        <v>0</v>
      </c>
      <c r="X13" s="13">
        <f t="shared" si="7"/>
        <v>0</v>
      </c>
      <c r="Y13" s="13">
        <f t="shared" si="7"/>
        <v>0</v>
      </c>
      <c r="Z13" s="13">
        <f t="shared" si="7"/>
        <v>0</v>
      </c>
      <c r="AA13" s="13">
        <f t="shared" si="7"/>
        <v>0</v>
      </c>
      <c r="AB13" s="13">
        <f t="shared" si="7"/>
        <v>0</v>
      </c>
      <c r="AC13" s="13">
        <f t="shared" si="7"/>
        <v>0</v>
      </c>
      <c r="AD13" s="13">
        <f t="shared" si="7"/>
        <v>0</v>
      </c>
      <c r="AE13" s="13">
        <f t="shared" si="7"/>
        <v>0</v>
      </c>
      <c r="AF13" s="13">
        <f t="shared" si="7"/>
        <v>0</v>
      </c>
      <c r="AG13" s="13">
        <f t="shared" si="7"/>
        <v>0</v>
      </c>
      <c r="AH13" s="13">
        <f t="shared" si="7"/>
        <v>0</v>
      </c>
      <c r="AI13" s="13">
        <f t="shared" si="7"/>
        <v>0</v>
      </c>
      <c r="AJ13" s="13">
        <f t="shared" si="7"/>
        <v>0</v>
      </c>
      <c r="AK13" s="13">
        <f t="shared" si="7"/>
        <v>0</v>
      </c>
      <c r="AL13" s="13">
        <f t="shared" si="7"/>
        <v>0</v>
      </c>
      <c r="AM13" s="13">
        <f t="shared" si="7"/>
        <v>0</v>
      </c>
      <c r="AN13" s="13">
        <f t="shared" si="8"/>
        <v>0</v>
      </c>
      <c r="AO13" s="13">
        <f t="shared" si="8"/>
        <v>0</v>
      </c>
      <c r="AP13" s="13">
        <f t="shared" si="8"/>
        <v>0</v>
      </c>
      <c r="AQ13" s="13">
        <f t="shared" si="8"/>
        <v>0</v>
      </c>
      <c r="AR13" s="13">
        <f t="shared" si="8"/>
        <v>0</v>
      </c>
      <c r="AS13" s="13">
        <f t="shared" si="8"/>
        <v>0</v>
      </c>
      <c r="AT13" s="13">
        <f t="shared" si="8"/>
        <v>0</v>
      </c>
      <c r="AU13" s="13">
        <f t="shared" si="8"/>
        <v>0</v>
      </c>
      <c r="AV13" s="13">
        <f t="shared" si="8"/>
        <v>0</v>
      </c>
      <c r="AW13" s="13">
        <f t="shared" si="8"/>
        <v>0</v>
      </c>
      <c r="AX13" s="13">
        <f t="shared" si="8"/>
        <v>0</v>
      </c>
      <c r="AY13" s="13">
        <f t="shared" si="8"/>
        <v>0</v>
      </c>
      <c r="AZ13" s="13">
        <f t="shared" si="8"/>
        <v>0</v>
      </c>
      <c r="BA13" s="13">
        <f t="shared" si="8"/>
        <v>0</v>
      </c>
      <c r="BB13" s="13">
        <f t="shared" si="8"/>
        <v>0</v>
      </c>
      <c r="BC13" s="13">
        <f t="shared" si="8"/>
        <v>0</v>
      </c>
      <c r="BD13" s="13">
        <f t="shared" si="9"/>
        <v>0</v>
      </c>
      <c r="BE13" s="13">
        <f t="shared" si="9"/>
        <v>0</v>
      </c>
      <c r="BF13" s="13">
        <f t="shared" si="9"/>
        <v>0</v>
      </c>
      <c r="BG13" s="13">
        <f t="shared" si="9"/>
        <v>0</v>
      </c>
      <c r="BH13" s="13">
        <f t="shared" si="9"/>
        <v>0</v>
      </c>
      <c r="BI13" s="13">
        <f t="shared" si="9"/>
        <v>0</v>
      </c>
      <c r="BJ13" s="13">
        <f t="shared" si="9"/>
        <v>0</v>
      </c>
      <c r="BK13" s="13">
        <f t="shared" si="9"/>
        <v>0</v>
      </c>
      <c r="BL13" s="13">
        <f t="shared" si="9"/>
        <v>0</v>
      </c>
      <c r="BM13" s="13">
        <f t="shared" si="9"/>
        <v>0</v>
      </c>
      <c r="BN13" s="13">
        <f t="shared" si="9"/>
        <v>0</v>
      </c>
    </row>
    <row r="14" spans="1:66">
      <c r="A14" s="36" t="str">
        <f>BOM!A19</f>
        <v>B91961</v>
      </c>
      <c r="B14" s="36" t="str">
        <f>INDEX('Cloud Price List'!$B$3:$N$1491,MATCH(BOM!$A19,'Cloud Price List'!$A$3:$A$1491,0),1)</f>
        <v xml:space="preserve">Oracle Cloud Infrastructure - Block Volume Storage </v>
      </c>
      <c r="C14" s="780">
        <f>BOM!AL19</f>
        <v>2.4224999999999997E-2</v>
      </c>
      <c r="D14" s="36">
        <f>IF(ISNUMBER(SEARCH("Hour",TEXT(BOM!C19,0))),$B$1,1)</f>
        <v>1</v>
      </c>
      <c r="E14" s="13">
        <f>BOM!AH19</f>
        <v>1450</v>
      </c>
      <c r="F14" s="792"/>
      <c r="G14" s="13">
        <f t="shared" si="5"/>
        <v>1450</v>
      </c>
      <c r="H14" s="13">
        <f t="shared" si="5"/>
        <v>1450</v>
      </c>
      <c r="I14" s="13">
        <f t="shared" si="5"/>
        <v>1450</v>
      </c>
      <c r="J14" s="13">
        <f t="shared" si="5"/>
        <v>1450</v>
      </c>
      <c r="K14" s="13">
        <f t="shared" si="5"/>
        <v>1450</v>
      </c>
      <c r="L14" s="13">
        <f t="shared" si="5"/>
        <v>1450</v>
      </c>
      <c r="M14" s="13">
        <f t="shared" si="5"/>
        <v>1450</v>
      </c>
      <c r="N14" s="13">
        <f t="shared" si="5"/>
        <v>1450</v>
      </c>
      <c r="O14" s="13">
        <f t="shared" si="5"/>
        <v>1450</v>
      </c>
      <c r="P14" s="13">
        <f t="shared" si="5"/>
        <v>1450</v>
      </c>
      <c r="Q14" s="13">
        <f t="shared" si="5"/>
        <v>1450</v>
      </c>
      <c r="R14" s="13">
        <f t="shared" si="5"/>
        <v>1450</v>
      </c>
      <c r="S14" s="13">
        <f t="shared" si="5"/>
        <v>1450</v>
      </c>
      <c r="T14" s="13">
        <f t="shared" si="5"/>
        <v>1450</v>
      </c>
      <c r="U14" s="13">
        <f t="shared" si="5"/>
        <v>1450</v>
      </c>
      <c r="V14" s="13">
        <f t="shared" si="5"/>
        <v>1450</v>
      </c>
      <c r="W14" s="13">
        <f t="shared" ref="W14" si="10">$E14</f>
        <v>1450</v>
      </c>
      <c r="X14" s="13">
        <f t="shared" si="7"/>
        <v>1450</v>
      </c>
      <c r="Y14" s="13">
        <f t="shared" si="7"/>
        <v>1450</v>
      </c>
      <c r="Z14" s="13">
        <f t="shared" si="7"/>
        <v>1450</v>
      </c>
      <c r="AA14" s="13">
        <f t="shared" si="7"/>
        <v>1450</v>
      </c>
      <c r="AB14" s="13">
        <f t="shared" si="7"/>
        <v>1450</v>
      </c>
      <c r="AC14" s="13">
        <f t="shared" si="7"/>
        <v>1450</v>
      </c>
      <c r="AD14" s="13">
        <f t="shared" si="7"/>
        <v>1450</v>
      </c>
      <c r="AE14" s="13">
        <f t="shared" si="7"/>
        <v>1450</v>
      </c>
      <c r="AF14" s="13">
        <f t="shared" si="7"/>
        <v>1450</v>
      </c>
      <c r="AG14" s="13">
        <f t="shared" si="7"/>
        <v>1450</v>
      </c>
      <c r="AH14" s="13">
        <f t="shared" si="7"/>
        <v>1450</v>
      </c>
      <c r="AI14" s="13">
        <f t="shared" si="7"/>
        <v>1450</v>
      </c>
      <c r="AJ14" s="13">
        <f t="shared" si="7"/>
        <v>1450</v>
      </c>
      <c r="AK14" s="13">
        <f t="shared" si="7"/>
        <v>1450</v>
      </c>
      <c r="AL14" s="13">
        <f t="shared" si="7"/>
        <v>1450</v>
      </c>
      <c r="AM14" s="13">
        <f t="shared" si="7"/>
        <v>1450</v>
      </c>
      <c r="AN14" s="13">
        <f t="shared" si="8"/>
        <v>1450</v>
      </c>
      <c r="AO14" s="13">
        <f t="shared" si="8"/>
        <v>1450</v>
      </c>
      <c r="AP14" s="13">
        <f t="shared" si="8"/>
        <v>1450</v>
      </c>
      <c r="AQ14" s="13">
        <f t="shared" si="8"/>
        <v>1450</v>
      </c>
      <c r="AR14" s="13">
        <f t="shared" si="8"/>
        <v>1450</v>
      </c>
      <c r="AS14" s="13">
        <f t="shared" si="8"/>
        <v>1450</v>
      </c>
      <c r="AT14" s="13">
        <f t="shared" si="8"/>
        <v>1450</v>
      </c>
      <c r="AU14" s="13">
        <f t="shared" si="8"/>
        <v>1450</v>
      </c>
      <c r="AV14" s="13">
        <f t="shared" si="8"/>
        <v>1450</v>
      </c>
      <c r="AW14" s="13">
        <f t="shared" si="8"/>
        <v>1450</v>
      </c>
      <c r="AX14" s="13">
        <f t="shared" si="8"/>
        <v>1450</v>
      </c>
      <c r="AY14" s="13">
        <f t="shared" si="8"/>
        <v>1450</v>
      </c>
      <c r="AZ14" s="13">
        <f t="shared" si="8"/>
        <v>1450</v>
      </c>
      <c r="BA14" s="13">
        <f t="shared" si="8"/>
        <v>1450</v>
      </c>
      <c r="BB14" s="13">
        <f t="shared" si="8"/>
        <v>1450</v>
      </c>
      <c r="BC14" s="13">
        <f t="shared" si="8"/>
        <v>1450</v>
      </c>
      <c r="BD14" s="13">
        <f t="shared" si="9"/>
        <v>1450</v>
      </c>
      <c r="BE14" s="13">
        <f t="shared" si="9"/>
        <v>1450</v>
      </c>
      <c r="BF14" s="13">
        <f t="shared" si="9"/>
        <v>1450</v>
      </c>
      <c r="BG14" s="13">
        <f t="shared" si="9"/>
        <v>1450</v>
      </c>
      <c r="BH14" s="13">
        <f t="shared" si="9"/>
        <v>1450</v>
      </c>
      <c r="BI14" s="13">
        <f t="shared" si="9"/>
        <v>1450</v>
      </c>
      <c r="BJ14" s="13">
        <f t="shared" si="9"/>
        <v>1450</v>
      </c>
      <c r="BK14" s="13">
        <f t="shared" si="9"/>
        <v>1450</v>
      </c>
      <c r="BL14" s="13">
        <f t="shared" si="9"/>
        <v>1450</v>
      </c>
      <c r="BM14" s="13">
        <f t="shared" si="9"/>
        <v>1450</v>
      </c>
      <c r="BN14" s="13">
        <f t="shared" si="9"/>
        <v>1450</v>
      </c>
    </row>
    <row r="15" spans="1:66">
      <c r="A15" s="36" t="str">
        <f>BOM!A20</f>
        <v>B91962</v>
      </c>
      <c r="B15" s="36" t="str">
        <f>INDEX('Cloud Price List'!$B$3:$N$1491,MATCH(BOM!$A20,'Cloud Price List'!$A$3:$A$1491,0),1)</f>
        <v>Oracle Cloud Infrastructure - Block Volume Performance</v>
      </c>
      <c r="C15" s="780">
        <f>BOM!AL20</f>
        <v>1.6149999999999999E-3</v>
      </c>
      <c r="D15" s="36">
        <f>IF(ISNUMBER(SEARCH("Hour",TEXT(BOM!C20,0))),$B$1,1)</f>
        <v>1</v>
      </c>
      <c r="E15" s="13">
        <f>BOM!AH20</f>
        <v>14500</v>
      </c>
      <c r="F15" s="792"/>
      <c r="G15" s="13">
        <f t="shared" si="5"/>
        <v>14500</v>
      </c>
      <c r="H15" s="13">
        <f t="shared" si="6"/>
        <v>14500</v>
      </c>
      <c r="I15" s="13">
        <f t="shared" si="6"/>
        <v>14500</v>
      </c>
      <c r="J15" s="13">
        <f t="shared" si="6"/>
        <v>14500</v>
      </c>
      <c r="K15" s="13">
        <f t="shared" si="6"/>
        <v>14500</v>
      </c>
      <c r="L15" s="13">
        <f t="shared" si="6"/>
        <v>14500</v>
      </c>
      <c r="M15" s="13">
        <f t="shared" si="6"/>
        <v>14500</v>
      </c>
      <c r="N15" s="13">
        <f t="shared" si="6"/>
        <v>14500</v>
      </c>
      <c r="O15" s="13">
        <f t="shared" si="6"/>
        <v>14500</v>
      </c>
      <c r="P15" s="13">
        <f t="shared" si="6"/>
        <v>14500</v>
      </c>
      <c r="Q15" s="13">
        <f t="shared" si="6"/>
        <v>14500</v>
      </c>
      <c r="R15" s="13">
        <f t="shared" si="6"/>
        <v>14500</v>
      </c>
      <c r="S15" s="13">
        <f t="shared" si="6"/>
        <v>14500</v>
      </c>
      <c r="T15" s="13">
        <f t="shared" si="6"/>
        <v>14500</v>
      </c>
      <c r="U15" s="13">
        <f t="shared" si="6"/>
        <v>14500</v>
      </c>
      <c r="V15" s="13">
        <f t="shared" si="6"/>
        <v>14500</v>
      </c>
      <c r="W15" s="13">
        <f t="shared" si="6"/>
        <v>14500</v>
      </c>
      <c r="X15" s="13">
        <f t="shared" si="7"/>
        <v>14500</v>
      </c>
      <c r="Y15" s="13">
        <f t="shared" si="7"/>
        <v>14500</v>
      </c>
      <c r="Z15" s="13">
        <f t="shared" si="7"/>
        <v>14500</v>
      </c>
      <c r="AA15" s="13">
        <f t="shared" si="7"/>
        <v>14500</v>
      </c>
      <c r="AB15" s="13">
        <f t="shared" si="7"/>
        <v>14500</v>
      </c>
      <c r="AC15" s="13">
        <f t="shared" si="7"/>
        <v>14500</v>
      </c>
      <c r="AD15" s="13">
        <f t="shared" si="7"/>
        <v>14500</v>
      </c>
      <c r="AE15" s="13">
        <f t="shared" si="7"/>
        <v>14500</v>
      </c>
      <c r="AF15" s="13">
        <f t="shared" si="7"/>
        <v>14500</v>
      </c>
      <c r="AG15" s="13">
        <f t="shared" si="7"/>
        <v>14500</v>
      </c>
      <c r="AH15" s="13">
        <f t="shared" si="7"/>
        <v>14500</v>
      </c>
      <c r="AI15" s="13">
        <f t="shared" si="7"/>
        <v>14500</v>
      </c>
      <c r="AJ15" s="13">
        <f t="shared" si="7"/>
        <v>14500</v>
      </c>
      <c r="AK15" s="13">
        <f t="shared" si="7"/>
        <v>14500</v>
      </c>
      <c r="AL15" s="13">
        <f t="shared" si="7"/>
        <v>14500</v>
      </c>
      <c r="AM15" s="13">
        <f t="shared" si="7"/>
        <v>14500</v>
      </c>
      <c r="AN15" s="13">
        <f t="shared" si="8"/>
        <v>14500</v>
      </c>
      <c r="AO15" s="13">
        <f t="shared" si="8"/>
        <v>14500</v>
      </c>
      <c r="AP15" s="13">
        <f t="shared" si="8"/>
        <v>14500</v>
      </c>
      <c r="AQ15" s="13">
        <f t="shared" si="8"/>
        <v>14500</v>
      </c>
      <c r="AR15" s="13">
        <f t="shared" si="8"/>
        <v>14500</v>
      </c>
      <c r="AS15" s="13">
        <f t="shared" si="8"/>
        <v>14500</v>
      </c>
      <c r="AT15" s="13">
        <f t="shared" si="8"/>
        <v>14500</v>
      </c>
      <c r="AU15" s="13">
        <f t="shared" si="8"/>
        <v>14500</v>
      </c>
      <c r="AV15" s="13">
        <f t="shared" si="8"/>
        <v>14500</v>
      </c>
      <c r="AW15" s="13">
        <f t="shared" si="8"/>
        <v>14500</v>
      </c>
      <c r="AX15" s="13">
        <f t="shared" si="8"/>
        <v>14500</v>
      </c>
      <c r="AY15" s="13">
        <f t="shared" si="8"/>
        <v>14500</v>
      </c>
      <c r="AZ15" s="13">
        <f t="shared" si="8"/>
        <v>14500</v>
      </c>
      <c r="BA15" s="13">
        <f t="shared" si="8"/>
        <v>14500</v>
      </c>
      <c r="BB15" s="13">
        <f t="shared" si="8"/>
        <v>14500</v>
      </c>
      <c r="BC15" s="13">
        <f t="shared" si="8"/>
        <v>14500</v>
      </c>
      <c r="BD15" s="13">
        <f t="shared" si="9"/>
        <v>14500</v>
      </c>
      <c r="BE15" s="13">
        <f t="shared" si="9"/>
        <v>14500</v>
      </c>
      <c r="BF15" s="13">
        <f t="shared" si="9"/>
        <v>14500</v>
      </c>
      <c r="BG15" s="13">
        <f t="shared" si="9"/>
        <v>14500</v>
      </c>
      <c r="BH15" s="13">
        <f t="shared" si="9"/>
        <v>14500</v>
      </c>
      <c r="BI15" s="13">
        <f t="shared" si="9"/>
        <v>14500</v>
      </c>
      <c r="BJ15" s="13">
        <f t="shared" si="9"/>
        <v>14500</v>
      </c>
      <c r="BK15" s="13">
        <f t="shared" si="9"/>
        <v>14500</v>
      </c>
      <c r="BL15" s="13">
        <f t="shared" si="9"/>
        <v>14500</v>
      </c>
      <c r="BM15" s="13">
        <f t="shared" si="9"/>
        <v>14500</v>
      </c>
      <c r="BN15" s="13">
        <f t="shared" si="9"/>
        <v>14500</v>
      </c>
    </row>
    <row r="16" spans="1:66">
      <c r="A16" s="36" t="str">
        <f>BOM!A21</f>
        <v>B91628</v>
      </c>
      <c r="B16" s="36" t="str">
        <f>INDEX('Cloud Price List'!$B$3:$N$1491,MATCH(BOM!$A21,'Cloud Price List'!$A$3:$A$1491,0),1)</f>
        <v>Oracle Cloud Infrastructure - Object Storage - Storage - Over 10 Gigabytes Storage Capacity Per Month</v>
      </c>
      <c r="C16" s="780">
        <f>BOM!AL21</f>
        <v>2.4224999999999997E-2</v>
      </c>
      <c r="D16" s="36">
        <f>IF(ISNUMBER(SEARCH("Hour",TEXT(BOM!C21,0))),$B$1,1)</f>
        <v>1</v>
      </c>
      <c r="E16" s="13">
        <f>BOM!AH21</f>
        <v>0</v>
      </c>
      <c r="F16" s="792"/>
      <c r="G16" s="13">
        <f t="shared" si="5"/>
        <v>0</v>
      </c>
      <c r="H16" s="13">
        <f t="shared" si="6"/>
        <v>0</v>
      </c>
      <c r="I16" s="13">
        <f t="shared" si="6"/>
        <v>0</v>
      </c>
      <c r="J16" s="13">
        <f t="shared" si="6"/>
        <v>0</v>
      </c>
      <c r="K16" s="13">
        <f t="shared" si="6"/>
        <v>0</v>
      </c>
      <c r="L16" s="13">
        <f t="shared" si="6"/>
        <v>0</v>
      </c>
      <c r="M16" s="13">
        <f t="shared" si="6"/>
        <v>0</v>
      </c>
      <c r="N16" s="13">
        <f t="shared" si="6"/>
        <v>0</v>
      </c>
      <c r="O16" s="13">
        <f t="shared" si="6"/>
        <v>0</v>
      </c>
      <c r="P16" s="13">
        <f t="shared" si="6"/>
        <v>0</v>
      </c>
      <c r="Q16" s="13">
        <f t="shared" si="6"/>
        <v>0</v>
      </c>
      <c r="R16" s="13">
        <f t="shared" si="6"/>
        <v>0</v>
      </c>
      <c r="S16" s="13">
        <f t="shared" si="6"/>
        <v>0</v>
      </c>
      <c r="T16" s="13">
        <f t="shared" si="6"/>
        <v>0</v>
      </c>
      <c r="U16" s="13">
        <f t="shared" si="6"/>
        <v>0</v>
      </c>
      <c r="V16" s="13">
        <f t="shared" si="6"/>
        <v>0</v>
      </c>
      <c r="W16" s="13">
        <f t="shared" si="6"/>
        <v>0</v>
      </c>
      <c r="X16" s="13">
        <f t="shared" si="7"/>
        <v>0</v>
      </c>
      <c r="Y16" s="13">
        <f t="shared" si="7"/>
        <v>0</v>
      </c>
      <c r="Z16" s="13">
        <f t="shared" si="7"/>
        <v>0</v>
      </c>
      <c r="AA16" s="13">
        <f t="shared" si="7"/>
        <v>0</v>
      </c>
      <c r="AB16" s="13">
        <f t="shared" si="7"/>
        <v>0</v>
      </c>
      <c r="AC16" s="13">
        <f t="shared" si="7"/>
        <v>0</v>
      </c>
      <c r="AD16" s="13">
        <f t="shared" si="7"/>
        <v>0</v>
      </c>
      <c r="AE16" s="13">
        <f t="shared" si="7"/>
        <v>0</v>
      </c>
      <c r="AF16" s="13">
        <f t="shared" si="7"/>
        <v>0</v>
      </c>
      <c r="AG16" s="13">
        <f t="shared" si="7"/>
        <v>0</v>
      </c>
      <c r="AH16" s="13">
        <f t="shared" si="7"/>
        <v>0</v>
      </c>
      <c r="AI16" s="13">
        <f t="shared" si="7"/>
        <v>0</v>
      </c>
      <c r="AJ16" s="13">
        <f t="shared" si="7"/>
        <v>0</v>
      </c>
      <c r="AK16" s="13">
        <f t="shared" si="7"/>
        <v>0</v>
      </c>
      <c r="AL16" s="13">
        <f t="shared" si="7"/>
        <v>0</v>
      </c>
      <c r="AM16" s="13">
        <f t="shared" si="7"/>
        <v>0</v>
      </c>
      <c r="AN16" s="13">
        <f t="shared" si="8"/>
        <v>0</v>
      </c>
      <c r="AO16" s="13">
        <f t="shared" si="8"/>
        <v>0</v>
      </c>
      <c r="AP16" s="13">
        <f t="shared" si="8"/>
        <v>0</v>
      </c>
      <c r="AQ16" s="13">
        <f t="shared" si="8"/>
        <v>0</v>
      </c>
      <c r="AR16" s="13">
        <f t="shared" si="8"/>
        <v>0</v>
      </c>
      <c r="AS16" s="13">
        <f t="shared" si="8"/>
        <v>0</v>
      </c>
      <c r="AT16" s="13">
        <f t="shared" si="8"/>
        <v>0</v>
      </c>
      <c r="AU16" s="13">
        <f t="shared" si="8"/>
        <v>0</v>
      </c>
      <c r="AV16" s="13">
        <f t="shared" si="8"/>
        <v>0</v>
      </c>
      <c r="AW16" s="13">
        <f t="shared" si="8"/>
        <v>0</v>
      </c>
      <c r="AX16" s="13">
        <f t="shared" si="8"/>
        <v>0</v>
      </c>
      <c r="AY16" s="13">
        <f t="shared" si="8"/>
        <v>0</v>
      </c>
      <c r="AZ16" s="13">
        <f t="shared" si="8"/>
        <v>0</v>
      </c>
      <c r="BA16" s="13">
        <f t="shared" si="8"/>
        <v>0</v>
      </c>
      <c r="BB16" s="13">
        <f t="shared" si="8"/>
        <v>0</v>
      </c>
      <c r="BC16" s="13">
        <f t="shared" si="8"/>
        <v>0</v>
      </c>
      <c r="BD16" s="13">
        <f t="shared" si="9"/>
        <v>0</v>
      </c>
      <c r="BE16" s="13">
        <f t="shared" si="9"/>
        <v>0</v>
      </c>
      <c r="BF16" s="13">
        <f t="shared" si="9"/>
        <v>0</v>
      </c>
      <c r="BG16" s="13">
        <f t="shared" si="9"/>
        <v>0</v>
      </c>
      <c r="BH16" s="13">
        <f t="shared" si="9"/>
        <v>0</v>
      </c>
      <c r="BI16" s="13">
        <f t="shared" si="9"/>
        <v>0</v>
      </c>
      <c r="BJ16" s="13">
        <f t="shared" si="9"/>
        <v>0</v>
      </c>
      <c r="BK16" s="13">
        <f t="shared" si="9"/>
        <v>0</v>
      </c>
      <c r="BL16" s="13">
        <f t="shared" si="9"/>
        <v>0</v>
      </c>
      <c r="BM16" s="13">
        <f t="shared" si="9"/>
        <v>0</v>
      </c>
      <c r="BN16" s="13">
        <f t="shared" si="9"/>
        <v>0</v>
      </c>
    </row>
    <row r="17" spans="1:68">
      <c r="A17" s="36" t="str">
        <f>BOM!A22</f>
        <v>B91633</v>
      </c>
      <c r="B17" s="36" t="str">
        <f>INDEX('Cloud Price List'!$B$3:$N$1491,MATCH(BOM!$A22,'Cloud Price List'!$A$3:$A$1491,0),1)</f>
        <v>Oracle Cloud Infrastructure - Archive Storage - Over 10 Gigabytes Storage Capacity Per Month</v>
      </c>
      <c r="C17" s="780">
        <f>BOM!AL22</f>
        <v>2.47E-3</v>
      </c>
      <c r="D17" s="36">
        <f>IF(ISNUMBER(SEARCH("Hour",TEXT(BOM!C22,0))),$B$1,1)</f>
        <v>1</v>
      </c>
      <c r="E17" s="13">
        <f>BOM!AH22</f>
        <v>0</v>
      </c>
      <c r="F17" s="792"/>
      <c r="G17" s="13">
        <f t="shared" si="5"/>
        <v>0</v>
      </c>
      <c r="H17" s="13">
        <f t="shared" si="6"/>
        <v>0</v>
      </c>
      <c r="I17" s="13">
        <f t="shared" si="6"/>
        <v>0</v>
      </c>
      <c r="J17" s="13">
        <f t="shared" si="6"/>
        <v>0</v>
      </c>
      <c r="K17" s="13">
        <f t="shared" si="6"/>
        <v>0</v>
      </c>
      <c r="L17" s="13">
        <f t="shared" si="6"/>
        <v>0</v>
      </c>
      <c r="M17" s="13">
        <f t="shared" si="6"/>
        <v>0</v>
      </c>
      <c r="N17" s="13">
        <f t="shared" si="6"/>
        <v>0</v>
      </c>
      <c r="O17" s="13">
        <f t="shared" si="6"/>
        <v>0</v>
      </c>
      <c r="P17" s="13">
        <f t="shared" si="6"/>
        <v>0</v>
      </c>
      <c r="Q17" s="13">
        <f t="shared" si="6"/>
        <v>0</v>
      </c>
      <c r="R17" s="13">
        <f t="shared" si="6"/>
        <v>0</v>
      </c>
      <c r="S17" s="13">
        <f t="shared" si="6"/>
        <v>0</v>
      </c>
      <c r="T17" s="13">
        <f t="shared" si="6"/>
        <v>0</v>
      </c>
      <c r="U17" s="13">
        <f t="shared" si="6"/>
        <v>0</v>
      </c>
      <c r="V17" s="13">
        <f t="shared" si="6"/>
        <v>0</v>
      </c>
      <c r="W17" s="13">
        <f t="shared" si="6"/>
        <v>0</v>
      </c>
      <c r="X17" s="13">
        <f t="shared" si="7"/>
        <v>0</v>
      </c>
      <c r="Y17" s="13">
        <f t="shared" si="7"/>
        <v>0</v>
      </c>
      <c r="Z17" s="13">
        <f t="shared" si="7"/>
        <v>0</v>
      </c>
      <c r="AA17" s="13">
        <f t="shared" si="7"/>
        <v>0</v>
      </c>
      <c r="AB17" s="13">
        <f t="shared" si="7"/>
        <v>0</v>
      </c>
      <c r="AC17" s="13">
        <f t="shared" si="7"/>
        <v>0</v>
      </c>
      <c r="AD17" s="13">
        <f t="shared" si="7"/>
        <v>0</v>
      </c>
      <c r="AE17" s="13">
        <f t="shared" si="7"/>
        <v>0</v>
      </c>
      <c r="AF17" s="13">
        <f t="shared" si="7"/>
        <v>0</v>
      </c>
      <c r="AG17" s="13">
        <f t="shared" si="7"/>
        <v>0</v>
      </c>
      <c r="AH17" s="13">
        <f t="shared" si="7"/>
        <v>0</v>
      </c>
      <c r="AI17" s="13">
        <f t="shared" si="7"/>
        <v>0</v>
      </c>
      <c r="AJ17" s="13">
        <f t="shared" si="7"/>
        <v>0</v>
      </c>
      <c r="AK17" s="13">
        <f t="shared" si="7"/>
        <v>0</v>
      </c>
      <c r="AL17" s="13">
        <f t="shared" si="7"/>
        <v>0</v>
      </c>
      <c r="AM17" s="13">
        <f t="shared" si="7"/>
        <v>0</v>
      </c>
      <c r="AN17" s="13">
        <f t="shared" si="8"/>
        <v>0</v>
      </c>
      <c r="AO17" s="13">
        <f t="shared" si="8"/>
        <v>0</v>
      </c>
      <c r="AP17" s="13">
        <f t="shared" si="8"/>
        <v>0</v>
      </c>
      <c r="AQ17" s="13">
        <f t="shared" si="8"/>
        <v>0</v>
      </c>
      <c r="AR17" s="13">
        <f t="shared" si="8"/>
        <v>0</v>
      </c>
      <c r="AS17" s="13">
        <f t="shared" si="8"/>
        <v>0</v>
      </c>
      <c r="AT17" s="13">
        <f t="shared" si="8"/>
        <v>0</v>
      </c>
      <c r="AU17" s="13">
        <f t="shared" si="8"/>
        <v>0</v>
      </c>
      <c r="AV17" s="13">
        <f t="shared" si="8"/>
        <v>0</v>
      </c>
      <c r="AW17" s="13">
        <f t="shared" si="8"/>
        <v>0</v>
      </c>
      <c r="AX17" s="13">
        <f t="shared" si="8"/>
        <v>0</v>
      </c>
      <c r="AY17" s="13">
        <f t="shared" si="8"/>
        <v>0</v>
      </c>
      <c r="AZ17" s="13">
        <f t="shared" si="8"/>
        <v>0</v>
      </c>
      <c r="BA17" s="13">
        <f t="shared" si="8"/>
        <v>0</v>
      </c>
      <c r="BB17" s="13">
        <f t="shared" si="8"/>
        <v>0</v>
      </c>
      <c r="BC17" s="13">
        <f t="shared" si="8"/>
        <v>0</v>
      </c>
      <c r="BD17" s="13">
        <f t="shared" si="9"/>
        <v>0</v>
      </c>
      <c r="BE17" s="13">
        <f t="shared" si="9"/>
        <v>0</v>
      </c>
      <c r="BF17" s="13">
        <f t="shared" si="9"/>
        <v>0</v>
      </c>
      <c r="BG17" s="13">
        <f t="shared" si="9"/>
        <v>0</v>
      </c>
      <c r="BH17" s="13">
        <f t="shared" si="9"/>
        <v>0</v>
      </c>
      <c r="BI17" s="13">
        <f t="shared" si="9"/>
        <v>0</v>
      </c>
      <c r="BJ17" s="13">
        <f t="shared" si="9"/>
        <v>0</v>
      </c>
      <c r="BK17" s="13">
        <f t="shared" si="9"/>
        <v>0</v>
      </c>
      <c r="BL17" s="13">
        <f t="shared" si="9"/>
        <v>0</v>
      </c>
      <c r="BM17" s="13">
        <f t="shared" si="9"/>
        <v>0</v>
      </c>
      <c r="BN17" s="13">
        <f t="shared" si="9"/>
        <v>0</v>
      </c>
    </row>
    <row r="18" spans="1:68">
      <c r="A18" s="36" t="str">
        <f>BOM!A23</f>
        <v>B89057</v>
      </c>
      <c r="B18" s="36" t="str">
        <f>INDEX('Cloud Price List'!$B$3:$N$1491,MATCH(BOM!$A23,'Cloud Price List'!$A$3:$A$1491,0),1)</f>
        <v>Oracle Cloud Infrastructure - File Storage</v>
      </c>
      <c r="C18" s="780">
        <f>BOM!AL23</f>
        <v>0.28499999999999998</v>
      </c>
      <c r="D18" s="36">
        <f>IF(ISNUMBER(SEARCH("Hour",TEXT(BOM!C23,0))),$B$1,1)</f>
        <v>1</v>
      </c>
      <c r="E18" s="13">
        <f>BOM!AH23</f>
        <v>2048</v>
      </c>
      <c r="F18" s="792"/>
      <c r="G18" s="13">
        <f t="shared" si="5"/>
        <v>2048</v>
      </c>
      <c r="H18" s="13">
        <f t="shared" si="6"/>
        <v>2048</v>
      </c>
      <c r="I18" s="13">
        <f t="shared" si="6"/>
        <v>2048</v>
      </c>
      <c r="J18" s="13">
        <f t="shared" si="6"/>
        <v>2048</v>
      </c>
      <c r="K18" s="13">
        <f t="shared" si="6"/>
        <v>2048</v>
      </c>
      <c r="L18" s="13">
        <f t="shared" si="6"/>
        <v>2048</v>
      </c>
      <c r="M18" s="13">
        <f t="shared" si="6"/>
        <v>2048</v>
      </c>
      <c r="N18" s="13">
        <f t="shared" si="6"/>
        <v>2048</v>
      </c>
      <c r="O18" s="13">
        <f t="shared" si="6"/>
        <v>2048</v>
      </c>
      <c r="P18" s="13">
        <f t="shared" si="6"/>
        <v>2048</v>
      </c>
      <c r="Q18" s="13">
        <f t="shared" si="6"/>
        <v>2048</v>
      </c>
      <c r="R18" s="13">
        <f t="shared" si="6"/>
        <v>2048</v>
      </c>
      <c r="S18" s="13">
        <f t="shared" si="6"/>
        <v>2048</v>
      </c>
      <c r="T18" s="13">
        <f t="shared" si="6"/>
        <v>2048</v>
      </c>
      <c r="U18" s="13">
        <f t="shared" si="6"/>
        <v>2048</v>
      </c>
      <c r="V18" s="13">
        <f t="shared" si="6"/>
        <v>2048</v>
      </c>
      <c r="W18" s="13">
        <f t="shared" si="6"/>
        <v>2048</v>
      </c>
      <c r="X18" s="13">
        <f t="shared" si="7"/>
        <v>2048</v>
      </c>
      <c r="Y18" s="13">
        <f t="shared" si="7"/>
        <v>2048</v>
      </c>
      <c r="Z18" s="13">
        <f t="shared" si="7"/>
        <v>2048</v>
      </c>
      <c r="AA18" s="13">
        <f t="shared" si="7"/>
        <v>2048</v>
      </c>
      <c r="AB18" s="13">
        <f t="shared" si="7"/>
        <v>2048</v>
      </c>
      <c r="AC18" s="13">
        <f t="shared" si="7"/>
        <v>2048</v>
      </c>
      <c r="AD18" s="13">
        <f t="shared" si="7"/>
        <v>2048</v>
      </c>
      <c r="AE18" s="13">
        <f t="shared" si="7"/>
        <v>2048</v>
      </c>
      <c r="AF18" s="13">
        <f t="shared" si="7"/>
        <v>2048</v>
      </c>
      <c r="AG18" s="13">
        <f t="shared" si="7"/>
        <v>2048</v>
      </c>
      <c r="AH18" s="13">
        <f t="shared" si="7"/>
        <v>2048</v>
      </c>
      <c r="AI18" s="13">
        <f t="shared" si="7"/>
        <v>2048</v>
      </c>
      <c r="AJ18" s="13">
        <f t="shared" si="7"/>
        <v>2048</v>
      </c>
      <c r="AK18" s="13">
        <f t="shared" si="7"/>
        <v>2048</v>
      </c>
      <c r="AL18" s="13">
        <f t="shared" si="7"/>
        <v>2048</v>
      </c>
      <c r="AM18" s="13">
        <f t="shared" si="7"/>
        <v>2048</v>
      </c>
      <c r="AN18" s="13">
        <f t="shared" si="8"/>
        <v>2048</v>
      </c>
      <c r="AO18" s="13">
        <f t="shared" si="8"/>
        <v>2048</v>
      </c>
      <c r="AP18" s="13">
        <f t="shared" si="8"/>
        <v>2048</v>
      </c>
      <c r="AQ18" s="13">
        <f t="shared" si="8"/>
        <v>2048</v>
      </c>
      <c r="AR18" s="13">
        <f t="shared" si="8"/>
        <v>2048</v>
      </c>
      <c r="AS18" s="13">
        <f t="shared" si="8"/>
        <v>2048</v>
      </c>
      <c r="AT18" s="13">
        <f t="shared" si="8"/>
        <v>2048</v>
      </c>
      <c r="AU18" s="13">
        <f t="shared" si="8"/>
        <v>2048</v>
      </c>
      <c r="AV18" s="13">
        <f t="shared" si="8"/>
        <v>2048</v>
      </c>
      <c r="AW18" s="13">
        <f t="shared" si="8"/>
        <v>2048</v>
      </c>
      <c r="AX18" s="13">
        <f t="shared" si="8"/>
        <v>2048</v>
      </c>
      <c r="AY18" s="13">
        <f t="shared" si="8"/>
        <v>2048</v>
      </c>
      <c r="AZ18" s="13">
        <f t="shared" si="8"/>
        <v>2048</v>
      </c>
      <c r="BA18" s="13">
        <f t="shared" si="8"/>
        <v>2048</v>
      </c>
      <c r="BB18" s="13">
        <f t="shared" si="8"/>
        <v>2048</v>
      </c>
      <c r="BC18" s="13">
        <f t="shared" si="8"/>
        <v>2048</v>
      </c>
      <c r="BD18" s="13">
        <f t="shared" si="9"/>
        <v>2048</v>
      </c>
      <c r="BE18" s="13">
        <f t="shared" si="9"/>
        <v>2048</v>
      </c>
      <c r="BF18" s="13">
        <f t="shared" si="9"/>
        <v>2048</v>
      </c>
      <c r="BG18" s="13">
        <f t="shared" si="9"/>
        <v>2048</v>
      </c>
      <c r="BH18" s="13">
        <f t="shared" si="9"/>
        <v>2048</v>
      </c>
      <c r="BI18" s="13">
        <f t="shared" si="9"/>
        <v>2048</v>
      </c>
      <c r="BJ18" s="13">
        <f t="shared" si="9"/>
        <v>2048</v>
      </c>
      <c r="BK18" s="13">
        <f t="shared" si="9"/>
        <v>2048</v>
      </c>
      <c r="BL18" s="13">
        <f t="shared" si="9"/>
        <v>2048</v>
      </c>
      <c r="BM18" s="13">
        <f t="shared" si="9"/>
        <v>2048</v>
      </c>
      <c r="BN18" s="13">
        <f t="shared" si="9"/>
        <v>2048</v>
      </c>
    </row>
    <row r="19" spans="1:68">
      <c r="A19" s="36" t="str">
        <f>BOM!A25</f>
        <v>B90573</v>
      </c>
      <c r="B19" s="36" t="str">
        <f>INDEX('Cloud Price List'!$B$3:$N$1491,MATCH(BOM!$A25,'Cloud Price List'!$A$3:$A$1491,0),1)</f>
        <v>Oracle Cloud Infrastructure - Database Cloud Service - All Editions - BYOL</v>
      </c>
      <c r="C19" s="780">
        <f>BOM!AL25</f>
        <v>0.18382499999999999</v>
      </c>
      <c r="D19" s="36">
        <f>IF(ISNUMBER(SEARCH("Hour",TEXT(BOM!C25,0))),$B$1,1)</f>
        <v>730</v>
      </c>
      <c r="E19" s="13">
        <f>BOM!AH25</f>
        <v>0</v>
      </c>
      <c r="F19" s="792"/>
      <c r="G19" s="13">
        <f t="shared" si="5"/>
        <v>0</v>
      </c>
      <c r="H19" s="13">
        <f t="shared" si="6"/>
        <v>0</v>
      </c>
      <c r="I19" s="13">
        <f t="shared" si="6"/>
        <v>0</v>
      </c>
      <c r="J19" s="13">
        <f t="shared" si="6"/>
        <v>0</v>
      </c>
      <c r="K19" s="13">
        <f t="shared" si="6"/>
        <v>0</v>
      </c>
      <c r="L19" s="13">
        <f t="shared" si="6"/>
        <v>0</v>
      </c>
      <c r="M19" s="13">
        <f t="shared" si="6"/>
        <v>0</v>
      </c>
      <c r="N19" s="13">
        <f t="shared" si="6"/>
        <v>0</v>
      </c>
      <c r="O19" s="13">
        <f t="shared" si="6"/>
        <v>0</v>
      </c>
      <c r="P19" s="13">
        <f t="shared" si="6"/>
        <v>0</v>
      </c>
      <c r="Q19" s="13">
        <f t="shared" si="6"/>
        <v>0</v>
      </c>
      <c r="R19" s="13">
        <f t="shared" si="6"/>
        <v>0</v>
      </c>
      <c r="S19" s="13">
        <f t="shared" si="6"/>
        <v>0</v>
      </c>
      <c r="T19" s="13">
        <f t="shared" si="6"/>
        <v>0</v>
      </c>
      <c r="U19" s="13">
        <f t="shared" si="6"/>
        <v>0</v>
      </c>
      <c r="V19" s="13">
        <f t="shared" si="6"/>
        <v>0</v>
      </c>
      <c r="W19" s="13">
        <f t="shared" si="6"/>
        <v>0</v>
      </c>
      <c r="X19" s="13">
        <f t="shared" si="7"/>
        <v>0</v>
      </c>
      <c r="Y19" s="13">
        <f t="shared" si="7"/>
        <v>0</v>
      </c>
      <c r="Z19" s="13">
        <f t="shared" si="7"/>
        <v>0</v>
      </c>
      <c r="AA19" s="13">
        <f t="shared" si="7"/>
        <v>0</v>
      </c>
      <c r="AB19" s="13">
        <f t="shared" si="7"/>
        <v>0</v>
      </c>
      <c r="AC19" s="13">
        <f t="shared" si="7"/>
        <v>0</v>
      </c>
      <c r="AD19" s="13">
        <f t="shared" si="7"/>
        <v>0</v>
      </c>
      <c r="AE19" s="13">
        <f t="shared" si="7"/>
        <v>0</v>
      </c>
      <c r="AF19" s="13">
        <f t="shared" si="7"/>
        <v>0</v>
      </c>
      <c r="AG19" s="13">
        <f t="shared" si="7"/>
        <v>0</v>
      </c>
      <c r="AH19" s="13">
        <f t="shared" si="7"/>
        <v>0</v>
      </c>
      <c r="AI19" s="13">
        <f t="shared" si="7"/>
        <v>0</v>
      </c>
      <c r="AJ19" s="13">
        <f t="shared" si="7"/>
        <v>0</v>
      </c>
      <c r="AK19" s="13">
        <f t="shared" si="7"/>
        <v>0</v>
      </c>
      <c r="AL19" s="13">
        <f t="shared" si="7"/>
        <v>0</v>
      </c>
      <c r="AM19" s="13">
        <f t="shared" si="7"/>
        <v>0</v>
      </c>
      <c r="AN19" s="13">
        <f t="shared" si="8"/>
        <v>0</v>
      </c>
      <c r="AO19" s="13">
        <f t="shared" si="8"/>
        <v>0</v>
      </c>
      <c r="AP19" s="13">
        <f t="shared" si="8"/>
        <v>0</v>
      </c>
      <c r="AQ19" s="13">
        <f t="shared" si="8"/>
        <v>0</v>
      </c>
      <c r="AR19" s="13">
        <f t="shared" si="8"/>
        <v>0</v>
      </c>
      <c r="AS19" s="13">
        <f t="shared" si="8"/>
        <v>0</v>
      </c>
      <c r="AT19" s="13">
        <f t="shared" si="8"/>
        <v>0</v>
      </c>
      <c r="AU19" s="13">
        <f t="shared" si="8"/>
        <v>0</v>
      </c>
      <c r="AV19" s="13">
        <f t="shared" si="8"/>
        <v>0</v>
      </c>
      <c r="AW19" s="13">
        <f t="shared" si="8"/>
        <v>0</v>
      </c>
      <c r="AX19" s="13">
        <f t="shared" si="8"/>
        <v>0</v>
      </c>
      <c r="AY19" s="13">
        <f t="shared" si="8"/>
        <v>0</v>
      </c>
      <c r="AZ19" s="13">
        <f t="shared" si="8"/>
        <v>0</v>
      </c>
      <c r="BA19" s="13">
        <f t="shared" si="8"/>
        <v>0</v>
      </c>
      <c r="BB19" s="13">
        <f t="shared" si="8"/>
        <v>0</v>
      </c>
      <c r="BC19" s="13">
        <f t="shared" si="8"/>
        <v>0</v>
      </c>
      <c r="BD19" s="13">
        <f t="shared" si="9"/>
        <v>0</v>
      </c>
      <c r="BE19" s="13">
        <f t="shared" si="9"/>
        <v>0</v>
      </c>
      <c r="BF19" s="13">
        <f t="shared" si="9"/>
        <v>0</v>
      </c>
      <c r="BG19" s="13">
        <f t="shared" si="9"/>
        <v>0</v>
      </c>
      <c r="BH19" s="13">
        <f t="shared" si="9"/>
        <v>0</v>
      </c>
      <c r="BI19" s="13">
        <f t="shared" si="9"/>
        <v>0</v>
      </c>
      <c r="BJ19" s="13">
        <f t="shared" si="9"/>
        <v>0</v>
      </c>
      <c r="BK19" s="13">
        <f t="shared" si="9"/>
        <v>0</v>
      </c>
      <c r="BL19" s="13">
        <f t="shared" si="9"/>
        <v>0</v>
      </c>
      <c r="BM19" s="13">
        <f t="shared" si="9"/>
        <v>0</v>
      </c>
      <c r="BN19" s="13">
        <f t="shared" si="9"/>
        <v>0</v>
      </c>
    </row>
    <row r="20" spans="1:68">
      <c r="A20" s="36" t="str">
        <f>BOM!A26</f>
        <v>B90570</v>
      </c>
      <c r="B20" s="36" t="str">
        <f>INDEX('Cloud Price List'!$B$3:$N$1491,MATCH(BOM!$A26,'Cloud Price List'!$A$3:$A$1491,0),1)</f>
        <v>Oracle Cloud Infrastructure - Database Cloud Service - 
Enterprise Edition</v>
      </c>
      <c r="C20" s="780">
        <f>BOM!AL26</f>
        <v>0.40859499999999999</v>
      </c>
      <c r="D20" s="36">
        <f>IF(ISNUMBER(SEARCH("Hour",TEXT(BOM!C26,0))),$B$1,1)</f>
        <v>730</v>
      </c>
      <c r="E20" s="13">
        <f>BOM!AH26</f>
        <v>12</v>
      </c>
      <c r="F20" s="792"/>
      <c r="G20" s="13">
        <f t="shared" si="5"/>
        <v>12</v>
      </c>
      <c r="H20" s="13">
        <f t="shared" si="6"/>
        <v>12</v>
      </c>
      <c r="I20" s="13">
        <f t="shared" si="6"/>
        <v>12</v>
      </c>
      <c r="J20" s="13">
        <f t="shared" si="6"/>
        <v>12</v>
      </c>
      <c r="K20" s="13">
        <f t="shared" si="6"/>
        <v>12</v>
      </c>
      <c r="L20" s="13">
        <f t="shared" si="6"/>
        <v>12</v>
      </c>
      <c r="M20" s="13">
        <f t="shared" si="6"/>
        <v>12</v>
      </c>
      <c r="N20" s="13">
        <f t="shared" si="6"/>
        <v>12</v>
      </c>
      <c r="O20" s="13">
        <f t="shared" si="6"/>
        <v>12</v>
      </c>
      <c r="P20" s="13">
        <f t="shared" si="6"/>
        <v>12</v>
      </c>
      <c r="Q20" s="13">
        <f t="shared" si="6"/>
        <v>12</v>
      </c>
      <c r="R20" s="13">
        <f t="shared" si="6"/>
        <v>12</v>
      </c>
      <c r="S20" s="13">
        <f t="shared" si="6"/>
        <v>12</v>
      </c>
      <c r="T20" s="13">
        <f t="shared" si="6"/>
        <v>12</v>
      </c>
      <c r="U20" s="13">
        <f t="shared" si="6"/>
        <v>12</v>
      </c>
      <c r="V20" s="13">
        <f t="shared" si="6"/>
        <v>12</v>
      </c>
      <c r="W20" s="13">
        <f t="shared" si="6"/>
        <v>12</v>
      </c>
      <c r="X20" s="13">
        <f t="shared" si="7"/>
        <v>12</v>
      </c>
      <c r="Y20" s="13">
        <f t="shared" si="7"/>
        <v>12</v>
      </c>
      <c r="Z20" s="13">
        <f t="shared" si="7"/>
        <v>12</v>
      </c>
      <c r="AA20" s="13">
        <f t="shared" si="7"/>
        <v>12</v>
      </c>
      <c r="AB20" s="13">
        <f t="shared" si="7"/>
        <v>12</v>
      </c>
      <c r="AC20" s="13">
        <f t="shared" si="7"/>
        <v>12</v>
      </c>
      <c r="AD20" s="13">
        <f t="shared" si="7"/>
        <v>12</v>
      </c>
      <c r="AE20" s="13">
        <f t="shared" si="7"/>
        <v>12</v>
      </c>
      <c r="AF20" s="13">
        <f t="shared" si="7"/>
        <v>12</v>
      </c>
      <c r="AG20" s="13">
        <f t="shared" si="7"/>
        <v>12</v>
      </c>
      <c r="AH20" s="13">
        <f t="shared" si="7"/>
        <v>12</v>
      </c>
      <c r="AI20" s="13">
        <f t="shared" si="7"/>
        <v>12</v>
      </c>
      <c r="AJ20" s="13">
        <f t="shared" si="7"/>
        <v>12</v>
      </c>
      <c r="AK20" s="13">
        <f t="shared" si="7"/>
        <v>12</v>
      </c>
      <c r="AL20" s="13">
        <f t="shared" si="7"/>
        <v>12</v>
      </c>
      <c r="AM20" s="13">
        <f t="shared" si="7"/>
        <v>12</v>
      </c>
      <c r="AN20" s="13">
        <f t="shared" si="8"/>
        <v>12</v>
      </c>
      <c r="AO20" s="13">
        <f t="shared" si="8"/>
        <v>12</v>
      </c>
      <c r="AP20" s="13">
        <f t="shared" si="8"/>
        <v>12</v>
      </c>
      <c r="AQ20" s="13">
        <f t="shared" si="8"/>
        <v>12</v>
      </c>
      <c r="AR20" s="13">
        <f t="shared" si="8"/>
        <v>12</v>
      </c>
      <c r="AS20" s="13">
        <f t="shared" si="8"/>
        <v>12</v>
      </c>
      <c r="AT20" s="13">
        <f t="shared" si="8"/>
        <v>12</v>
      </c>
      <c r="AU20" s="13">
        <f t="shared" si="8"/>
        <v>12</v>
      </c>
      <c r="AV20" s="13">
        <f t="shared" si="8"/>
        <v>12</v>
      </c>
      <c r="AW20" s="13">
        <f t="shared" si="8"/>
        <v>12</v>
      </c>
      <c r="AX20" s="13">
        <f t="shared" si="8"/>
        <v>12</v>
      </c>
      <c r="AY20" s="13">
        <f t="shared" si="8"/>
        <v>12</v>
      </c>
      <c r="AZ20" s="13">
        <f t="shared" si="8"/>
        <v>12</v>
      </c>
      <c r="BA20" s="13">
        <f t="shared" si="8"/>
        <v>12</v>
      </c>
      <c r="BB20" s="13">
        <f t="shared" si="8"/>
        <v>12</v>
      </c>
      <c r="BC20" s="13">
        <f t="shared" si="8"/>
        <v>12</v>
      </c>
      <c r="BD20" s="13">
        <f t="shared" si="9"/>
        <v>12</v>
      </c>
      <c r="BE20" s="13">
        <f t="shared" si="9"/>
        <v>12</v>
      </c>
      <c r="BF20" s="13">
        <f t="shared" si="9"/>
        <v>12</v>
      </c>
      <c r="BG20" s="13">
        <f t="shared" si="9"/>
        <v>12</v>
      </c>
      <c r="BH20" s="13">
        <f t="shared" si="9"/>
        <v>12</v>
      </c>
      <c r="BI20" s="13">
        <f t="shared" si="9"/>
        <v>12</v>
      </c>
      <c r="BJ20" s="13">
        <f t="shared" si="9"/>
        <v>12</v>
      </c>
      <c r="BK20" s="13">
        <f t="shared" si="9"/>
        <v>12</v>
      </c>
      <c r="BL20" s="13">
        <f t="shared" si="9"/>
        <v>12</v>
      </c>
      <c r="BM20" s="13">
        <f t="shared" si="9"/>
        <v>12</v>
      </c>
      <c r="BN20" s="13">
        <f t="shared" si="9"/>
        <v>12</v>
      </c>
    </row>
    <row r="21" spans="1:68">
      <c r="A21" s="36" t="str">
        <f>BOM!A27</f>
        <v>B90571</v>
      </c>
      <c r="B21" s="36" t="str">
        <f>INDEX('Cloud Price List'!$B$3:$N$1491,MATCH(BOM!$A27,'Cloud Price List'!$A$3:$A$1491,0),1)</f>
        <v>Oracle Cloud Infrastructure - Database Cloud Service - 
Enterprise Edition High Performance</v>
      </c>
      <c r="C21" s="780">
        <f>BOM!AL27</f>
        <v>0.84274499999999997</v>
      </c>
      <c r="D21" s="36">
        <f>IF(ISNUMBER(SEARCH("Hour",TEXT(BOM!C27,0))),$B$1,1)</f>
        <v>730</v>
      </c>
      <c r="E21" s="13">
        <f>BOM!AH27</f>
        <v>0</v>
      </c>
      <c r="F21" s="792"/>
      <c r="G21" s="13">
        <f t="shared" si="5"/>
        <v>0</v>
      </c>
      <c r="H21" s="13">
        <f t="shared" si="6"/>
        <v>0</v>
      </c>
      <c r="I21" s="13">
        <f t="shared" si="6"/>
        <v>0</v>
      </c>
      <c r="J21" s="13">
        <f t="shared" si="6"/>
        <v>0</v>
      </c>
      <c r="K21" s="13">
        <f t="shared" si="6"/>
        <v>0</v>
      </c>
      <c r="L21" s="13">
        <f t="shared" si="6"/>
        <v>0</v>
      </c>
      <c r="M21" s="13">
        <f t="shared" si="6"/>
        <v>0</v>
      </c>
      <c r="N21" s="13">
        <f t="shared" si="6"/>
        <v>0</v>
      </c>
      <c r="O21" s="13">
        <f t="shared" si="6"/>
        <v>0</v>
      </c>
      <c r="P21" s="13">
        <f t="shared" si="6"/>
        <v>0</v>
      </c>
      <c r="Q21" s="13">
        <f t="shared" si="6"/>
        <v>0</v>
      </c>
      <c r="R21" s="13">
        <f t="shared" si="6"/>
        <v>0</v>
      </c>
      <c r="S21" s="13">
        <f t="shared" si="6"/>
        <v>0</v>
      </c>
      <c r="T21" s="13">
        <f t="shared" si="6"/>
        <v>0</v>
      </c>
      <c r="U21" s="13">
        <f t="shared" si="6"/>
        <v>0</v>
      </c>
      <c r="V21" s="13">
        <f t="shared" si="6"/>
        <v>0</v>
      </c>
      <c r="W21" s="13">
        <f t="shared" ref="W21:AL23" si="11">$E21</f>
        <v>0</v>
      </c>
      <c r="X21" s="13">
        <f t="shared" si="7"/>
        <v>0</v>
      </c>
      <c r="Y21" s="13">
        <f t="shared" si="7"/>
        <v>0</v>
      </c>
      <c r="Z21" s="13">
        <f t="shared" si="7"/>
        <v>0</v>
      </c>
      <c r="AA21" s="13">
        <f t="shared" si="7"/>
        <v>0</v>
      </c>
      <c r="AB21" s="13">
        <f t="shared" si="7"/>
        <v>0</v>
      </c>
      <c r="AC21" s="13">
        <f t="shared" si="7"/>
        <v>0</v>
      </c>
      <c r="AD21" s="13">
        <f t="shared" si="7"/>
        <v>0</v>
      </c>
      <c r="AE21" s="13">
        <f t="shared" si="7"/>
        <v>0</v>
      </c>
      <c r="AF21" s="13">
        <f t="shared" si="7"/>
        <v>0</v>
      </c>
      <c r="AG21" s="13">
        <f t="shared" si="7"/>
        <v>0</v>
      </c>
      <c r="AH21" s="13">
        <f t="shared" si="7"/>
        <v>0</v>
      </c>
      <c r="AI21" s="13">
        <f t="shared" si="7"/>
        <v>0</v>
      </c>
      <c r="AJ21" s="13">
        <f t="shared" si="7"/>
        <v>0</v>
      </c>
      <c r="AK21" s="13">
        <f t="shared" si="7"/>
        <v>0</v>
      </c>
      <c r="AL21" s="13">
        <f t="shared" si="7"/>
        <v>0</v>
      </c>
      <c r="AM21" s="13">
        <f t="shared" ref="AM21:BB23" si="12">$E21</f>
        <v>0</v>
      </c>
      <c r="AN21" s="13">
        <f t="shared" si="8"/>
        <v>0</v>
      </c>
      <c r="AO21" s="13">
        <f t="shared" si="8"/>
        <v>0</v>
      </c>
      <c r="AP21" s="13">
        <f t="shared" si="8"/>
        <v>0</v>
      </c>
      <c r="AQ21" s="13">
        <f t="shared" si="8"/>
        <v>0</v>
      </c>
      <c r="AR21" s="13">
        <f t="shared" si="8"/>
        <v>0</v>
      </c>
      <c r="AS21" s="13">
        <f t="shared" si="8"/>
        <v>0</v>
      </c>
      <c r="AT21" s="13">
        <f t="shared" si="8"/>
        <v>0</v>
      </c>
      <c r="AU21" s="13">
        <f t="shared" si="8"/>
        <v>0</v>
      </c>
      <c r="AV21" s="13">
        <f t="shared" si="8"/>
        <v>0</v>
      </c>
      <c r="AW21" s="13">
        <f t="shared" si="8"/>
        <v>0</v>
      </c>
      <c r="AX21" s="13">
        <f t="shared" si="8"/>
        <v>0</v>
      </c>
      <c r="AY21" s="13">
        <f t="shared" si="8"/>
        <v>0</v>
      </c>
      <c r="AZ21" s="13">
        <f t="shared" si="8"/>
        <v>0</v>
      </c>
      <c r="BA21" s="13">
        <f t="shared" si="8"/>
        <v>0</v>
      </c>
      <c r="BB21" s="13">
        <f t="shared" si="8"/>
        <v>0</v>
      </c>
      <c r="BC21" s="13">
        <f t="shared" ref="BC21:BC23" si="13">$E21</f>
        <v>0</v>
      </c>
      <c r="BD21" s="13">
        <f t="shared" si="9"/>
        <v>0</v>
      </c>
      <c r="BE21" s="13">
        <f t="shared" si="9"/>
        <v>0</v>
      </c>
      <c r="BF21" s="13">
        <f t="shared" si="9"/>
        <v>0</v>
      </c>
      <c r="BG21" s="13">
        <f t="shared" si="9"/>
        <v>0</v>
      </c>
      <c r="BH21" s="13">
        <f t="shared" si="9"/>
        <v>0</v>
      </c>
      <c r="BI21" s="13">
        <f t="shared" si="9"/>
        <v>0</v>
      </c>
      <c r="BJ21" s="13">
        <f t="shared" si="9"/>
        <v>0</v>
      </c>
      <c r="BK21" s="13">
        <f t="shared" si="9"/>
        <v>0</v>
      </c>
      <c r="BL21" s="13">
        <f t="shared" si="9"/>
        <v>0</v>
      </c>
      <c r="BM21" s="13">
        <f t="shared" si="9"/>
        <v>0</v>
      </c>
      <c r="BN21" s="13">
        <f t="shared" si="9"/>
        <v>0</v>
      </c>
    </row>
    <row r="22" spans="1:68">
      <c r="A22" s="36" t="str">
        <f>BOM!A28</f>
        <v>B90572</v>
      </c>
      <c r="B22" s="36" t="str">
        <f>INDEX('Cloud Price List'!$B$3:$N$1491,MATCH(BOM!$A28,'Cloud Price List'!$A$3:$A$1491,0),1)</f>
        <v>Oracle Cloud Infrastructure - Database Cloud Service - 
Enterprise Edition Extreme Performance</v>
      </c>
      <c r="C22" s="780">
        <f>BOM!AL28</f>
        <v>1.2768950000000001</v>
      </c>
      <c r="D22" s="36">
        <f>IF(ISNUMBER(SEARCH("Hour",TEXT(BOM!C28,0))),$B$1,1)</f>
        <v>730</v>
      </c>
      <c r="E22" s="13">
        <f>BOM!AH28</f>
        <v>0</v>
      </c>
      <c r="F22" s="792"/>
      <c r="G22" s="13">
        <f t="shared" si="5"/>
        <v>0</v>
      </c>
      <c r="H22" s="13">
        <f t="shared" si="5"/>
        <v>0</v>
      </c>
      <c r="I22" s="13">
        <f t="shared" si="5"/>
        <v>0</v>
      </c>
      <c r="J22" s="13">
        <f t="shared" si="5"/>
        <v>0</v>
      </c>
      <c r="K22" s="13">
        <f t="shared" si="5"/>
        <v>0</v>
      </c>
      <c r="L22" s="13">
        <f t="shared" si="5"/>
        <v>0</v>
      </c>
      <c r="M22" s="13">
        <f t="shared" si="5"/>
        <v>0</v>
      </c>
      <c r="N22" s="13">
        <f t="shared" si="5"/>
        <v>0</v>
      </c>
      <c r="O22" s="13">
        <f t="shared" si="5"/>
        <v>0</v>
      </c>
      <c r="P22" s="13">
        <f t="shared" si="5"/>
        <v>0</v>
      </c>
      <c r="Q22" s="13">
        <f t="shared" si="5"/>
        <v>0</v>
      </c>
      <c r="R22" s="13">
        <f t="shared" si="5"/>
        <v>0</v>
      </c>
      <c r="S22" s="13">
        <f t="shared" si="5"/>
        <v>0</v>
      </c>
      <c r="T22" s="13">
        <f t="shared" si="5"/>
        <v>0</v>
      </c>
      <c r="U22" s="13">
        <f t="shared" si="5"/>
        <v>0</v>
      </c>
      <c r="V22" s="13">
        <f t="shared" si="5"/>
        <v>0</v>
      </c>
      <c r="W22" s="13">
        <f t="shared" si="11"/>
        <v>0</v>
      </c>
      <c r="X22" s="13">
        <f t="shared" si="11"/>
        <v>0</v>
      </c>
      <c r="Y22" s="13">
        <f t="shared" si="11"/>
        <v>0</v>
      </c>
      <c r="Z22" s="13">
        <f t="shared" si="11"/>
        <v>0</v>
      </c>
      <c r="AA22" s="13">
        <f t="shared" si="11"/>
        <v>0</v>
      </c>
      <c r="AB22" s="13">
        <f t="shared" si="11"/>
        <v>0</v>
      </c>
      <c r="AC22" s="13">
        <f t="shared" si="11"/>
        <v>0</v>
      </c>
      <c r="AD22" s="13">
        <f t="shared" si="11"/>
        <v>0</v>
      </c>
      <c r="AE22" s="13">
        <f t="shared" si="11"/>
        <v>0</v>
      </c>
      <c r="AF22" s="13">
        <f t="shared" si="11"/>
        <v>0</v>
      </c>
      <c r="AG22" s="13">
        <f t="shared" si="11"/>
        <v>0</v>
      </c>
      <c r="AH22" s="13">
        <f t="shared" si="11"/>
        <v>0</v>
      </c>
      <c r="AI22" s="13">
        <f t="shared" si="11"/>
        <v>0</v>
      </c>
      <c r="AJ22" s="13">
        <f t="shared" si="11"/>
        <v>0</v>
      </c>
      <c r="AK22" s="13">
        <f t="shared" si="11"/>
        <v>0</v>
      </c>
      <c r="AL22" s="13">
        <f t="shared" si="11"/>
        <v>0</v>
      </c>
      <c r="AM22" s="13">
        <f t="shared" si="12"/>
        <v>0</v>
      </c>
      <c r="AN22" s="13">
        <f t="shared" si="12"/>
        <v>0</v>
      </c>
      <c r="AO22" s="13">
        <f t="shared" si="12"/>
        <v>0</v>
      </c>
      <c r="AP22" s="13">
        <f t="shared" si="12"/>
        <v>0</v>
      </c>
      <c r="AQ22" s="13">
        <f t="shared" si="12"/>
        <v>0</v>
      </c>
      <c r="AR22" s="13">
        <f t="shared" si="12"/>
        <v>0</v>
      </c>
      <c r="AS22" s="13">
        <f t="shared" si="12"/>
        <v>0</v>
      </c>
      <c r="AT22" s="13">
        <f t="shared" si="12"/>
        <v>0</v>
      </c>
      <c r="AU22" s="13">
        <f t="shared" si="12"/>
        <v>0</v>
      </c>
      <c r="AV22" s="13">
        <f t="shared" si="12"/>
        <v>0</v>
      </c>
      <c r="AW22" s="13">
        <f t="shared" si="12"/>
        <v>0</v>
      </c>
      <c r="AX22" s="13">
        <f t="shared" si="12"/>
        <v>0</v>
      </c>
      <c r="AY22" s="13">
        <f t="shared" si="12"/>
        <v>0</v>
      </c>
      <c r="AZ22" s="13">
        <f t="shared" si="12"/>
        <v>0</v>
      </c>
      <c r="BA22" s="13">
        <f t="shared" si="12"/>
        <v>0</v>
      </c>
      <c r="BB22" s="13">
        <f t="shared" si="12"/>
        <v>0</v>
      </c>
      <c r="BC22" s="13">
        <f t="shared" si="13"/>
        <v>0</v>
      </c>
      <c r="BD22" s="13">
        <f t="shared" si="9"/>
        <v>0</v>
      </c>
      <c r="BE22" s="13">
        <f t="shared" si="9"/>
        <v>0</v>
      </c>
      <c r="BF22" s="13">
        <f t="shared" si="9"/>
        <v>0</v>
      </c>
      <c r="BG22" s="13">
        <f t="shared" si="9"/>
        <v>0</v>
      </c>
      <c r="BH22" s="13">
        <f t="shared" si="9"/>
        <v>0</v>
      </c>
      <c r="BI22" s="13">
        <f t="shared" si="9"/>
        <v>0</v>
      </c>
      <c r="BJ22" s="13">
        <f t="shared" si="9"/>
        <v>0</v>
      </c>
      <c r="BK22" s="13">
        <f t="shared" si="9"/>
        <v>0</v>
      </c>
      <c r="BL22" s="13">
        <f t="shared" si="9"/>
        <v>0</v>
      </c>
      <c r="BM22" s="13">
        <f t="shared" si="9"/>
        <v>0</v>
      </c>
      <c r="BN22" s="13">
        <f t="shared" si="9"/>
        <v>0</v>
      </c>
    </row>
    <row r="23" spans="1:68">
      <c r="A23" s="36" t="str">
        <f>BOM!A30</f>
        <v>B91962</v>
      </c>
      <c r="B23" s="36" t="str">
        <f>INDEX('Cloud Price List'!$B$3:$N$1491,MATCH(BOM!$A30,'Cloud Price List'!$A$3:$A$1491,0),1)</f>
        <v>Oracle Cloud Infrastructure - Block Volume Performance</v>
      </c>
      <c r="C23" s="780">
        <f>BOM!AL30</f>
        <v>1.6149999999999999E-3</v>
      </c>
      <c r="D23" s="36">
        <f>IF(ISNUMBER(SEARCH("Hour",TEXT(BOM!C30,0))),$B$1,1)</f>
        <v>1</v>
      </c>
      <c r="E23" s="13">
        <f>BOM!AH30</f>
        <v>29500</v>
      </c>
      <c r="F23" s="792"/>
      <c r="G23" s="13">
        <f t="shared" si="5"/>
        <v>29500</v>
      </c>
      <c r="H23" s="13">
        <f t="shared" si="5"/>
        <v>29500</v>
      </c>
      <c r="I23" s="13">
        <f t="shared" si="5"/>
        <v>29500</v>
      </c>
      <c r="J23" s="13">
        <f t="shared" si="5"/>
        <v>29500</v>
      </c>
      <c r="K23" s="13">
        <f t="shared" si="5"/>
        <v>29500</v>
      </c>
      <c r="L23" s="13">
        <f t="shared" si="5"/>
        <v>29500</v>
      </c>
      <c r="M23" s="13">
        <f t="shared" si="5"/>
        <v>29500</v>
      </c>
      <c r="N23" s="13">
        <f t="shared" si="5"/>
        <v>29500</v>
      </c>
      <c r="O23" s="13">
        <f t="shared" si="5"/>
        <v>29500</v>
      </c>
      <c r="P23" s="13">
        <f t="shared" si="5"/>
        <v>29500</v>
      </c>
      <c r="Q23" s="13">
        <f t="shared" si="5"/>
        <v>29500</v>
      </c>
      <c r="R23" s="13">
        <f t="shared" si="5"/>
        <v>29500</v>
      </c>
      <c r="S23" s="13">
        <f t="shared" si="5"/>
        <v>29500</v>
      </c>
      <c r="T23" s="13">
        <f t="shared" si="5"/>
        <v>29500</v>
      </c>
      <c r="U23" s="13">
        <f t="shared" si="5"/>
        <v>29500</v>
      </c>
      <c r="V23" s="13">
        <f t="shared" si="5"/>
        <v>29500</v>
      </c>
      <c r="W23" s="13">
        <f t="shared" si="11"/>
        <v>29500</v>
      </c>
      <c r="X23" s="13">
        <f t="shared" si="11"/>
        <v>29500</v>
      </c>
      <c r="Y23" s="13">
        <f t="shared" si="11"/>
        <v>29500</v>
      </c>
      <c r="Z23" s="13">
        <f t="shared" si="11"/>
        <v>29500</v>
      </c>
      <c r="AA23" s="13">
        <f t="shared" si="11"/>
        <v>29500</v>
      </c>
      <c r="AB23" s="13">
        <f t="shared" si="11"/>
        <v>29500</v>
      </c>
      <c r="AC23" s="13">
        <f t="shared" si="11"/>
        <v>29500</v>
      </c>
      <c r="AD23" s="13">
        <f t="shared" si="11"/>
        <v>29500</v>
      </c>
      <c r="AE23" s="13">
        <f t="shared" si="11"/>
        <v>29500</v>
      </c>
      <c r="AF23" s="13">
        <f t="shared" si="11"/>
        <v>29500</v>
      </c>
      <c r="AG23" s="13">
        <f t="shared" si="11"/>
        <v>29500</v>
      </c>
      <c r="AH23" s="13">
        <f t="shared" si="11"/>
        <v>29500</v>
      </c>
      <c r="AI23" s="13">
        <f t="shared" si="11"/>
        <v>29500</v>
      </c>
      <c r="AJ23" s="13">
        <f t="shared" si="11"/>
        <v>29500</v>
      </c>
      <c r="AK23" s="13">
        <f t="shared" si="11"/>
        <v>29500</v>
      </c>
      <c r="AL23" s="13">
        <f t="shared" si="11"/>
        <v>29500</v>
      </c>
      <c r="AM23" s="13">
        <f t="shared" si="12"/>
        <v>29500</v>
      </c>
      <c r="AN23" s="13">
        <f t="shared" si="12"/>
        <v>29500</v>
      </c>
      <c r="AO23" s="13">
        <f t="shared" si="12"/>
        <v>29500</v>
      </c>
      <c r="AP23" s="13">
        <f t="shared" si="12"/>
        <v>29500</v>
      </c>
      <c r="AQ23" s="13">
        <f t="shared" si="12"/>
        <v>29500</v>
      </c>
      <c r="AR23" s="13">
        <f t="shared" si="12"/>
        <v>29500</v>
      </c>
      <c r="AS23" s="13">
        <f t="shared" si="12"/>
        <v>29500</v>
      </c>
      <c r="AT23" s="13">
        <f t="shared" si="12"/>
        <v>29500</v>
      </c>
      <c r="AU23" s="13">
        <f t="shared" si="12"/>
        <v>29500</v>
      </c>
      <c r="AV23" s="13">
        <f t="shared" si="12"/>
        <v>29500</v>
      </c>
      <c r="AW23" s="13">
        <f t="shared" si="12"/>
        <v>29500</v>
      </c>
      <c r="AX23" s="13">
        <f t="shared" si="12"/>
        <v>29500</v>
      </c>
      <c r="AY23" s="13">
        <f t="shared" si="12"/>
        <v>29500</v>
      </c>
      <c r="AZ23" s="13">
        <f t="shared" si="12"/>
        <v>29500</v>
      </c>
      <c r="BA23" s="13">
        <f t="shared" si="12"/>
        <v>29500</v>
      </c>
      <c r="BB23" s="13">
        <f t="shared" si="12"/>
        <v>29500</v>
      </c>
      <c r="BC23" s="13">
        <f t="shared" si="13"/>
        <v>29500</v>
      </c>
      <c r="BD23" s="13">
        <f t="shared" si="9"/>
        <v>29500</v>
      </c>
      <c r="BE23" s="13">
        <f t="shared" si="9"/>
        <v>29500</v>
      </c>
      <c r="BF23" s="13">
        <f t="shared" si="9"/>
        <v>29500</v>
      </c>
      <c r="BG23" s="13">
        <f t="shared" si="9"/>
        <v>29500</v>
      </c>
      <c r="BH23" s="13">
        <f t="shared" si="9"/>
        <v>29500</v>
      </c>
      <c r="BI23" s="13">
        <f t="shared" si="9"/>
        <v>29500</v>
      </c>
      <c r="BJ23" s="13">
        <f t="shared" si="9"/>
        <v>29500</v>
      </c>
      <c r="BK23" s="13">
        <f t="shared" si="9"/>
        <v>29500</v>
      </c>
      <c r="BL23" s="13">
        <f t="shared" si="9"/>
        <v>29500</v>
      </c>
      <c r="BM23" s="13">
        <f t="shared" si="9"/>
        <v>29500</v>
      </c>
      <c r="BN23" s="13">
        <f t="shared" si="9"/>
        <v>29500</v>
      </c>
    </row>
    <row r="24" spans="1:68">
      <c r="A24" s="36"/>
      <c r="B24" s="36"/>
      <c r="C24" s="780"/>
      <c r="D24" s="36"/>
      <c r="E24" s="13"/>
      <c r="F24" s="790"/>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row>
    <row r="25" spans="1:68" s="39" customFormat="1">
      <c r="A25" s="38" t="s">
        <v>490</v>
      </c>
      <c r="B25" s="38"/>
      <c r="C25" s="781"/>
      <c r="D25" s="38"/>
      <c r="E25" s="38"/>
      <c r="F25" s="793"/>
      <c r="G25" s="38">
        <f t="shared" ref="G25:AL25" si="14">SUMPRODUCT($C8:$C24,$D8:$D24,G8:G24)</f>
        <v>4710.91795</v>
      </c>
      <c r="H25" s="38">
        <f t="shared" si="14"/>
        <v>4710.91795</v>
      </c>
      <c r="I25" s="38">
        <f t="shared" si="14"/>
        <v>4710.91795</v>
      </c>
      <c r="J25" s="38">
        <f t="shared" si="14"/>
        <v>4710.91795</v>
      </c>
      <c r="K25" s="38">
        <f t="shared" si="14"/>
        <v>4710.91795</v>
      </c>
      <c r="L25" s="38">
        <f t="shared" si="14"/>
        <v>4710.91795</v>
      </c>
      <c r="M25" s="38">
        <f t="shared" si="14"/>
        <v>4710.91795</v>
      </c>
      <c r="N25" s="38">
        <f t="shared" si="14"/>
        <v>4710.91795</v>
      </c>
      <c r="O25" s="38">
        <f t="shared" si="14"/>
        <v>4710.91795</v>
      </c>
      <c r="P25" s="38">
        <f t="shared" si="14"/>
        <v>4710.91795</v>
      </c>
      <c r="Q25" s="38">
        <f t="shared" si="14"/>
        <v>4710.91795</v>
      </c>
      <c r="R25" s="38">
        <f t="shared" si="14"/>
        <v>4710.91795</v>
      </c>
      <c r="S25" s="38">
        <f t="shared" si="14"/>
        <v>4710.91795</v>
      </c>
      <c r="T25" s="38">
        <f t="shared" si="14"/>
        <v>4710.91795</v>
      </c>
      <c r="U25" s="38">
        <f t="shared" si="14"/>
        <v>4710.91795</v>
      </c>
      <c r="V25" s="38">
        <f t="shared" si="14"/>
        <v>4710.91795</v>
      </c>
      <c r="W25" s="38">
        <f t="shared" si="14"/>
        <v>4710.91795</v>
      </c>
      <c r="X25" s="38">
        <f t="shared" si="14"/>
        <v>4710.91795</v>
      </c>
      <c r="Y25" s="38">
        <f t="shared" si="14"/>
        <v>4710.91795</v>
      </c>
      <c r="Z25" s="38">
        <f t="shared" si="14"/>
        <v>4710.91795</v>
      </c>
      <c r="AA25" s="38">
        <f t="shared" si="14"/>
        <v>4710.91795</v>
      </c>
      <c r="AB25" s="38">
        <f t="shared" si="14"/>
        <v>4710.91795</v>
      </c>
      <c r="AC25" s="38">
        <f t="shared" si="14"/>
        <v>4710.91795</v>
      </c>
      <c r="AD25" s="38">
        <f t="shared" si="14"/>
        <v>4710.91795</v>
      </c>
      <c r="AE25" s="38">
        <f t="shared" si="14"/>
        <v>4710.91795</v>
      </c>
      <c r="AF25" s="38">
        <f t="shared" si="14"/>
        <v>4710.91795</v>
      </c>
      <c r="AG25" s="38">
        <f t="shared" si="14"/>
        <v>4710.91795</v>
      </c>
      <c r="AH25" s="38">
        <f t="shared" si="14"/>
        <v>4710.91795</v>
      </c>
      <c r="AI25" s="38">
        <f t="shared" si="14"/>
        <v>4710.91795</v>
      </c>
      <c r="AJ25" s="38">
        <f t="shared" si="14"/>
        <v>4710.91795</v>
      </c>
      <c r="AK25" s="38">
        <f t="shared" si="14"/>
        <v>4710.91795</v>
      </c>
      <c r="AL25" s="38">
        <f t="shared" si="14"/>
        <v>4710.91795</v>
      </c>
      <c r="AM25" s="38">
        <f t="shared" ref="AM25:BN25" si="15">SUMPRODUCT($C8:$C24,$D8:$D24,AM8:AM24)</f>
        <v>4710.91795</v>
      </c>
      <c r="AN25" s="38">
        <f t="shared" si="15"/>
        <v>4710.91795</v>
      </c>
      <c r="AO25" s="38">
        <f t="shared" si="15"/>
        <v>4710.91795</v>
      </c>
      <c r="AP25" s="38">
        <f t="shared" si="15"/>
        <v>4710.91795</v>
      </c>
      <c r="AQ25" s="38">
        <f t="shared" si="15"/>
        <v>4710.91795</v>
      </c>
      <c r="AR25" s="38">
        <f t="shared" si="15"/>
        <v>4710.91795</v>
      </c>
      <c r="AS25" s="38">
        <f t="shared" si="15"/>
        <v>4710.91795</v>
      </c>
      <c r="AT25" s="38">
        <f t="shared" si="15"/>
        <v>4710.91795</v>
      </c>
      <c r="AU25" s="38">
        <f t="shared" si="15"/>
        <v>4710.91795</v>
      </c>
      <c r="AV25" s="38">
        <f t="shared" si="15"/>
        <v>4710.91795</v>
      </c>
      <c r="AW25" s="38">
        <f t="shared" si="15"/>
        <v>4710.91795</v>
      </c>
      <c r="AX25" s="38">
        <f t="shared" si="15"/>
        <v>4710.91795</v>
      </c>
      <c r="AY25" s="38">
        <f t="shared" si="15"/>
        <v>4710.91795</v>
      </c>
      <c r="AZ25" s="38">
        <f t="shared" si="15"/>
        <v>4710.91795</v>
      </c>
      <c r="BA25" s="38">
        <f t="shared" si="15"/>
        <v>4710.91795</v>
      </c>
      <c r="BB25" s="38">
        <f t="shared" si="15"/>
        <v>4710.91795</v>
      </c>
      <c r="BC25" s="38">
        <f t="shared" si="15"/>
        <v>4710.91795</v>
      </c>
      <c r="BD25" s="38">
        <f t="shared" si="15"/>
        <v>4710.91795</v>
      </c>
      <c r="BE25" s="38">
        <f t="shared" si="15"/>
        <v>4710.91795</v>
      </c>
      <c r="BF25" s="38">
        <f t="shared" si="15"/>
        <v>4710.91795</v>
      </c>
      <c r="BG25" s="38">
        <f t="shared" si="15"/>
        <v>4710.91795</v>
      </c>
      <c r="BH25" s="38">
        <f t="shared" si="15"/>
        <v>4710.91795</v>
      </c>
      <c r="BI25" s="38">
        <f t="shared" si="15"/>
        <v>4710.91795</v>
      </c>
      <c r="BJ25" s="38">
        <f t="shared" si="15"/>
        <v>4710.91795</v>
      </c>
      <c r="BK25" s="38">
        <f t="shared" si="15"/>
        <v>4710.91795</v>
      </c>
      <c r="BL25" s="38">
        <f t="shared" si="15"/>
        <v>4710.91795</v>
      </c>
      <c r="BM25" s="38">
        <f t="shared" si="15"/>
        <v>4710.91795</v>
      </c>
      <c r="BN25" s="38">
        <f t="shared" si="15"/>
        <v>4710.91795</v>
      </c>
      <c r="BO25" s="57"/>
      <c r="BP25" s="57"/>
    </row>
    <row r="26" spans="1:68">
      <c r="A26" s="36"/>
      <c r="B26" s="36"/>
      <c r="C26" s="780"/>
      <c r="D26" s="36"/>
      <c r="E26" s="36"/>
      <c r="F26" s="790"/>
      <c r="G26" s="36"/>
      <c r="H26" s="40"/>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41"/>
      <c r="AH26" s="41"/>
      <c r="AI26" s="41"/>
      <c r="AJ26" s="41"/>
      <c r="AK26" s="41"/>
      <c r="AL26" s="41"/>
      <c r="AM26" s="41"/>
      <c r="AN26" s="41"/>
      <c r="AO26" s="41"/>
      <c r="AP26" s="41"/>
    </row>
    <row r="27" spans="1:68">
      <c r="A27" s="796" t="s">
        <v>3007</v>
      </c>
      <c r="B27" s="36"/>
      <c r="C27" s="780"/>
      <c r="D27" s="36"/>
      <c r="E27" s="36"/>
      <c r="F27" s="790"/>
      <c r="G27" s="36"/>
      <c r="H27" s="40"/>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41"/>
      <c r="AH27" s="41"/>
      <c r="AI27" s="41"/>
      <c r="AJ27" s="41"/>
      <c r="AK27" s="41"/>
      <c r="AL27" s="41"/>
      <c r="AM27" s="41"/>
      <c r="AN27" s="41"/>
      <c r="AO27" s="41"/>
      <c r="AP27" s="41"/>
    </row>
    <row r="28" spans="1:68">
      <c r="A28" s="36" t="str">
        <f t="shared" ref="A28:B43" si="16">A8</f>
        <v>B94176</v>
      </c>
      <c r="B28" s="36" t="str">
        <f t="shared" si="16"/>
        <v xml:space="preserve">Oracle Cloud Infrastructure - Compute - Standard - X9 </v>
      </c>
      <c r="C28"/>
      <c r="D28"/>
      <c r="E28" s="13"/>
      <c r="F28" s="792"/>
      <c r="G28" s="13">
        <f t="shared" ref="G28:AL28" si="17">SUMPRODUCT($C8,$D8,G8)</f>
        <v>0</v>
      </c>
      <c r="H28" s="13">
        <f t="shared" si="17"/>
        <v>0</v>
      </c>
      <c r="I28" s="13">
        <f t="shared" si="17"/>
        <v>0</v>
      </c>
      <c r="J28" s="13">
        <f t="shared" si="17"/>
        <v>0</v>
      </c>
      <c r="K28" s="13">
        <f t="shared" si="17"/>
        <v>0</v>
      </c>
      <c r="L28" s="13">
        <f t="shared" si="17"/>
        <v>0</v>
      </c>
      <c r="M28" s="13">
        <f t="shared" si="17"/>
        <v>0</v>
      </c>
      <c r="N28" s="13">
        <f t="shared" si="17"/>
        <v>0</v>
      </c>
      <c r="O28" s="13">
        <f t="shared" si="17"/>
        <v>0</v>
      </c>
      <c r="P28" s="13">
        <f t="shared" si="17"/>
        <v>0</v>
      </c>
      <c r="Q28" s="13">
        <f t="shared" si="17"/>
        <v>0</v>
      </c>
      <c r="R28" s="13">
        <f t="shared" si="17"/>
        <v>0</v>
      </c>
      <c r="S28" s="13">
        <f t="shared" si="17"/>
        <v>0</v>
      </c>
      <c r="T28" s="13">
        <f t="shared" si="17"/>
        <v>0</v>
      </c>
      <c r="U28" s="13">
        <f t="shared" si="17"/>
        <v>0</v>
      </c>
      <c r="V28" s="13">
        <f t="shared" si="17"/>
        <v>0</v>
      </c>
      <c r="W28" s="13">
        <f t="shared" si="17"/>
        <v>0</v>
      </c>
      <c r="X28" s="13">
        <f t="shared" si="17"/>
        <v>0</v>
      </c>
      <c r="Y28" s="13">
        <f t="shared" si="17"/>
        <v>0</v>
      </c>
      <c r="Z28" s="13">
        <f t="shared" si="17"/>
        <v>0</v>
      </c>
      <c r="AA28" s="13">
        <f t="shared" si="17"/>
        <v>0</v>
      </c>
      <c r="AB28" s="13">
        <f t="shared" si="17"/>
        <v>0</v>
      </c>
      <c r="AC28" s="13">
        <f t="shared" si="17"/>
        <v>0</v>
      </c>
      <c r="AD28" s="13">
        <f t="shared" si="17"/>
        <v>0</v>
      </c>
      <c r="AE28" s="13">
        <f t="shared" si="17"/>
        <v>0</v>
      </c>
      <c r="AF28" s="13">
        <f t="shared" si="17"/>
        <v>0</v>
      </c>
      <c r="AG28" s="13">
        <f t="shared" si="17"/>
        <v>0</v>
      </c>
      <c r="AH28" s="13">
        <f t="shared" si="17"/>
        <v>0</v>
      </c>
      <c r="AI28" s="13">
        <f t="shared" si="17"/>
        <v>0</v>
      </c>
      <c r="AJ28" s="13">
        <f t="shared" si="17"/>
        <v>0</v>
      </c>
      <c r="AK28" s="13">
        <f t="shared" si="17"/>
        <v>0</v>
      </c>
      <c r="AL28" s="13">
        <f t="shared" si="17"/>
        <v>0</v>
      </c>
      <c r="AM28" s="13">
        <f t="shared" ref="AM28:BN28" si="18">SUMPRODUCT($C8,$D8,AM8)</f>
        <v>0</v>
      </c>
      <c r="AN28" s="13">
        <f t="shared" si="18"/>
        <v>0</v>
      </c>
      <c r="AO28" s="13">
        <f t="shared" si="18"/>
        <v>0</v>
      </c>
      <c r="AP28" s="13">
        <f t="shared" si="18"/>
        <v>0</v>
      </c>
      <c r="AQ28" s="13">
        <f t="shared" si="18"/>
        <v>0</v>
      </c>
      <c r="AR28" s="13">
        <f t="shared" si="18"/>
        <v>0</v>
      </c>
      <c r="AS28" s="13">
        <f t="shared" si="18"/>
        <v>0</v>
      </c>
      <c r="AT28" s="13">
        <f t="shared" si="18"/>
        <v>0</v>
      </c>
      <c r="AU28" s="13">
        <f t="shared" si="18"/>
        <v>0</v>
      </c>
      <c r="AV28" s="13">
        <f t="shared" si="18"/>
        <v>0</v>
      </c>
      <c r="AW28" s="13">
        <f t="shared" si="18"/>
        <v>0</v>
      </c>
      <c r="AX28" s="13">
        <f t="shared" si="18"/>
        <v>0</v>
      </c>
      <c r="AY28" s="13">
        <f t="shared" si="18"/>
        <v>0</v>
      </c>
      <c r="AZ28" s="13">
        <f t="shared" si="18"/>
        <v>0</v>
      </c>
      <c r="BA28" s="13">
        <f t="shared" si="18"/>
        <v>0</v>
      </c>
      <c r="BB28" s="13">
        <f t="shared" si="18"/>
        <v>0</v>
      </c>
      <c r="BC28" s="13">
        <f t="shared" si="18"/>
        <v>0</v>
      </c>
      <c r="BD28" s="13">
        <f t="shared" si="18"/>
        <v>0</v>
      </c>
      <c r="BE28" s="13">
        <f t="shared" si="18"/>
        <v>0</v>
      </c>
      <c r="BF28" s="13">
        <f t="shared" si="18"/>
        <v>0</v>
      </c>
      <c r="BG28" s="13">
        <f t="shared" si="18"/>
        <v>0</v>
      </c>
      <c r="BH28" s="13">
        <f t="shared" si="18"/>
        <v>0</v>
      </c>
      <c r="BI28" s="13">
        <f t="shared" si="18"/>
        <v>0</v>
      </c>
      <c r="BJ28" s="13">
        <f t="shared" si="18"/>
        <v>0</v>
      </c>
      <c r="BK28" s="13">
        <f t="shared" si="18"/>
        <v>0</v>
      </c>
      <c r="BL28" s="13">
        <f t="shared" si="18"/>
        <v>0</v>
      </c>
      <c r="BM28" s="13">
        <f t="shared" si="18"/>
        <v>0</v>
      </c>
      <c r="BN28" s="13">
        <f t="shared" si="18"/>
        <v>0</v>
      </c>
    </row>
    <row r="29" spans="1:68">
      <c r="A29" s="36" t="str">
        <f t="shared" si="16"/>
        <v>B93311</v>
      </c>
      <c r="B29" s="36" t="str">
        <f t="shared" si="16"/>
        <v>Oracle Cloud Infrastructure - Compute - Optimized - X9</v>
      </c>
      <c r="C29"/>
      <c r="D29"/>
      <c r="E29" s="13"/>
      <c r="F29" s="792"/>
      <c r="G29" s="13">
        <f t="shared" ref="G29:AL29" si="19">SUMPRODUCT($C9,$D9,G9)</f>
        <v>0</v>
      </c>
      <c r="H29" s="13">
        <f t="shared" si="19"/>
        <v>0</v>
      </c>
      <c r="I29" s="13">
        <f t="shared" si="19"/>
        <v>0</v>
      </c>
      <c r="J29" s="13">
        <f t="shared" si="19"/>
        <v>0</v>
      </c>
      <c r="K29" s="13">
        <f t="shared" si="19"/>
        <v>0</v>
      </c>
      <c r="L29" s="13">
        <f t="shared" si="19"/>
        <v>0</v>
      </c>
      <c r="M29" s="13">
        <f t="shared" si="19"/>
        <v>0</v>
      </c>
      <c r="N29" s="13">
        <f t="shared" si="19"/>
        <v>0</v>
      </c>
      <c r="O29" s="13">
        <f t="shared" si="19"/>
        <v>0</v>
      </c>
      <c r="P29" s="13">
        <f t="shared" si="19"/>
        <v>0</v>
      </c>
      <c r="Q29" s="13">
        <f t="shared" si="19"/>
        <v>0</v>
      </c>
      <c r="R29" s="13">
        <f t="shared" si="19"/>
        <v>0</v>
      </c>
      <c r="S29" s="13">
        <f t="shared" si="19"/>
        <v>0</v>
      </c>
      <c r="T29" s="13">
        <f t="shared" si="19"/>
        <v>0</v>
      </c>
      <c r="U29" s="13">
        <f t="shared" si="19"/>
        <v>0</v>
      </c>
      <c r="V29" s="13">
        <f t="shared" si="19"/>
        <v>0</v>
      </c>
      <c r="W29" s="13">
        <f t="shared" si="19"/>
        <v>0</v>
      </c>
      <c r="X29" s="13">
        <f t="shared" si="19"/>
        <v>0</v>
      </c>
      <c r="Y29" s="13">
        <f t="shared" si="19"/>
        <v>0</v>
      </c>
      <c r="Z29" s="13">
        <f t="shared" si="19"/>
        <v>0</v>
      </c>
      <c r="AA29" s="13">
        <f t="shared" si="19"/>
        <v>0</v>
      </c>
      <c r="AB29" s="13">
        <f t="shared" si="19"/>
        <v>0</v>
      </c>
      <c r="AC29" s="13">
        <f t="shared" si="19"/>
        <v>0</v>
      </c>
      <c r="AD29" s="13">
        <f t="shared" si="19"/>
        <v>0</v>
      </c>
      <c r="AE29" s="13">
        <f t="shared" si="19"/>
        <v>0</v>
      </c>
      <c r="AF29" s="13">
        <f t="shared" si="19"/>
        <v>0</v>
      </c>
      <c r="AG29" s="13">
        <f t="shared" si="19"/>
        <v>0</v>
      </c>
      <c r="AH29" s="13">
        <f t="shared" si="19"/>
        <v>0</v>
      </c>
      <c r="AI29" s="13">
        <f t="shared" si="19"/>
        <v>0</v>
      </c>
      <c r="AJ29" s="13">
        <f t="shared" si="19"/>
        <v>0</v>
      </c>
      <c r="AK29" s="13">
        <f t="shared" si="19"/>
        <v>0</v>
      </c>
      <c r="AL29" s="13">
        <f t="shared" si="19"/>
        <v>0</v>
      </c>
      <c r="AM29" s="13">
        <f t="shared" ref="AM29:BN29" si="20">SUMPRODUCT($C9,$D9,AM9)</f>
        <v>0</v>
      </c>
      <c r="AN29" s="13">
        <f t="shared" si="20"/>
        <v>0</v>
      </c>
      <c r="AO29" s="13">
        <f t="shared" si="20"/>
        <v>0</v>
      </c>
      <c r="AP29" s="13">
        <f t="shared" si="20"/>
        <v>0</v>
      </c>
      <c r="AQ29" s="13">
        <f t="shared" si="20"/>
        <v>0</v>
      </c>
      <c r="AR29" s="13">
        <f t="shared" si="20"/>
        <v>0</v>
      </c>
      <c r="AS29" s="13">
        <f t="shared" si="20"/>
        <v>0</v>
      </c>
      <c r="AT29" s="13">
        <f t="shared" si="20"/>
        <v>0</v>
      </c>
      <c r="AU29" s="13">
        <f t="shared" si="20"/>
        <v>0</v>
      </c>
      <c r="AV29" s="13">
        <f t="shared" si="20"/>
        <v>0</v>
      </c>
      <c r="AW29" s="13">
        <f t="shared" si="20"/>
        <v>0</v>
      </c>
      <c r="AX29" s="13">
        <f t="shared" si="20"/>
        <v>0</v>
      </c>
      <c r="AY29" s="13">
        <f t="shared" si="20"/>
        <v>0</v>
      </c>
      <c r="AZ29" s="13">
        <f t="shared" si="20"/>
        <v>0</v>
      </c>
      <c r="BA29" s="13">
        <f t="shared" si="20"/>
        <v>0</v>
      </c>
      <c r="BB29" s="13">
        <f t="shared" si="20"/>
        <v>0</v>
      </c>
      <c r="BC29" s="13">
        <f t="shared" si="20"/>
        <v>0</v>
      </c>
      <c r="BD29" s="13">
        <f t="shared" si="20"/>
        <v>0</v>
      </c>
      <c r="BE29" s="13">
        <f t="shared" si="20"/>
        <v>0</v>
      </c>
      <c r="BF29" s="13">
        <f t="shared" si="20"/>
        <v>0</v>
      </c>
      <c r="BG29" s="13">
        <f t="shared" si="20"/>
        <v>0</v>
      </c>
      <c r="BH29" s="13">
        <f t="shared" si="20"/>
        <v>0</v>
      </c>
      <c r="BI29" s="13">
        <f t="shared" si="20"/>
        <v>0</v>
      </c>
      <c r="BJ29" s="13">
        <f t="shared" si="20"/>
        <v>0</v>
      </c>
      <c r="BK29" s="13">
        <f t="shared" si="20"/>
        <v>0</v>
      </c>
      <c r="BL29" s="13">
        <f t="shared" si="20"/>
        <v>0</v>
      </c>
      <c r="BM29" s="13">
        <f t="shared" si="20"/>
        <v>0</v>
      </c>
      <c r="BN29" s="13">
        <f t="shared" si="20"/>
        <v>0</v>
      </c>
    </row>
    <row r="30" spans="1:68">
      <c r="A30" s="36" t="str">
        <f t="shared" si="16"/>
        <v>B93312</v>
      </c>
      <c r="B30" s="36" t="str">
        <f t="shared" si="16"/>
        <v>Oracle Cloud Infrastructure - Compute - Optimized - X9 - Memory</v>
      </c>
      <c r="C30"/>
      <c r="D30"/>
      <c r="E30" s="13"/>
      <c r="F30" s="792"/>
      <c r="G30" s="13">
        <f t="shared" ref="G30:AL30" si="21">SUMPRODUCT($C10,$D10,G10)</f>
        <v>0</v>
      </c>
      <c r="H30" s="13">
        <f t="shared" si="21"/>
        <v>0</v>
      </c>
      <c r="I30" s="13">
        <f t="shared" si="21"/>
        <v>0</v>
      </c>
      <c r="J30" s="13">
        <f t="shared" si="21"/>
        <v>0</v>
      </c>
      <c r="K30" s="13">
        <f t="shared" si="21"/>
        <v>0</v>
      </c>
      <c r="L30" s="13">
        <f t="shared" si="21"/>
        <v>0</v>
      </c>
      <c r="M30" s="13">
        <f t="shared" si="21"/>
        <v>0</v>
      </c>
      <c r="N30" s="13">
        <f t="shared" si="21"/>
        <v>0</v>
      </c>
      <c r="O30" s="13">
        <f t="shared" si="21"/>
        <v>0</v>
      </c>
      <c r="P30" s="13">
        <f t="shared" si="21"/>
        <v>0</v>
      </c>
      <c r="Q30" s="13">
        <f t="shared" si="21"/>
        <v>0</v>
      </c>
      <c r="R30" s="13">
        <f t="shared" si="21"/>
        <v>0</v>
      </c>
      <c r="S30" s="13">
        <f t="shared" si="21"/>
        <v>0</v>
      </c>
      <c r="T30" s="13">
        <f t="shared" si="21"/>
        <v>0</v>
      </c>
      <c r="U30" s="13">
        <f t="shared" si="21"/>
        <v>0</v>
      </c>
      <c r="V30" s="13">
        <f t="shared" si="21"/>
        <v>0</v>
      </c>
      <c r="W30" s="13">
        <f t="shared" si="21"/>
        <v>0</v>
      </c>
      <c r="X30" s="13">
        <f t="shared" si="21"/>
        <v>0</v>
      </c>
      <c r="Y30" s="13">
        <f t="shared" si="21"/>
        <v>0</v>
      </c>
      <c r="Z30" s="13">
        <f t="shared" si="21"/>
        <v>0</v>
      </c>
      <c r="AA30" s="13">
        <f t="shared" si="21"/>
        <v>0</v>
      </c>
      <c r="AB30" s="13">
        <f t="shared" si="21"/>
        <v>0</v>
      </c>
      <c r="AC30" s="13">
        <f t="shared" si="21"/>
        <v>0</v>
      </c>
      <c r="AD30" s="13">
        <f t="shared" si="21"/>
        <v>0</v>
      </c>
      <c r="AE30" s="13">
        <f t="shared" si="21"/>
        <v>0</v>
      </c>
      <c r="AF30" s="13">
        <f t="shared" si="21"/>
        <v>0</v>
      </c>
      <c r="AG30" s="13">
        <f t="shared" si="21"/>
        <v>0</v>
      </c>
      <c r="AH30" s="13">
        <f t="shared" si="21"/>
        <v>0</v>
      </c>
      <c r="AI30" s="13">
        <f t="shared" si="21"/>
        <v>0</v>
      </c>
      <c r="AJ30" s="13">
        <f t="shared" si="21"/>
        <v>0</v>
      </c>
      <c r="AK30" s="13">
        <f t="shared" si="21"/>
        <v>0</v>
      </c>
      <c r="AL30" s="13">
        <f t="shared" si="21"/>
        <v>0</v>
      </c>
      <c r="AM30" s="13">
        <f t="shared" ref="AM30:BN30" si="22">SUMPRODUCT($C10,$D10,AM10)</f>
        <v>0</v>
      </c>
      <c r="AN30" s="13">
        <f t="shared" si="22"/>
        <v>0</v>
      </c>
      <c r="AO30" s="13">
        <f t="shared" si="22"/>
        <v>0</v>
      </c>
      <c r="AP30" s="13">
        <f t="shared" si="22"/>
        <v>0</v>
      </c>
      <c r="AQ30" s="13">
        <f t="shared" si="22"/>
        <v>0</v>
      </c>
      <c r="AR30" s="13">
        <f t="shared" si="22"/>
        <v>0</v>
      </c>
      <c r="AS30" s="13">
        <f t="shared" si="22"/>
        <v>0</v>
      </c>
      <c r="AT30" s="13">
        <f t="shared" si="22"/>
        <v>0</v>
      </c>
      <c r="AU30" s="13">
        <f t="shared" si="22"/>
        <v>0</v>
      </c>
      <c r="AV30" s="13">
        <f t="shared" si="22"/>
        <v>0</v>
      </c>
      <c r="AW30" s="13">
        <f t="shared" si="22"/>
        <v>0</v>
      </c>
      <c r="AX30" s="13">
        <f t="shared" si="22"/>
        <v>0</v>
      </c>
      <c r="AY30" s="13">
        <f t="shared" si="22"/>
        <v>0</v>
      </c>
      <c r="AZ30" s="13">
        <f t="shared" si="22"/>
        <v>0</v>
      </c>
      <c r="BA30" s="13">
        <f t="shared" si="22"/>
        <v>0</v>
      </c>
      <c r="BB30" s="13">
        <f t="shared" si="22"/>
        <v>0</v>
      </c>
      <c r="BC30" s="13">
        <f t="shared" si="22"/>
        <v>0</v>
      </c>
      <c r="BD30" s="13">
        <f t="shared" si="22"/>
        <v>0</v>
      </c>
      <c r="BE30" s="13">
        <f t="shared" si="22"/>
        <v>0</v>
      </c>
      <c r="BF30" s="13">
        <f t="shared" si="22"/>
        <v>0</v>
      </c>
      <c r="BG30" s="13">
        <f t="shared" si="22"/>
        <v>0</v>
      </c>
      <c r="BH30" s="13">
        <f t="shared" si="22"/>
        <v>0</v>
      </c>
      <c r="BI30" s="13">
        <f t="shared" si="22"/>
        <v>0</v>
      </c>
      <c r="BJ30" s="13">
        <f t="shared" si="22"/>
        <v>0</v>
      </c>
      <c r="BK30" s="13">
        <f t="shared" si="22"/>
        <v>0</v>
      </c>
      <c r="BL30" s="13">
        <f t="shared" si="22"/>
        <v>0</v>
      </c>
      <c r="BM30" s="13">
        <f t="shared" si="22"/>
        <v>0</v>
      </c>
      <c r="BN30" s="13">
        <f t="shared" si="22"/>
        <v>0</v>
      </c>
    </row>
    <row r="31" spans="1:68">
      <c r="A31" s="36" t="str">
        <f t="shared" si="16"/>
        <v>B93113</v>
      </c>
      <c r="B31" s="36" t="str">
        <f t="shared" si="16"/>
        <v>Oracle Cloud Infrastructure - Compute - Standard - E4</v>
      </c>
      <c r="C31"/>
      <c r="D31"/>
      <c r="E31" s="13"/>
      <c r="F31" s="792"/>
      <c r="G31" s="13">
        <f t="shared" ref="G31:AL31" si="23">SUMPRODUCT($C11,$D11,G11)</f>
        <v>225.38749999999999</v>
      </c>
      <c r="H31" s="13">
        <f t="shared" si="23"/>
        <v>225.38749999999999</v>
      </c>
      <c r="I31" s="13">
        <f t="shared" si="23"/>
        <v>225.38749999999999</v>
      </c>
      <c r="J31" s="13">
        <f t="shared" si="23"/>
        <v>225.38749999999999</v>
      </c>
      <c r="K31" s="13">
        <f t="shared" si="23"/>
        <v>225.38749999999999</v>
      </c>
      <c r="L31" s="13">
        <f t="shared" si="23"/>
        <v>225.38749999999999</v>
      </c>
      <c r="M31" s="13">
        <f t="shared" si="23"/>
        <v>225.38749999999999</v>
      </c>
      <c r="N31" s="13">
        <f t="shared" si="23"/>
        <v>225.38749999999999</v>
      </c>
      <c r="O31" s="13">
        <f t="shared" si="23"/>
        <v>225.38749999999999</v>
      </c>
      <c r="P31" s="13">
        <f t="shared" si="23"/>
        <v>225.38749999999999</v>
      </c>
      <c r="Q31" s="13">
        <f t="shared" si="23"/>
        <v>225.38749999999999</v>
      </c>
      <c r="R31" s="13">
        <f t="shared" si="23"/>
        <v>225.38749999999999</v>
      </c>
      <c r="S31" s="13">
        <f t="shared" si="23"/>
        <v>225.38749999999999</v>
      </c>
      <c r="T31" s="13">
        <f t="shared" si="23"/>
        <v>225.38749999999999</v>
      </c>
      <c r="U31" s="13">
        <f t="shared" si="23"/>
        <v>225.38749999999999</v>
      </c>
      <c r="V31" s="13">
        <f t="shared" si="23"/>
        <v>225.38749999999999</v>
      </c>
      <c r="W31" s="13">
        <f t="shared" si="23"/>
        <v>225.38749999999999</v>
      </c>
      <c r="X31" s="13">
        <f t="shared" si="23"/>
        <v>225.38749999999999</v>
      </c>
      <c r="Y31" s="13">
        <f t="shared" si="23"/>
        <v>225.38749999999999</v>
      </c>
      <c r="Z31" s="13">
        <f t="shared" si="23"/>
        <v>225.38749999999999</v>
      </c>
      <c r="AA31" s="13">
        <f t="shared" si="23"/>
        <v>225.38749999999999</v>
      </c>
      <c r="AB31" s="13">
        <f t="shared" si="23"/>
        <v>225.38749999999999</v>
      </c>
      <c r="AC31" s="13">
        <f t="shared" si="23"/>
        <v>225.38749999999999</v>
      </c>
      <c r="AD31" s="13">
        <f t="shared" si="23"/>
        <v>225.38749999999999</v>
      </c>
      <c r="AE31" s="13">
        <f t="shared" si="23"/>
        <v>225.38749999999999</v>
      </c>
      <c r="AF31" s="13">
        <f t="shared" si="23"/>
        <v>225.38749999999999</v>
      </c>
      <c r="AG31" s="13">
        <f t="shared" si="23"/>
        <v>225.38749999999999</v>
      </c>
      <c r="AH31" s="13">
        <f t="shared" si="23"/>
        <v>225.38749999999999</v>
      </c>
      <c r="AI31" s="13">
        <f t="shared" si="23"/>
        <v>225.38749999999999</v>
      </c>
      <c r="AJ31" s="13">
        <f t="shared" si="23"/>
        <v>225.38749999999999</v>
      </c>
      <c r="AK31" s="13">
        <f t="shared" si="23"/>
        <v>225.38749999999999</v>
      </c>
      <c r="AL31" s="13">
        <f t="shared" si="23"/>
        <v>225.38749999999999</v>
      </c>
      <c r="AM31" s="13">
        <f t="shared" ref="AM31:BN31" si="24">SUMPRODUCT($C11,$D11,AM11)</f>
        <v>225.38749999999999</v>
      </c>
      <c r="AN31" s="13">
        <f t="shared" si="24"/>
        <v>225.38749999999999</v>
      </c>
      <c r="AO31" s="13">
        <f t="shared" si="24"/>
        <v>225.38749999999999</v>
      </c>
      <c r="AP31" s="13">
        <f t="shared" si="24"/>
        <v>225.38749999999999</v>
      </c>
      <c r="AQ31" s="13">
        <f t="shared" si="24"/>
        <v>225.38749999999999</v>
      </c>
      <c r="AR31" s="13">
        <f t="shared" si="24"/>
        <v>225.38749999999999</v>
      </c>
      <c r="AS31" s="13">
        <f t="shared" si="24"/>
        <v>225.38749999999999</v>
      </c>
      <c r="AT31" s="13">
        <f t="shared" si="24"/>
        <v>225.38749999999999</v>
      </c>
      <c r="AU31" s="13">
        <f t="shared" si="24"/>
        <v>225.38749999999999</v>
      </c>
      <c r="AV31" s="13">
        <f t="shared" si="24"/>
        <v>225.38749999999999</v>
      </c>
      <c r="AW31" s="13">
        <f t="shared" si="24"/>
        <v>225.38749999999999</v>
      </c>
      <c r="AX31" s="13">
        <f t="shared" si="24"/>
        <v>225.38749999999999</v>
      </c>
      <c r="AY31" s="13">
        <f t="shared" si="24"/>
        <v>225.38749999999999</v>
      </c>
      <c r="AZ31" s="13">
        <f t="shared" si="24"/>
        <v>225.38749999999999</v>
      </c>
      <c r="BA31" s="13">
        <f t="shared" si="24"/>
        <v>225.38749999999999</v>
      </c>
      <c r="BB31" s="13">
        <f t="shared" si="24"/>
        <v>225.38749999999999</v>
      </c>
      <c r="BC31" s="13">
        <f t="shared" si="24"/>
        <v>225.38749999999999</v>
      </c>
      <c r="BD31" s="13">
        <f t="shared" si="24"/>
        <v>225.38749999999999</v>
      </c>
      <c r="BE31" s="13">
        <f t="shared" si="24"/>
        <v>225.38749999999999</v>
      </c>
      <c r="BF31" s="13">
        <f t="shared" si="24"/>
        <v>225.38749999999999</v>
      </c>
      <c r="BG31" s="13">
        <f t="shared" si="24"/>
        <v>225.38749999999999</v>
      </c>
      <c r="BH31" s="13">
        <f t="shared" si="24"/>
        <v>225.38749999999999</v>
      </c>
      <c r="BI31" s="13">
        <f t="shared" si="24"/>
        <v>225.38749999999999</v>
      </c>
      <c r="BJ31" s="13">
        <f t="shared" si="24"/>
        <v>225.38749999999999</v>
      </c>
      <c r="BK31" s="13">
        <f t="shared" si="24"/>
        <v>225.38749999999999</v>
      </c>
      <c r="BL31" s="13">
        <f t="shared" si="24"/>
        <v>225.38749999999999</v>
      </c>
      <c r="BM31" s="13">
        <f t="shared" si="24"/>
        <v>225.38749999999999</v>
      </c>
      <c r="BN31" s="13">
        <f t="shared" si="24"/>
        <v>225.38749999999999</v>
      </c>
    </row>
    <row r="32" spans="1:68">
      <c r="A32" s="36" t="str">
        <f t="shared" si="16"/>
        <v>B93114</v>
      </c>
      <c r="B32" s="36" t="str">
        <f t="shared" si="16"/>
        <v>Oracle Cloud Infrastructure - Compute - Standard - E4  - Memory</v>
      </c>
      <c r="C32"/>
      <c r="D32"/>
      <c r="E32" s="13"/>
      <c r="F32" s="792"/>
      <c r="G32" s="13">
        <f t="shared" ref="G32:AL32" si="25">SUMPRODUCT($C12,$D12,G12)</f>
        <v>216.37200000000001</v>
      </c>
      <c r="H32" s="13">
        <f t="shared" si="25"/>
        <v>216.37200000000001</v>
      </c>
      <c r="I32" s="13">
        <f t="shared" si="25"/>
        <v>216.37200000000001</v>
      </c>
      <c r="J32" s="13">
        <f t="shared" si="25"/>
        <v>216.37200000000001</v>
      </c>
      <c r="K32" s="13">
        <f t="shared" si="25"/>
        <v>216.37200000000001</v>
      </c>
      <c r="L32" s="13">
        <f t="shared" si="25"/>
        <v>216.37200000000001</v>
      </c>
      <c r="M32" s="13">
        <f t="shared" si="25"/>
        <v>216.37200000000001</v>
      </c>
      <c r="N32" s="13">
        <f t="shared" si="25"/>
        <v>216.37200000000001</v>
      </c>
      <c r="O32" s="13">
        <f t="shared" si="25"/>
        <v>216.37200000000001</v>
      </c>
      <c r="P32" s="13">
        <f t="shared" si="25"/>
        <v>216.37200000000001</v>
      </c>
      <c r="Q32" s="13">
        <f t="shared" si="25"/>
        <v>216.37200000000001</v>
      </c>
      <c r="R32" s="13">
        <f t="shared" si="25"/>
        <v>216.37200000000001</v>
      </c>
      <c r="S32" s="13">
        <f t="shared" si="25"/>
        <v>216.37200000000001</v>
      </c>
      <c r="T32" s="13">
        <f t="shared" si="25"/>
        <v>216.37200000000001</v>
      </c>
      <c r="U32" s="13">
        <f t="shared" si="25"/>
        <v>216.37200000000001</v>
      </c>
      <c r="V32" s="13">
        <f t="shared" si="25"/>
        <v>216.37200000000001</v>
      </c>
      <c r="W32" s="13">
        <f t="shared" si="25"/>
        <v>216.37200000000001</v>
      </c>
      <c r="X32" s="13">
        <f t="shared" si="25"/>
        <v>216.37200000000001</v>
      </c>
      <c r="Y32" s="13">
        <f t="shared" si="25"/>
        <v>216.37200000000001</v>
      </c>
      <c r="Z32" s="13">
        <f t="shared" si="25"/>
        <v>216.37200000000001</v>
      </c>
      <c r="AA32" s="13">
        <f t="shared" si="25"/>
        <v>216.37200000000001</v>
      </c>
      <c r="AB32" s="13">
        <f t="shared" si="25"/>
        <v>216.37200000000001</v>
      </c>
      <c r="AC32" s="13">
        <f t="shared" si="25"/>
        <v>216.37200000000001</v>
      </c>
      <c r="AD32" s="13">
        <f t="shared" si="25"/>
        <v>216.37200000000001</v>
      </c>
      <c r="AE32" s="13">
        <f t="shared" si="25"/>
        <v>216.37200000000001</v>
      </c>
      <c r="AF32" s="13">
        <f t="shared" si="25"/>
        <v>216.37200000000001</v>
      </c>
      <c r="AG32" s="13">
        <f t="shared" si="25"/>
        <v>216.37200000000001</v>
      </c>
      <c r="AH32" s="13">
        <f t="shared" si="25"/>
        <v>216.37200000000001</v>
      </c>
      <c r="AI32" s="13">
        <f t="shared" si="25"/>
        <v>216.37200000000001</v>
      </c>
      <c r="AJ32" s="13">
        <f t="shared" si="25"/>
        <v>216.37200000000001</v>
      </c>
      <c r="AK32" s="13">
        <f t="shared" si="25"/>
        <v>216.37200000000001</v>
      </c>
      <c r="AL32" s="13">
        <f t="shared" si="25"/>
        <v>216.37200000000001</v>
      </c>
      <c r="AM32" s="13">
        <f t="shared" ref="AM32:BN32" si="26">SUMPRODUCT($C12,$D12,AM12)</f>
        <v>216.37200000000001</v>
      </c>
      <c r="AN32" s="13">
        <f t="shared" si="26"/>
        <v>216.37200000000001</v>
      </c>
      <c r="AO32" s="13">
        <f t="shared" si="26"/>
        <v>216.37200000000001</v>
      </c>
      <c r="AP32" s="13">
        <f t="shared" si="26"/>
        <v>216.37200000000001</v>
      </c>
      <c r="AQ32" s="13">
        <f t="shared" si="26"/>
        <v>216.37200000000001</v>
      </c>
      <c r="AR32" s="13">
        <f t="shared" si="26"/>
        <v>216.37200000000001</v>
      </c>
      <c r="AS32" s="13">
        <f t="shared" si="26"/>
        <v>216.37200000000001</v>
      </c>
      <c r="AT32" s="13">
        <f t="shared" si="26"/>
        <v>216.37200000000001</v>
      </c>
      <c r="AU32" s="13">
        <f t="shared" si="26"/>
        <v>216.37200000000001</v>
      </c>
      <c r="AV32" s="13">
        <f t="shared" si="26"/>
        <v>216.37200000000001</v>
      </c>
      <c r="AW32" s="13">
        <f t="shared" si="26"/>
        <v>216.37200000000001</v>
      </c>
      <c r="AX32" s="13">
        <f t="shared" si="26"/>
        <v>216.37200000000001</v>
      </c>
      <c r="AY32" s="13">
        <f t="shared" si="26"/>
        <v>216.37200000000001</v>
      </c>
      <c r="AZ32" s="13">
        <f t="shared" si="26"/>
        <v>216.37200000000001</v>
      </c>
      <c r="BA32" s="13">
        <f t="shared" si="26"/>
        <v>216.37200000000001</v>
      </c>
      <c r="BB32" s="13">
        <f t="shared" si="26"/>
        <v>216.37200000000001</v>
      </c>
      <c r="BC32" s="13">
        <f t="shared" si="26"/>
        <v>216.37200000000001</v>
      </c>
      <c r="BD32" s="13">
        <f t="shared" si="26"/>
        <v>216.37200000000001</v>
      </c>
      <c r="BE32" s="13">
        <f t="shared" si="26"/>
        <v>216.37200000000001</v>
      </c>
      <c r="BF32" s="13">
        <f t="shared" si="26"/>
        <v>216.37200000000001</v>
      </c>
      <c r="BG32" s="13">
        <f t="shared" si="26"/>
        <v>216.37200000000001</v>
      </c>
      <c r="BH32" s="13">
        <f t="shared" si="26"/>
        <v>216.37200000000001</v>
      </c>
      <c r="BI32" s="13">
        <f t="shared" si="26"/>
        <v>216.37200000000001</v>
      </c>
      <c r="BJ32" s="13">
        <f t="shared" si="26"/>
        <v>216.37200000000001</v>
      </c>
      <c r="BK32" s="13">
        <f t="shared" si="26"/>
        <v>216.37200000000001</v>
      </c>
      <c r="BL32" s="13">
        <f t="shared" si="26"/>
        <v>216.37200000000001</v>
      </c>
      <c r="BM32" s="13">
        <f t="shared" si="26"/>
        <v>216.37200000000001</v>
      </c>
      <c r="BN32" s="13">
        <f t="shared" si="26"/>
        <v>216.37200000000001</v>
      </c>
    </row>
    <row r="33" spans="1:68">
      <c r="A33" s="36" t="str">
        <f t="shared" si="16"/>
        <v>B88318</v>
      </c>
      <c r="B33" s="36" t="str">
        <f t="shared" si="16"/>
        <v>Oracle Cloud Infrastructure - Compute - Windows OS</v>
      </c>
      <c r="C33"/>
      <c r="D33"/>
      <c r="E33" s="13"/>
      <c r="F33" s="792"/>
      <c r="G33" s="13">
        <f t="shared" ref="G33:AL33" si="27">SUMPRODUCT($C13,$D13,G13)</f>
        <v>0</v>
      </c>
      <c r="H33" s="13">
        <f t="shared" si="27"/>
        <v>0</v>
      </c>
      <c r="I33" s="13">
        <f t="shared" si="27"/>
        <v>0</v>
      </c>
      <c r="J33" s="13">
        <f t="shared" si="27"/>
        <v>0</v>
      </c>
      <c r="K33" s="13">
        <f t="shared" si="27"/>
        <v>0</v>
      </c>
      <c r="L33" s="13">
        <f t="shared" si="27"/>
        <v>0</v>
      </c>
      <c r="M33" s="13">
        <f t="shared" si="27"/>
        <v>0</v>
      </c>
      <c r="N33" s="13">
        <f t="shared" si="27"/>
        <v>0</v>
      </c>
      <c r="O33" s="13">
        <f t="shared" si="27"/>
        <v>0</v>
      </c>
      <c r="P33" s="13">
        <f t="shared" si="27"/>
        <v>0</v>
      </c>
      <c r="Q33" s="13">
        <f t="shared" si="27"/>
        <v>0</v>
      </c>
      <c r="R33" s="13">
        <f t="shared" si="27"/>
        <v>0</v>
      </c>
      <c r="S33" s="13">
        <f t="shared" si="27"/>
        <v>0</v>
      </c>
      <c r="T33" s="13">
        <f t="shared" si="27"/>
        <v>0</v>
      </c>
      <c r="U33" s="13">
        <f t="shared" si="27"/>
        <v>0</v>
      </c>
      <c r="V33" s="13">
        <f t="shared" si="27"/>
        <v>0</v>
      </c>
      <c r="W33" s="13">
        <f t="shared" si="27"/>
        <v>0</v>
      </c>
      <c r="X33" s="13">
        <f t="shared" si="27"/>
        <v>0</v>
      </c>
      <c r="Y33" s="13">
        <f t="shared" si="27"/>
        <v>0</v>
      </c>
      <c r="Z33" s="13">
        <f t="shared" si="27"/>
        <v>0</v>
      </c>
      <c r="AA33" s="13">
        <f t="shared" si="27"/>
        <v>0</v>
      </c>
      <c r="AB33" s="13">
        <f t="shared" si="27"/>
        <v>0</v>
      </c>
      <c r="AC33" s="13">
        <f t="shared" si="27"/>
        <v>0</v>
      </c>
      <c r="AD33" s="13">
        <f t="shared" si="27"/>
        <v>0</v>
      </c>
      <c r="AE33" s="13">
        <f t="shared" si="27"/>
        <v>0</v>
      </c>
      <c r="AF33" s="13">
        <f t="shared" si="27"/>
        <v>0</v>
      </c>
      <c r="AG33" s="13">
        <f t="shared" si="27"/>
        <v>0</v>
      </c>
      <c r="AH33" s="13">
        <f t="shared" si="27"/>
        <v>0</v>
      </c>
      <c r="AI33" s="13">
        <f t="shared" si="27"/>
        <v>0</v>
      </c>
      <c r="AJ33" s="13">
        <f t="shared" si="27"/>
        <v>0</v>
      </c>
      <c r="AK33" s="13">
        <f t="shared" si="27"/>
        <v>0</v>
      </c>
      <c r="AL33" s="13">
        <f t="shared" si="27"/>
        <v>0</v>
      </c>
      <c r="AM33" s="13">
        <f t="shared" ref="AM33:BN33" si="28">SUMPRODUCT($C13,$D13,AM13)</f>
        <v>0</v>
      </c>
      <c r="AN33" s="13">
        <f t="shared" si="28"/>
        <v>0</v>
      </c>
      <c r="AO33" s="13">
        <f t="shared" si="28"/>
        <v>0</v>
      </c>
      <c r="AP33" s="13">
        <f t="shared" si="28"/>
        <v>0</v>
      </c>
      <c r="AQ33" s="13">
        <f t="shared" si="28"/>
        <v>0</v>
      </c>
      <c r="AR33" s="13">
        <f t="shared" si="28"/>
        <v>0</v>
      </c>
      <c r="AS33" s="13">
        <f t="shared" si="28"/>
        <v>0</v>
      </c>
      <c r="AT33" s="13">
        <f t="shared" si="28"/>
        <v>0</v>
      </c>
      <c r="AU33" s="13">
        <f t="shared" si="28"/>
        <v>0</v>
      </c>
      <c r="AV33" s="13">
        <f t="shared" si="28"/>
        <v>0</v>
      </c>
      <c r="AW33" s="13">
        <f t="shared" si="28"/>
        <v>0</v>
      </c>
      <c r="AX33" s="13">
        <f t="shared" si="28"/>
        <v>0</v>
      </c>
      <c r="AY33" s="13">
        <f t="shared" si="28"/>
        <v>0</v>
      </c>
      <c r="AZ33" s="13">
        <f t="shared" si="28"/>
        <v>0</v>
      </c>
      <c r="BA33" s="13">
        <f t="shared" si="28"/>
        <v>0</v>
      </c>
      <c r="BB33" s="13">
        <f t="shared" si="28"/>
        <v>0</v>
      </c>
      <c r="BC33" s="13">
        <f t="shared" si="28"/>
        <v>0</v>
      </c>
      <c r="BD33" s="13">
        <f t="shared" si="28"/>
        <v>0</v>
      </c>
      <c r="BE33" s="13">
        <f t="shared" si="28"/>
        <v>0</v>
      </c>
      <c r="BF33" s="13">
        <f t="shared" si="28"/>
        <v>0</v>
      </c>
      <c r="BG33" s="13">
        <f t="shared" si="28"/>
        <v>0</v>
      </c>
      <c r="BH33" s="13">
        <f t="shared" si="28"/>
        <v>0</v>
      </c>
      <c r="BI33" s="13">
        <f t="shared" si="28"/>
        <v>0</v>
      </c>
      <c r="BJ33" s="13">
        <f t="shared" si="28"/>
        <v>0</v>
      </c>
      <c r="BK33" s="13">
        <f t="shared" si="28"/>
        <v>0</v>
      </c>
      <c r="BL33" s="13">
        <f t="shared" si="28"/>
        <v>0</v>
      </c>
      <c r="BM33" s="13">
        <f t="shared" si="28"/>
        <v>0</v>
      </c>
      <c r="BN33" s="13">
        <f t="shared" si="28"/>
        <v>0</v>
      </c>
    </row>
    <row r="34" spans="1:68">
      <c r="A34" s="36" t="str">
        <f t="shared" si="16"/>
        <v>B91961</v>
      </c>
      <c r="B34" s="36" t="str">
        <f t="shared" si="16"/>
        <v xml:space="preserve">Oracle Cloud Infrastructure - Block Volume Storage </v>
      </c>
      <c r="C34"/>
      <c r="D34"/>
      <c r="E34" s="13"/>
      <c r="F34" s="792"/>
      <c r="G34" s="13">
        <f t="shared" ref="G34:AL34" si="29">SUMPRODUCT($C14,$D14,G14)</f>
        <v>35.126249999999992</v>
      </c>
      <c r="H34" s="13">
        <f t="shared" si="29"/>
        <v>35.126249999999992</v>
      </c>
      <c r="I34" s="13">
        <f t="shared" si="29"/>
        <v>35.126249999999992</v>
      </c>
      <c r="J34" s="13">
        <f t="shared" si="29"/>
        <v>35.126249999999992</v>
      </c>
      <c r="K34" s="13">
        <f t="shared" si="29"/>
        <v>35.126249999999992</v>
      </c>
      <c r="L34" s="13">
        <f t="shared" si="29"/>
        <v>35.126249999999992</v>
      </c>
      <c r="M34" s="13">
        <f t="shared" si="29"/>
        <v>35.126249999999992</v>
      </c>
      <c r="N34" s="13">
        <f t="shared" si="29"/>
        <v>35.126249999999992</v>
      </c>
      <c r="O34" s="13">
        <f t="shared" si="29"/>
        <v>35.126249999999992</v>
      </c>
      <c r="P34" s="13">
        <f t="shared" si="29"/>
        <v>35.126249999999992</v>
      </c>
      <c r="Q34" s="13">
        <f t="shared" si="29"/>
        <v>35.126249999999992</v>
      </c>
      <c r="R34" s="13">
        <f t="shared" si="29"/>
        <v>35.126249999999992</v>
      </c>
      <c r="S34" s="13">
        <f t="shared" si="29"/>
        <v>35.126249999999992</v>
      </c>
      <c r="T34" s="13">
        <f t="shared" si="29"/>
        <v>35.126249999999992</v>
      </c>
      <c r="U34" s="13">
        <f t="shared" si="29"/>
        <v>35.126249999999992</v>
      </c>
      <c r="V34" s="13">
        <f t="shared" si="29"/>
        <v>35.126249999999992</v>
      </c>
      <c r="W34" s="13">
        <f t="shared" si="29"/>
        <v>35.126249999999992</v>
      </c>
      <c r="X34" s="13">
        <f t="shared" si="29"/>
        <v>35.126249999999992</v>
      </c>
      <c r="Y34" s="13">
        <f t="shared" si="29"/>
        <v>35.126249999999992</v>
      </c>
      <c r="Z34" s="13">
        <f t="shared" si="29"/>
        <v>35.126249999999992</v>
      </c>
      <c r="AA34" s="13">
        <f t="shared" si="29"/>
        <v>35.126249999999992</v>
      </c>
      <c r="AB34" s="13">
        <f t="shared" si="29"/>
        <v>35.126249999999992</v>
      </c>
      <c r="AC34" s="13">
        <f t="shared" si="29"/>
        <v>35.126249999999992</v>
      </c>
      <c r="AD34" s="13">
        <f t="shared" si="29"/>
        <v>35.126249999999992</v>
      </c>
      <c r="AE34" s="13">
        <f t="shared" si="29"/>
        <v>35.126249999999992</v>
      </c>
      <c r="AF34" s="13">
        <f t="shared" si="29"/>
        <v>35.126249999999992</v>
      </c>
      <c r="AG34" s="13">
        <f t="shared" si="29"/>
        <v>35.126249999999992</v>
      </c>
      <c r="AH34" s="13">
        <f t="shared" si="29"/>
        <v>35.126249999999992</v>
      </c>
      <c r="AI34" s="13">
        <f t="shared" si="29"/>
        <v>35.126249999999992</v>
      </c>
      <c r="AJ34" s="13">
        <f t="shared" si="29"/>
        <v>35.126249999999992</v>
      </c>
      <c r="AK34" s="13">
        <f t="shared" si="29"/>
        <v>35.126249999999992</v>
      </c>
      <c r="AL34" s="13">
        <f t="shared" si="29"/>
        <v>35.126249999999992</v>
      </c>
      <c r="AM34" s="13">
        <f t="shared" ref="AM34:BN34" si="30">SUMPRODUCT($C14,$D14,AM14)</f>
        <v>35.126249999999992</v>
      </c>
      <c r="AN34" s="13">
        <f t="shared" si="30"/>
        <v>35.126249999999992</v>
      </c>
      <c r="AO34" s="13">
        <f t="shared" si="30"/>
        <v>35.126249999999992</v>
      </c>
      <c r="AP34" s="13">
        <f t="shared" si="30"/>
        <v>35.126249999999992</v>
      </c>
      <c r="AQ34" s="13">
        <f t="shared" si="30"/>
        <v>35.126249999999992</v>
      </c>
      <c r="AR34" s="13">
        <f t="shared" si="30"/>
        <v>35.126249999999992</v>
      </c>
      <c r="AS34" s="13">
        <f t="shared" si="30"/>
        <v>35.126249999999992</v>
      </c>
      <c r="AT34" s="13">
        <f t="shared" si="30"/>
        <v>35.126249999999992</v>
      </c>
      <c r="AU34" s="13">
        <f t="shared" si="30"/>
        <v>35.126249999999992</v>
      </c>
      <c r="AV34" s="13">
        <f t="shared" si="30"/>
        <v>35.126249999999992</v>
      </c>
      <c r="AW34" s="13">
        <f t="shared" si="30"/>
        <v>35.126249999999992</v>
      </c>
      <c r="AX34" s="13">
        <f t="shared" si="30"/>
        <v>35.126249999999992</v>
      </c>
      <c r="AY34" s="13">
        <f t="shared" si="30"/>
        <v>35.126249999999992</v>
      </c>
      <c r="AZ34" s="13">
        <f t="shared" si="30"/>
        <v>35.126249999999992</v>
      </c>
      <c r="BA34" s="13">
        <f t="shared" si="30"/>
        <v>35.126249999999992</v>
      </c>
      <c r="BB34" s="13">
        <f t="shared" si="30"/>
        <v>35.126249999999992</v>
      </c>
      <c r="BC34" s="13">
        <f t="shared" si="30"/>
        <v>35.126249999999992</v>
      </c>
      <c r="BD34" s="13">
        <f t="shared" si="30"/>
        <v>35.126249999999992</v>
      </c>
      <c r="BE34" s="13">
        <f t="shared" si="30"/>
        <v>35.126249999999992</v>
      </c>
      <c r="BF34" s="13">
        <f t="shared" si="30"/>
        <v>35.126249999999992</v>
      </c>
      <c r="BG34" s="13">
        <f t="shared" si="30"/>
        <v>35.126249999999992</v>
      </c>
      <c r="BH34" s="13">
        <f t="shared" si="30"/>
        <v>35.126249999999992</v>
      </c>
      <c r="BI34" s="13">
        <f t="shared" si="30"/>
        <v>35.126249999999992</v>
      </c>
      <c r="BJ34" s="13">
        <f t="shared" si="30"/>
        <v>35.126249999999992</v>
      </c>
      <c r="BK34" s="13">
        <f t="shared" si="30"/>
        <v>35.126249999999992</v>
      </c>
      <c r="BL34" s="13">
        <f t="shared" si="30"/>
        <v>35.126249999999992</v>
      </c>
      <c r="BM34" s="13">
        <f t="shared" si="30"/>
        <v>35.126249999999992</v>
      </c>
      <c r="BN34" s="13">
        <f t="shared" si="30"/>
        <v>35.126249999999992</v>
      </c>
    </row>
    <row r="35" spans="1:68">
      <c r="A35" s="36" t="str">
        <f t="shared" si="16"/>
        <v>B91962</v>
      </c>
      <c r="B35" s="36" t="str">
        <f t="shared" si="16"/>
        <v>Oracle Cloud Infrastructure - Block Volume Performance</v>
      </c>
      <c r="C35"/>
      <c r="D35"/>
      <c r="E35" s="13"/>
      <c r="F35" s="792"/>
      <c r="G35" s="13">
        <f t="shared" ref="G35:AL35" si="31">SUMPRODUCT($C15,$D15,G15)</f>
        <v>23.417499999999997</v>
      </c>
      <c r="H35" s="13">
        <f t="shared" si="31"/>
        <v>23.417499999999997</v>
      </c>
      <c r="I35" s="13">
        <f t="shared" si="31"/>
        <v>23.417499999999997</v>
      </c>
      <c r="J35" s="13">
        <f t="shared" si="31"/>
        <v>23.417499999999997</v>
      </c>
      <c r="K35" s="13">
        <f t="shared" si="31"/>
        <v>23.417499999999997</v>
      </c>
      <c r="L35" s="13">
        <f t="shared" si="31"/>
        <v>23.417499999999997</v>
      </c>
      <c r="M35" s="13">
        <f t="shared" si="31"/>
        <v>23.417499999999997</v>
      </c>
      <c r="N35" s="13">
        <f t="shared" si="31"/>
        <v>23.417499999999997</v>
      </c>
      <c r="O35" s="13">
        <f t="shared" si="31"/>
        <v>23.417499999999997</v>
      </c>
      <c r="P35" s="13">
        <f t="shared" si="31"/>
        <v>23.417499999999997</v>
      </c>
      <c r="Q35" s="13">
        <f t="shared" si="31"/>
        <v>23.417499999999997</v>
      </c>
      <c r="R35" s="13">
        <f t="shared" si="31"/>
        <v>23.417499999999997</v>
      </c>
      <c r="S35" s="13">
        <f t="shared" si="31"/>
        <v>23.417499999999997</v>
      </c>
      <c r="T35" s="13">
        <f t="shared" si="31"/>
        <v>23.417499999999997</v>
      </c>
      <c r="U35" s="13">
        <f t="shared" si="31"/>
        <v>23.417499999999997</v>
      </c>
      <c r="V35" s="13">
        <f t="shared" si="31"/>
        <v>23.417499999999997</v>
      </c>
      <c r="W35" s="13">
        <f t="shared" si="31"/>
        <v>23.417499999999997</v>
      </c>
      <c r="X35" s="13">
        <f t="shared" si="31"/>
        <v>23.417499999999997</v>
      </c>
      <c r="Y35" s="13">
        <f t="shared" si="31"/>
        <v>23.417499999999997</v>
      </c>
      <c r="Z35" s="13">
        <f t="shared" si="31"/>
        <v>23.417499999999997</v>
      </c>
      <c r="AA35" s="13">
        <f t="shared" si="31"/>
        <v>23.417499999999997</v>
      </c>
      <c r="AB35" s="13">
        <f t="shared" si="31"/>
        <v>23.417499999999997</v>
      </c>
      <c r="AC35" s="13">
        <f t="shared" si="31"/>
        <v>23.417499999999997</v>
      </c>
      <c r="AD35" s="13">
        <f t="shared" si="31"/>
        <v>23.417499999999997</v>
      </c>
      <c r="AE35" s="13">
        <f t="shared" si="31"/>
        <v>23.417499999999997</v>
      </c>
      <c r="AF35" s="13">
        <f t="shared" si="31"/>
        <v>23.417499999999997</v>
      </c>
      <c r="AG35" s="13">
        <f t="shared" si="31"/>
        <v>23.417499999999997</v>
      </c>
      <c r="AH35" s="13">
        <f t="shared" si="31"/>
        <v>23.417499999999997</v>
      </c>
      <c r="AI35" s="13">
        <f t="shared" si="31"/>
        <v>23.417499999999997</v>
      </c>
      <c r="AJ35" s="13">
        <f t="shared" si="31"/>
        <v>23.417499999999997</v>
      </c>
      <c r="AK35" s="13">
        <f t="shared" si="31"/>
        <v>23.417499999999997</v>
      </c>
      <c r="AL35" s="13">
        <f t="shared" si="31"/>
        <v>23.417499999999997</v>
      </c>
      <c r="AM35" s="13">
        <f t="shared" ref="AM35:BN35" si="32">SUMPRODUCT($C15,$D15,AM15)</f>
        <v>23.417499999999997</v>
      </c>
      <c r="AN35" s="13">
        <f t="shared" si="32"/>
        <v>23.417499999999997</v>
      </c>
      <c r="AO35" s="13">
        <f t="shared" si="32"/>
        <v>23.417499999999997</v>
      </c>
      <c r="AP35" s="13">
        <f t="shared" si="32"/>
        <v>23.417499999999997</v>
      </c>
      <c r="AQ35" s="13">
        <f t="shared" si="32"/>
        <v>23.417499999999997</v>
      </c>
      <c r="AR35" s="13">
        <f t="shared" si="32"/>
        <v>23.417499999999997</v>
      </c>
      <c r="AS35" s="13">
        <f t="shared" si="32"/>
        <v>23.417499999999997</v>
      </c>
      <c r="AT35" s="13">
        <f t="shared" si="32"/>
        <v>23.417499999999997</v>
      </c>
      <c r="AU35" s="13">
        <f t="shared" si="32"/>
        <v>23.417499999999997</v>
      </c>
      <c r="AV35" s="13">
        <f t="shared" si="32"/>
        <v>23.417499999999997</v>
      </c>
      <c r="AW35" s="13">
        <f t="shared" si="32"/>
        <v>23.417499999999997</v>
      </c>
      <c r="AX35" s="13">
        <f t="shared" si="32"/>
        <v>23.417499999999997</v>
      </c>
      <c r="AY35" s="13">
        <f t="shared" si="32"/>
        <v>23.417499999999997</v>
      </c>
      <c r="AZ35" s="13">
        <f t="shared" si="32"/>
        <v>23.417499999999997</v>
      </c>
      <c r="BA35" s="13">
        <f t="shared" si="32"/>
        <v>23.417499999999997</v>
      </c>
      <c r="BB35" s="13">
        <f t="shared" si="32"/>
        <v>23.417499999999997</v>
      </c>
      <c r="BC35" s="13">
        <f t="shared" si="32"/>
        <v>23.417499999999997</v>
      </c>
      <c r="BD35" s="13">
        <f t="shared" si="32"/>
        <v>23.417499999999997</v>
      </c>
      <c r="BE35" s="13">
        <f t="shared" si="32"/>
        <v>23.417499999999997</v>
      </c>
      <c r="BF35" s="13">
        <f t="shared" si="32"/>
        <v>23.417499999999997</v>
      </c>
      <c r="BG35" s="13">
        <f t="shared" si="32"/>
        <v>23.417499999999997</v>
      </c>
      <c r="BH35" s="13">
        <f t="shared" si="32"/>
        <v>23.417499999999997</v>
      </c>
      <c r="BI35" s="13">
        <f t="shared" si="32"/>
        <v>23.417499999999997</v>
      </c>
      <c r="BJ35" s="13">
        <f t="shared" si="32"/>
        <v>23.417499999999997</v>
      </c>
      <c r="BK35" s="13">
        <f t="shared" si="32"/>
        <v>23.417499999999997</v>
      </c>
      <c r="BL35" s="13">
        <f t="shared" si="32"/>
        <v>23.417499999999997</v>
      </c>
      <c r="BM35" s="13">
        <f t="shared" si="32"/>
        <v>23.417499999999997</v>
      </c>
      <c r="BN35" s="13">
        <f t="shared" si="32"/>
        <v>23.417499999999997</v>
      </c>
    </row>
    <row r="36" spans="1:68">
      <c r="A36" s="36" t="str">
        <f t="shared" si="16"/>
        <v>B91628</v>
      </c>
      <c r="B36" s="36" t="str">
        <f t="shared" si="16"/>
        <v>Oracle Cloud Infrastructure - Object Storage - Storage - Over 10 Gigabytes Storage Capacity Per Month</v>
      </c>
      <c r="C36"/>
      <c r="D36"/>
      <c r="E36" s="13"/>
      <c r="F36" s="792"/>
      <c r="G36" s="13">
        <f t="shared" ref="G36:AL36" si="33">SUMPRODUCT($C16,$D16,G16)</f>
        <v>0</v>
      </c>
      <c r="H36" s="13">
        <f t="shared" si="33"/>
        <v>0</v>
      </c>
      <c r="I36" s="13">
        <f t="shared" si="33"/>
        <v>0</v>
      </c>
      <c r="J36" s="13">
        <f t="shared" si="33"/>
        <v>0</v>
      </c>
      <c r="K36" s="13">
        <f t="shared" si="33"/>
        <v>0</v>
      </c>
      <c r="L36" s="13">
        <f t="shared" si="33"/>
        <v>0</v>
      </c>
      <c r="M36" s="13">
        <f t="shared" si="33"/>
        <v>0</v>
      </c>
      <c r="N36" s="13">
        <f t="shared" si="33"/>
        <v>0</v>
      </c>
      <c r="O36" s="13">
        <f t="shared" si="33"/>
        <v>0</v>
      </c>
      <c r="P36" s="13">
        <f t="shared" si="33"/>
        <v>0</v>
      </c>
      <c r="Q36" s="13">
        <f t="shared" si="33"/>
        <v>0</v>
      </c>
      <c r="R36" s="13">
        <f t="shared" si="33"/>
        <v>0</v>
      </c>
      <c r="S36" s="13">
        <f t="shared" si="33"/>
        <v>0</v>
      </c>
      <c r="T36" s="13">
        <f t="shared" si="33"/>
        <v>0</v>
      </c>
      <c r="U36" s="13">
        <f t="shared" si="33"/>
        <v>0</v>
      </c>
      <c r="V36" s="13">
        <f t="shared" si="33"/>
        <v>0</v>
      </c>
      <c r="W36" s="13">
        <f t="shared" si="33"/>
        <v>0</v>
      </c>
      <c r="X36" s="13">
        <f t="shared" si="33"/>
        <v>0</v>
      </c>
      <c r="Y36" s="13">
        <f t="shared" si="33"/>
        <v>0</v>
      </c>
      <c r="Z36" s="13">
        <f t="shared" si="33"/>
        <v>0</v>
      </c>
      <c r="AA36" s="13">
        <f t="shared" si="33"/>
        <v>0</v>
      </c>
      <c r="AB36" s="13">
        <f t="shared" si="33"/>
        <v>0</v>
      </c>
      <c r="AC36" s="13">
        <f t="shared" si="33"/>
        <v>0</v>
      </c>
      <c r="AD36" s="13">
        <f t="shared" si="33"/>
        <v>0</v>
      </c>
      <c r="AE36" s="13">
        <f t="shared" si="33"/>
        <v>0</v>
      </c>
      <c r="AF36" s="13">
        <f t="shared" si="33"/>
        <v>0</v>
      </c>
      <c r="AG36" s="13">
        <f t="shared" si="33"/>
        <v>0</v>
      </c>
      <c r="AH36" s="13">
        <f t="shared" si="33"/>
        <v>0</v>
      </c>
      <c r="AI36" s="13">
        <f t="shared" si="33"/>
        <v>0</v>
      </c>
      <c r="AJ36" s="13">
        <f t="shared" si="33"/>
        <v>0</v>
      </c>
      <c r="AK36" s="13">
        <f t="shared" si="33"/>
        <v>0</v>
      </c>
      <c r="AL36" s="13">
        <f t="shared" si="33"/>
        <v>0</v>
      </c>
      <c r="AM36" s="13">
        <f t="shared" ref="AM36:BN36" si="34">SUMPRODUCT($C16,$D16,AM16)</f>
        <v>0</v>
      </c>
      <c r="AN36" s="13">
        <f t="shared" si="34"/>
        <v>0</v>
      </c>
      <c r="AO36" s="13">
        <f t="shared" si="34"/>
        <v>0</v>
      </c>
      <c r="AP36" s="13">
        <f t="shared" si="34"/>
        <v>0</v>
      </c>
      <c r="AQ36" s="13">
        <f t="shared" si="34"/>
        <v>0</v>
      </c>
      <c r="AR36" s="13">
        <f t="shared" si="34"/>
        <v>0</v>
      </c>
      <c r="AS36" s="13">
        <f t="shared" si="34"/>
        <v>0</v>
      </c>
      <c r="AT36" s="13">
        <f t="shared" si="34"/>
        <v>0</v>
      </c>
      <c r="AU36" s="13">
        <f t="shared" si="34"/>
        <v>0</v>
      </c>
      <c r="AV36" s="13">
        <f t="shared" si="34"/>
        <v>0</v>
      </c>
      <c r="AW36" s="13">
        <f t="shared" si="34"/>
        <v>0</v>
      </c>
      <c r="AX36" s="13">
        <f t="shared" si="34"/>
        <v>0</v>
      </c>
      <c r="AY36" s="13">
        <f t="shared" si="34"/>
        <v>0</v>
      </c>
      <c r="AZ36" s="13">
        <f t="shared" si="34"/>
        <v>0</v>
      </c>
      <c r="BA36" s="13">
        <f t="shared" si="34"/>
        <v>0</v>
      </c>
      <c r="BB36" s="13">
        <f t="shared" si="34"/>
        <v>0</v>
      </c>
      <c r="BC36" s="13">
        <f t="shared" si="34"/>
        <v>0</v>
      </c>
      <c r="BD36" s="13">
        <f t="shared" si="34"/>
        <v>0</v>
      </c>
      <c r="BE36" s="13">
        <f t="shared" si="34"/>
        <v>0</v>
      </c>
      <c r="BF36" s="13">
        <f t="shared" si="34"/>
        <v>0</v>
      </c>
      <c r="BG36" s="13">
        <f t="shared" si="34"/>
        <v>0</v>
      </c>
      <c r="BH36" s="13">
        <f t="shared" si="34"/>
        <v>0</v>
      </c>
      <c r="BI36" s="13">
        <f t="shared" si="34"/>
        <v>0</v>
      </c>
      <c r="BJ36" s="13">
        <f t="shared" si="34"/>
        <v>0</v>
      </c>
      <c r="BK36" s="13">
        <f t="shared" si="34"/>
        <v>0</v>
      </c>
      <c r="BL36" s="13">
        <f t="shared" si="34"/>
        <v>0</v>
      </c>
      <c r="BM36" s="13">
        <f t="shared" si="34"/>
        <v>0</v>
      </c>
      <c r="BN36" s="13">
        <f t="shared" si="34"/>
        <v>0</v>
      </c>
    </row>
    <row r="37" spans="1:68">
      <c r="A37" s="36" t="str">
        <f t="shared" si="16"/>
        <v>B91633</v>
      </c>
      <c r="B37" s="36" t="str">
        <f t="shared" si="16"/>
        <v>Oracle Cloud Infrastructure - Archive Storage - Over 10 Gigabytes Storage Capacity Per Month</v>
      </c>
      <c r="C37"/>
      <c r="D37"/>
      <c r="E37" s="13"/>
      <c r="F37" s="792"/>
      <c r="G37" s="13">
        <f t="shared" ref="G37:AL37" si="35">SUMPRODUCT($C17,$D17,G17)</f>
        <v>0</v>
      </c>
      <c r="H37" s="13">
        <f t="shared" si="35"/>
        <v>0</v>
      </c>
      <c r="I37" s="13">
        <f t="shared" si="35"/>
        <v>0</v>
      </c>
      <c r="J37" s="13">
        <f t="shared" si="35"/>
        <v>0</v>
      </c>
      <c r="K37" s="13">
        <f t="shared" si="35"/>
        <v>0</v>
      </c>
      <c r="L37" s="13">
        <f t="shared" si="35"/>
        <v>0</v>
      </c>
      <c r="M37" s="13">
        <f t="shared" si="35"/>
        <v>0</v>
      </c>
      <c r="N37" s="13">
        <f t="shared" si="35"/>
        <v>0</v>
      </c>
      <c r="O37" s="13">
        <f t="shared" si="35"/>
        <v>0</v>
      </c>
      <c r="P37" s="13">
        <f t="shared" si="35"/>
        <v>0</v>
      </c>
      <c r="Q37" s="13">
        <f t="shared" si="35"/>
        <v>0</v>
      </c>
      <c r="R37" s="13">
        <f t="shared" si="35"/>
        <v>0</v>
      </c>
      <c r="S37" s="13">
        <f t="shared" si="35"/>
        <v>0</v>
      </c>
      <c r="T37" s="13">
        <f t="shared" si="35"/>
        <v>0</v>
      </c>
      <c r="U37" s="13">
        <f t="shared" si="35"/>
        <v>0</v>
      </c>
      <c r="V37" s="13">
        <f t="shared" si="35"/>
        <v>0</v>
      </c>
      <c r="W37" s="13">
        <f t="shared" si="35"/>
        <v>0</v>
      </c>
      <c r="X37" s="13">
        <f t="shared" si="35"/>
        <v>0</v>
      </c>
      <c r="Y37" s="13">
        <f t="shared" si="35"/>
        <v>0</v>
      </c>
      <c r="Z37" s="13">
        <f t="shared" si="35"/>
        <v>0</v>
      </c>
      <c r="AA37" s="13">
        <f t="shared" si="35"/>
        <v>0</v>
      </c>
      <c r="AB37" s="13">
        <f t="shared" si="35"/>
        <v>0</v>
      </c>
      <c r="AC37" s="13">
        <f t="shared" si="35"/>
        <v>0</v>
      </c>
      <c r="AD37" s="13">
        <f t="shared" si="35"/>
        <v>0</v>
      </c>
      <c r="AE37" s="13">
        <f t="shared" si="35"/>
        <v>0</v>
      </c>
      <c r="AF37" s="13">
        <f t="shared" si="35"/>
        <v>0</v>
      </c>
      <c r="AG37" s="13">
        <f t="shared" si="35"/>
        <v>0</v>
      </c>
      <c r="AH37" s="13">
        <f t="shared" si="35"/>
        <v>0</v>
      </c>
      <c r="AI37" s="13">
        <f t="shared" si="35"/>
        <v>0</v>
      </c>
      <c r="AJ37" s="13">
        <f t="shared" si="35"/>
        <v>0</v>
      </c>
      <c r="AK37" s="13">
        <f t="shared" si="35"/>
        <v>0</v>
      </c>
      <c r="AL37" s="13">
        <f t="shared" si="35"/>
        <v>0</v>
      </c>
      <c r="AM37" s="13">
        <f t="shared" ref="AM37:BN37" si="36">SUMPRODUCT($C17,$D17,AM17)</f>
        <v>0</v>
      </c>
      <c r="AN37" s="13">
        <f t="shared" si="36"/>
        <v>0</v>
      </c>
      <c r="AO37" s="13">
        <f t="shared" si="36"/>
        <v>0</v>
      </c>
      <c r="AP37" s="13">
        <f t="shared" si="36"/>
        <v>0</v>
      </c>
      <c r="AQ37" s="13">
        <f t="shared" si="36"/>
        <v>0</v>
      </c>
      <c r="AR37" s="13">
        <f t="shared" si="36"/>
        <v>0</v>
      </c>
      <c r="AS37" s="13">
        <f t="shared" si="36"/>
        <v>0</v>
      </c>
      <c r="AT37" s="13">
        <f t="shared" si="36"/>
        <v>0</v>
      </c>
      <c r="AU37" s="13">
        <f t="shared" si="36"/>
        <v>0</v>
      </c>
      <c r="AV37" s="13">
        <f t="shared" si="36"/>
        <v>0</v>
      </c>
      <c r="AW37" s="13">
        <f t="shared" si="36"/>
        <v>0</v>
      </c>
      <c r="AX37" s="13">
        <f t="shared" si="36"/>
        <v>0</v>
      </c>
      <c r="AY37" s="13">
        <f t="shared" si="36"/>
        <v>0</v>
      </c>
      <c r="AZ37" s="13">
        <f t="shared" si="36"/>
        <v>0</v>
      </c>
      <c r="BA37" s="13">
        <f t="shared" si="36"/>
        <v>0</v>
      </c>
      <c r="BB37" s="13">
        <f t="shared" si="36"/>
        <v>0</v>
      </c>
      <c r="BC37" s="13">
        <f t="shared" si="36"/>
        <v>0</v>
      </c>
      <c r="BD37" s="13">
        <f t="shared" si="36"/>
        <v>0</v>
      </c>
      <c r="BE37" s="13">
        <f t="shared" si="36"/>
        <v>0</v>
      </c>
      <c r="BF37" s="13">
        <f t="shared" si="36"/>
        <v>0</v>
      </c>
      <c r="BG37" s="13">
        <f t="shared" si="36"/>
        <v>0</v>
      </c>
      <c r="BH37" s="13">
        <f t="shared" si="36"/>
        <v>0</v>
      </c>
      <c r="BI37" s="13">
        <f t="shared" si="36"/>
        <v>0</v>
      </c>
      <c r="BJ37" s="13">
        <f t="shared" si="36"/>
        <v>0</v>
      </c>
      <c r="BK37" s="13">
        <f t="shared" si="36"/>
        <v>0</v>
      </c>
      <c r="BL37" s="13">
        <f t="shared" si="36"/>
        <v>0</v>
      </c>
      <c r="BM37" s="13">
        <f t="shared" si="36"/>
        <v>0</v>
      </c>
      <c r="BN37" s="13">
        <f t="shared" si="36"/>
        <v>0</v>
      </c>
    </row>
    <row r="38" spans="1:68">
      <c r="A38" s="36" t="str">
        <f t="shared" si="16"/>
        <v>B89057</v>
      </c>
      <c r="B38" s="36" t="str">
        <f t="shared" si="16"/>
        <v>Oracle Cloud Infrastructure - File Storage</v>
      </c>
      <c r="C38"/>
      <c r="D38"/>
      <c r="E38" s="13"/>
      <c r="F38" s="792"/>
      <c r="G38" s="13">
        <f t="shared" ref="G38:AL38" si="37">SUMPRODUCT($C18,$D18,G18)</f>
        <v>583.67999999999995</v>
      </c>
      <c r="H38" s="13">
        <f t="shared" si="37"/>
        <v>583.67999999999995</v>
      </c>
      <c r="I38" s="13">
        <f t="shared" si="37"/>
        <v>583.67999999999995</v>
      </c>
      <c r="J38" s="13">
        <f t="shared" si="37"/>
        <v>583.67999999999995</v>
      </c>
      <c r="K38" s="13">
        <f t="shared" si="37"/>
        <v>583.67999999999995</v>
      </c>
      <c r="L38" s="13">
        <f t="shared" si="37"/>
        <v>583.67999999999995</v>
      </c>
      <c r="M38" s="13">
        <f t="shared" si="37"/>
        <v>583.67999999999995</v>
      </c>
      <c r="N38" s="13">
        <f t="shared" si="37"/>
        <v>583.67999999999995</v>
      </c>
      <c r="O38" s="13">
        <f t="shared" si="37"/>
        <v>583.67999999999995</v>
      </c>
      <c r="P38" s="13">
        <f t="shared" si="37"/>
        <v>583.67999999999995</v>
      </c>
      <c r="Q38" s="13">
        <f t="shared" si="37"/>
        <v>583.67999999999995</v>
      </c>
      <c r="R38" s="13">
        <f t="shared" si="37"/>
        <v>583.67999999999995</v>
      </c>
      <c r="S38" s="13">
        <f t="shared" si="37"/>
        <v>583.67999999999995</v>
      </c>
      <c r="T38" s="13">
        <f t="shared" si="37"/>
        <v>583.67999999999995</v>
      </c>
      <c r="U38" s="13">
        <f t="shared" si="37"/>
        <v>583.67999999999995</v>
      </c>
      <c r="V38" s="13">
        <f t="shared" si="37"/>
        <v>583.67999999999995</v>
      </c>
      <c r="W38" s="13">
        <f t="shared" si="37"/>
        <v>583.67999999999995</v>
      </c>
      <c r="X38" s="13">
        <f t="shared" si="37"/>
        <v>583.67999999999995</v>
      </c>
      <c r="Y38" s="13">
        <f t="shared" si="37"/>
        <v>583.67999999999995</v>
      </c>
      <c r="Z38" s="13">
        <f t="shared" si="37"/>
        <v>583.67999999999995</v>
      </c>
      <c r="AA38" s="13">
        <f t="shared" si="37"/>
        <v>583.67999999999995</v>
      </c>
      <c r="AB38" s="13">
        <f t="shared" si="37"/>
        <v>583.67999999999995</v>
      </c>
      <c r="AC38" s="13">
        <f t="shared" si="37"/>
        <v>583.67999999999995</v>
      </c>
      <c r="AD38" s="13">
        <f t="shared" si="37"/>
        <v>583.67999999999995</v>
      </c>
      <c r="AE38" s="13">
        <f t="shared" si="37"/>
        <v>583.67999999999995</v>
      </c>
      <c r="AF38" s="13">
        <f t="shared" si="37"/>
        <v>583.67999999999995</v>
      </c>
      <c r="AG38" s="13">
        <f t="shared" si="37"/>
        <v>583.67999999999995</v>
      </c>
      <c r="AH38" s="13">
        <f t="shared" si="37"/>
        <v>583.67999999999995</v>
      </c>
      <c r="AI38" s="13">
        <f t="shared" si="37"/>
        <v>583.67999999999995</v>
      </c>
      <c r="AJ38" s="13">
        <f t="shared" si="37"/>
        <v>583.67999999999995</v>
      </c>
      <c r="AK38" s="13">
        <f t="shared" si="37"/>
        <v>583.67999999999995</v>
      </c>
      <c r="AL38" s="13">
        <f t="shared" si="37"/>
        <v>583.67999999999995</v>
      </c>
      <c r="AM38" s="13">
        <f t="shared" ref="AM38:BN38" si="38">SUMPRODUCT($C18,$D18,AM18)</f>
        <v>583.67999999999995</v>
      </c>
      <c r="AN38" s="13">
        <f t="shared" si="38"/>
        <v>583.67999999999995</v>
      </c>
      <c r="AO38" s="13">
        <f t="shared" si="38"/>
        <v>583.67999999999995</v>
      </c>
      <c r="AP38" s="13">
        <f t="shared" si="38"/>
        <v>583.67999999999995</v>
      </c>
      <c r="AQ38" s="13">
        <f t="shared" si="38"/>
        <v>583.67999999999995</v>
      </c>
      <c r="AR38" s="13">
        <f t="shared" si="38"/>
        <v>583.67999999999995</v>
      </c>
      <c r="AS38" s="13">
        <f t="shared" si="38"/>
        <v>583.67999999999995</v>
      </c>
      <c r="AT38" s="13">
        <f t="shared" si="38"/>
        <v>583.67999999999995</v>
      </c>
      <c r="AU38" s="13">
        <f t="shared" si="38"/>
        <v>583.67999999999995</v>
      </c>
      <c r="AV38" s="13">
        <f t="shared" si="38"/>
        <v>583.67999999999995</v>
      </c>
      <c r="AW38" s="13">
        <f t="shared" si="38"/>
        <v>583.67999999999995</v>
      </c>
      <c r="AX38" s="13">
        <f t="shared" si="38"/>
        <v>583.67999999999995</v>
      </c>
      <c r="AY38" s="13">
        <f t="shared" si="38"/>
        <v>583.67999999999995</v>
      </c>
      <c r="AZ38" s="13">
        <f t="shared" si="38"/>
        <v>583.67999999999995</v>
      </c>
      <c r="BA38" s="13">
        <f t="shared" si="38"/>
        <v>583.67999999999995</v>
      </c>
      <c r="BB38" s="13">
        <f t="shared" si="38"/>
        <v>583.67999999999995</v>
      </c>
      <c r="BC38" s="13">
        <f t="shared" si="38"/>
        <v>583.67999999999995</v>
      </c>
      <c r="BD38" s="13">
        <f t="shared" si="38"/>
        <v>583.67999999999995</v>
      </c>
      <c r="BE38" s="13">
        <f t="shared" si="38"/>
        <v>583.67999999999995</v>
      </c>
      <c r="BF38" s="13">
        <f t="shared" si="38"/>
        <v>583.67999999999995</v>
      </c>
      <c r="BG38" s="13">
        <f t="shared" si="38"/>
        <v>583.67999999999995</v>
      </c>
      <c r="BH38" s="13">
        <f t="shared" si="38"/>
        <v>583.67999999999995</v>
      </c>
      <c r="BI38" s="13">
        <f t="shared" si="38"/>
        <v>583.67999999999995</v>
      </c>
      <c r="BJ38" s="13">
        <f t="shared" si="38"/>
        <v>583.67999999999995</v>
      </c>
      <c r="BK38" s="13">
        <f t="shared" si="38"/>
        <v>583.67999999999995</v>
      </c>
      <c r="BL38" s="13">
        <f t="shared" si="38"/>
        <v>583.67999999999995</v>
      </c>
      <c r="BM38" s="13">
        <f t="shared" si="38"/>
        <v>583.67999999999995</v>
      </c>
      <c r="BN38" s="13">
        <f t="shared" si="38"/>
        <v>583.67999999999995</v>
      </c>
    </row>
    <row r="39" spans="1:68">
      <c r="A39" s="36" t="str">
        <f t="shared" si="16"/>
        <v>B90573</v>
      </c>
      <c r="B39" s="36" t="str">
        <f t="shared" si="16"/>
        <v>Oracle Cloud Infrastructure - Database Cloud Service - All Editions - BYOL</v>
      </c>
      <c r="C39"/>
      <c r="D39"/>
      <c r="E39" s="13"/>
      <c r="F39" s="792"/>
      <c r="G39" s="13">
        <f t="shared" ref="G39:AL39" si="39">SUMPRODUCT($C19,$D19,G19)</f>
        <v>0</v>
      </c>
      <c r="H39" s="13">
        <f t="shared" si="39"/>
        <v>0</v>
      </c>
      <c r="I39" s="13">
        <f t="shared" si="39"/>
        <v>0</v>
      </c>
      <c r="J39" s="13">
        <f t="shared" si="39"/>
        <v>0</v>
      </c>
      <c r="K39" s="13">
        <f t="shared" si="39"/>
        <v>0</v>
      </c>
      <c r="L39" s="13">
        <f t="shared" si="39"/>
        <v>0</v>
      </c>
      <c r="M39" s="13">
        <f t="shared" si="39"/>
        <v>0</v>
      </c>
      <c r="N39" s="13">
        <f t="shared" si="39"/>
        <v>0</v>
      </c>
      <c r="O39" s="13">
        <f t="shared" si="39"/>
        <v>0</v>
      </c>
      <c r="P39" s="13">
        <f t="shared" si="39"/>
        <v>0</v>
      </c>
      <c r="Q39" s="13">
        <f t="shared" si="39"/>
        <v>0</v>
      </c>
      <c r="R39" s="13">
        <f t="shared" si="39"/>
        <v>0</v>
      </c>
      <c r="S39" s="13">
        <f t="shared" si="39"/>
        <v>0</v>
      </c>
      <c r="T39" s="13">
        <f t="shared" si="39"/>
        <v>0</v>
      </c>
      <c r="U39" s="13">
        <f t="shared" si="39"/>
        <v>0</v>
      </c>
      <c r="V39" s="13">
        <f t="shared" si="39"/>
        <v>0</v>
      </c>
      <c r="W39" s="13">
        <f t="shared" si="39"/>
        <v>0</v>
      </c>
      <c r="X39" s="13">
        <f t="shared" si="39"/>
        <v>0</v>
      </c>
      <c r="Y39" s="13">
        <f t="shared" si="39"/>
        <v>0</v>
      </c>
      <c r="Z39" s="13">
        <f t="shared" si="39"/>
        <v>0</v>
      </c>
      <c r="AA39" s="13">
        <f t="shared" si="39"/>
        <v>0</v>
      </c>
      <c r="AB39" s="13">
        <f t="shared" si="39"/>
        <v>0</v>
      </c>
      <c r="AC39" s="13">
        <f t="shared" si="39"/>
        <v>0</v>
      </c>
      <c r="AD39" s="13">
        <f t="shared" si="39"/>
        <v>0</v>
      </c>
      <c r="AE39" s="13">
        <f t="shared" si="39"/>
        <v>0</v>
      </c>
      <c r="AF39" s="13">
        <f t="shared" si="39"/>
        <v>0</v>
      </c>
      <c r="AG39" s="13">
        <f t="shared" si="39"/>
        <v>0</v>
      </c>
      <c r="AH39" s="13">
        <f t="shared" si="39"/>
        <v>0</v>
      </c>
      <c r="AI39" s="13">
        <f t="shared" si="39"/>
        <v>0</v>
      </c>
      <c r="AJ39" s="13">
        <f t="shared" si="39"/>
        <v>0</v>
      </c>
      <c r="AK39" s="13">
        <f t="shared" si="39"/>
        <v>0</v>
      </c>
      <c r="AL39" s="13">
        <f t="shared" si="39"/>
        <v>0</v>
      </c>
      <c r="AM39" s="13">
        <f t="shared" ref="AM39:BN39" si="40">SUMPRODUCT($C19,$D19,AM19)</f>
        <v>0</v>
      </c>
      <c r="AN39" s="13">
        <f t="shared" si="40"/>
        <v>0</v>
      </c>
      <c r="AO39" s="13">
        <f t="shared" si="40"/>
        <v>0</v>
      </c>
      <c r="AP39" s="13">
        <f t="shared" si="40"/>
        <v>0</v>
      </c>
      <c r="AQ39" s="13">
        <f t="shared" si="40"/>
        <v>0</v>
      </c>
      <c r="AR39" s="13">
        <f t="shared" si="40"/>
        <v>0</v>
      </c>
      <c r="AS39" s="13">
        <f t="shared" si="40"/>
        <v>0</v>
      </c>
      <c r="AT39" s="13">
        <f t="shared" si="40"/>
        <v>0</v>
      </c>
      <c r="AU39" s="13">
        <f t="shared" si="40"/>
        <v>0</v>
      </c>
      <c r="AV39" s="13">
        <f t="shared" si="40"/>
        <v>0</v>
      </c>
      <c r="AW39" s="13">
        <f t="shared" si="40"/>
        <v>0</v>
      </c>
      <c r="AX39" s="13">
        <f t="shared" si="40"/>
        <v>0</v>
      </c>
      <c r="AY39" s="13">
        <f t="shared" si="40"/>
        <v>0</v>
      </c>
      <c r="AZ39" s="13">
        <f t="shared" si="40"/>
        <v>0</v>
      </c>
      <c r="BA39" s="13">
        <f t="shared" si="40"/>
        <v>0</v>
      </c>
      <c r="BB39" s="13">
        <f t="shared" si="40"/>
        <v>0</v>
      </c>
      <c r="BC39" s="13">
        <f t="shared" si="40"/>
        <v>0</v>
      </c>
      <c r="BD39" s="13">
        <f t="shared" si="40"/>
        <v>0</v>
      </c>
      <c r="BE39" s="13">
        <f t="shared" si="40"/>
        <v>0</v>
      </c>
      <c r="BF39" s="13">
        <f t="shared" si="40"/>
        <v>0</v>
      </c>
      <c r="BG39" s="13">
        <f t="shared" si="40"/>
        <v>0</v>
      </c>
      <c r="BH39" s="13">
        <f t="shared" si="40"/>
        <v>0</v>
      </c>
      <c r="BI39" s="13">
        <f t="shared" si="40"/>
        <v>0</v>
      </c>
      <c r="BJ39" s="13">
        <f t="shared" si="40"/>
        <v>0</v>
      </c>
      <c r="BK39" s="13">
        <f t="shared" si="40"/>
        <v>0</v>
      </c>
      <c r="BL39" s="13">
        <f t="shared" si="40"/>
        <v>0</v>
      </c>
      <c r="BM39" s="13">
        <f t="shared" si="40"/>
        <v>0</v>
      </c>
      <c r="BN39" s="13">
        <f t="shared" si="40"/>
        <v>0</v>
      </c>
    </row>
    <row r="40" spans="1:68">
      <c r="A40" s="36" t="str">
        <f t="shared" si="16"/>
        <v>B90570</v>
      </c>
      <c r="B40" s="36" t="str">
        <f t="shared" si="16"/>
        <v>Oracle Cloud Infrastructure - Database Cloud Service - 
Enterprise Edition</v>
      </c>
      <c r="C40"/>
      <c r="D40"/>
      <c r="E40" s="13"/>
      <c r="F40" s="792"/>
      <c r="G40" s="13">
        <f t="shared" ref="G40:AL40" si="41">SUMPRODUCT($C20,$D20,G20)</f>
        <v>3579.2921999999999</v>
      </c>
      <c r="H40" s="13">
        <f t="shared" si="41"/>
        <v>3579.2921999999999</v>
      </c>
      <c r="I40" s="13">
        <f t="shared" si="41"/>
        <v>3579.2921999999999</v>
      </c>
      <c r="J40" s="13">
        <f t="shared" si="41"/>
        <v>3579.2921999999999</v>
      </c>
      <c r="K40" s="13">
        <f t="shared" si="41"/>
        <v>3579.2921999999999</v>
      </c>
      <c r="L40" s="13">
        <f t="shared" si="41"/>
        <v>3579.2921999999999</v>
      </c>
      <c r="M40" s="13">
        <f t="shared" si="41"/>
        <v>3579.2921999999999</v>
      </c>
      <c r="N40" s="13">
        <f t="shared" si="41"/>
        <v>3579.2921999999999</v>
      </c>
      <c r="O40" s="13">
        <f t="shared" si="41"/>
        <v>3579.2921999999999</v>
      </c>
      <c r="P40" s="13">
        <f t="shared" si="41"/>
        <v>3579.2921999999999</v>
      </c>
      <c r="Q40" s="13">
        <f t="shared" si="41"/>
        <v>3579.2921999999999</v>
      </c>
      <c r="R40" s="13">
        <f t="shared" si="41"/>
        <v>3579.2921999999999</v>
      </c>
      <c r="S40" s="13">
        <f t="shared" si="41"/>
        <v>3579.2921999999999</v>
      </c>
      <c r="T40" s="13">
        <f t="shared" si="41"/>
        <v>3579.2921999999999</v>
      </c>
      <c r="U40" s="13">
        <f t="shared" si="41"/>
        <v>3579.2921999999999</v>
      </c>
      <c r="V40" s="13">
        <f t="shared" si="41"/>
        <v>3579.2921999999999</v>
      </c>
      <c r="W40" s="13">
        <f t="shared" si="41"/>
        <v>3579.2921999999999</v>
      </c>
      <c r="X40" s="13">
        <f t="shared" si="41"/>
        <v>3579.2921999999999</v>
      </c>
      <c r="Y40" s="13">
        <f t="shared" si="41"/>
        <v>3579.2921999999999</v>
      </c>
      <c r="Z40" s="13">
        <f t="shared" si="41"/>
        <v>3579.2921999999999</v>
      </c>
      <c r="AA40" s="13">
        <f t="shared" si="41"/>
        <v>3579.2921999999999</v>
      </c>
      <c r="AB40" s="13">
        <f t="shared" si="41"/>
        <v>3579.2921999999999</v>
      </c>
      <c r="AC40" s="13">
        <f t="shared" si="41"/>
        <v>3579.2921999999999</v>
      </c>
      <c r="AD40" s="13">
        <f t="shared" si="41"/>
        <v>3579.2921999999999</v>
      </c>
      <c r="AE40" s="13">
        <f t="shared" si="41"/>
        <v>3579.2921999999999</v>
      </c>
      <c r="AF40" s="13">
        <f t="shared" si="41"/>
        <v>3579.2921999999999</v>
      </c>
      <c r="AG40" s="13">
        <f t="shared" si="41"/>
        <v>3579.2921999999999</v>
      </c>
      <c r="AH40" s="13">
        <f t="shared" si="41"/>
        <v>3579.2921999999999</v>
      </c>
      <c r="AI40" s="13">
        <f t="shared" si="41"/>
        <v>3579.2921999999999</v>
      </c>
      <c r="AJ40" s="13">
        <f t="shared" si="41"/>
        <v>3579.2921999999999</v>
      </c>
      <c r="AK40" s="13">
        <f t="shared" si="41"/>
        <v>3579.2921999999999</v>
      </c>
      <c r="AL40" s="13">
        <f t="shared" si="41"/>
        <v>3579.2921999999999</v>
      </c>
      <c r="AM40" s="13">
        <f t="shared" ref="AM40:BN40" si="42">SUMPRODUCT($C20,$D20,AM20)</f>
        <v>3579.2921999999999</v>
      </c>
      <c r="AN40" s="13">
        <f t="shared" si="42"/>
        <v>3579.2921999999999</v>
      </c>
      <c r="AO40" s="13">
        <f t="shared" si="42"/>
        <v>3579.2921999999999</v>
      </c>
      <c r="AP40" s="13">
        <f t="shared" si="42"/>
        <v>3579.2921999999999</v>
      </c>
      <c r="AQ40" s="13">
        <f t="shared" si="42"/>
        <v>3579.2921999999999</v>
      </c>
      <c r="AR40" s="13">
        <f t="shared" si="42"/>
        <v>3579.2921999999999</v>
      </c>
      <c r="AS40" s="13">
        <f t="shared" si="42"/>
        <v>3579.2921999999999</v>
      </c>
      <c r="AT40" s="13">
        <f t="shared" si="42"/>
        <v>3579.2921999999999</v>
      </c>
      <c r="AU40" s="13">
        <f t="shared" si="42"/>
        <v>3579.2921999999999</v>
      </c>
      <c r="AV40" s="13">
        <f t="shared" si="42"/>
        <v>3579.2921999999999</v>
      </c>
      <c r="AW40" s="13">
        <f t="shared" si="42"/>
        <v>3579.2921999999999</v>
      </c>
      <c r="AX40" s="13">
        <f t="shared" si="42"/>
        <v>3579.2921999999999</v>
      </c>
      <c r="AY40" s="13">
        <f t="shared" si="42"/>
        <v>3579.2921999999999</v>
      </c>
      <c r="AZ40" s="13">
        <f t="shared" si="42"/>
        <v>3579.2921999999999</v>
      </c>
      <c r="BA40" s="13">
        <f t="shared" si="42"/>
        <v>3579.2921999999999</v>
      </c>
      <c r="BB40" s="13">
        <f t="shared" si="42"/>
        <v>3579.2921999999999</v>
      </c>
      <c r="BC40" s="13">
        <f t="shared" si="42"/>
        <v>3579.2921999999999</v>
      </c>
      <c r="BD40" s="13">
        <f t="shared" si="42"/>
        <v>3579.2921999999999</v>
      </c>
      <c r="BE40" s="13">
        <f t="shared" si="42"/>
        <v>3579.2921999999999</v>
      </c>
      <c r="BF40" s="13">
        <f t="shared" si="42"/>
        <v>3579.2921999999999</v>
      </c>
      <c r="BG40" s="13">
        <f t="shared" si="42"/>
        <v>3579.2921999999999</v>
      </c>
      <c r="BH40" s="13">
        <f t="shared" si="42"/>
        <v>3579.2921999999999</v>
      </c>
      <c r="BI40" s="13">
        <f t="shared" si="42"/>
        <v>3579.2921999999999</v>
      </c>
      <c r="BJ40" s="13">
        <f t="shared" si="42"/>
        <v>3579.2921999999999</v>
      </c>
      <c r="BK40" s="13">
        <f t="shared" si="42"/>
        <v>3579.2921999999999</v>
      </c>
      <c r="BL40" s="13">
        <f t="shared" si="42"/>
        <v>3579.2921999999999</v>
      </c>
      <c r="BM40" s="13">
        <f t="shared" si="42"/>
        <v>3579.2921999999999</v>
      </c>
      <c r="BN40" s="13">
        <f t="shared" si="42"/>
        <v>3579.2921999999999</v>
      </c>
    </row>
    <row r="41" spans="1:68">
      <c r="A41" s="36" t="str">
        <f t="shared" si="16"/>
        <v>B90571</v>
      </c>
      <c r="B41" s="36" t="str">
        <f t="shared" si="16"/>
        <v>Oracle Cloud Infrastructure - Database Cloud Service - 
Enterprise Edition High Performance</v>
      </c>
      <c r="C41"/>
      <c r="D41"/>
      <c r="E41" s="13"/>
      <c r="F41" s="792"/>
      <c r="G41" s="13">
        <f t="shared" ref="G41:AL41" si="43">SUMPRODUCT($C21,$D21,G21)</f>
        <v>0</v>
      </c>
      <c r="H41" s="13">
        <f t="shared" si="43"/>
        <v>0</v>
      </c>
      <c r="I41" s="13">
        <f t="shared" si="43"/>
        <v>0</v>
      </c>
      <c r="J41" s="13">
        <f t="shared" si="43"/>
        <v>0</v>
      </c>
      <c r="K41" s="13">
        <f t="shared" si="43"/>
        <v>0</v>
      </c>
      <c r="L41" s="13">
        <f t="shared" si="43"/>
        <v>0</v>
      </c>
      <c r="M41" s="13">
        <f t="shared" si="43"/>
        <v>0</v>
      </c>
      <c r="N41" s="13">
        <f t="shared" si="43"/>
        <v>0</v>
      </c>
      <c r="O41" s="13">
        <f t="shared" si="43"/>
        <v>0</v>
      </c>
      <c r="P41" s="13">
        <f t="shared" si="43"/>
        <v>0</v>
      </c>
      <c r="Q41" s="13">
        <f t="shared" si="43"/>
        <v>0</v>
      </c>
      <c r="R41" s="13">
        <f t="shared" si="43"/>
        <v>0</v>
      </c>
      <c r="S41" s="13">
        <f t="shared" si="43"/>
        <v>0</v>
      </c>
      <c r="T41" s="13">
        <f t="shared" si="43"/>
        <v>0</v>
      </c>
      <c r="U41" s="13">
        <f t="shared" si="43"/>
        <v>0</v>
      </c>
      <c r="V41" s="13">
        <f t="shared" si="43"/>
        <v>0</v>
      </c>
      <c r="W41" s="13">
        <f t="shared" si="43"/>
        <v>0</v>
      </c>
      <c r="X41" s="13">
        <f t="shared" si="43"/>
        <v>0</v>
      </c>
      <c r="Y41" s="13">
        <f t="shared" si="43"/>
        <v>0</v>
      </c>
      <c r="Z41" s="13">
        <f t="shared" si="43"/>
        <v>0</v>
      </c>
      <c r="AA41" s="13">
        <f t="shared" si="43"/>
        <v>0</v>
      </c>
      <c r="AB41" s="13">
        <f t="shared" si="43"/>
        <v>0</v>
      </c>
      <c r="AC41" s="13">
        <f t="shared" si="43"/>
        <v>0</v>
      </c>
      <c r="AD41" s="13">
        <f t="shared" si="43"/>
        <v>0</v>
      </c>
      <c r="AE41" s="13">
        <f t="shared" si="43"/>
        <v>0</v>
      </c>
      <c r="AF41" s="13">
        <f t="shared" si="43"/>
        <v>0</v>
      </c>
      <c r="AG41" s="13">
        <f t="shared" si="43"/>
        <v>0</v>
      </c>
      <c r="AH41" s="13">
        <f t="shared" si="43"/>
        <v>0</v>
      </c>
      <c r="AI41" s="13">
        <f t="shared" si="43"/>
        <v>0</v>
      </c>
      <c r="AJ41" s="13">
        <f t="shared" si="43"/>
        <v>0</v>
      </c>
      <c r="AK41" s="13">
        <f t="shared" si="43"/>
        <v>0</v>
      </c>
      <c r="AL41" s="13">
        <f t="shared" si="43"/>
        <v>0</v>
      </c>
      <c r="AM41" s="13">
        <f t="shared" ref="AM41:BN41" si="44">SUMPRODUCT($C21,$D21,AM21)</f>
        <v>0</v>
      </c>
      <c r="AN41" s="13">
        <f t="shared" si="44"/>
        <v>0</v>
      </c>
      <c r="AO41" s="13">
        <f t="shared" si="44"/>
        <v>0</v>
      </c>
      <c r="AP41" s="13">
        <f t="shared" si="44"/>
        <v>0</v>
      </c>
      <c r="AQ41" s="13">
        <f t="shared" si="44"/>
        <v>0</v>
      </c>
      <c r="AR41" s="13">
        <f t="shared" si="44"/>
        <v>0</v>
      </c>
      <c r="AS41" s="13">
        <f t="shared" si="44"/>
        <v>0</v>
      </c>
      <c r="AT41" s="13">
        <f t="shared" si="44"/>
        <v>0</v>
      </c>
      <c r="AU41" s="13">
        <f t="shared" si="44"/>
        <v>0</v>
      </c>
      <c r="AV41" s="13">
        <f t="shared" si="44"/>
        <v>0</v>
      </c>
      <c r="AW41" s="13">
        <f t="shared" si="44"/>
        <v>0</v>
      </c>
      <c r="AX41" s="13">
        <f t="shared" si="44"/>
        <v>0</v>
      </c>
      <c r="AY41" s="13">
        <f t="shared" si="44"/>
        <v>0</v>
      </c>
      <c r="AZ41" s="13">
        <f t="shared" si="44"/>
        <v>0</v>
      </c>
      <c r="BA41" s="13">
        <f t="shared" si="44"/>
        <v>0</v>
      </c>
      <c r="BB41" s="13">
        <f t="shared" si="44"/>
        <v>0</v>
      </c>
      <c r="BC41" s="13">
        <f t="shared" si="44"/>
        <v>0</v>
      </c>
      <c r="BD41" s="13">
        <f t="shared" si="44"/>
        <v>0</v>
      </c>
      <c r="BE41" s="13">
        <f t="shared" si="44"/>
        <v>0</v>
      </c>
      <c r="BF41" s="13">
        <f t="shared" si="44"/>
        <v>0</v>
      </c>
      <c r="BG41" s="13">
        <f t="shared" si="44"/>
        <v>0</v>
      </c>
      <c r="BH41" s="13">
        <f t="shared" si="44"/>
        <v>0</v>
      </c>
      <c r="BI41" s="13">
        <f t="shared" si="44"/>
        <v>0</v>
      </c>
      <c r="BJ41" s="13">
        <f t="shared" si="44"/>
        <v>0</v>
      </c>
      <c r="BK41" s="13">
        <f t="shared" si="44"/>
        <v>0</v>
      </c>
      <c r="BL41" s="13">
        <f t="shared" si="44"/>
        <v>0</v>
      </c>
      <c r="BM41" s="13">
        <f t="shared" si="44"/>
        <v>0</v>
      </c>
      <c r="BN41" s="13">
        <f t="shared" si="44"/>
        <v>0</v>
      </c>
    </row>
    <row r="42" spans="1:68">
      <c r="A42" s="36" t="str">
        <f t="shared" si="16"/>
        <v>B90572</v>
      </c>
      <c r="B42" s="36" t="str">
        <f t="shared" si="16"/>
        <v>Oracle Cloud Infrastructure - Database Cloud Service - 
Enterprise Edition Extreme Performance</v>
      </c>
      <c r="C42"/>
      <c r="D42"/>
      <c r="E42" s="13"/>
      <c r="F42" s="792"/>
      <c r="G42" s="13">
        <f t="shared" ref="G42:AL42" si="45">SUMPRODUCT($C22,$D22,G22)</f>
        <v>0</v>
      </c>
      <c r="H42" s="13">
        <f t="shared" si="45"/>
        <v>0</v>
      </c>
      <c r="I42" s="13">
        <f t="shared" si="45"/>
        <v>0</v>
      </c>
      <c r="J42" s="13">
        <f t="shared" si="45"/>
        <v>0</v>
      </c>
      <c r="K42" s="13">
        <f t="shared" si="45"/>
        <v>0</v>
      </c>
      <c r="L42" s="13">
        <f t="shared" si="45"/>
        <v>0</v>
      </c>
      <c r="M42" s="13">
        <f t="shared" si="45"/>
        <v>0</v>
      </c>
      <c r="N42" s="13">
        <f t="shared" si="45"/>
        <v>0</v>
      </c>
      <c r="O42" s="13">
        <f t="shared" si="45"/>
        <v>0</v>
      </c>
      <c r="P42" s="13">
        <f t="shared" si="45"/>
        <v>0</v>
      </c>
      <c r="Q42" s="13">
        <f t="shared" si="45"/>
        <v>0</v>
      </c>
      <c r="R42" s="13">
        <f t="shared" si="45"/>
        <v>0</v>
      </c>
      <c r="S42" s="13">
        <f t="shared" si="45"/>
        <v>0</v>
      </c>
      <c r="T42" s="13">
        <f t="shared" si="45"/>
        <v>0</v>
      </c>
      <c r="U42" s="13">
        <f t="shared" si="45"/>
        <v>0</v>
      </c>
      <c r="V42" s="13">
        <f t="shared" si="45"/>
        <v>0</v>
      </c>
      <c r="W42" s="13">
        <f t="shared" si="45"/>
        <v>0</v>
      </c>
      <c r="X42" s="13">
        <f t="shared" si="45"/>
        <v>0</v>
      </c>
      <c r="Y42" s="13">
        <f t="shared" si="45"/>
        <v>0</v>
      </c>
      <c r="Z42" s="13">
        <f t="shared" si="45"/>
        <v>0</v>
      </c>
      <c r="AA42" s="13">
        <f t="shared" si="45"/>
        <v>0</v>
      </c>
      <c r="AB42" s="13">
        <f t="shared" si="45"/>
        <v>0</v>
      </c>
      <c r="AC42" s="13">
        <f t="shared" si="45"/>
        <v>0</v>
      </c>
      <c r="AD42" s="13">
        <f t="shared" si="45"/>
        <v>0</v>
      </c>
      <c r="AE42" s="13">
        <f t="shared" si="45"/>
        <v>0</v>
      </c>
      <c r="AF42" s="13">
        <f t="shared" si="45"/>
        <v>0</v>
      </c>
      <c r="AG42" s="13">
        <f t="shared" si="45"/>
        <v>0</v>
      </c>
      <c r="AH42" s="13">
        <f t="shared" si="45"/>
        <v>0</v>
      </c>
      <c r="AI42" s="13">
        <f t="shared" si="45"/>
        <v>0</v>
      </c>
      <c r="AJ42" s="13">
        <f t="shared" si="45"/>
        <v>0</v>
      </c>
      <c r="AK42" s="13">
        <f t="shared" si="45"/>
        <v>0</v>
      </c>
      <c r="AL42" s="13">
        <f t="shared" si="45"/>
        <v>0</v>
      </c>
      <c r="AM42" s="13">
        <f t="shared" ref="AM42:BN42" si="46">SUMPRODUCT($C22,$D22,AM22)</f>
        <v>0</v>
      </c>
      <c r="AN42" s="13">
        <f t="shared" si="46"/>
        <v>0</v>
      </c>
      <c r="AO42" s="13">
        <f t="shared" si="46"/>
        <v>0</v>
      </c>
      <c r="AP42" s="13">
        <f t="shared" si="46"/>
        <v>0</v>
      </c>
      <c r="AQ42" s="13">
        <f t="shared" si="46"/>
        <v>0</v>
      </c>
      <c r="AR42" s="13">
        <f t="shared" si="46"/>
        <v>0</v>
      </c>
      <c r="AS42" s="13">
        <f t="shared" si="46"/>
        <v>0</v>
      </c>
      <c r="AT42" s="13">
        <f t="shared" si="46"/>
        <v>0</v>
      </c>
      <c r="AU42" s="13">
        <f t="shared" si="46"/>
        <v>0</v>
      </c>
      <c r="AV42" s="13">
        <f t="shared" si="46"/>
        <v>0</v>
      </c>
      <c r="AW42" s="13">
        <f t="shared" si="46"/>
        <v>0</v>
      </c>
      <c r="AX42" s="13">
        <f t="shared" si="46"/>
        <v>0</v>
      </c>
      <c r="AY42" s="13">
        <f t="shared" si="46"/>
        <v>0</v>
      </c>
      <c r="AZ42" s="13">
        <f t="shared" si="46"/>
        <v>0</v>
      </c>
      <c r="BA42" s="13">
        <f t="shared" si="46"/>
        <v>0</v>
      </c>
      <c r="BB42" s="13">
        <f t="shared" si="46"/>
        <v>0</v>
      </c>
      <c r="BC42" s="13">
        <f t="shared" si="46"/>
        <v>0</v>
      </c>
      <c r="BD42" s="13">
        <f t="shared" si="46"/>
        <v>0</v>
      </c>
      <c r="BE42" s="13">
        <f t="shared" si="46"/>
        <v>0</v>
      </c>
      <c r="BF42" s="13">
        <f t="shared" si="46"/>
        <v>0</v>
      </c>
      <c r="BG42" s="13">
        <f t="shared" si="46"/>
        <v>0</v>
      </c>
      <c r="BH42" s="13">
        <f t="shared" si="46"/>
        <v>0</v>
      </c>
      <c r="BI42" s="13">
        <f t="shared" si="46"/>
        <v>0</v>
      </c>
      <c r="BJ42" s="13">
        <f t="shared" si="46"/>
        <v>0</v>
      </c>
      <c r="BK42" s="13">
        <f t="shared" si="46"/>
        <v>0</v>
      </c>
      <c r="BL42" s="13">
        <f t="shared" si="46"/>
        <v>0</v>
      </c>
      <c r="BM42" s="13">
        <f t="shared" si="46"/>
        <v>0</v>
      </c>
      <c r="BN42" s="13">
        <f t="shared" si="46"/>
        <v>0</v>
      </c>
    </row>
    <row r="43" spans="1:68">
      <c r="A43" s="36" t="str">
        <f t="shared" si="16"/>
        <v>B91962</v>
      </c>
      <c r="B43" s="36" t="str">
        <f t="shared" si="16"/>
        <v>Oracle Cloud Infrastructure - Block Volume Performance</v>
      </c>
      <c r="C43"/>
      <c r="D43"/>
      <c r="E43" s="13"/>
      <c r="F43" s="792"/>
      <c r="G43" s="13">
        <f t="shared" ref="G43:AL43" si="47">SUMPRODUCT($C23,$D23,G23)</f>
        <v>47.642499999999998</v>
      </c>
      <c r="H43" s="13">
        <f t="shared" si="47"/>
        <v>47.642499999999998</v>
      </c>
      <c r="I43" s="13">
        <f t="shared" si="47"/>
        <v>47.642499999999998</v>
      </c>
      <c r="J43" s="13">
        <f t="shared" si="47"/>
        <v>47.642499999999998</v>
      </c>
      <c r="K43" s="13">
        <f t="shared" si="47"/>
        <v>47.642499999999998</v>
      </c>
      <c r="L43" s="13">
        <f t="shared" si="47"/>
        <v>47.642499999999998</v>
      </c>
      <c r="M43" s="13">
        <f t="shared" si="47"/>
        <v>47.642499999999998</v>
      </c>
      <c r="N43" s="13">
        <f t="shared" si="47"/>
        <v>47.642499999999998</v>
      </c>
      <c r="O43" s="13">
        <f t="shared" si="47"/>
        <v>47.642499999999998</v>
      </c>
      <c r="P43" s="13">
        <f t="shared" si="47"/>
        <v>47.642499999999998</v>
      </c>
      <c r="Q43" s="13">
        <f t="shared" si="47"/>
        <v>47.642499999999998</v>
      </c>
      <c r="R43" s="13">
        <f t="shared" si="47"/>
        <v>47.642499999999998</v>
      </c>
      <c r="S43" s="13">
        <f t="shared" si="47"/>
        <v>47.642499999999998</v>
      </c>
      <c r="T43" s="13">
        <f t="shared" si="47"/>
        <v>47.642499999999998</v>
      </c>
      <c r="U43" s="13">
        <f t="shared" si="47"/>
        <v>47.642499999999998</v>
      </c>
      <c r="V43" s="13">
        <f t="shared" si="47"/>
        <v>47.642499999999998</v>
      </c>
      <c r="W43" s="13">
        <f t="shared" si="47"/>
        <v>47.642499999999998</v>
      </c>
      <c r="X43" s="13">
        <f t="shared" si="47"/>
        <v>47.642499999999998</v>
      </c>
      <c r="Y43" s="13">
        <f t="shared" si="47"/>
        <v>47.642499999999998</v>
      </c>
      <c r="Z43" s="13">
        <f t="shared" si="47"/>
        <v>47.642499999999998</v>
      </c>
      <c r="AA43" s="13">
        <f t="shared" si="47"/>
        <v>47.642499999999998</v>
      </c>
      <c r="AB43" s="13">
        <f t="shared" si="47"/>
        <v>47.642499999999998</v>
      </c>
      <c r="AC43" s="13">
        <f t="shared" si="47"/>
        <v>47.642499999999998</v>
      </c>
      <c r="AD43" s="13">
        <f t="shared" si="47"/>
        <v>47.642499999999998</v>
      </c>
      <c r="AE43" s="13">
        <f t="shared" si="47"/>
        <v>47.642499999999998</v>
      </c>
      <c r="AF43" s="13">
        <f t="shared" si="47"/>
        <v>47.642499999999998</v>
      </c>
      <c r="AG43" s="13">
        <f t="shared" si="47"/>
        <v>47.642499999999998</v>
      </c>
      <c r="AH43" s="13">
        <f t="shared" si="47"/>
        <v>47.642499999999998</v>
      </c>
      <c r="AI43" s="13">
        <f t="shared" si="47"/>
        <v>47.642499999999998</v>
      </c>
      <c r="AJ43" s="13">
        <f t="shared" si="47"/>
        <v>47.642499999999998</v>
      </c>
      <c r="AK43" s="13">
        <f t="shared" si="47"/>
        <v>47.642499999999998</v>
      </c>
      <c r="AL43" s="13">
        <f t="shared" si="47"/>
        <v>47.642499999999998</v>
      </c>
      <c r="AM43" s="13">
        <f t="shared" ref="AM43:BN43" si="48">SUMPRODUCT($C23,$D23,AM23)</f>
        <v>47.642499999999998</v>
      </c>
      <c r="AN43" s="13">
        <f t="shared" si="48"/>
        <v>47.642499999999998</v>
      </c>
      <c r="AO43" s="13">
        <f t="shared" si="48"/>
        <v>47.642499999999998</v>
      </c>
      <c r="AP43" s="13">
        <f t="shared" si="48"/>
        <v>47.642499999999998</v>
      </c>
      <c r="AQ43" s="13">
        <f t="shared" si="48"/>
        <v>47.642499999999998</v>
      </c>
      <c r="AR43" s="13">
        <f t="shared" si="48"/>
        <v>47.642499999999998</v>
      </c>
      <c r="AS43" s="13">
        <f t="shared" si="48"/>
        <v>47.642499999999998</v>
      </c>
      <c r="AT43" s="13">
        <f t="shared" si="48"/>
        <v>47.642499999999998</v>
      </c>
      <c r="AU43" s="13">
        <f t="shared" si="48"/>
        <v>47.642499999999998</v>
      </c>
      <c r="AV43" s="13">
        <f t="shared" si="48"/>
        <v>47.642499999999998</v>
      </c>
      <c r="AW43" s="13">
        <f t="shared" si="48"/>
        <v>47.642499999999998</v>
      </c>
      <c r="AX43" s="13">
        <f t="shared" si="48"/>
        <v>47.642499999999998</v>
      </c>
      <c r="AY43" s="13">
        <f t="shared" si="48"/>
        <v>47.642499999999998</v>
      </c>
      <c r="AZ43" s="13">
        <f t="shared" si="48"/>
        <v>47.642499999999998</v>
      </c>
      <c r="BA43" s="13">
        <f t="shared" si="48"/>
        <v>47.642499999999998</v>
      </c>
      <c r="BB43" s="13">
        <f t="shared" si="48"/>
        <v>47.642499999999998</v>
      </c>
      <c r="BC43" s="13">
        <f t="shared" si="48"/>
        <v>47.642499999999998</v>
      </c>
      <c r="BD43" s="13">
        <f t="shared" si="48"/>
        <v>47.642499999999998</v>
      </c>
      <c r="BE43" s="13">
        <f t="shared" si="48"/>
        <v>47.642499999999998</v>
      </c>
      <c r="BF43" s="13">
        <f t="shared" si="48"/>
        <v>47.642499999999998</v>
      </c>
      <c r="BG43" s="13">
        <f t="shared" si="48"/>
        <v>47.642499999999998</v>
      </c>
      <c r="BH43" s="13">
        <f t="shared" si="48"/>
        <v>47.642499999999998</v>
      </c>
      <c r="BI43" s="13">
        <f t="shared" si="48"/>
        <v>47.642499999999998</v>
      </c>
      <c r="BJ43" s="13">
        <f t="shared" si="48"/>
        <v>47.642499999999998</v>
      </c>
      <c r="BK43" s="13">
        <f t="shared" si="48"/>
        <v>47.642499999999998</v>
      </c>
      <c r="BL43" s="13">
        <f t="shared" si="48"/>
        <v>47.642499999999998</v>
      </c>
      <c r="BM43" s="13">
        <f t="shared" si="48"/>
        <v>47.642499999999998</v>
      </c>
      <c r="BN43" s="13">
        <f t="shared" si="48"/>
        <v>47.642499999999998</v>
      </c>
    </row>
    <row r="44" spans="1:68">
      <c r="A44" s="796" t="s">
        <v>3008</v>
      </c>
      <c r="B44" s="36"/>
      <c r="C44"/>
      <c r="D44"/>
      <c r="E44" s="13"/>
      <c r="F44" s="792"/>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8">
      <c r="A45" s="36"/>
      <c r="B45" s="36"/>
      <c r="C45"/>
      <c r="D45"/>
      <c r="E45" s="13"/>
      <c r="F45" s="792"/>
      <c r="G45" s="13">
        <f>$E$45</f>
        <v>0</v>
      </c>
      <c r="H45" s="13">
        <f t="shared" ref="H45:BN45" si="49">$E$45</f>
        <v>0</v>
      </c>
      <c r="I45" s="13">
        <f t="shared" si="49"/>
        <v>0</v>
      </c>
      <c r="J45" s="13">
        <f t="shared" si="49"/>
        <v>0</v>
      </c>
      <c r="K45" s="13">
        <f t="shared" si="49"/>
        <v>0</v>
      </c>
      <c r="L45" s="13">
        <f t="shared" si="49"/>
        <v>0</v>
      </c>
      <c r="M45" s="13">
        <f t="shared" si="49"/>
        <v>0</v>
      </c>
      <c r="N45" s="13">
        <f t="shared" si="49"/>
        <v>0</v>
      </c>
      <c r="O45" s="13">
        <f t="shared" si="49"/>
        <v>0</v>
      </c>
      <c r="P45" s="13">
        <f t="shared" si="49"/>
        <v>0</v>
      </c>
      <c r="Q45" s="13">
        <f t="shared" si="49"/>
        <v>0</v>
      </c>
      <c r="R45" s="13">
        <f t="shared" si="49"/>
        <v>0</v>
      </c>
      <c r="S45" s="13">
        <f t="shared" si="49"/>
        <v>0</v>
      </c>
      <c r="T45" s="13">
        <f t="shared" si="49"/>
        <v>0</v>
      </c>
      <c r="U45" s="13">
        <f t="shared" si="49"/>
        <v>0</v>
      </c>
      <c r="V45" s="13">
        <f t="shared" si="49"/>
        <v>0</v>
      </c>
      <c r="W45" s="13">
        <f t="shared" si="49"/>
        <v>0</v>
      </c>
      <c r="X45" s="13">
        <f t="shared" si="49"/>
        <v>0</v>
      </c>
      <c r="Y45" s="13">
        <f t="shared" si="49"/>
        <v>0</v>
      </c>
      <c r="Z45" s="13">
        <f t="shared" si="49"/>
        <v>0</v>
      </c>
      <c r="AA45" s="13">
        <f t="shared" si="49"/>
        <v>0</v>
      </c>
      <c r="AB45" s="13">
        <f t="shared" si="49"/>
        <v>0</v>
      </c>
      <c r="AC45" s="13">
        <f t="shared" si="49"/>
        <v>0</v>
      </c>
      <c r="AD45" s="13">
        <f t="shared" si="49"/>
        <v>0</v>
      </c>
      <c r="AE45" s="13">
        <f t="shared" si="49"/>
        <v>0</v>
      </c>
      <c r="AF45" s="13">
        <f t="shared" si="49"/>
        <v>0</v>
      </c>
      <c r="AG45" s="13">
        <f t="shared" si="49"/>
        <v>0</v>
      </c>
      <c r="AH45" s="13">
        <f t="shared" si="49"/>
        <v>0</v>
      </c>
      <c r="AI45" s="13">
        <f t="shared" si="49"/>
        <v>0</v>
      </c>
      <c r="AJ45" s="13">
        <f t="shared" si="49"/>
        <v>0</v>
      </c>
      <c r="AK45" s="13">
        <f t="shared" si="49"/>
        <v>0</v>
      </c>
      <c r="AL45" s="13">
        <f t="shared" si="49"/>
        <v>0</v>
      </c>
      <c r="AM45" s="13">
        <f t="shared" si="49"/>
        <v>0</v>
      </c>
      <c r="AN45" s="13">
        <f t="shared" si="49"/>
        <v>0</v>
      </c>
      <c r="AO45" s="13">
        <f t="shared" si="49"/>
        <v>0</v>
      </c>
      <c r="AP45" s="13">
        <f t="shared" si="49"/>
        <v>0</v>
      </c>
      <c r="AQ45" s="13">
        <f t="shared" si="49"/>
        <v>0</v>
      </c>
      <c r="AR45" s="13">
        <f t="shared" si="49"/>
        <v>0</v>
      </c>
      <c r="AS45" s="13">
        <f t="shared" si="49"/>
        <v>0</v>
      </c>
      <c r="AT45" s="13">
        <f t="shared" si="49"/>
        <v>0</v>
      </c>
      <c r="AU45" s="13">
        <f t="shared" si="49"/>
        <v>0</v>
      </c>
      <c r="AV45" s="13">
        <f t="shared" si="49"/>
        <v>0</v>
      </c>
      <c r="AW45" s="13">
        <f t="shared" si="49"/>
        <v>0</v>
      </c>
      <c r="AX45" s="13">
        <f t="shared" si="49"/>
        <v>0</v>
      </c>
      <c r="AY45" s="13">
        <f t="shared" si="49"/>
        <v>0</v>
      </c>
      <c r="AZ45" s="13">
        <f t="shared" si="49"/>
        <v>0</v>
      </c>
      <c r="BA45" s="13">
        <f t="shared" si="49"/>
        <v>0</v>
      </c>
      <c r="BB45" s="13">
        <f t="shared" si="49"/>
        <v>0</v>
      </c>
      <c r="BC45" s="13">
        <f t="shared" si="49"/>
        <v>0</v>
      </c>
      <c r="BD45" s="13">
        <f t="shared" si="49"/>
        <v>0</v>
      </c>
      <c r="BE45" s="13">
        <f t="shared" si="49"/>
        <v>0</v>
      </c>
      <c r="BF45" s="13">
        <f t="shared" si="49"/>
        <v>0</v>
      </c>
      <c r="BG45" s="13">
        <f t="shared" si="49"/>
        <v>0</v>
      </c>
      <c r="BH45" s="13">
        <f t="shared" si="49"/>
        <v>0</v>
      </c>
      <c r="BI45" s="13">
        <f t="shared" si="49"/>
        <v>0</v>
      </c>
      <c r="BJ45" s="13">
        <f t="shared" si="49"/>
        <v>0</v>
      </c>
      <c r="BK45" s="13">
        <f t="shared" si="49"/>
        <v>0</v>
      </c>
      <c r="BL45" s="13">
        <f t="shared" si="49"/>
        <v>0</v>
      </c>
      <c r="BM45" s="13">
        <f t="shared" si="49"/>
        <v>0</v>
      </c>
      <c r="BN45" s="13">
        <f t="shared" si="49"/>
        <v>0</v>
      </c>
    </row>
    <row r="46" spans="1:68">
      <c r="A46" s="36"/>
      <c r="B46" s="36"/>
      <c r="C46" s="780"/>
      <c r="D46" s="36"/>
      <c r="E46" s="36"/>
      <c r="F46" s="790"/>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row>
    <row r="47" spans="1:68" s="39" customFormat="1">
      <c r="A47" s="38" t="s">
        <v>490</v>
      </c>
      <c r="B47" s="38"/>
      <c r="C47" s="781"/>
      <c r="D47" s="38"/>
      <c r="E47" s="38"/>
      <c r="F47" s="793"/>
      <c r="G47" s="38">
        <f t="shared" ref="G47:AL47" si="50">SUM(G28:G46)</f>
        <v>4710.91795</v>
      </c>
      <c r="H47" s="38">
        <f t="shared" si="50"/>
        <v>4710.91795</v>
      </c>
      <c r="I47" s="38">
        <f t="shared" si="50"/>
        <v>4710.91795</v>
      </c>
      <c r="J47" s="38">
        <f t="shared" si="50"/>
        <v>4710.91795</v>
      </c>
      <c r="K47" s="38">
        <f t="shared" si="50"/>
        <v>4710.91795</v>
      </c>
      <c r="L47" s="38">
        <f t="shared" si="50"/>
        <v>4710.91795</v>
      </c>
      <c r="M47" s="38">
        <f t="shared" si="50"/>
        <v>4710.91795</v>
      </c>
      <c r="N47" s="38">
        <f t="shared" si="50"/>
        <v>4710.91795</v>
      </c>
      <c r="O47" s="38">
        <f t="shared" si="50"/>
        <v>4710.91795</v>
      </c>
      <c r="P47" s="38">
        <f t="shared" si="50"/>
        <v>4710.91795</v>
      </c>
      <c r="Q47" s="38">
        <f t="shared" si="50"/>
        <v>4710.91795</v>
      </c>
      <c r="R47" s="38">
        <f t="shared" si="50"/>
        <v>4710.91795</v>
      </c>
      <c r="S47" s="38">
        <f t="shared" si="50"/>
        <v>4710.91795</v>
      </c>
      <c r="T47" s="38">
        <f t="shared" si="50"/>
        <v>4710.91795</v>
      </c>
      <c r="U47" s="38">
        <f t="shared" si="50"/>
        <v>4710.91795</v>
      </c>
      <c r="V47" s="38">
        <f t="shared" si="50"/>
        <v>4710.91795</v>
      </c>
      <c r="W47" s="38">
        <f t="shared" si="50"/>
        <v>4710.91795</v>
      </c>
      <c r="X47" s="38">
        <f t="shared" si="50"/>
        <v>4710.91795</v>
      </c>
      <c r="Y47" s="38">
        <f t="shared" si="50"/>
        <v>4710.91795</v>
      </c>
      <c r="Z47" s="38">
        <f t="shared" si="50"/>
        <v>4710.91795</v>
      </c>
      <c r="AA47" s="38">
        <f t="shared" si="50"/>
        <v>4710.91795</v>
      </c>
      <c r="AB47" s="38">
        <f t="shared" si="50"/>
        <v>4710.91795</v>
      </c>
      <c r="AC47" s="38">
        <f t="shared" si="50"/>
        <v>4710.91795</v>
      </c>
      <c r="AD47" s="38">
        <f t="shared" si="50"/>
        <v>4710.91795</v>
      </c>
      <c r="AE47" s="38">
        <f t="shared" si="50"/>
        <v>4710.91795</v>
      </c>
      <c r="AF47" s="38">
        <f t="shared" si="50"/>
        <v>4710.91795</v>
      </c>
      <c r="AG47" s="38">
        <f t="shared" si="50"/>
        <v>4710.91795</v>
      </c>
      <c r="AH47" s="38">
        <f t="shared" si="50"/>
        <v>4710.91795</v>
      </c>
      <c r="AI47" s="38">
        <f t="shared" si="50"/>
        <v>4710.91795</v>
      </c>
      <c r="AJ47" s="38">
        <f t="shared" si="50"/>
        <v>4710.91795</v>
      </c>
      <c r="AK47" s="38">
        <f t="shared" si="50"/>
        <v>4710.91795</v>
      </c>
      <c r="AL47" s="38">
        <f t="shared" si="50"/>
        <v>4710.91795</v>
      </c>
      <c r="AM47" s="38">
        <f t="shared" ref="AM47:BN47" si="51">SUM(AM28:AM46)</f>
        <v>4710.91795</v>
      </c>
      <c r="AN47" s="38">
        <f t="shared" si="51"/>
        <v>4710.91795</v>
      </c>
      <c r="AO47" s="38">
        <f t="shared" si="51"/>
        <v>4710.91795</v>
      </c>
      <c r="AP47" s="38">
        <f t="shared" si="51"/>
        <v>4710.91795</v>
      </c>
      <c r="AQ47" s="38">
        <f t="shared" si="51"/>
        <v>4710.91795</v>
      </c>
      <c r="AR47" s="38">
        <f t="shared" si="51"/>
        <v>4710.91795</v>
      </c>
      <c r="AS47" s="38">
        <f t="shared" si="51"/>
        <v>4710.91795</v>
      </c>
      <c r="AT47" s="38">
        <f t="shared" si="51"/>
        <v>4710.91795</v>
      </c>
      <c r="AU47" s="38">
        <f t="shared" si="51"/>
        <v>4710.91795</v>
      </c>
      <c r="AV47" s="38">
        <f t="shared" si="51"/>
        <v>4710.91795</v>
      </c>
      <c r="AW47" s="38">
        <f t="shared" si="51"/>
        <v>4710.91795</v>
      </c>
      <c r="AX47" s="38">
        <f t="shared" si="51"/>
        <v>4710.91795</v>
      </c>
      <c r="AY47" s="38">
        <f t="shared" si="51"/>
        <v>4710.91795</v>
      </c>
      <c r="AZ47" s="38">
        <f t="shared" si="51"/>
        <v>4710.91795</v>
      </c>
      <c r="BA47" s="38">
        <f t="shared" si="51"/>
        <v>4710.91795</v>
      </c>
      <c r="BB47" s="38">
        <f t="shared" si="51"/>
        <v>4710.91795</v>
      </c>
      <c r="BC47" s="38">
        <f t="shared" si="51"/>
        <v>4710.91795</v>
      </c>
      <c r="BD47" s="38">
        <f t="shared" si="51"/>
        <v>4710.91795</v>
      </c>
      <c r="BE47" s="38">
        <f t="shared" si="51"/>
        <v>4710.91795</v>
      </c>
      <c r="BF47" s="38">
        <f t="shared" si="51"/>
        <v>4710.91795</v>
      </c>
      <c r="BG47" s="38">
        <f t="shared" si="51"/>
        <v>4710.91795</v>
      </c>
      <c r="BH47" s="38">
        <f t="shared" si="51"/>
        <v>4710.91795</v>
      </c>
      <c r="BI47" s="38">
        <f t="shared" si="51"/>
        <v>4710.91795</v>
      </c>
      <c r="BJ47" s="38">
        <f t="shared" si="51"/>
        <v>4710.91795</v>
      </c>
      <c r="BK47" s="38">
        <f t="shared" si="51"/>
        <v>4710.91795</v>
      </c>
      <c r="BL47" s="38">
        <f t="shared" si="51"/>
        <v>4710.91795</v>
      </c>
      <c r="BM47" s="38">
        <f t="shared" si="51"/>
        <v>4710.91795</v>
      </c>
      <c r="BN47" s="38">
        <f t="shared" si="51"/>
        <v>4710.91795</v>
      </c>
      <c r="BO47" s="57"/>
      <c r="BP47" s="57"/>
    </row>
    <row r="50" spans="1:11">
      <c r="A50" s="48"/>
      <c r="B50" s="48"/>
      <c r="C50" s="783"/>
      <c r="D50" s="48"/>
      <c r="E50" s="48"/>
      <c r="F50" s="55"/>
      <c r="G50" s="772" t="s">
        <v>1048</v>
      </c>
      <c r="H50" s="773"/>
      <c r="I50" s="774"/>
      <c r="J50" s="774"/>
      <c r="K50" s="774"/>
    </row>
    <row r="51" spans="1:11">
      <c r="A51" s="48"/>
      <c r="B51" s="48"/>
      <c r="C51" s="783"/>
      <c r="D51" s="48"/>
      <c r="E51" s="48"/>
      <c r="F51" s="55"/>
      <c r="G51" s="771">
        <v>1</v>
      </c>
      <c r="H51" s="771">
        <f t="shared" ref="H51:K52" si="52">G51+1</f>
        <v>2</v>
      </c>
      <c r="I51" s="771">
        <f t="shared" si="52"/>
        <v>3</v>
      </c>
      <c r="J51" s="771">
        <f t="shared" si="52"/>
        <v>4</v>
      </c>
      <c r="K51" s="771">
        <f t="shared" si="52"/>
        <v>5</v>
      </c>
    </row>
    <row r="52" spans="1:11">
      <c r="A52" s="48"/>
      <c r="B52" s="48"/>
      <c r="C52" s="783"/>
      <c r="D52" s="48"/>
      <c r="E52" s="48"/>
      <c r="F52" s="55"/>
      <c r="G52" s="775">
        <f ca="1">YEAR(TODAY())</f>
        <v>2022</v>
      </c>
      <c r="H52" s="775">
        <f ca="1">G52+1</f>
        <v>2023</v>
      </c>
      <c r="I52" s="775">
        <f t="shared" ca="1" si="52"/>
        <v>2024</v>
      </c>
      <c r="J52" s="775">
        <f t="shared" ca="1" si="52"/>
        <v>2025</v>
      </c>
      <c r="K52" s="775">
        <f t="shared" ca="1" si="52"/>
        <v>2026</v>
      </c>
    </row>
    <row r="53" spans="1:11">
      <c r="A53" s="36" t="str">
        <f t="shared" ref="A53:B68" si="53">A8</f>
        <v>B94176</v>
      </c>
      <c r="B53" s="36" t="str">
        <f t="shared" si="53"/>
        <v xml:space="preserve">Oracle Cloud Infrastructure - Compute - Standard - X9 </v>
      </c>
      <c r="C53" s="780"/>
      <c r="D53" s="36"/>
      <c r="E53" s="36"/>
      <c r="F53" s="790"/>
      <c r="G53" s="48">
        <f t="shared" ref="G53:K62" si="54">SUMIF($G$3:$BN$3,G$51,$G28:$BN28)</f>
        <v>0</v>
      </c>
      <c r="H53" s="48">
        <f t="shared" si="54"/>
        <v>0</v>
      </c>
      <c r="I53" s="48">
        <f t="shared" si="54"/>
        <v>0</v>
      </c>
      <c r="J53" s="48">
        <f t="shared" si="54"/>
        <v>0</v>
      </c>
      <c r="K53" s="48">
        <f t="shared" si="54"/>
        <v>0</v>
      </c>
    </row>
    <row r="54" spans="1:11">
      <c r="A54" s="36" t="str">
        <f t="shared" si="53"/>
        <v>B93311</v>
      </c>
      <c r="B54" s="36" t="str">
        <f t="shared" si="53"/>
        <v>Oracle Cloud Infrastructure - Compute - Optimized - X9</v>
      </c>
      <c r="C54" s="780"/>
      <c r="D54" s="36"/>
      <c r="E54" s="36"/>
      <c r="F54" s="790"/>
      <c r="G54" s="48">
        <f t="shared" si="54"/>
        <v>0</v>
      </c>
      <c r="H54" s="48">
        <f t="shared" si="54"/>
        <v>0</v>
      </c>
      <c r="I54" s="48">
        <f t="shared" si="54"/>
        <v>0</v>
      </c>
      <c r="J54" s="48">
        <f t="shared" si="54"/>
        <v>0</v>
      </c>
      <c r="K54" s="48">
        <f t="shared" si="54"/>
        <v>0</v>
      </c>
    </row>
    <row r="55" spans="1:11">
      <c r="A55" s="36" t="str">
        <f t="shared" si="53"/>
        <v>B93312</v>
      </c>
      <c r="B55" s="36" t="str">
        <f t="shared" si="53"/>
        <v>Oracle Cloud Infrastructure - Compute - Optimized - X9 - Memory</v>
      </c>
      <c r="C55" s="780"/>
      <c r="D55" s="36"/>
      <c r="E55" s="36"/>
      <c r="F55" s="790"/>
      <c r="G55" s="48">
        <f t="shared" si="54"/>
        <v>0</v>
      </c>
      <c r="H55" s="48">
        <f t="shared" si="54"/>
        <v>0</v>
      </c>
      <c r="I55" s="48">
        <f t="shared" si="54"/>
        <v>0</v>
      </c>
      <c r="J55" s="48">
        <f t="shared" si="54"/>
        <v>0</v>
      </c>
      <c r="K55" s="48">
        <f t="shared" si="54"/>
        <v>0</v>
      </c>
    </row>
    <row r="56" spans="1:11">
      <c r="A56" s="36" t="str">
        <f t="shared" si="53"/>
        <v>B93113</v>
      </c>
      <c r="B56" s="36" t="str">
        <f t="shared" si="53"/>
        <v>Oracle Cloud Infrastructure - Compute - Standard - E4</v>
      </c>
      <c r="C56" s="780"/>
      <c r="D56" s="36"/>
      <c r="E56" s="36"/>
      <c r="F56" s="790"/>
      <c r="G56" s="48">
        <f t="shared" si="54"/>
        <v>2704.6499999999996</v>
      </c>
      <c r="H56" s="48">
        <f t="shared" si="54"/>
        <v>2704.6499999999996</v>
      </c>
      <c r="I56" s="48">
        <f t="shared" si="54"/>
        <v>2704.6499999999996</v>
      </c>
      <c r="J56" s="48">
        <f t="shared" si="54"/>
        <v>2704.6499999999996</v>
      </c>
      <c r="K56" s="48">
        <f t="shared" si="54"/>
        <v>2704.6499999999996</v>
      </c>
    </row>
    <row r="57" spans="1:11">
      <c r="A57" s="36" t="str">
        <f t="shared" si="53"/>
        <v>B93114</v>
      </c>
      <c r="B57" s="36" t="str">
        <f t="shared" si="53"/>
        <v>Oracle Cloud Infrastructure - Compute - Standard - E4  - Memory</v>
      </c>
      <c r="C57" s="780"/>
      <c r="D57" s="36"/>
      <c r="E57" s="36"/>
      <c r="F57" s="790"/>
      <c r="G57" s="48">
        <f t="shared" si="54"/>
        <v>2596.4639999999999</v>
      </c>
      <c r="H57" s="48">
        <f t="shared" si="54"/>
        <v>2596.4639999999999</v>
      </c>
      <c r="I57" s="48">
        <f t="shared" si="54"/>
        <v>2596.4639999999999</v>
      </c>
      <c r="J57" s="48">
        <f t="shared" si="54"/>
        <v>2596.4639999999999</v>
      </c>
      <c r="K57" s="48">
        <f t="shared" si="54"/>
        <v>2596.4639999999999</v>
      </c>
    </row>
    <row r="58" spans="1:11">
      <c r="A58" s="36" t="str">
        <f t="shared" si="53"/>
        <v>B88318</v>
      </c>
      <c r="B58" s="36" t="str">
        <f t="shared" si="53"/>
        <v>Oracle Cloud Infrastructure - Compute - Windows OS</v>
      </c>
      <c r="C58" s="780"/>
      <c r="D58" s="36"/>
      <c r="E58" s="36"/>
      <c r="F58" s="790"/>
      <c r="G58" s="48">
        <f t="shared" si="54"/>
        <v>0</v>
      </c>
      <c r="H58" s="48">
        <f t="shared" si="54"/>
        <v>0</v>
      </c>
      <c r="I58" s="48">
        <f t="shared" si="54"/>
        <v>0</v>
      </c>
      <c r="J58" s="48">
        <f t="shared" si="54"/>
        <v>0</v>
      </c>
      <c r="K58" s="48">
        <f t="shared" si="54"/>
        <v>0</v>
      </c>
    </row>
    <row r="59" spans="1:11">
      <c r="A59" s="36" t="str">
        <f t="shared" si="53"/>
        <v>B91961</v>
      </c>
      <c r="B59" s="36" t="str">
        <f t="shared" si="53"/>
        <v xml:space="preserve">Oracle Cloud Infrastructure - Block Volume Storage </v>
      </c>
      <c r="C59" s="780"/>
      <c r="D59" s="36"/>
      <c r="E59" s="36"/>
      <c r="F59" s="790"/>
      <c r="G59" s="48">
        <f t="shared" si="54"/>
        <v>421.51499999999982</v>
      </c>
      <c r="H59" s="48">
        <f t="shared" si="54"/>
        <v>421.51499999999982</v>
      </c>
      <c r="I59" s="48">
        <f t="shared" si="54"/>
        <v>421.51499999999982</v>
      </c>
      <c r="J59" s="48">
        <f t="shared" si="54"/>
        <v>421.51499999999982</v>
      </c>
      <c r="K59" s="48">
        <f t="shared" si="54"/>
        <v>421.51499999999982</v>
      </c>
    </row>
    <row r="60" spans="1:11">
      <c r="A60" s="36" t="str">
        <f t="shared" si="53"/>
        <v>B91962</v>
      </c>
      <c r="B60" s="36" t="str">
        <f t="shared" si="53"/>
        <v>Oracle Cloud Infrastructure - Block Volume Performance</v>
      </c>
      <c r="C60" s="780"/>
      <c r="D60" s="36"/>
      <c r="E60" s="36"/>
      <c r="F60" s="790"/>
      <c r="G60" s="48">
        <f t="shared" si="54"/>
        <v>281.00999999999993</v>
      </c>
      <c r="H60" s="48">
        <f t="shared" si="54"/>
        <v>281.00999999999993</v>
      </c>
      <c r="I60" s="48">
        <f t="shared" si="54"/>
        <v>281.00999999999993</v>
      </c>
      <c r="J60" s="48">
        <f t="shared" si="54"/>
        <v>281.00999999999993</v>
      </c>
      <c r="K60" s="48">
        <f t="shared" si="54"/>
        <v>281.00999999999993</v>
      </c>
    </row>
    <row r="61" spans="1:11">
      <c r="A61" s="36" t="str">
        <f t="shared" si="53"/>
        <v>B91628</v>
      </c>
      <c r="B61" s="36" t="str">
        <f t="shared" si="53"/>
        <v>Oracle Cloud Infrastructure - Object Storage - Storage - Over 10 Gigabytes Storage Capacity Per Month</v>
      </c>
      <c r="C61" s="780"/>
      <c r="D61" s="36"/>
      <c r="E61" s="36"/>
      <c r="F61" s="790"/>
      <c r="G61" s="48">
        <f t="shared" si="54"/>
        <v>0</v>
      </c>
      <c r="H61" s="48">
        <f t="shared" si="54"/>
        <v>0</v>
      </c>
      <c r="I61" s="48">
        <f t="shared" si="54"/>
        <v>0</v>
      </c>
      <c r="J61" s="48">
        <f t="shared" si="54"/>
        <v>0</v>
      </c>
      <c r="K61" s="48">
        <f t="shared" si="54"/>
        <v>0</v>
      </c>
    </row>
    <row r="62" spans="1:11">
      <c r="A62" s="36" t="str">
        <f t="shared" si="53"/>
        <v>B91633</v>
      </c>
      <c r="B62" s="36" t="str">
        <f t="shared" si="53"/>
        <v>Oracle Cloud Infrastructure - Archive Storage - Over 10 Gigabytes Storage Capacity Per Month</v>
      </c>
      <c r="C62" s="780"/>
      <c r="D62" s="36"/>
      <c r="E62" s="36"/>
      <c r="F62" s="790"/>
      <c r="G62" s="48">
        <f t="shared" si="54"/>
        <v>0</v>
      </c>
      <c r="H62" s="48">
        <f t="shared" si="54"/>
        <v>0</v>
      </c>
      <c r="I62" s="48">
        <f t="shared" si="54"/>
        <v>0</v>
      </c>
      <c r="J62" s="48">
        <f t="shared" si="54"/>
        <v>0</v>
      </c>
      <c r="K62" s="48">
        <f t="shared" si="54"/>
        <v>0</v>
      </c>
    </row>
    <row r="63" spans="1:11">
      <c r="A63" s="36" t="str">
        <f t="shared" si="53"/>
        <v>B89057</v>
      </c>
      <c r="B63" s="36" t="str">
        <f t="shared" si="53"/>
        <v>Oracle Cloud Infrastructure - File Storage</v>
      </c>
      <c r="C63" s="780"/>
      <c r="D63" s="36"/>
      <c r="E63" s="36"/>
      <c r="F63" s="790"/>
      <c r="G63" s="48">
        <f t="shared" ref="G63:K68" si="55">SUMIF($G$3:$BN$3,G$51,$G38:$BN38)</f>
        <v>7004.1600000000008</v>
      </c>
      <c r="H63" s="48">
        <f t="shared" si="55"/>
        <v>7004.1600000000008</v>
      </c>
      <c r="I63" s="48">
        <f t="shared" si="55"/>
        <v>7004.1600000000008</v>
      </c>
      <c r="J63" s="48">
        <f t="shared" si="55"/>
        <v>7004.1600000000008</v>
      </c>
      <c r="K63" s="48">
        <f t="shared" si="55"/>
        <v>7004.1600000000008</v>
      </c>
    </row>
    <row r="64" spans="1:11">
      <c r="A64" s="36" t="str">
        <f t="shared" si="53"/>
        <v>B90573</v>
      </c>
      <c r="B64" s="36" t="str">
        <f t="shared" si="53"/>
        <v>Oracle Cloud Infrastructure - Database Cloud Service - All Editions - BYOL</v>
      </c>
      <c r="C64" s="780"/>
      <c r="D64" s="36"/>
      <c r="E64" s="36"/>
      <c r="F64" s="790"/>
      <c r="G64" s="48">
        <f t="shared" si="55"/>
        <v>0</v>
      </c>
      <c r="H64" s="48">
        <f t="shared" si="55"/>
        <v>0</v>
      </c>
      <c r="I64" s="48">
        <f t="shared" si="55"/>
        <v>0</v>
      </c>
      <c r="J64" s="48">
        <f t="shared" si="55"/>
        <v>0</v>
      </c>
      <c r="K64" s="48">
        <f t="shared" si="55"/>
        <v>0</v>
      </c>
    </row>
    <row r="65" spans="1:12">
      <c r="A65" s="36" t="str">
        <f t="shared" si="53"/>
        <v>B90570</v>
      </c>
      <c r="B65" s="36" t="str">
        <f t="shared" si="53"/>
        <v>Oracle Cloud Infrastructure - Database Cloud Service - 
Enterprise Edition</v>
      </c>
      <c r="C65" s="780"/>
      <c r="D65" s="36"/>
      <c r="E65" s="36"/>
      <c r="F65" s="790"/>
      <c r="G65" s="48">
        <f t="shared" si="55"/>
        <v>42951.506399999998</v>
      </c>
      <c r="H65" s="48">
        <f t="shared" si="55"/>
        <v>42951.506399999998</v>
      </c>
      <c r="I65" s="48">
        <f t="shared" si="55"/>
        <v>42951.506399999998</v>
      </c>
      <c r="J65" s="48">
        <f t="shared" si="55"/>
        <v>42951.506399999998</v>
      </c>
      <c r="K65" s="48">
        <f t="shared" si="55"/>
        <v>42951.506399999998</v>
      </c>
    </row>
    <row r="66" spans="1:12">
      <c r="A66" s="36" t="str">
        <f t="shared" si="53"/>
        <v>B90571</v>
      </c>
      <c r="B66" s="36" t="str">
        <f t="shared" si="53"/>
        <v>Oracle Cloud Infrastructure - Database Cloud Service - 
Enterprise Edition High Performance</v>
      </c>
      <c r="C66" s="780"/>
      <c r="D66" s="36"/>
      <c r="E66" s="36"/>
      <c r="F66" s="790"/>
      <c r="G66" s="48">
        <f t="shared" si="55"/>
        <v>0</v>
      </c>
      <c r="H66" s="48">
        <f t="shared" si="55"/>
        <v>0</v>
      </c>
      <c r="I66" s="48">
        <f t="shared" si="55"/>
        <v>0</v>
      </c>
      <c r="J66" s="48">
        <f t="shared" si="55"/>
        <v>0</v>
      </c>
      <c r="K66" s="48">
        <f t="shared" si="55"/>
        <v>0</v>
      </c>
    </row>
    <row r="67" spans="1:12">
      <c r="A67" s="36" t="str">
        <f t="shared" si="53"/>
        <v>B90572</v>
      </c>
      <c r="B67" s="36" t="str">
        <f t="shared" si="53"/>
        <v>Oracle Cloud Infrastructure - Database Cloud Service - 
Enterprise Edition Extreme Performance</v>
      </c>
      <c r="C67" s="780"/>
      <c r="D67" s="36"/>
      <c r="E67" s="36"/>
      <c r="F67" s="790"/>
      <c r="G67" s="48">
        <f t="shared" si="55"/>
        <v>0</v>
      </c>
      <c r="H67" s="48">
        <f t="shared" si="55"/>
        <v>0</v>
      </c>
      <c r="I67" s="48">
        <f t="shared" si="55"/>
        <v>0</v>
      </c>
      <c r="J67" s="48">
        <f t="shared" si="55"/>
        <v>0</v>
      </c>
      <c r="K67" s="48">
        <f t="shared" si="55"/>
        <v>0</v>
      </c>
    </row>
    <row r="68" spans="1:12">
      <c r="A68" s="36" t="str">
        <f t="shared" si="53"/>
        <v>B91962</v>
      </c>
      <c r="B68" s="36" t="str">
        <f t="shared" si="53"/>
        <v>Oracle Cloud Infrastructure - Block Volume Performance</v>
      </c>
      <c r="C68" s="780"/>
      <c r="D68" s="36"/>
      <c r="E68" s="36"/>
      <c r="F68" s="790"/>
      <c r="G68" s="48">
        <f t="shared" si="55"/>
        <v>571.70999999999992</v>
      </c>
      <c r="H68" s="48">
        <f t="shared" si="55"/>
        <v>571.70999999999992</v>
      </c>
      <c r="I68" s="48">
        <f t="shared" si="55"/>
        <v>571.70999999999992</v>
      </c>
      <c r="J68" s="48">
        <f t="shared" si="55"/>
        <v>571.70999999999992</v>
      </c>
      <c r="K68" s="48">
        <f t="shared" si="55"/>
        <v>571.70999999999992</v>
      </c>
    </row>
    <row r="69" spans="1:12">
      <c r="A69" s="48"/>
      <c r="B69" s="48"/>
      <c r="C69" s="783"/>
      <c r="D69" s="48"/>
      <c r="E69" s="48"/>
      <c r="F69" s="55"/>
      <c r="G69" s="48"/>
      <c r="H69" s="48"/>
      <c r="I69" s="48"/>
      <c r="J69" s="48"/>
    </row>
    <row r="70" spans="1:12" s="39" customFormat="1">
      <c r="A70" s="49" t="s">
        <v>493</v>
      </c>
      <c r="B70" s="49"/>
      <c r="C70" s="782"/>
      <c r="D70" s="49"/>
      <c r="E70" s="49"/>
      <c r="F70" s="794"/>
      <c r="G70" s="49">
        <f>SUM(G53:G69)</f>
        <v>56531.015399999997</v>
      </c>
      <c r="H70" s="49">
        <f>SUM(H53:H69)</f>
        <v>56531.015399999997</v>
      </c>
      <c r="I70" s="49">
        <f>SUM(I53:I69)</f>
        <v>56531.015399999997</v>
      </c>
      <c r="J70" s="49">
        <f>SUM(J53:J69)</f>
        <v>56531.015399999997</v>
      </c>
      <c r="K70" s="49">
        <f>SUM(K53:K69)</f>
        <v>56531.015399999997</v>
      </c>
    </row>
    <row r="71" spans="1:12">
      <c r="A71" s="55"/>
      <c r="B71" s="55"/>
      <c r="C71" s="784"/>
      <c r="D71" s="55"/>
      <c r="E71" s="55"/>
      <c r="F71" s="55"/>
      <c r="G71" s="48"/>
      <c r="H71" s="48"/>
      <c r="I71" s="48"/>
      <c r="J71" s="48"/>
    </row>
    <row r="73" spans="1:12" hidden="1">
      <c r="A73" s="48"/>
      <c r="B73" s="48"/>
      <c r="C73" s="783"/>
      <c r="D73" s="48"/>
      <c r="E73" s="48"/>
      <c r="F73" s="55"/>
      <c r="G73" s="50" t="s">
        <v>1047</v>
      </c>
      <c r="H73" s="51"/>
      <c r="I73" s="52"/>
      <c r="J73" s="52"/>
      <c r="K73" s="52"/>
      <c r="L73" s="52"/>
    </row>
    <row r="74" spans="1:12" hidden="1">
      <c r="A74" s="48"/>
      <c r="B74" s="48"/>
      <c r="C74" s="783"/>
      <c r="D74" s="48"/>
      <c r="E74" s="48"/>
      <c r="F74" s="55"/>
      <c r="G74" s="53">
        <v>1</v>
      </c>
      <c r="H74" s="53">
        <f t="shared" ref="H74:L75" si="56">G74+1</f>
        <v>2</v>
      </c>
      <c r="I74" s="53">
        <f t="shared" si="56"/>
        <v>3</v>
      </c>
      <c r="J74" s="53">
        <f t="shared" si="56"/>
        <v>4</v>
      </c>
      <c r="K74" s="53">
        <f t="shared" si="56"/>
        <v>5</v>
      </c>
      <c r="L74" s="53">
        <f t="shared" si="56"/>
        <v>6</v>
      </c>
    </row>
    <row r="75" spans="1:12" hidden="1">
      <c r="A75" s="48"/>
      <c r="B75" s="48"/>
      <c r="C75" s="783"/>
      <c r="D75" s="48"/>
      <c r="E75" s="48"/>
      <c r="F75" s="55"/>
      <c r="G75" s="54">
        <f>YEAR(G6)</f>
        <v>2021</v>
      </c>
      <c r="H75" s="54">
        <f>G75+1</f>
        <v>2022</v>
      </c>
      <c r="I75" s="54">
        <f t="shared" si="56"/>
        <v>2023</v>
      </c>
      <c r="J75" s="54">
        <f t="shared" si="56"/>
        <v>2024</v>
      </c>
      <c r="K75" s="54">
        <f t="shared" si="56"/>
        <v>2025</v>
      </c>
      <c r="L75" s="54">
        <f t="shared" si="56"/>
        <v>2026</v>
      </c>
    </row>
    <row r="76" spans="1:12" hidden="1">
      <c r="A76" s="36" t="str">
        <f t="shared" ref="A76:B80" si="57">A8</f>
        <v>B94176</v>
      </c>
      <c r="B76" s="36" t="str">
        <f t="shared" si="57"/>
        <v xml:space="preserve">Oracle Cloud Infrastructure - Compute - Standard - X9 </v>
      </c>
      <c r="C76" s="780"/>
      <c r="D76" s="36"/>
      <c r="E76" s="36"/>
      <c r="F76" s="790"/>
      <c r="G76" s="48">
        <f t="shared" ref="G76:L77" si="58">SUMIF($G$2:$BN$2,G$75,$G28:$BN28)</f>
        <v>0</v>
      </c>
      <c r="H76" s="48">
        <f t="shared" si="58"/>
        <v>0</v>
      </c>
      <c r="I76" s="48">
        <f t="shared" si="58"/>
        <v>0</v>
      </c>
      <c r="J76" s="48">
        <f t="shared" si="58"/>
        <v>0</v>
      </c>
      <c r="K76" s="48">
        <f t="shared" si="58"/>
        <v>0</v>
      </c>
      <c r="L76" s="48">
        <f t="shared" si="58"/>
        <v>0</v>
      </c>
    </row>
    <row r="77" spans="1:12" hidden="1">
      <c r="A77" s="36" t="str">
        <f t="shared" si="57"/>
        <v>B93311</v>
      </c>
      <c r="B77" s="36" t="str">
        <f t="shared" si="57"/>
        <v>Oracle Cloud Infrastructure - Compute - Optimized - X9</v>
      </c>
      <c r="C77" s="780"/>
      <c r="D77" s="36"/>
      <c r="E77" s="36"/>
      <c r="F77" s="790"/>
      <c r="G77" s="48">
        <f t="shared" si="58"/>
        <v>0</v>
      </c>
      <c r="H77" s="48">
        <f t="shared" si="58"/>
        <v>0</v>
      </c>
      <c r="I77" s="48">
        <f t="shared" si="58"/>
        <v>0</v>
      </c>
      <c r="J77" s="48">
        <f t="shared" si="58"/>
        <v>0</v>
      </c>
      <c r="K77" s="48">
        <f t="shared" si="58"/>
        <v>0</v>
      </c>
      <c r="L77" s="48">
        <f t="shared" si="58"/>
        <v>0</v>
      </c>
    </row>
    <row r="78" spans="1:12" hidden="1">
      <c r="A78" s="36" t="str">
        <f t="shared" si="57"/>
        <v>B93312</v>
      </c>
      <c r="B78" s="36" t="str">
        <f t="shared" si="57"/>
        <v>Oracle Cloud Infrastructure - Compute - Optimized - X9 - Memory</v>
      </c>
      <c r="C78" s="780"/>
      <c r="D78" s="36"/>
      <c r="E78" s="36"/>
      <c r="F78" s="790"/>
      <c r="G78" s="48" t="e">
        <f>SUMIF($G$2:$BN$2,G$75,#REF!)</f>
        <v>#REF!</v>
      </c>
      <c r="H78" s="48" t="e">
        <f>SUMIF($G$2:$BN$2,H$75,#REF!)</f>
        <v>#REF!</v>
      </c>
      <c r="I78" s="48" t="e">
        <f>SUMIF($G$2:$BN$2,I$75,#REF!)</f>
        <v>#REF!</v>
      </c>
      <c r="J78" s="48" t="e">
        <f>SUMIF($G$2:$BN$2,J$75,#REF!)</f>
        <v>#REF!</v>
      </c>
      <c r="K78" s="48" t="e">
        <f>SUMIF($G$2:$BN$2,K$75,#REF!)</f>
        <v>#REF!</v>
      </c>
      <c r="L78" s="48" t="e">
        <f>SUMIF($G$2:$BN$2,L$75,#REF!)</f>
        <v>#REF!</v>
      </c>
    </row>
    <row r="79" spans="1:12" hidden="1">
      <c r="A79" s="36" t="str">
        <f t="shared" si="57"/>
        <v>B93113</v>
      </c>
      <c r="B79" s="36" t="str">
        <f t="shared" si="57"/>
        <v>Oracle Cloud Infrastructure - Compute - Standard - E4</v>
      </c>
      <c r="C79" s="780"/>
      <c r="D79" s="36"/>
      <c r="E79" s="36"/>
      <c r="F79" s="790"/>
      <c r="G79" s="48" t="e">
        <f>SUMIF($G$2:$BN$2,G$75,#REF!)</f>
        <v>#REF!</v>
      </c>
      <c r="H79" s="48" t="e">
        <f>SUMIF($G$2:$BN$2,H$75,#REF!)</f>
        <v>#REF!</v>
      </c>
      <c r="I79" s="48" t="e">
        <f>SUMIF($G$2:$BN$2,I$75,#REF!)</f>
        <v>#REF!</v>
      </c>
      <c r="J79" s="48" t="e">
        <f>SUMIF($G$2:$BN$2,J$75,#REF!)</f>
        <v>#REF!</v>
      </c>
      <c r="K79" s="48" t="e">
        <f>SUMIF($G$2:$BN$2,K$75,#REF!)</f>
        <v>#REF!</v>
      </c>
      <c r="L79" s="48" t="e">
        <f>SUMIF($G$2:$BN$2,L$75,#REF!)</f>
        <v>#REF!</v>
      </c>
    </row>
    <row r="80" spans="1:12" hidden="1">
      <c r="A80" s="36" t="str">
        <f t="shared" si="57"/>
        <v>B93114</v>
      </c>
      <c r="B80" s="36" t="str">
        <f t="shared" si="57"/>
        <v>Oracle Cloud Infrastructure - Compute - Standard - E4  - Memory</v>
      </c>
      <c r="C80" s="780"/>
      <c r="D80" s="36"/>
      <c r="E80" s="36"/>
      <c r="F80" s="790"/>
      <c r="G80" s="48" t="e">
        <f>SUMIF($G$2:$BN$2,G$75,#REF!)</f>
        <v>#REF!</v>
      </c>
      <c r="H80" s="48" t="e">
        <f>SUMIF($G$2:$BN$2,H$75,#REF!)</f>
        <v>#REF!</v>
      </c>
      <c r="I80" s="48" t="e">
        <f>SUMIF($G$2:$BN$2,I$75,#REF!)</f>
        <v>#REF!</v>
      </c>
      <c r="J80" s="48" t="e">
        <f>SUMIF($G$2:$BN$2,J$75,#REF!)</f>
        <v>#REF!</v>
      </c>
      <c r="K80" s="48" t="e">
        <f>SUMIF($G$2:$BN$2,K$75,#REF!)</f>
        <v>#REF!</v>
      </c>
      <c r="L80" s="48" t="e">
        <f>SUMIF($G$2:$BN$2,L$75,#REF!)</f>
        <v>#REF!</v>
      </c>
    </row>
    <row r="81" spans="1:12" hidden="1">
      <c r="A81" s="36" t="str">
        <f>A18</f>
        <v>B89057</v>
      </c>
      <c r="B81" s="36" t="str">
        <f>B18</f>
        <v>Oracle Cloud Infrastructure - File Storage</v>
      </c>
      <c r="C81" s="780"/>
      <c r="D81" s="36"/>
      <c r="E81" s="36"/>
      <c r="F81" s="790"/>
      <c r="G81" s="48" t="e">
        <f>SUMIF($G$2:$BN$2,G$75,#REF!)</f>
        <v>#REF!</v>
      </c>
      <c r="H81" s="48" t="e">
        <f>SUMIF($G$2:$BN$2,H$75,#REF!)</f>
        <v>#REF!</v>
      </c>
      <c r="I81" s="48" t="e">
        <f>SUMIF($G$2:$BN$2,I$75,#REF!)</f>
        <v>#REF!</v>
      </c>
      <c r="J81" s="48" t="e">
        <f>SUMIF($G$2:$BN$2,J$75,#REF!)</f>
        <v>#REF!</v>
      </c>
      <c r="K81" s="48" t="e">
        <f>SUMIF($G$2:$BN$2,K$75,#REF!)</f>
        <v>#REF!</v>
      </c>
      <c r="L81" s="48" t="e">
        <f>SUMIF($G$2:$BN$2,L$75,#REF!)</f>
        <v>#REF!</v>
      </c>
    </row>
    <row r="82" spans="1:12" hidden="1">
      <c r="A82" s="36" t="e">
        <f>#REF!</f>
        <v>#REF!</v>
      </c>
      <c r="B82" s="36" t="e">
        <f>#REF!</f>
        <v>#REF!</v>
      </c>
      <c r="C82" s="780"/>
      <c r="D82" s="36"/>
      <c r="E82" s="36"/>
      <c r="F82" s="790"/>
      <c r="G82" s="48" t="e">
        <f>SUMIF($G$2:$BN$2,G$75,#REF!)</f>
        <v>#REF!</v>
      </c>
      <c r="H82" s="48" t="e">
        <f>SUMIF($G$2:$BN$2,H$75,#REF!)</f>
        <v>#REF!</v>
      </c>
      <c r="I82" s="48" t="e">
        <f>SUMIF($G$2:$BN$2,I$75,#REF!)</f>
        <v>#REF!</v>
      </c>
      <c r="J82" s="48" t="e">
        <f>SUMIF($G$2:$BN$2,J$75,#REF!)</f>
        <v>#REF!</v>
      </c>
      <c r="K82" s="48" t="e">
        <f>SUMIF($G$2:$BN$2,K$75,#REF!)</f>
        <v>#REF!</v>
      </c>
      <c r="L82" s="48" t="e">
        <f>SUMIF($G$2:$BN$2,L$75,#REF!)</f>
        <v>#REF!</v>
      </c>
    </row>
    <row r="83" spans="1:12" hidden="1">
      <c r="A83" s="36" t="e">
        <f>#REF!</f>
        <v>#REF!</v>
      </c>
      <c r="B83" s="36" t="e">
        <f>#REF!</f>
        <v>#REF!</v>
      </c>
      <c r="C83" s="780"/>
      <c r="D83" s="36"/>
      <c r="E83" s="36"/>
      <c r="F83" s="790"/>
      <c r="G83" s="48" t="e">
        <f>SUMIF($G$2:$BN$2,G$75,#REF!)</f>
        <v>#REF!</v>
      </c>
      <c r="H83" s="48" t="e">
        <f>SUMIF($G$2:$BN$2,H$75,#REF!)</f>
        <v>#REF!</v>
      </c>
      <c r="I83" s="48" t="e">
        <f>SUMIF($G$2:$BN$2,I$75,#REF!)</f>
        <v>#REF!</v>
      </c>
      <c r="J83" s="48" t="e">
        <f>SUMIF($G$2:$BN$2,J$75,#REF!)</f>
        <v>#REF!</v>
      </c>
      <c r="K83" s="48" t="e">
        <f>SUMIF($G$2:$BN$2,K$75,#REF!)</f>
        <v>#REF!</v>
      </c>
      <c r="L83" s="48" t="e">
        <f>SUMIF($G$2:$BN$2,L$75,#REF!)</f>
        <v>#REF!</v>
      </c>
    </row>
    <row r="84" spans="1:12" hidden="1">
      <c r="A84" s="48"/>
      <c r="B84" s="48"/>
      <c r="C84" s="783"/>
      <c r="D84" s="48"/>
      <c r="E84" s="48"/>
      <c r="F84" s="55"/>
      <c r="G84" s="48"/>
      <c r="H84" s="48"/>
      <c r="I84" s="48"/>
      <c r="J84" s="48"/>
    </row>
    <row r="85" spans="1:12" hidden="1">
      <c r="A85" s="49" t="s">
        <v>493</v>
      </c>
      <c r="B85" s="49"/>
      <c r="C85" s="782"/>
      <c r="D85" s="49"/>
      <c r="E85" s="49"/>
      <c r="F85" s="794"/>
      <c r="G85" s="49" t="e">
        <f t="shared" ref="G85:L85" si="59">SUM(G76:G84)</f>
        <v>#REF!</v>
      </c>
      <c r="H85" s="49" t="e">
        <f t="shared" si="59"/>
        <v>#REF!</v>
      </c>
      <c r="I85" s="49" t="e">
        <f t="shared" si="59"/>
        <v>#REF!</v>
      </c>
      <c r="J85" s="49" t="e">
        <f t="shared" si="59"/>
        <v>#REF!</v>
      </c>
      <c r="K85" s="49" t="e">
        <f t="shared" si="59"/>
        <v>#REF!</v>
      </c>
      <c r="L85" s="49" t="e">
        <f t="shared" si="59"/>
        <v>#REF!</v>
      </c>
    </row>
  </sheetData>
  <conditionalFormatting sqref="G18:BN23 G8:BN12">
    <cfRule type="expression" dxfId="99" priority="127">
      <formula>G8=0</formula>
    </cfRule>
    <cfRule type="expression" dxfId="98" priority="128">
      <formula>G8&gt;=0</formula>
    </cfRule>
  </conditionalFormatting>
  <conditionalFormatting sqref="G9:BN11">
    <cfRule type="expression" dxfId="97" priority="125">
      <formula>G9=0</formula>
    </cfRule>
    <cfRule type="expression" dxfId="96" priority="126">
      <formula>G9&gt;=0</formula>
    </cfRule>
  </conditionalFormatting>
  <conditionalFormatting sqref="G28:BN29 G44:BN45">
    <cfRule type="expression" dxfId="95" priority="123">
      <formula>G28=0</formula>
    </cfRule>
    <cfRule type="expression" dxfId="94" priority="124">
      <formula>G28&gt;=0</formula>
    </cfRule>
  </conditionalFormatting>
  <conditionalFormatting sqref="G29:BN29">
    <cfRule type="expression" dxfId="93" priority="121">
      <formula>G29=0</formula>
    </cfRule>
    <cfRule type="expression" dxfId="92" priority="122">
      <formula>G29&gt;=0</formula>
    </cfRule>
  </conditionalFormatting>
  <conditionalFormatting sqref="G15:BN15">
    <cfRule type="expression" dxfId="91" priority="119">
      <formula>G15=0</formula>
    </cfRule>
    <cfRule type="expression" dxfId="90" priority="120">
      <formula>G15&gt;=0</formula>
    </cfRule>
  </conditionalFormatting>
  <conditionalFormatting sqref="G13:BN13">
    <cfRule type="expression" dxfId="89" priority="117">
      <formula>G13=0</formula>
    </cfRule>
    <cfRule type="expression" dxfId="88" priority="118">
      <formula>G13&gt;=0</formula>
    </cfRule>
  </conditionalFormatting>
  <conditionalFormatting sqref="AD14:BN14">
    <cfRule type="expression" dxfId="87" priority="115">
      <formula>AD14=0</formula>
    </cfRule>
    <cfRule type="expression" dxfId="86" priority="116">
      <formula>AD14&gt;=0</formula>
    </cfRule>
  </conditionalFormatting>
  <conditionalFormatting sqref="G16:BN16">
    <cfRule type="expression" dxfId="85" priority="113">
      <formula>G16=0</formula>
    </cfRule>
    <cfRule type="expression" dxfId="84" priority="114">
      <formula>G16&gt;=0</formula>
    </cfRule>
  </conditionalFormatting>
  <conditionalFormatting sqref="G17:BN17">
    <cfRule type="expression" dxfId="83" priority="111">
      <formula>G17=0</formula>
    </cfRule>
    <cfRule type="expression" dxfId="82" priority="112">
      <formula>G17&gt;=0</formula>
    </cfRule>
  </conditionalFormatting>
  <conditionalFormatting sqref="G30:BN30">
    <cfRule type="expression" dxfId="81" priority="109">
      <formula>G30=0</formula>
    </cfRule>
    <cfRule type="expression" dxfId="80" priority="110">
      <formula>G30&gt;=0</formula>
    </cfRule>
  </conditionalFormatting>
  <conditionalFormatting sqref="G30:BN30">
    <cfRule type="expression" dxfId="79" priority="107">
      <formula>G30=0</formula>
    </cfRule>
    <cfRule type="expression" dxfId="78" priority="108">
      <formula>G30&gt;=0</formula>
    </cfRule>
  </conditionalFormatting>
  <conditionalFormatting sqref="G31:BN31">
    <cfRule type="expression" dxfId="77" priority="105">
      <formula>G31=0</formula>
    </cfRule>
    <cfRule type="expression" dxfId="76" priority="106">
      <formula>G31&gt;=0</formula>
    </cfRule>
  </conditionalFormatting>
  <conditionalFormatting sqref="G31:BN31">
    <cfRule type="expression" dxfId="75" priority="103">
      <formula>G31=0</formula>
    </cfRule>
    <cfRule type="expression" dxfId="74" priority="104">
      <formula>G31&gt;=0</formula>
    </cfRule>
  </conditionalFormatting>
  <conditionalFormatting sqref="G32:BN32">
    <cfRule type="expression" dxfId="73" priority="101">
      <formula>G32=0</formula>
    </cfRule>
    <cfRule type="expression" dxfId="72" priority="102">
      <formula>G32&gt;=0</formula>
    </cfRule>
  </conditionalFormatting>
  <conditionalFormatting sqref="G32:BN32">
    <cfRule type="expression" dxfId="71" priority="99">
      <formula>G32=0</formula>
    </cfRule>
    <cfRule type="expression" dxfId="70" priority="100">
      <formula>G32&gt;=0</formula>
    </cfRule>
  </conditionalFormatting>
  <conditionalFormatting sqref="G33:BN33">
    <cfRule type="expression" dxfId="69" priority="97">
      <formula>G33=0</formula>
    </cfRule>
    <cfRule type="expression" dxfId="68" priority="98">
      <formula>G33&gt;=0</formula>
    </cfRule>
  </conditionalFormatting>
  <conditionalFormatting sqref="G33:BN33">
    <cfRule type="expression" dxfId="67" priority="95">
      <formula>G33=0</formula>
    </cfRule>
    <cfRule type="expression" dxfId="66" priority="96">
      <formula>G33&gt;=0</formula>
    </cfRule>
  </conditionalFormatting>
  <conditionalFormatting sqref="G34:BN34">
    <cfRule type="expression" dxfId="65" priority="93">
      <formula>G34=0</formula>
    </cfRule>
    <cfRule type="expression" dxfId="64" priority="94">
      <formula>G34&gt;=0</formula>
    </cfRule>
  </conditionalFormatting>
  <conditionalFormatting sqref="G34:BN34">
    <cfRule type="expression" dxfId="63" priority="91">
      <formula>G34=0</formula>
    </cfRule>
    <cfRule type="expression" dxfId="62" priority="92">
      <formula>G34&gt;=0</formula>
    </cfRule>
  </conditionalFormatting>
  <conditionalFormatting sqref="G35:BN35">
    <cfRule type="expression" dxfId="61" priority="89">
      <formula>G35=0</formula>
    </cfRule>
    <cfRule type="expression" dxfId="60" priority="90">
      <formula>G35&gt;=0</formula>
    </cfRule>
  </conditionalFormatting>
  <conditionalFormatting sqref="G35:BN35">
    <cfRule type="expression" dxfId="59" priority="87">
      <formula>G35=0</formula>
    </cfRule>
    <cfRule type="expression" dxfId="58" priority="88">
      <formula>G35&gt;=0</formula>
    </cfRule>
  </conditionalFormatting>
  <conditionalFormatting sqref="G36:BN36">
    <cfRule type="expression" dxfId="57" priority="85">
      <formula>G36=0</formula>
    </cfRule>
    <cfRule type="expression" dxfId="56" priority="86">
      <formula>G36&gt;=0</formula>
    </cfRule>
  </conditionalFormatting>
  <conditionalFormatting sqref="G36:BN36">
    <cfRule type="expression" dxfId="55" priority="83">
      <formula>G36=0</formula>
    </cfRule>
    <cfRule type="expression" dxfId="54" priority="84">
      <formula>G36&gt;=0</formula>
    </cfRule>
  </conditionalFormatting>
  <conditionalFormatting sqref="G37:BN37">
    <cfRule type="expression" dxfId="53" priority="81">
      <formula>G37=0</formula>
    </cfRule>
    <cfRule type="expression" dxfId="52" priority="82">
      <formula>G37&gt;=0</formula>
    </cfRule>
  </conditionalFormatting>
  <conditionalFormatting sqref="G37:BN37">
    <cfRule type="expression" dxfId="51" priority="79">
      <formula>G37=0</formula>
    </cfRule>
    <cfRule type="expression" dxfId="50" priority="80">
      <formula>G37&gt;=0</formula>
    </cfRule>
  </conditionalFormatting>
  <conditionalFormatting sqref="G38:BN38">
    <cfRule type="expression" dxfId="49" priority="77">
      <formula>G38=0</formula>
    </cfRule>
    <cfRule type="expression" dxfId="48" priority="78">
      <formula>G38&gt;=0</formula>
    </cfRule>
  </conditionalFormatting>
  <conditionalFormatting sqref="G38:BN38">
    <cfRule type="expression" dxfId="47" priority="75">
      <formula>G38=0</formula>
    </cfRule>
    <cfRule type="expression" dxfId="46" priority="76">
      <formula>G38&gt;=0</formula>
    </cfRule>
  </conditionalFormatting>
  <conditionalFormatting sqref="G39:BN39">
    <cfRule type="expression" dxfId="45" priority="73">
      <formula>G39=0</formula>
    </cfRule>
    <cfRule type="expression" dxfId="44" priority="74">
      <formula>G39&gt;=0</formula>
    </cfRule>
  </conditionalFormatting>
  <conditionalFormatting sqref="G39:BN39">
    <cfRule type="expression" dxfId="43" priority="71">
      <formula>G39=0</formula>
    </cfRule>
    <cfRule type="expression" dxfId="42" priority="72">
      <formula>G39&gt;=0</formula>
    </cfRule>
  </conditionalFormatting>
  <conditionalFormatting sqref="G40:BN40">
    <cfRule type="expression" dxfId="41" priority="69">
      <formula>G40=0</formula>
    </cfRule>
    <cfRule type="expression" dxfId="40" priority="70">
      <formula>G40&gt;=0</formula>
    </cfRule>
  </conditionalFormatting>
  <conditionalFormatting sqref="G40:BN40">
    <cfRule type="expression" dxfId="39" priority="67">
      <formula>G40=0</formula>
    </cfRule>
    <cfRule type="expression" dxfId="38" priority="68">
      <formula>G40&gt;=0</formula>
    </cfRule>
  </conditionalFormatting>
  <conditionalFormatting sqref="G41:BN41">
    <cfRule type="expression" dxfId="37" priority="65">
      <formula>G41=0</formula>
    </cfRule>
    <cfRule type="expression" dxfId="36" priority="66">
      <formula>G41&gt;=0</formula>
    </cfRule>
  </conditionalFormatting>
  <conditionalFormatting sqref="G41:BN41">
    <cfRule type="expression" dxfId="35" priority="63">
      <formula>G41=0</formula>
    </cfRule>
    <cfRule type="expression" dxfId="34" priority="64">
      <formula>G41&gt;=0</formula>
    </cfRule>
  </conditionalFormatting>
  <conditionalFormatting sqref="G42:BN42">
    <cfRule type="expression" dxfId="33" priority="61">
      <formula>G42=0</formula>
    </cfRule>
    <cfRule type="expression" dxfId="32" priority="62">
      <formula>G42&gt;=0</formula>
    </cfRule>
  </conditionalFormatting>
  <conditionalFormatting sqref="G42:BN42">
    <cfRule type="expression" dxfId="31" priority="59">
      <formula>G42=0</formula>
    </cfRule>
    <cfRule type="expression" dxfId="30" priority="60">
      <formula>G42&gt;=0</formula>
    </cfRule>
  </conditionalFormatting>
  <conditionalFormatting sqref="G43:BN43">
    <cfRule type="expression" dxfId="29" priority="57">
      <formula>G43=0</formula>
    </cfRule>
    <cfRule type="expression" dxfId="28" priority="58">
      <formula>G43&gt;=0</formula>
    </cfRule>
  </conditionalFormatting>
  <conditionalFormatting sqref="G43:BN43">
    <cfRule type="expression" dxfId="27" priority="55">
      <formula>G43=0</formula>
    </cfRule>
    <cfRule type="expression" dxfId="26" priority="56">
      <formula>G43&gt;=0</formula>
    </cfRule>
  </conditionalFormatting>
  <conditionalFormatting sqref="G8:AC8">
    <cfRule type="expression" dxfId="25" priority="5">
      <formula>G8=0</formula>
    </cfRule>
    <cfRule type="expression" dxfId="24" priority="6">
      <formula>G8&gt;=0</formula>
    </cfRule>
  </conditionalFormatting>
  <conditionalFormatting sqref="G14:AC14">
    <cfRule type="expression" dxfId="23" priority="3">
      <formula>G14=0</formula>
    </cfRule>
    <cfRule type="expression" dxfId="22" priority="4">
      <formula>G14&gt;=0</formula>
    </cfRule>
  </conditionalFormatting>
  <conditionalFormatting sqref="G14:AC14">
    <cfRule type="expression" dxfId="21" priority="1">
      <formula>G14=0</formula>
    </cfRule>
    <cfRule type="expression" dxfId="20" priority="2">
      <formula>G14&gt;=0</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B6592-CA1C-4566-A8E5-0B9552BBE342}">
  <sheetPr codeName="Sheet7">
    <tabColor theme="9"/>
    <pageSetUpPr fitToPage="1"/>
  </sheetPr>
  <dimension ref="A1:BB69"/>
  <sheetViews>
    <sheetView showZeros="0" zoomScaleNormal="100" workbookViewId="0">
      <pane xSplit="2" ySplit="7" topLeftCell="C8" activePane="bottomRight" state="frozen"/>
      <selection activeCell="J38" sqref="J38"/>
      <selection pane="topRight" activeCell="J38" sqref="J38"/>
      <selection pane="bottomLeft" activeCell="J38" sqref="J38"/>
      <selection pane="bottomRight" activeCell="G8" sqref="G8"/>
    </sheetView>
  </sheetViews>
  <sheetFormatPr baseColWidth="10" defaultColWidth="8.83203125" defaultRowHeight="15"/>
  <cols>
    <col min="1" max="1" width="9.1640625" customWidth="1"/>
    <col min="2" max="2" width="92.6640625" customWidth="1"/>
    <col min="3" max="3" width="9.33203125" style="334" customWidth="1"/>
    <col min="4" max="4" width="5.6640625" style="14" customWidth="1"/>
    <col min="5" max="5" width="11.83203125" customWidth="1"/>
    <col min="6" max="6" width="1.6640625" customWidth="1"/>
    <col min="7" max="7" width="9.1640625" bestFit="1" customWidth="1"/>
    <col min="8" max="8" width="7.5" customWidth="1"/>
    <col min="9" max="9" width="3.83203125" hidden="1" customWidth="1"/>
    <col min="10" max="10" width="9.33203125" customWidth="1"/>
    <col min="11" max="11" width="12.83203125" bestFit="1" customWidth="1"/>
    <col min="12" max="12" width="1.6640625" customWidth="1"/>
    <col min="13" max="13" width="8.6640625" customWidth="1"/>
    <col min="14" max="14" width="6.33203125" customWidth="1"/>
    <col min="15" max="15" width="3.83203125" customWidth="1"/>
    <col min="16" max="17" width="9.33203125" customWidth="1"/>
    <col min="18" max="18" width="1.6640625" customWidth="1"/>
    <col min="19" max="19" width="8.6640625" customWidth="1"/>
    <col min="20" max="20" width="6.33203125" customWidth="1"/>
    <col min="21" max="21" width="3.83203125" customWidth="1"/>
    <col min="22" max="23" width="9.33203125" customWidth="1"/>
    <col min="24" max="24" width="1.6640625" customWidth="1"/>
    <col min="25" max="25" width="8.6640625" customWidth="1"/>
    <col min="26" max="26" width="6.33203125" customWidth="1"/>
    <col min="27" max="27" width="3.83203125" customWidth="1"/>
    <col min="28" max="29" width="9.33203125" customWidth="1"/>
    <col min="30" max="30" width="1.6640625" customWidth="1"/>
    <col min="31" max="31" width="8.6640625" customWidth="1"/>
    <col min="32" max="32" width="7.1640625" customWidth="1"/>
    <col min="33" max="33" width="3.83203125" customWidth="1"/>
    <col min="34" max="35" width="9.33203125" customWidth="1"/>
    <col min="36" max="36" width="1.6640625" customWidth="1"/>
    <col min="37" max="37" width="10" customWidth="1"/>
    <col min="38" max="38" width="1.6640625" customWidth="1"/>
    <col min="39" max="39" width="7.5" style="323" customWidth="1"/>
  </cols>
  <sheetData>
    <row r="1" spans="1:54" s="1" customFormat="1">
      <c r="A1" s="255" t="s">
        <v>481</v>
      </c>
      <c r="B1" s="287" t="s">
        <v>487</v>
      </c>
      <c r="E1" s="13"/>
      <c r="G1" s="2" t="s">
        <v>2158</v>
      </c>
      <c r="H1" s="440"/>
      <c r="J1" s="13">
        <f>SUMIF($D$7:$D$54,G1,K$7:K$54)</f>
        <v>0</v>
      </c>
      <c r="M1" s="2" t="s">
        <v>2158</v>
      </c>
      <c r="N1" s="440"/>
      <c r="P1" s="13">
        <f>SUMIF($D$7:$D$54,M1,Q$7:Q$54)</f>
        <v>0</v>
      </c>
      <c r="S1" s="2" t="s">
        <v>2158</v>
      </c>
      <c r="T1" s="440"/>
      <c r="V1" s="13">
        <f>SUMIF($D$7:$D$54,S1,W$7:W$54)</f>
        <v>0</v>
      </c>
      <c r="Y1" s="2" t="s">
        <v>2158</v>
      </c>
      <c r="Z1" s="440"/>
      <c r="AB1" s="13">
        <f>SUMIF($D$7:$D$54,Y1,AC$7:AC$54)</f>
        <v>0</v>
      </c>
      <c r="AE1" s="2" t="s">
        <v>2158</v>
      </c>
      <c r="AF1" s="440"/>
      <c r="AH1" s="13">
        <f>SUMIF($D$7:$D$54,AE1,AI$7:AI$54)</f>
        <v>0</v>
      </c>
      <c r="AM1" s="323"/>
    </row>
    <row r="2" spans="1:54" s="1" customFormat="1">
      <c r="A2" s="256">
        <v>1</v>
      </c>
      <c r="B2" s="287" t="s">
        <v>2829</v>
      </c>
      <c r="E2" s="13"/>
      <c r="G2" s="415" t="s">
        <v>1338</v>
      </c>
      <c r="H2" s="440">
        <f>H1</f>
        <v>0</v>
      </c>
      <c r="J2" s="13">
        <f>SUMIF($D$7:$D$54,G2,K$7:K$54)</f>
        <v>0</v>
      </c>
      <c r="M2" s="415" t="s">
        <v>1338</v>
      </c>
      <c r="N2" s="440">
        <f>N1</f>
        <v>0</v>
      </c>
      <c r="P2" s="13">
        <f>SUMIF($D$7:$D$54,M2,Q$7:Q$54)</f>
        <v>0</v>
      </c>
      <c r="S2" s="415" t="s">
        <v>1338</v>
      </c>
      <c r="T2" s="440">
        <f>T1</f>
        <v>0</v>
      </c>
      <c r="V2" s="13">
        <f>SUMIF($D$7:$D$54,S2,W$7:W$54)</f>
        <v>0</v>
      </c>
      <c r="Y2" s="415" t="s">
        <v>1338</v>
      </c>
      <c r="Z2" s="440">
        <f>Z1</f>
        <v>0</v>
      </c>
      <c r="AB2" s="13">
        <f>SUMIF($D$7:$D$54,Y2,AC$7:AC$54)</f>
        <v>0</v>
      </c>
      <c r="AE2" s="415" t="s">
        <v>1338</v>
      </c>
      <c r="AF2" s="440">
        <f>AF1</f>
        <v>0</v>
      </c>
      <c r="AH2" s="13">
        <f>SUMIF($D$7:$D$54,AE2,AI$7:AI$54)</f>
        <v>0</v>
      </c>
      <c r="AM2" s="323"/>
    </row>
    <row r="3" spans="1:54" s="1" customFormat="1">
      <c r="A3" s="256">
        <v>12</v>
      </c>
      <c r="B3" s="287" t="s">
        <v>2828</v>
      </c>
      <c r="E3" s="13"/>
      <c r="G3" s="2" t="s">
        <v>2159</v>
      </c>
      <c r="H3" s="440"/>
      <c r="J3" s="13">
        <f>SUMIF($D$7:$D$54,G3,K$7:K$54)</f>
        <v>0</v>
      </c>
      <c r="M3" s="2" t="s">
        <v>2159</v>
      </c>
      <c r="N3" s="440"/>
      <c r="P3" s="13">
        <f>SUMIF($D$7:$D$54,M3,Q$7:Q$54)</f>
        <v>0</v>
      </c>
      <c r="S3" s="2" t="s">
        <v>2159</v>
      </c>
      <c r="T3" s="440"/>
      <c r="V3" s="13">
        <f>SUMIF($D$7:$D$54,S3,W$7:W$54)</f>
        <v>0</v>
      </c>
      <c r="Y3" s="2" t="s">
        <v>2159</v>
      </c>
      <c r="Z3" s="440"/>
      <c r="AB3" s="13">
        <f>SUMIF($D$7:$D$54,Y3,AC$7:AC$54)</f>
        <v>0</v>
      </c>
      <c r="AE3" s="2" t="s">
        <v>2159</v>
      </c>
      <c r="AF3" s="440"/>
      <c r="AH3" s="13">
        <f>SUMIF($D$7:$D$54,AE3,AI$7:AI$54)</f>
        <v>0</v>
      </c>
      <c r="AM3" s="323"/>
    </row>
    <row r="4" spans="1:54" s="1" customFormat="1">
      <c r="A4" s="256">
        <f>IF($A$1="Annual",730,744)</f>
        <v>744</v>
      </c>
      <c r="B4" s="287" t="s">
        <v>2830</v>
      </c>
      <c r="E4" s="13"/>
      <c r="G4" s="2"/>
      <c r="H4" s="440"/>
      <c r="J4" s="13">
        <f>SUMIF($D$7:$D$54,G4,K$7:K$54)</f>
        <v>0</v>
      </c>
      <c r="M4" s="2"/>
      <c r="N4" s="440"/>
      <c r="P4" s="13">
        <f>SUMIF($D$7:$D$54,M4,Q$7:Q$54)</f>
        <v>0</v>
      </c>
      <c r="S4" s="2"/>
      <c r="T4" s="440"/>
      <c r="V4" s="13">
        <f>SUMIF($D$7:$D$54,S4,W$7:W$54)</f>
        <v>0</v>
      </c>
      <c r="Y4" s="2"/>
      <c r="Z4" s="440"/>
      <c r="AB4" s="13">
        <f>SUMIF($D$7:$D$54,Y4,AC$7:AC$54)</f>
        <v>0</v>
      </c>
      <c r="AE4" s="2"/>
      <c r="AF4" s="440"/>
      <c r="AH4" s="13">
        <f>SUMIF($D$7:$D$54,AE4,AI$7:AI$54)</f>
        <v>0</v>
      </c>
      <c r="AM4" s="323"/>
    </row>
    <row r="5" spans="1:54" s="1" customFormat="1">
      <c r="B5" s="2"/>
      <c r="C5" s="257"/>
      <c r="D5" s="94"/>
      <c r="E5" s="13"/>
      <c r="H5" s="250" t="s">
        <v>587</v>
      </c>
      <c r="I5" s="250"/>
      <c r="J5" s="250"/>
      <c r="K5" s="308" t="s">
        <v>589</v>
      </c>
      <c r="L5" s="250"/>
      <c r="N5" s="250"/>
      <c r="O5" s="250"/>
      <c r="P5" s="250"/>
      <c r="Q5" s="746" t="s">
        <v>589</v>
      </c>
      <c r="R5" s="250"/>
      <c r="T5" s="250"/>
      <c r="U5" s="250"/>
      <c r="V5" s="250"/>
      <c r="W5" s="309" t="s">
        <v>589</v>
      </c>
      <c r="X5" s="250"/>
      <c r="Z5" s="250"/>
      <c r="AA5" s="250"/>
      <c r="AB5" s="250"/>
      <c r="AC5" s="310" t="s">
        <v>589</v>
      </c>
      <c r="AD5" s="250"/>
      <c r="AF5" s="250"/>
      <c r="AG5" s="250"/>
      <c r="AH5" s="250"/>
      <c r="AI5" s="311" t="s">
        <v>589</v>
      </c>
      <c r="AM5" s="16" t="s">
        <v>587</v>
      </c>
    </row>
    <row r="6" spans="1:54">
      <c r="A6" s="2"/>
      <c r="B6" s="2"/>
      <c r="C6" s="2"/>
      <c r="D6" s="16"/>
      <c r="E6" s="2"/>
      <c r="F6" s="2"/>
      <c r="G6" s="687" t="s">
        <v>1226</v>
      </c>
      <c r="H6" s="687"/>
      <c r="I6" s="688"/>
      <c r="J6" s="688"/>
      <c r="K6" s="689"/>
      <c r="L6" s="1"/>
      <c r="M6" s="737" t="s">
        <v>1955</v>
      </c>
      <c r="N6" s="732"/>
      <c r="O6" s="732"/>
      <c r="P6" s="733"/>
      <c r="Q6" s="737"/>
      <c r="R6" s="1"/>
      <c r="S6" s="669" t="s">
        <v>1956</v>
      </c>
      <c r="T6" s="669"/>
      <c r="U6" s="670"/>
      <c r="V6" s="670"/>
      <c r="W6" s="671"/>
      <c r="X6" s="12"/>
      <c r="Y6" s="253" t="s">
        <v>1957</v>
      </c>
      <c r="Z6" s="253"/>
      <c r="AA6" s="65"/>
      <c r="AB6" s="65"/>
      <c r="AC6" s="66"/>
      <c r="AD6" s="12"/>
      <c r="AE6" s="254" t="s">
        <v>1958</v>
      </c>
      <c r="AF6" s="254"/>
      <c r="AG6" s="97"/>
      <c r="AH6" s="97"/>
      <c r="AI6" s="98"/>
      <c r="AJ6" s="12"/>
      <c r="AK6" s="692"/>
      <c r="AL6" s="12"/>
      <c r="AM6" s="324"/>
      <c r="AN6" s="259"/>
      <c r="AO6" s="259"/>
      <c r="AP6" s="259"/>
      <c r="AQ6" s="259"/>
      <c r="AR6" s="259"/>
      <c r="AS6" s="259"/>
      <c r="AT6" s="259"/>
      <c r="AU6" s="259"/>
      <c r="AV6" s="259"/>
      <c r="AW6" s="259"/>
      <c r="AX6" s="259"/>
      <c r="AY6" s="259"/>
      <c r="AZ6" s="259"/>
      <c r="BA6" s="259"/>
      <c r="BB6" s="259"/>
    </row>
    <row r="7" spans="1:54" ht="32">
      <c r="A7" s="739" t="s">
        <v>13</v>
      </c>
      <c r="B7" s="739" t="s">
        <v>1284</v>
      </c>
      <c r="C7" s="740" t="s">
        <v>28</v>
      </c>
      <c r="D7" s="741" t="s">
        <v>2043</v>
      </c>
      <c r="E7" s="742" t="s">
        <v>12</v>
      </c>
      <c r="F7" s="3"/>
      <c r="G7" s="690" t="s">
        <v>1</v>
      </c>
      <c r="H7" s="690" t="s">
        <v>0</v>
      </c>
      <c r="I7" s="690" t="s">
        <v>24</v>
      </c>
      <c r="J7" s="690" t="s">
        <v>573</v>
      </c>
      <c r="K7" s="691" t="s">
        <v>574</v>
      </c>
      <c r="L7" s="4"/>
      <c r="M7" s="736" t="s">
        <v>1</v>
      </c>
      <c r="N7" s="736" t="s">
        <v>0</v>
      </c>
      <c r="O7" s="736" t="s">
        <v>24</v>
      </c>
      <c r="P7" s="738" t="s">
        <v>573</v>
      </c>
      <c r="Q7" s="736" t="s">
        <v>574</v>
      </c>
      <c r="R7" s="4"/>
      <c r="S7" s="672" t="s">
        <v>1</v>
      </c>
      <c r="T7" s="672" t="s">
        <v>0</v>
      </c>
      <c r="U7" s="672" t="s">
        <v>24</v>
      </c>
      <c r="V7" s="672" t="s">
        <v>573</v>
      </c>
      <c r="W7" s="673" t="s">
        <v>574</v>
      </c>
      <c r="X7" s="4"/>
      <c r="Y7" s="58" t="s">
        <v>1</v>
      </c>
      <c r="Z7" s="58" t="s">
        <v>0</v>
      </c>
      <c r="AA7" s="58" t="s">
        <v>24</v>
      </c>
      <c r="AB7" s="58" t="s">
        <v>573</v>
      </c>
      <c r="AC7" s="59" t="s">
        <v>574</v>
      </c>
      <c r="AD7" s="4"/>
      <c r="AE7" s="99" t="s">
        <v>1</v>
      </c>
      <c r="AF7" s="99" t="s">
        <v>0</v>
      </c>
      <c r="AG7" s="99" t="s">
        <v>24</v>
      </c>
      <c r="AH7" s="99" t="s">
        <v>573</v>
      </c>
      <c r="AI7" s="100" t="s">
        <v>574</v>
      </c>
      <c r="AJ7" s="4"/>
      <c r="AK7" s="693" t="s">
        <v>2302</v>
      </c>
      <c r="AL7" s="4"/>
      <c r="AM7" s="324"/>
      <c r="AN7" s="259"/>
      <c r="AO7" s="259"/>
      <c r="AP7" s="259"/>
      <c r="AQ7" s="259"/>
      <c r="AR7" s="259"/>
      <c r="AS7" s="259"/>
      <c r="AT7" s="259"/>
      <c r="AU7" s="259"/>
      <c r="AV7" s="259"/>
      <c r="AW7" s="259"/>
      <c r="AX7" s="259"/>
      <c r="AY7" s="259"/>
      <c r="AZ7" s="259"/>
      <c r="BA7" s="259"/>
      <c r="BB7" s="259"/>
    </row>
    <row r="8" spans="1:54" s="260" customFormat="1">
      <c r="A8" s="246" t="s">
        <v>38</v>
      </c>
      <c r="B8" s="249" t="str">
        <f>VLOOKUP($A8,'Cloud Price List'!$A$3:$B$1500,2,FALSE)</f>
        <v>Oracle Cloud Infrastructure - Compute - Virtual Machine Standard - X7</v>
      </c>
      <c r="C8" s="443" t="str">
        <f>VLOOKUP($A8,'Cloud Price List'!$A$3:$M$1500,5,FALSE)</f>
        <v>OCPU Per Hour</v>
      </c>
      <c r="D8" s="258" t="str">
        <f>VLOOKUP($A8,'Cloud Price List'!$A$3:$N$1500,10,FALSE)</f>
        <v>IAAS</v>
      </c>
      <c r="E8" s="265">
        <f>VLOOKUP($A8,'Cloud Price List'!$A$3:$D$1500,4,FALSE)*'Cloud Price List'!$E$1</f>
        <v>6.3750000000000001E-2</v>
      </c>
      <c r="G8" s="757">
        <f>IF(INDEX('Cloud Price List'!$B$3:$N$1491,MATCH($A8,'Cloud Price List'!$A$3:$A$1491,0),8)="UC0",0,VLOOKUP($D8,G$1:H$4,2,FALSE))</f>
        <v>0</v>
      </c>
      <c r="H8" s="252"/>
      <c r="I8" s="252">
        <v>0</v>
      </c>
      <c r="J8" s="252">
        <f t="shared" ref="J8:J53" si="0">IF(K$5="y",IF($AM8="y",IF(ISNUMBER(SEARCH("Hour",$C8)),IF(I8=0,$A$3*$A$4*$E8*H8,$A$3*I8*$E8*H8),IF($D8="SRV",$E8*H8,$A$3*$E8*H8)),0),0)</f>
        <v>0</v>
      </c>
      <c r="K8" s="252">
        <f>J8*(1-G8)</f>
        <v>0</v>
      </c>
      <c r="L8" s="250"/>
      <c r="M8" s="757">
        <f>IF(INDEX('Cloud Price List'!$B$3:$N$1491,MATCH($A8,'Cloud Price List'!$A$3:$A$1491,0),8)="UC0",0,VLOOKUP($D8,M$1:N$4,2,FALSE))</f>
        <v>0</v>
      </c>
      <c r="N8" s="252">
        <f>H8</f>
        <v>0</v>
      </c>
      <c r="O8" s="252">
        <v>0</v>
      </c>
      <c r="P8" s="252">
        <f t="shared" ref="P8:P53" si="1">IF(Q$5="y",IF($AM8="y",IF(ISNUMBER(SEARCH("Hour",$C8)),IF(O8=0,$A$3*$A$4*$E8*N8,$A$3*O8*$E8*N8),IF($D8="SRV",$E8*N8,$A$3*$E8*N8)),0),0)</f>
        <v>0</v>
      </c>
      <c r="Q8" s="252">
        <f>P8*(1-M8)</f>
        <v>0</v>
      </c>
      <c r="R8" s="250"/>
      <c r="S8" s="757">
        <f>IF(INDEX('Cloud Price List'!$B$3:$N$1491,MATCH($A8,'Cloud Price List'!$A$3:$A$1491,0),8)="UC0",0,VLOOKUP($D8,S$1:T$4,2,FALSE))</f>
        <v>0</v>
      </c>
      <c r="T8" s="252">
        <f>N8</f>
        <v>0</v>
      </c>
      <c r="U8" s="252">
        <v>0</v>
      </c>
      <c r="V8" s="252">
        <f t="shared" ref="V8:V53" si="2">IF(W$5="y",IF($AM8="y",IF(ISNUMBER(SEARCH("Hour",$C8)),IF(U8=0,$A$3*$A$4*$E8*T8,$A$3*U8*$E8*T8),IF($D8="SRV",$E8*T8,$A$3*$E8*T8)),0),0)</f>
        <v>0</v>
      </c>
      <c r="W8" s="252">
        <f>V8*(1-S8)</f>
        <v>0</v>
      </c>
      <c r="X8" s="250"/>
      <c r="Y8" s="757">
        <f>IF(INDEX('Cloud Price List'!$B$3:$N$1491,MATCH($A8,'Cloud Price List'!$A$3:$A$1491,0),8)="UC0",0,VLOOKUP($D8,Y$1:Z$4,2,FALSE))</f>
        <v>0</v>
      </c>
      <c r="Z8" s="252">
        <f>T8</f>
        <v>0</v>
      </c>
      <c r="AA8" s="252">
        <v>0</v>
      </c>
      <c r="AB8" s="252">
        <f t="shared" ref="AB8:AB53" si="3">IF(AC$5="y",IF($AM8="y",IF(ISNUMBER(SEARCH("Hour",$C8)),IF(AA8=0,$A$3*$A$4*$E8*Z8,$A$3*AA8*$E8*Z8),IF($D8="SRV",$E8*Z8,$A$3*$E8*Z8)),0),0)</f>
        <v>0</v>
      </c>
      <c r="AC8" s="252">
        <f>AB8*(1-Y8)</f>
        <v>0</v>
      </c>
      <c r="AD8" s="250"/>
      <c r="AE8" s="757">
        <f>IF(INDEX('Cloud Price List'!$B$3:$N$1491,MATCH($A8,'Cloud Price List'!$A$3:$A$1491,0),8)="UC0",0,VLOOKUP($D8,AE$1:AF$4,2,FALSE))</f>
        <v>0</v>
      </c>
      <c r="AF8" s="252">
        <f>Z8</f>
        <v>0</v>
      </c>
      <c r="AG8" s="252">
        <v>0</v>
      </c>
      <c r="AH8" s="252">
        <f t="shared" ref="AH8:AH53" si="4">IF(AI$5="y",IF($AM8="y",IF(ISNUMBER(SEARCH("Hour",$C8)),IF(AG8=0,$A$3*$A$4*$E8*AF8,$A$3*AG8*$E8*AF8),IF($D8="SRV",$E8*AF8,$A$3*$E8*AF8)),0),0)</f>
        <v>0</v>
      </c>
      <c r="AI8" s="252">
        <f>AH8*(1-AE8)</f>
        <v>0</v>
      </c>
      <c r="AJ8" s="250"/>
      <c r="AK8" s="779" t="str">
        <f>IF(SUMIF($K$5,"Y",H8)+SUMIF($Q$5,"Y",N8)+SUMIF($W$5,"Y",T8)+SUMIF($AC$5,"Y",Z8)+SUMIF($AI$5,"Y",AF8)&lt;&gt;0,"Y","")</f>
        <v/>
      </c>
      <c r="AL8" s="250"/>
      <c r="AM8" s="325" t="s">
        <v>589</v>
      </c>
    </row>
    <row r="9" spans="1:54" s="260" customFormat="1">
      <c r="A9" s="246" t="s">
        <v>60</v>
      </c>
      <c r="B9" s="249" t="str">
        <f>VLOOKUP($A9,'Cloud Price List'!$A$3:$B$1500,2,FALSE)</f>
        <v>Oracle Cloud Infrastructure - Compute - Bare Metal Dense I/O - X7</v>
      </c>
      <c r="C9" s="443" t="str">
        <f>VLOOKUP($A9,'Cloud Price List'!$A$3:$M$1500,5,FALSE)</f>
        <v>OCPU Per Hour</v>
      </c>
      <c r="D9" s="258" t="str">
        <f>VLOOKUP($A9,'Cloud Price List'!$A$3:$N$1500,10,FALSE)</f>
        <v>IAAS</v>
      </c>
      <c r="E9" s="265">
        <f>VLOOKUP($A9,'Cloud Price List'!$A$3:$D$1500,4,FALSE)*'Cloud Price List'!$E$1</f>
        <v>0.1275</v>
      </c>
      <c r="G9" s="757">
        <f>IF(INDEX('Cloud Price List'!$B$3:$N$1491,MATCH($A9,'Cloud Price List'!$A$3:$A$1491,0),8)="UC0",0,VLOOKUP($D9,G$1:H$4,2,FALSE))</f>
        <v>0</v>
      </c>
      <c r="H9" s="252"/>
      <c r="I9" s="252">
        <v>0</v>
      </c>
      <c r="J9" s="252">
        <f t="shared" si="0"/>
        <v>0</v>
      </c>
      <c r="K9" s="252">
        <f t="shared" ref="K9:K53" si="5">J9*(1-G9)</f>
        <v>0</v>
      </c>
      <c r="L9" s="250"/>
      <c r="M9" s="757">
        <f>IF(INDEX('Cloud Price List'!$B$3:$N$1491,MATCH($A9,'Cloud Price List'!$A$3:$A$1491,0),8)="UC0",0,VLOOKUP($D9,M$1:N$4,2,FALSE))</f>
        <v>0</v>
      </c>
      <c r="N9" s="252">
        <f t="shared" ref="N9:N53" si="6">H9</f>
        <v>0</v>
      </c>
      <c r="O9" s="252">
        <v>0</v>
      </c>
      <c r="P9" s="252">
        <f t="shared" si="1"/>
        <v>0</v>
      </c>
      <c r="Q9" s="252">
        <f t="shared" ref="Q9:Q53" si="7">P9*(1-M9)</f>
        <v>0</v>
      </c>
      <c r="R9" s="250"/>
      <c r="S9" s="757">
        <f>IF(INDEX('Cloud Price List'!$B$3:$N$1491,MATCH($A9,'Cloud Price List'!$A$3:$A$1491,0),8)="UC0",0,VLOOKUP($D9,S$1:T$4,2,FALSE))</f>
        <v>0</v>
      </c>
      <c r="T9" s="252">
        <f t="shared" ref="T9:T53" si="8">N9</f>
        <v>0</v>
      </c>
      <c r="U9" s="252">
        <v>0</v>
      </c>
      <c r="V9" s="252">
        <f t="shared" si="2"/>
        <v>0</v>
      </c>
      <c r="W9" s="252">
        <f t="shared" ref="W9:W53" si="9">V9*(1-S9)</f>
        <v>0</v>
      </c>
      <c r="X9" s="250"/>
      <c r="Y9" s="757">
        <f>IF(INDEX('Cloud Price List'!$B$3:$N$1491,MATCH($A9,'Cloud Price List'!$A$3:$A$1491,0),8)="UC0",0,VLOOKUP($D9,Y$1:Z$4,2,FALSE))</f>
        <v>0</v>
      </c>
      <c r="Z9" s="252">
        <f t="shared" ref="Z9:Z53" si="10">T9</f>
        <v>0</v>
      </c>
      <c r="AA9" s="252">
        <v>0</v>
      </c>
      <c r="AB9" s="252">
        <f t="shared" si="3"/>
        <v>0</v>
      </c>
      <c r="AC9" s="252">
        <f t="shared" ref="AC9:AC53" si="11">AB9*(1-Y9)</f>
        <v>0</v>
      </c>
      <c r="AD9" s="250"/>
      <c r="AE9" s="757">
        <f>IF(INDEX('Cloud Price List'!$B$3:$N$1491,MATCH($A9,'Cloud Price List'!$A$3:$A$1491,0),8)="UC0",0,VLOOKUP($D9,AE$1:AF$4,2,FALSE))</f>
        <v>0</v>
      </c>
      <c r="AF9" s="252">
        <f t="shared" ref="AF9:AF53" si="12">Z9</f>
        <v>0</v>
      </c>
      <c r="AG9" s="252">
        <v>0</v>
      </c>
      <c r="AH9" s="252">
        <f t="shared" si="4"/>
        <v>0</v>
      </c>
      <c r="AI9" s="252">
        <f t="shared" ref="AI9:AI53" si="13">AH9*(1-AE9)</f>
        <v>0</v>
      </c>
      <c r="AJ9" s="250"/>
      <c r="AK9" s="779" t="str">
        <f t="shared" ref="AK9:AK53" si="14">IF(SUMIF($K$5,"Y",H9)+SUMIF($Q$5,"Y",N9)+SUMIF($W$5,"Y",T9)+SUMIF($AC$5,"Y",Z9)+SUMIF($AI$5,"Y",AF9)&lt;&gt;0,"Y","")</f>
        <v/>
      </c>
      <c r="AL9" s="250"/>
      <c r="AM9" s="325" t="s">
        <v>589</v>
      </c>
    </row>
    <row r="10" spans="1:54" s="260" customFormat="1">
      <c r="A10" s="246" t="s">
        <v>1173</v>
      </c>
      <c r="B10" s="249" t="str">
        <f>VLOOKUP($A10,'Cloud Price List'!$A$3:$B$1500,2,FALSE)</f>
        <v>Oracle Cloud Infrastructure - Compute - Standard - E2</v>
      </c>
      <c r="C10" s="443" t="str">
        <f>VLOOKUP($A10,'Cloud Price List'!$A$3:$M$1500,5,FALSE)</f>
        <v>OCPU Per Hour</v>
      </c>
      <c r="D10" s="258" t="str">
        <f>VLOOKUP($A10,'Cloud Price List'!$A$3:$N$1500,10,FALSE)</f>
        <v>IAAS</v>
      </c>
      <c r="E10" s="265">
        <f>VLOOKUP($A10,'Cloud Price List'!$A$3:$D$1500,4,FALSE)*'Cloud Price List'!$E$1</f>
        <v>0.03</v>
      </c>
      <c r="G10" s="757">
        <f>IF(INDEX('Cloud Price List'!$B$3:$N$1491,MATCH($A10,'Cloud Price List'!$A$3:$A$1491,0),8)="UC0",0,VLOOKUP($D10,G$1:H$4,2,FALSE))</f>
        <v>0</v>
      </c>
      <c r="H10" s="252"/>
      <c r="I10" s="252">
        <v>0</v>
      </c>
      <c r="J10" s="252">
        <f t="shared" si="0"/>
        <v>0</v>
      </c>
      <c r="K10" s="252">
        <f t="shared" si="5"/>
        <v>0</v>
      </c>
      <c r="L10" s="250"/>
      <c r="M10" s="757">
        <f>IF(INDEX('Cloud Price List'!$B$3:$N$1491,MATCH($A10,'Cloud Price List'!$A$3:$A$1491,0),8)="UC0",0,VLOOKUP($D10,M$1:N$4,2,FALSE))</f>
        <v>0</v>
      </c>
      <c r="N10" s="252">
        <f t="shared" si="6"/>
        <v>0</v>
      </c>
      <c r="O10" s="252">
        <v>0</v>
      </c>
      <c r="P10" s="252">
        <f t="shared" si="1"/>
        <v>0</v>
      </c>
      <c r="Q10" s="252">
        <f t="shared" si="7"/>
        <v>0</v>
      </c>
      <c r="R10" s="250"/>
      <c r="S10" s="757">
        <f>IF(INDEX('Cloud Price List'!$B$3:$N$1491,MATCH($A10,'Cloud Price List'!$A$3:$A$1491,0),8)="UC0",0,VLOOKUP($D10,S$1:T$4,2,FALSE))</f>
        <v>0</v>
      </c>
      <c r="T10" s="252">
        <f t="shared" si="8"/>
        <v>0</v>
      </c>
      <c r="U10" s="252">
        <v>0</v>
      </c>
      <c r="V10" s="252">
        <f t="shared" si="2"/>
        <v>0</v>
      </c>
      <c r="W10" s="252">
        <f t="shared" si="9"/>
        <v>0</v>
      </c>
      <c r="X10" s="250"/>
      <c r="Y10" s="757">
        <f>IF(INDEX('Cloud Price List'!$B$3:$N$1491,MATCH($A10,'Cloud Price List'!$A$3:$A$1491,0),8)="UC0",0,VLOOKUP($D10,Y$1:Z$4,2,FALSE))</f>
        <v>0</v>
      </c>
      <c r="Z10" s="252">
        <f t="shared" si="10"/>
        <v>0</v>
      </c>
      <c r="AA10" s="252">
        <v>0</v>
      </c>
      <c r="AB10" s="252">
        <f t="shared" si="3"/>
        <v>0</v>
      </c>
      <c r="AC10" s="252">
        <f t="shared" si="11"/>
        <v>0</v>
      </c>
      <c r="AD10" s="250"/>
      <c r="AE10" s="757">
        <f>IF(INDEX('Cloud Price List'!$B$3:$N$1491,MATCH($A10,'Cloud Price List'!$A$3:$A$1491,0),8)="UC0",0,VLOOKUP($D10,AE$1:AF$4,2,FALSE))</f>
        <v>0</v>
      </c>
      <c r="AF10" s="252">
        <f t="shared" si="12"/>
        <v>0</v>
      </c>
      <c r="AG10" s="252">
        <v>0</v>
      </c>
      <c r="AH10" s="252">
        <f t="shared" si="4"/>
        <v>0</v>
      </c>
      <c r="AI10" s="252">
        <f t="shared" si="13"/>
        <v>0</v>
      </c>
      <c r="AJ10" s="250"/>
      <c r="AK10" s="779" t="str">
        <f t="shared" si="14"/>
        <v/>
      </c>
      <c r="AL10" s="250"/>
      <c r="AM10" s="325" t="s">
        <v>589</v>
      </c>
    </row>
    <row r="11" spans="1:54" s="260" customFormat="1">
      <c r="A11" s="246" t="s">
        <v>40</v>
      </c>
      <c r="B11" s="249" t="str">
        <f>VLOOKUP($A11,'Cloud Price List'!$A$3:$B$1500,2,FALSE)</f>
        <v>Oracle Cloud Infrastructure - Compute - Windows OS</v>
      </c>
      <c r="C11" s="443" t="str">
        <f>VLOOKUP($A11,'Cloud Price List'!$A$3:$M$1500,5,FALSE)</f>
        <v>OCPU Per Hour</v>
      </c>
      <c r="D11" s="258" t="str">
        <f>VLOOKUP($A11,'Cloud Price List'!$A$3:$N$1500,10,FALSE)</f>
        <v>IAAS</v>
      </c>
      <c r="E11" s="265">
        <f>VLOOKUP($A11,'Cloud Price List'!$A$3:$D$1500,4,FALSE)*'Cloud Price List'!$E$1</f>
        <v>9.1999999999999998E-2</v>
      </c>
      <c r="G11" s="757">
        <f>IF(INDEX('Cloud Price List'!$B$3:$N$1491,MATCH($A11,'Cloud Price List'!$A$3:$A$1491,0),8)="UC0",0,VLOOKUP($D11,G$1:H$4,2,FALSE))</f>
        <v>0</v>
      </c>
      <c r="H11" s="252"/>
      <c r="I11" s="252">
        <v>0</v>
      </c>
      <c r="J11" s="252">
        <f t="shared" si="0"/>
        <v>0</v>
      </c>
      <c r="K11" s="252">
        <f t="shared" si="5"/>
        <v>0</v>
      </c>
      <c r="L11" s="250"/>
      <c r="M11" s="757">
        <f>IF(INDEX('Cloud Price List'!$B$3:$N$1491,MATCH($A11,'Cloud Price List'!$A$3:$A$1491,0),8)="UC0",0,VLOOKUP($D11,M$1:N$4,2,FALSE))</f>
        <v>0</v>
      </c>
      <c r="N11" s="252">
        <f t="shared" si="6"/>
        <v>0</v>
      </c>
      <c r="O11" s="252">
        <v>0</v>
      </c>
      <c r="P11" s="252">
        <f t="shared" si="1"/>
        <v>0</v>
      </c>
      <c r="Q11" s="252">
        <f t="shared" si="7"/>
        <v>0</v>
      </c>
      <c r="R11" s="250"/>
      <c r="S11" s="757">
        <f>IF(INDEX('Cloud Price List'!$B$3:$N$1491,MATCH($A11,'Cloud Price List'!$A$3:$A$1491,0),8)="UC0",0,VLOOKUP($D11,S$1:T$4,2,FALSE))</f>
        <v>0</v>
      </c>
      <c r="T11" s="252">
        <f t="shared" si="8"/>
        <v>0</v>
      </c>
      <c r="U11" s="252">
        <v>0</v>
      </c>
      <c r="V11" s="252">
        <f t="shared" si="2"/>
        <v>0</v>
      </c>
      <c r="W11" s="252">
        <f t="shared" si="9"/>
        <v>0</v>
      </c>
      <c r="X11" s="250"/>
      <c r="Y11" s="757">
        <f>IF(INDEX('Cloud Price List'!$B$3:$N$1491,MATCH($A11,'Cloud Price List'!$A$3:$A$1491,0),8)="UC0",0,VLOOKUP($D11,Y$1:Z$4,2,FALSE))</f>
        <v>0</v>
      </c>
      <c r="Z11" s="252">
        <f t="shared" si="10"/>
        <v>0</v>
      </c>
      <c r="AA11" s="252">
        <v>0</v>
      </c>
      <c r="AB11" s="252">
        <f t="shared" si="3"/>
        <v>0</v>
      </c>
      <c r="AC11" s="252">
        <f t="shared" si="11"/>
        <v>0</v>
      </c>
      <c r="AD11" s="250"/>
      <c r="AE11" s="757">
        <f>IF(INDEX('Cloud Price List'!$B$3:$N$1491,MATCH($A11,'Cloud Price List'!$A$3:$A$1491,0),8)="UC0",0,VLOOKUP($D11,AE$1:AF$4,2,FALSE))</f>
        <v>0</v>
      </c>
      <c r="AF11" s="252">
        <f t="shared" si="12"/>
        <v>0</v>
      </c>
      <c r="AG11" s="252">
        <v>0</v>
      </c>
      <c r="AH11" s="252">
        <f t="shared" si="4"/>
        <v>0</v>
      </c>
      <c r="AI11" s="252">
        <f t="shared" si="13"/>
        <v>0</v>
      </c>
      <c r="AJ11" s="250"/>
      <c r="AK11" s="779" t="str">
        <f t="shared" si="14"/>
        <v/>
      </c>
      <c r="AL11" s="250"/>
      <c r="AM11" s="325" t="s">
        <v>589</v>
      </c>
    </row>
    <row r="12" spans="1:54" s="260" customFormat="1">
      <c r="A12" s="246" t="s">
        <v>1842</v>
      </c>
      <c r="B12" s="249" t="str">
        <f>VLOOKUP($A12,'Cloud Price List'!$A$3:$B$1500,2,FALSE)</f>
        <v xml:space="preserve">Oracle Cloud Infrastructure - Block Volume Storage </v>
      </c>
      <c r="C12" s="443" t="str">
        <f>VLOOKUP($A12,'Cloud Price List'!$A$3:$M$1500,5,FALSE)</f>
        <v>Gigabyte Storage Capacity Per Month</v>
      </c>
      <c r="D12" s="258" t="str">
        <f>VLOOKUP($A12,'Cloud Price List'!$A$3:$N$1500,10,FALSE)</f>
        <v>IAAS</v>
      </c>
      <c r="E12" s="265">
        <f>VLOOKUP($A12,'Cloud Price List'!$A$3:$D$1500,4,FALSE)*'Cloud Price List'!$E$1</f>
        <v>2.5499999999999998E-2</v>
      </c>
      <c r="G12" s="757">
        <f>IF(INDEX('Cloud Price List'!$B$3:$N$1491,MATCH($A12,'Cloud Price List'!$A$3:$A$1491,0),8)="UC0",0,VLOOKUP($D12,G$1:H$4,2,FALSE))</f>
        <v>0</v>
      </c>
      <c r="H12" s="252"/>
      <c r="I12" s="252">
        <v>0</v>
      </c>
      <c r="J12" s="252">
        <f t="shared" si="0"/>
        <v>0</v>
      </c>
      <c r="K12" s="252">
        <f t="shared" si="5"/>
        <v>0</v>
      </c>
      <c r="L12" s="250"/>
      <c r="M12" s="757">
        <f>IF(INDEX('Cloud Price List'!$B$3:$N$1491,MATCH($A12,'Cloud Price List'!$A$3:$A$1491,0),8)="UC0",0,VLOOKUP($D12,M$1:N$4,2,FALSE))</f>
        <v>0</v>
      </c>
      <c r="N12" s="252">
        <f t="shared" si="6"/>
        <v>0</v>
      </c>
      <c r="O12" s="252">
        <v>0</v>
      </c>
      <c r="P12" s="252">
        <f t="shared" si="1"/>
        <v>0</v>
      </c>
      <c r="Q12" s="252">
        <f t="shared" si="7"/>
        <v>0</v>
      </c>
      <c r="R12" s="250"/>
      <c r="S12" s="757">
        <f>IF(INDEX('Cloud Price List'!$B$3:$N$1491,MATCH($A12,'Cloud Price List'!$A$3:$A$1491,0),8)="UC0",0,VLOOKUP($D12,S$1:T$4,2,FALSE))</f>
        <v>0</v>
      </c>
      <c r="T12" s="252">
        <f t="shared" si="8"/>
        <v>0</v>
      </c>
      <c r="U12" s="252">
        <v>0</v>
      </c>
      <c r="V12" s="252">
        <f t="shared" si="2"/>
        <v>0</v>
      </c>
      <c r="W12" s="252">
        <f t="shared" si="9"/>
        <v>0</v>
      </c>
      <c r="X12" s="250"/>
      <c r="Y12" s="757">
        <f>IF(INDEX('Cloud Price List'!$B$3:$N$1491,MATCH($A12,'Cloud Price List'!$A$3:$A$1491,0),8)="UC0",0,VLOOKUP($D12,Y$1:Z$4,2,FALSE))</f>
        <v>0</v>
      </c>
      <c r="Z12" s="252">
        <f t="shared" si="10"/>
        <v>0</v>
      </c>
      <c r="AA12" s="252">
        <v>0</v>
      </c>
      <c r="AB12" s="252">
        <f t="shared" si="3"/>
        <v>0</v>
      </c>
      <c r="AC12" s="252">
        <f t="shared" si="11"/>
        <v>0</v>
      </c>
      <c r="AD12" s="250"/>
      <c r="AE12" s="757">
        <f>IF(INDEX('Cloud Price List'!$B$3:$N$1491,MATCH($A12,'Cloud Price List'!$A$3:$A$1491,0),8)="UC0",0,VLOOKUP($D12,AE$1:AF$4,2,FALSE))</f>
        <v>0</v>
      </c>
      <c r="AF12" s="252">
        <f t="shared" si="12"/>
        <v>0</v>
      </c>
      <c r="AG12" s="252">
        <v>0</v>
      </c>
      <c r="AH12" s="252">
        <f t="shared" si="4"/>
        <v>0</v>
      </c>
      <c r="AI12" s="252">
        <f t="shared" si="13"/>
        <v>0</v>
      </c>
      <c r="AJ12" s="250"/>
      <c r="AK12" s="779" t="str">
        <f t="shared" si="14"/>
        <v/>
      </c>
      <c r="AL12" s="250"/>
      <c r="AM12" s="325" t="s">
        <v>589</v>
      </c>
    </row>
    <row r="13" spans="1:54" s="260" customFormat="1">
      <c r="A13" s="246" t="s">
        <v>1844</v>
      </c>
      <c r="B13" s="249" t="str">
        <f>VLOOKUP($A13,'Cloud Price List'!$A$3:$B$1500,2,FALSE)</f>
        <v>Oracle Cloud Infrastructure - Block Volume Performance</v>
      </c>
      <c r="C13" s="443" t="str">
        <f>VLOOKUP($A13,'Cloud Price List'!$A$3:$M$1500,5,FALSE)</f>
        <v>Performance Units Per Gigabyte Per Month</v>
      </c>
      <c r="D13" s="258" t="str">
        <f>VLOOKUP($A13,'Cloud Price List'!$A$3:$N$1500,10,FALSE)</f>
        <v>IAAS</v>
      </c>
      <c r="E13" s="265">
        <f>VLOOKUP($A13,'Cloud Price List'!$A$3:$D$1500,4,FALSE)*'Cloud Price List'!$E$1</f>
        <v>1.6999999999999999E-3</v>
      </c>
      <c r="G13" s="757">
        <f>IF(INDEX('Cloud Price List'!$B$3:$N$1491,MATCH($A13,'Cloud Price List'!$A$3:$A$1491,0),8)="UC0",0,VLOOKUP($D13,G$1:H$4,2,FALSE))</f>
        <v>0</v>
      </c>
      <c r="H13" s="252"/>
      <c r="I13" s="252">
        <v>0</v>
      </c>
      <c r="J13" s="252">
        <f t="shared" si="0"/>
        <v>0</v>
      </c>
      <c r="K13" s="252">
        <f t="shared" si="5"/>
        <v>0</v>
      </c>
      <c r="L13" s="250"/>
      <c r="M13" s="757">
        <f>IF(INDEX('Cloud Price List'!$B$3:$N$1491,MATCH($A13,'Cloud Price List'!$A$3:$A$1491,0),8)="UC0",0,VLOOKUP($D13,M$1:N$4,2,FALSE))</f>
        <v>0</v>
      </c>
      <c r="N13" s="252">
        <f t="shared" si="6"/>
        <v>0</v>
      </c>
      <c r="O13" s="252">
        <v>0</v>
      </c>
      <c r="P13" s="252">
        <f t="shared" si="1"/>
        <v>0</v>
      </c>
      <c r="Q13" s="252">
        <f t="shared" si="7"/>
        <v>0</v>
      </c>
      <c r="R13" s="250"/>
      <c r="S13" s="757">
        <f>IF(INDEX('Cloud Price List'!$B$3:$N$1491,MATCH($A13,'Cloud Price List'!$A$3:$A$1491,0),8)="UC0",0,VLOOKUP($D13,S$1:T$4,2,FALSE))</f>
        <v>0</v>
      </c>
      <c r="T13" s="252">
        <f t="shared" si="8"/>
        <v>0</v>
      </c>
      <c r="U13" s="252">
        <v>0</v>
      </c>
      <c r="V13" s="252">
        <f t="shared" si="2"/>
        <v>0</v>
      </c>
      <c r="W13" s="252">
        <f t="shared" si="9"/>
        <v>0</v>
      </c>
      <c r="X13" s="250"/>
      <c r="Y13" s="757">
        <f>IF(INDEX('Cloud Price List'!$B$3:$N$1491,MATCH($A13,'Cloud Price List'!$A$3:$A$1491,0),8)="UC0",0,VLOOKUP($D13,Y$1:Z$4,2,FALSE))</f>
        <v>0</v>
      </c>
      <c r="Z13" s="252">
        <f t="shared" si="10"/>
        <v>0</v>
      </c>
      <c r="AA13" s="252">
        <v>0</v>
      </c>
      <c r="AB13" s="252">
        <f t="shared" si="3"/>
        <v>0</v>
      </c>
      <c r="AC13" s="252">
        <f t="shared" si="11"/>
        <v>0</v>
      </c>
      <c r="AD13" s="250"/>
      <c r="AE13" s="757">
        <f>IF(INDEX('Cloud Price List'!$B$3:$N$1491,MATCH($A13,'Cloud Price List'!$A$3:$A$1491,0),8)="UC0",0,VLOOKUP($D13,AE$1:AF$4,2,FALSE))</f>
        <v>0</v>
      </c>
      <c r="AF13" s="252">
        <f t="shared" si="12"/>
        <v>0</v>
      </c>
      <c r="AG13" s="252">
        <v>0</v>
      </c>
      <c r="AH13" s="252">
        <f t="shared" si="4"/>
        <v>0</v>
      </c>
      <c r="AI13" s="252">
        <f t="shared" si="13"/>
        <v>0</v>
      </c>
      <c r="AJ13" s="250"/>
      <c r="AK13" s="779" t="str">
        <f t="shared" si="14"/>
        <v/>
      </c>
      <c r="AL13" s="250"/>
      <c r="AM13" s="325" t="s">
        <v>589</v>
      </c>
    </row>
    <row r="14" spans="1:54" s="260" customFormat="1">
      <c r="A14" s="246" t="s">
        <v>1699</v>
      </c>
      <c r="B14" s="249" t="str">
        <f>VLOOKUP($A14,'Cloud Price List'!$A$3:$B$1500,2,FALSE)</f>
        <v>Oracle Cloud Infrastructure - Object Storage - Requests - Over 50,000 Requests Per Month</v>
      </c>
      <c r="C14" s="443" t="str">
        <f>VLOOKUP($A14,'Cloud Price List'!$A$3:$M$1500,5,FALSE)</f>
        <v>10,000 Requests Per Month</v>
      </c>
      <c r="D14" s="258" t="str">
        <f>VLOOKUP($A14,'Cloud Price List'!$A$3:$N$1500,10,FALSE)</f>
        <v>IAAS</v>
      </c>
      <c r="E14" s="265">
        <f>VLOOKUP($A14,'Cloud Price List'!$A$3:$D$1500,4,FALSE)*'Cloud Price List'!$E$1</f>
        <v>3.3999999999999998E-3</v>
      </c>
      <c r="G14" s="757">
        <f>IF(INDEX('Cloud Price List'!$B$3:$N$1491,MATCH($A14,'Cloud Price List'!$A$3:$A$1491,0),8)="UC0",0,VLOOKUP($D14,G$1:H$4,2,FALSE))</f>
        <v>0</v>
      </c>
      <c r="H14" s="252"/>
      <c r="I14" s="252">
        <v>0</v>
      </c>
      <c r="J14" s="252">
        <f t="shared" si="0"/>
        <v>0</v>
      </c>
      <c r="K14" s="252">
        <f t="shared" si="5"/>
        <v>0</v>
      </c>
      <c r="L14" s="250"/>
      <c r="M14" s="757">
        <f>IF(INDEX('Cloud Price List'!$B$3:$N$1491,MATCH($A14,'Cloud Price List'!$A$3:$A$1491,0),8)="UC0",0,VLOOKUP($D14,M$1:N$4,2,FALSE))</f>
        <v>0</v>
      </c>
      <c r="N14" s="252">
        <f t="shared" si="6"/>
        <v>0</v>
      </c>
      <c r="O14" s="252">
        <v>0</v>
      </c>
      <c r="P14" s="252">
        <f t="shared" si="1"/>
        <v>0</v>
      </c>
      <c r="Q14" s="252">
        <f t="shared" si="7"/>
        <v>0</v>
      </c>
      <c r="R14" s="250"/>
      <c r="S14" s="757">
        <f>IF(INDEX('Cloud Price List'!$B$3:$N$1491,MATCH($A14,'Cloud Price List'!$A$3:$A$1491,0),8)="UC0",0,VLOOKUP($D14,S$1:T$4,2,FALSE))</f>
        <v>0</v>
      </c>
      <c r="T14" s="252">
        <f t="shared" si="8"/>
        <v>0</v>
      </c>
      <c r="U14" s="252">
        <v>0</v>
      </c>
      <c r="V14" s="252">
        <f t="shared" si="2"/>
        <v>0</v>
      </c>
      <c r="W14" s="252">
        <f t="shared" si="9"/>
        <v>0</v>
      </c>
      <c r="X14" s="250"/>
      <c r="Y14" s="757">
        <f>IF(INDEX('Cloud Price List'!$B$3:$N$1491,MATCH($A14,'Cloud Price List'!$A$3:$A$1491,0),8)="UC0",0,VLOOKUP($D14,Y$1:Z$4,2,FALSE))</f>
        <v>0</v>
      </c>
      <c r="Z14" s="252">
        <f t="shared" si="10"/>
        <v>0</v>
      </c>
      <c r="AA14" s="252">
        <v>0</v>
      </c>
      <c r="AB14" s="252">
        <f t="shared" si="3"/>
        <v>0</v>
      </c>
      <c r="AC14" s="252">
        <f t="shared" si="11"/>
        <v>0</v>
      </c>
      <c r="AD14" s="250"/>
      <c r="AE14" s="757">
        <f>IF(INDEX('Cloud Price List'!$B$3:$N$1491,MATCH($A14,'Cloud Price List'!$A$3:$A$1491,0),8)="UC0",0,VLOOKUP($D14,AE$1:AF$4,2,FALSE))</f>
        <v>0</v>
      </c>
      <c r="AF14" s="252">
        <f t="shared" si="12"/>
        <v>0</v>
      </c>
      <c r="AG14" s="252">
        <v>0</v>
      </c>
      <c r="AH14" s="252">
        <f t="shared" si="4"/>
        <v>0</v>
      </c>
      <c r="AI14" s="252">
        <f t="shared" si="13"/>
        <v>0</v>
      </c>
      <c r="AJ14" s="250"/>
      <c r="AK14" s="779" t="str">
        <f t="shared" si="14"/>
        <v/>
      </c>
      <c r="AL14" s="250"/>
      <c r="AM14" s="325" t="s">
        <v>589</v>
      </c>
    </row>
    <row r="15" spans="1:54" s="260" customFormat="1">
      <c r="A15" s="246" t="s">
        <v>1700</v>
      </c>
      <c r="B15" s="249" t="str">
        <f>VLOOKUP($A15,'Cloud Price List'!$A$3:$B$1500,2,FALSE)</f>
        <v>Oracle Cloud Infrastructure - Object Storage - Storage - Over 10 Gigabytes Storage Capacity Per Month</v>
      </c>
      <c r="C15" s="443" t="str">
        <f>VLOOKUP($A15,'Cloud Price List'!$A$3:$M$1500,5,FALSE)</f>
        <v>Gigabyte Storage Capacity Per Month</v>
      </c>
      <c r="D15" s="258" t="str">
        <f>VLOOKUP($A15,'Cloud Price List'!$A$3:$N$1500,10,FALSE)</f>
        <v>IAAS</v>
      </c>
      <c r="E15" s="265">
        <f>VLOOKUP($A15,'Cloud Price List'!$A$3:$D$1500,4,FALSE)*'Cloud Price List'!$E$1</f>
        <v>2.5499999999999998E-2</v>
      </c>
      <c r="G15" s="757">
        <f>IF(INDEX('Cloud Price List'!$B$3:$N$1491,MATCH($A15,'Cloud Price List'!$A$3:$A$1491,0),8)="UC0",0,VLOOKUP($D15,G$1:H$4,2,FALSE))</f>
        <v>0</v>
      </c>
      <c r="H15" s="252"/>
      <c r="I15" s="252">
        <v>0</v>
      </c>
      <c r="J15" s="252">
        <f t="shared" si="0"/>
        <v>0</v>
      </c>
      <c r="K15" s="252">
        <f t="shared" si="5"/>
        <v>0</v>
      </c>
      <c r="L15" s="250"/>
      <c r="M15" s="757">
        <f>IF(INDEX('Cloud Price List'!$B$3:$N$1491,MATCH($A15,'Cloud Price List'!$A$3:$A$1491,0),8)="UC0",0,VLOOKUP($D15,M$1:N$4,2,FALSE))</f>
        <v>0</v>
      </c>
      <c r="N15" s="252">
        <f t="shared" si="6"/>
        <v>0</v>
      </c>
      <c r="O15" s="252">
        <v>0</v>
      </c>
      <c r="P15" s="252">
        <f t="shared" si="1"/>
        <v>0</v>
      </c>
      <c r="Q15" s="252">
        <f t="shared" si="7"/>
        <v>0</v>
      </c>
      <c r="R15" s="250"/>
      <c r="S15" s="757">
        <f>IF(INDEX('Cloud Price List'!$B$3:$N$1491,MATCH($A15,'Cloud Price List'!$A$3:$A$1491,0),8)="UC0",0,VLOOKUP($D15,S$1:T$4,2,FALSE))</f>
        <v>0</v>
      </c>
      <c r="T15" s="252">
        <f t="shared" si="8"/>
        <v>0</v>
      </c>
      <c r="U15" s="252">
        <v>0</v>
      </c>
      <c r="V15" s="252">
        <f t="shared" si="2"/>
        <v>0</v>
      </c>
      <c r="W15" s="252">
        <f t="shared" si="9"/>
        <v>0</v>
      </c>
      <c r="X15" s="250"/>
      <c r="Y15" s="757">
        <f>IF(INDEX('Cloud Price List'!$B$3:$N$1491,MATCH($A15,'Cloud Price List'!$A$3:$A$1491,0),8)="UC0",0,VLOOKUP($D15,Y$1:Z$4,2,FALSE))</f>
        <v>0</v>
      </c>
      <c r="Z15" s="252">
        <f t="shared" si="10"/>
        <v>0</v>
      </c>
      <c r="AA15" s="252">
        <v>0</v>
      </c>
      <c r="AB15" s="252">
        <f t="shared" si="3"/>
        <v>0</v>
      </c>
      <c r="AC15" s="252">
        <f t="shared" si="11"/>
        <v>0</v>
      </c>
      <c r="AD15" s="250"/>
      <c r="AE15" s="757">
        <f>IF(INDEX('Cloud Price List'!$B$3:$N$1491,MATCH($A15,'Cloud Price List'!$A$3:$A$1491,0),8)="UC0",0,VLOOKUP($D15,AE$1:AF$4,2,FALSE))</f>
        <v>0</v>
      </c>
      <c r="AF15" s="252">
        <f t="shared" si="12"/>
        <v>0</v>
      </c>
      <c r="AG15" s="252">
        <v>0</v>
      </c>
      <c r="AH15" s="252">
        <f t="shared" si="4"/>
        <v>0</v>
      </c>
      <c r="AI15" s="252">
        <f t="shared" si="13"/>
        <v>0</v>
      </c>
      <c r="AJ15" s="250"/>
      <c r="AK15" s="779" t="str">
        <f t="shared" si="14"/>
        <v/>
      </c>
      <c r="AL15" s="250"/>
      <c r="AM15" s="325" t="s">
        <v>589</v>
      </c>
    </row>
    <row r="16" spans="1:54" s="260" customFormat="1">
      <c r="A16" s="247" t="s">
        <v>979</v>
      </c>
      <c r="B16" s="249" t="str">
        <f>VLOOKUP($A16,'Cloud Price List'!$A$3:$B$1500,2,FALSE)</f>
        <v>Oracle Cloud Infrastructure - File Storage</v>
      </c>
      <c r="C16" s="443" t="str">
        <f>VLOOKUP($A16,'Cloud Price List'!$A$3:$M$1500,5,FALSE)</f>
        <v>Gigabyte Storage Capacity Per Month</v>
      </c>
      <c r="D16" s="258" t="str">
        <f>VLOOKUP($A16,'Cloud Price List'!$A$3:$N$1500,10,FALSE)</f>
        <v>IAAS</v>
      </c>
      <c r="E16" s="265">
        <f>VLOOKUP($A16,'Cloud Price List'!$A$3:$D$1500,4,FALSE)*'Cloud Price List'!$E$1</f>
        <v>0.3</v>
      </c>
      <c r="G16" s="757">
        <f>IF(INDEX('Cloud Price List'!$B$3:$N$1491,MATCH($A16,'Cloud Price List'!$A$3:$A$1491,0),8)="UC0",0,VLOOKUP($D16,G$1:H$4,2,FALSE))</f>
        <v>0</v>
      </c>
      <c r="H16" s="252"/>
      <c r="I16" s="252">
        <v>0</v>
      </c>
      <c r="J16" s="252">
        <f t="shared" si="0"/>
        <v>0</v>
      </c>
      <c r="K16" s="252">
        <f t="shared" si="5"/>
        <v>0</v>
      </c>
      <c r="L16" s="250"/>
      <c r="M16" s="757">
        <f>IF(INDEX('Cloud Price List'!$B$3:$N$1491,MATCH($A16,'Cloud Price List'!$A$3:$A$1491,0),8)="UC0",0,VLOOKUP($D16,M$1:N$4,2,FALSE))</f>
        <v>0</v>
      </c>
      <c r="N16" s="252">
        <f t="shared" si="6"/>
        <v>0</v>
      </c>
      <c r="O16" s="252">
        <v>0</v>
      </c>
      <c r="P16" s="252">
        <f t="shared" si="1"/>
        <v>0</v>
      </c>
      <c r="Q16" s="252">
        <f t="shared" si="7"/>
        <v>0</v>
      </c>
      <c r="R16" s="250"/>
      <c r="S16" s="757">
        <f>IF(INDEX('Cloud Price List'!$B$3:$N$1491,MATCH($A16,'Cloud Price List'!$A$3:$A$1491,0),8)="UC0",0,VLOOKUP($D16,S$1:T$4,2,FALSE))</f>
        <v>0</v>
      </c>
      <c r="T16" s="252">
        <f t="shared" si="8"/>
        <v>0</v>
      </c>
      <c r="U16" s="252">
        <v>0</v>
      </c>
      <c r="V16" s="252">
        <f t="shared" si="2"/>
        <v>0</v>
      </c>
      <c r="W16" s="252">
        <f t="shared" si="9"/>
        <v>0</v>
      </c>
      <c r="X16" s="250"/>
      <c r="Y16" s="757">
        <f>IF(INDEX('Cloud Price List'!$B$3:$N$1491,MATCH($A16,'Cloud Price List'!$A$3:$A$1491,0),8)="UC0",0,VLOOKUP($D16,Y$1:Z$4,2,FALSE))</f>
        <v>0</v>
      </c>
      <c r="Z16" s="252">
        <f t="shared" si="10"/>
        <v>0</v>
      </c>
      <c r="AA16" s="252">
        <v>0</v>
      </c>
      <c r="AB16" s="252">
        <f t="shared" si="3"/>
        <v>0</v>
      </c>
      <c r="AC16" s="252">
        <f t="shared" si="11"/>
        <v>0</v>
      </c>
      <c r="AD16" s="250"/>
      <c r="AE16" s="757">
        <f>IF(INDEX('Cloud Price List'!$B$3:$N$1491,MATCH($A16,'Cloud Price List'!$A$3:$A$1491,0),8)="UC0",0,VLOOKUP($D16,AE$1:AF$4,2,FALSE))</f>
        <v>0</v>
      </c>
      <c r="AF16" s="252">
        <f t="shared" si="12"/>
        <v>0</v>
      </c>
      <c r="AG16" s="252">
        <v>0</v>
      </c>
      <c r="AH16" s="252">
        <f t="shared" si="4"/>
        <v>0</v>
      </c>
      <c r="AI16" s="252">
        <f t="shared" si="13"/>
        <v>0</v>
      </c>
      <c r="AJ16" s="250"/>
      <c r="AK16" s="779" t="str">
        <f t="shared" si="14"/>
        <v/>
      </c>
      <c r="AL16" s="250"/>
      <c r="AM16" s="325" t="s">
        <v>589</v>
      </c>
    </row>
    <row r="17" spans="1:39" s="260" customFormat="1">
      <c r="A17" s="247" t="s">
        <v>41</v>
      </c>
      <c r="B17" s="249" t="str">
        <f>VLOOKUP($A17,'Cloud Price List'!$A$3:$B$1500,2,FALSE)</f>
        <v>Oracle Cloud Infrastructure - FastConnect 1 Gbps</v>
      </c>
      <c r="C17" s="443" t="str">
        <f>VLOOKUP($A17,'Cloud Price List'!$A$3:$M$1500,5,FALSE)</f>
        <v>Port Hour</v>
      </c>
      <c r="D17" s="258" t="str">
        <f>VLOOKUP($A17,'Cloud Price List'!$A$3:$N$1500,10,FALSE)</f>
        <v>IAAS</v>
      </c>
      <c r="E17" s="265">
        <f>VLOOKUP($A17,'Cloud Price List'!$A$3:$D$1500,4,FALSE)*'Cloud Price List'!$E$1</f>
        <v>0.21249999999999999</v>
      </c>
      <c r="G17" s="757">
        <f>IF(INDEX('Cloud Price List'!$B$3:$N$1491,MATCH($A17,'Cloud Price List'!$A$3:$A$1491,0),8)="UC0",0,VLOOKUP($D17,G$1:H$4,2,FALSE))</f>
        <v>0</v>
      </c>
      <c r="H17" s="252"/>
      <c r="I17" s="252">
        <v>0</v>
      </c>
      <c r="J17" s="252">
        <f t="shared" si="0"/>
        <v>0</v>
      </c>
      <c r="K17" s="252">
        <f t="shared" si="5"/>
        <v>0</v>
      </c>
      <c r="L17" s="250"/>
      <c r="M17" s="757">
        <f>IF(INDEX('Cloud Price List'!$B$3:$N$1491,MATCH($A17,'Cloud Price List'!$A$3:$A$1491,0),8)="UC0",0,VLOOKUP($D17,M$1:N$4,2,FALSE))</f>
        <v>0</v>
      </c>
      <c r="N17" s="252">
        <f t="shared" si="6"/>
        <v>0</v>
      </c>
      <c r="O17" s="252">
        <v>0</v>
      </c>
      <c r="P17" s="252">
        <f t="shared" si="1"/>
        <v>0</v>
      </c>
      <c r="Q17" s="252">
        <f t="shared" si="7"/>
        <v>0</v>
      </c>
      <c r="R17" s="250"/>
      <c r="S17" s="757">
        <f>IF(INDEX('Cloud Price List'!$B$3:$N$1491,MATCH($A17,'Cloud Price List'!$A$3:$A$1491,0),8)="UC0",0,VLOOKUP($D17,S$1:T$4,2,FALSE))</f>
        <v>0</v>
      </c>
      <c r="T17" s="252">
        <f t="shared" si="8"/>
        <v>0</v>
      </c>
      <c r="U17" s="252">
        <v>0</v>
      </c>
      <c r="V17" s="252">
        <f t="shared" si="2"/>
        <v>0</v>
      </c>
      <c r="W17" s="252">
        <f t="shared" si="9"/>
        <v>0</v>
      </c>
      <c r="X17" s="250"/>
      <c r="Y17" s="757">
        <f>IF(INDEX('Cloud Price List'!$B$3:$N$1491,MATCH($A17,'Cloud Price List'!$A$3:$A$1491,0),8)="UC0",0,VLOOKUP($D17,Y$1:Z$4,2,FALSE))</f>
        <v>0</v>
      </c>
      <c r="Z17" s="252">
        <f t="shared" si="10"/>
        <v>0</v>
      </c>
      <c r="AA17" s="252">
        <v>0</v>
      </c>
      <c r="AB17" s="252">
        <f t="shared" si="3"/>
        <v>0</v>
      </c>
      <c r="AC17" s="252">
        <f t="shared" si="11"/>
        <v>0</v>
      </c>
      <c r="AD17" s="250"/>
      <c r="AE17" s="757">
        <f>IF(INDEX('Cloud Price List'!$B$3:$N$1491,MATCH($A17,'Cloud Price List'!$A$3:$A$1491,0),8)="UC0",0,VLOOKUP($D17,AE$1:AF$4,2,FALSE))</f>
        <v>0</v>
      </c>
      <c r="AF17" s="252">
        <f t="shared" si="12"/>
        <v>0</v>
      </c>
      <c r="AG17" s="252">
        <v>0</v>
      </c>
      <c r="AH17" s="252">
        <f t="shared" si="4"/>
        <v>0</v>
      </c>
      <c r="AI17" s="252">
        <f t="shared" si="13"/>
        <v>0</v>
      </c>
      <c r="AJ17" s="250"/>
      <c r="AK17" s="779" t="str">
        <f t="shared" si="14"/>
        <v/>
      </c>
      <c r="AL17" s="250"/>
      <c r="AM17" s="325" t="s">
        <v>589</v>
      </c>
    </row>
    <row r="18" spans="1:39" s="260" customFormat="1">
      <c r="A18" s="246" t="s">
        <v>97</v>
      </c>
      <c r="B18" s="249" t="str">
        <f>VLOOKUP($A18,'Cloud Price List'!$A$3:$B$1500,2,FALSE)</f>
        <v>Oracle Cloud Infrastructure - FastConnect 10 Gbps</v>
      </c>
      <c r="C18" s="443" t="str">
        <f>VLOOKUP($A18,'Cloud Price List'!$A$3:$M$1500,5,FALSE)</f>
        <v>Port Hour</v>
      </c>
      <c r="D18" s="258" t="str">
        <f>VLOOKUP($A18,'Cloud Price List'!$A$3:$N$1500,10,FALSE)</f>
        <v>IAAS</v>
      </c>
      <c r="E18" s="265">
        <f>VLOOKUP($A18,'Cloud Price List'!$A$3:$D$1500,4,FALSE)*'Cloud Price List'!$E$1</f>
        <v>1.2749999999999999</v>
      </c>
      <c r="G18" s="757">
        <f>IF(INDEX('Cloud Price List'!$B$3:$N$1491,MATCH($A18,'Cloud Price List'!$A$3:$A$1491,0),8)="UC0",0,VLOOKUP($D18,G$1:H$4,2,FALSE))</f>
        <v>0</v>
      </c>
      <c r="H18" s="252"/>
      <c r="I18" s="252">
        <v>0</v>
      </c>
      <c r="J18" s="252">
        <f t="shared" si="0"/>
        <v>0</v>
      </c>
      <c r="K18" s="252">
        <f t="shared" si="5"/>
        <v>0</v>
      </c>
      <c r="L18" s="250"/>
      <c r="M18" s="757">
        <f>IF(INDEX('Cloud Price List'!$B$3:$N$1491,MATCH($A18,'Cloud Price List'!$A$3:$A$1491,0),8)="UC0",0,VLOOKUP($D18,M$1:N$4,2,FALSE))</f>
        <v>0</v>
      </c>
      <c r="N18" s="252">
        <f t="shared" si="6"/>
        <v>0</v>
      </c>
      <c r="O18" s="252">
        <v>0</v>
      </c>
      <c r="P18" s="252">
        <f t="shared" si="1"/>
        <v>0</v>
      </c>
      <c r="Q18" s="252">
        <f t="shared" si="7"/>
        <v>0</v>
      </c>
      <c r="R18" s="250"/>
      <c r="S18" s="757">
        <f>IF(INDEX('Cloud Price List'!$B$3:$N$1491,MATCH($A18,'Cloud Price List'!$A$3:$A$1491,0),8)="UC0",0,VLOOKUP($D18,S$1:T$4,2,FALSE))</f>
        <v>0</v>
      </c>
      <c r="T18" s="252">
        <f t="shared" si="8"/>
        <v>0</v>
      </c>
      <c r="U18" s="252">
        <v>0</v>
      </c>
      <c r="V18" s="252">
        <f t="shared" si="2"/>
        <v>0</v>
      </c>
      <c r="W18" s="252">
        <f t="shared" si="9"/>
        <v>0</v>
      </c>
      <c r="X18" s="250"/>
      <c r="Y18" s="757">
        <f>IF(INDEX('Cloud Price List'!$B$3:$N$1491,MATCH($A18,'Cloud Price List'!$A$3:$A$1491,0),8)="UC0",0,VLOOKUP($D18,Y$1:Z$4,2,FALSE))</f>
        <v>0</v>
      </c>
      <c r="Z18" s="252">
        <f t="shared" si="10"/>
        <v>0</v>
      </c>
      <c r="AA18" s="252">
        <v>0</v>
      </c>
      <c r="AB18" s="252">
        <f t="shared" si="3"/>
        <v>0</v>
      </c>
      <c r="AC18" s="252">
        <f t="shared" si="11"/>
        <v>0</v>
      </c>
      <c r="AD18" s="250"/>
      <c r="AE18" s="757">
        <f>IF(INDEX('Cloud Price List'!$B$3:$N$1491,MATCH($A18,'Cloud Price List'!$A$3:$A$1491,0),8)="UC0",0,VLOOKUP($D18,AE$1:AF$4,2,FALSE))</f>
        <v>0</v>
      </c>
      <c r="AF18" s="252">
        <f t="shared" si="12"/>
        <v>0</v>
      </c>
      <c r="AG18" s="252">
        <v>0</v>
      </c>
      <c r="AH18" s="252">
        <f t="shared" si="4"/>
        <v>0</v>
      </c>
      <c r="AI18" s="252">
        <f t="shared" si="13"/>
        <v>0</v>
      </c>
      <c r="AJ18" s="250"/>
      <c r="AK18" s="779" t="str">
        <f t="shared" si="14"/>
        <v/>
      </c>
      <c r="AL18" s="250"/>
      <c r="AM18" s="325" t="s">
        <v>589</v>
      </c>
    </row>
    <row r="19" spans="1:39" s="260" customFormat="1">
      <c r="A19" s="247" t="s">
        <v>2719</v>
      </c>
      <c r="B19" s="249" t="str">
        <f>VLOOKUP($A19,'Cloud Price List'!$A$3:$B$1500,2,FALSE)</f>
        <v>Oracle Cloud Infrastructure - Load Balancer Base - greater than 1 Load Balancer instance per hour</v>
      </c>
      <c r="C19" s="443" t="str">
        <f>VLOOKUP($A19,'Cloud Price List'!$A$3:$M$1500,5,FALSE)</f>
        <v>Load Balancer Hour</v>
      </c>
      <c r="D19" s="258" t="str">
        <f>VLOOKUP($A19,'Cloud Price List'!$A$3:$N$1500,10,FALSE)</f>
        <v>IAAS</v>
      </c>
      <c r="E19" s="265">
        <f>VLOOKUP($A19,'Cloud Price List'!$A$3:$D$1500,4,FALSE)*'Cloud Price List'!$E$1</f>
        <v>1.1299999999999999E-2</v>
      </c>
      <c r="G19" s="757">
        <f>IF(INDEX('Cloud Price List'!$B$3:$N$1491,MATCH($A19,'Cloud Price List'!$A$3:$A$1491,0),8)="UC0",0,VLOOKUP($D19,G$1:H$4,2,FALSE))</f>
        <v>0</v>
      </c>
      <c r="H19" s="252"/>
      <c r="I19" s="252">
        <v>0</v>
      </c>
      <c r="J19" s="252">
        <f t="shared" si="0"/>
        <v>0</v>
      </c>
      <c r="K19" s="252">
        <f t="shared" si="5"/>
        <v>0</v>
      </c>
      <c r="L19" s="250"/>
      <c r="M19" s="757">
        <f>IF(INDEX('Cloud Price List'!$B$3:$N$1491,MATCH($A19,'Cloud Price List'!$A$3:$A$1491,0),8)="UC0",0,VLOOKUP($D19,M$1:N$4,2,FALSE))</f>
        <v>0</v>
      </c>
      <c r="N19" s="252">
        <f t="shared" si="6"/>
        <v>0</v>
      </c>
      <c r="O19" s="252">
        <v>0</v>
      </c>
      <c r="P19" s="252">
        <f t="shared" si="1"/>
        <v>0</v>
      </c>
      <c r="Q19" s="252">
        <f t="shared" si="7"/>
        <v>0</v>
      </c>
      <c r="R19" s="250"/>
      <c r="S19" s="757">
        <f>IF(INDEX('Cloud Price List'!$B$3:$N$1491,MATCH($A19,'Cloud Price List'!$A$3:$A$1491,0),8)="UC0",0,VLOOKUP($D19,S$1:T$4,2,FALSE))</f>
        <v>0</v>
      </c>
      <c r="T19" s="252">
        <f t="shared" si="8"/>
        <v>0</v>
      </c>
      <c r="U19" s="252">
        <v>0</v>
      </c>
      <c r="V19" s="252">
        <f t="shared" si="2"/>
        <v>0</v>
      </c>
      <c r="W19" s="252">
        <f t="shared" si="9"/>
        <v>0</v>
      </c>
      <c r="X19" s="250"/>
      <c r="Y19" s="757">
        <f>IF(INDEX('Cloud Price List'!$B$3:$N$1491,MATCH($A19,'Cloud Price List'!$A$3:$A$1491,0),8)="UC0",0,VLOOKUP($D19,Y$1:Z$4,2,FALSE))</f>
        <v>0</v>
      </c>
      <c r="Z19" s="252">
        <f t="shared" si="10"/>
        <v>0</v>
      </c>
      <c r="AA19" s="252">
        <v>0</v>
      </c>
      <c r="AB19" s="252">
        <f t="shared" si="3"/>
        <v>0</v>
      </c>
      <c r="AC19" s="252">
        <f t="shared" si="11"/>
        <v>0</v>
      </c>
      <c r="AD19" s="250"/>
      <c r="AE19" s="757">
        <f>IF(INDEX('Cloud Price List'!$B$3:$N$1491,MATCH($A19,'Cloud Price List'!$A$3:$A$1491,0),8)="UC0",0,VLOOKUP($D19,AE$1:AF$4,2,FALSE))</f>
        <v>0</v>
      </c>
      <c r="AF19" s="252">
        <f t="shared" si="12"/>
        <v>0</v>
      </c>
      <c r="AG19" s="252">
        <v>0</v>
      </c>
      <c r="AH19" s="252">
        <f t="shared" si="4"/>
        <v>0</v>
      </c>
      <c r="AI19" s="252">
        <f t="shared" si="13"/>
        <v>0</v>
      </c>
      <c r="AJ19" s="250"/>
      <c r="AK19" s="779" t="str">
        <f t="shared" si="14"/>
        <v/>
      </c>
      <c r="AL19" s="250"/>
      <c r="AM19" s="325" t="s">
        <v>589</v>
      </c>
    </row>
    <row r="20" spans="1:39" s="260" customFormat="1">
      <c r="A20" s="247" t="s">
        <v>2721</v>
      </c>
      <c r="B20" s="249" t="str">
        <f>VLOOKUP($A20,'Cloud Price List'!$A$3:$B$1500,2,FALSE)</f>
        <v>Oracle Cloud Infrastructure - Load Balancer Bandwidth - greater than 10 Mbps Per Hour</v>
      </c>
      <c r="C20" s="443" t="str">
        <f>VLOOKUP($A20,'Cloud Price List'!$A$3:$M$1500,5,FALSE)</f>
        <v>Mbps Per Hour</v>
      </c>
      <c r="D20" s="258" t="str">
        <f>VLOOKUP($A20,'Cloud Price List'!$A$3:$N$1500,10,FALSE)</f>
        <v>IAAS</v>
      </c>
      <c r="E20" s="265">
        <f>VLOOKUP($A20,'Cloud Price List'!$A$3:$D$1500,4,FALSE)*'Cloud Price List'!$E$1</f>
        <v>1E-4</v>
      </c>
      <c r="G20" s="757">
        <f>IF(INDEX('Cloud Price List'!$B$3:$N$1491,MATCH($A20,'Cloud Price List'!$A$3:$A$1491,0),8)="UC0",0,VLOOKUP($D20,G$1:H$4,2,FALSE))</f>
        <v>0</v>
      </c>
      <c r="H20" s="252"/>
      <c r="I20" s="252">
        <v>0</v>
      </c>
      <c r="J20" s="252">
        <f t="shared" si="0"/>
        <v>0</v>
      </c>
      <c r="K20" s="252">
        <f t="shared" si="5"/>
        <v>0</v>
      </c>
      <c r="L20" s="250"/>
      <c r="M20" s="757">
        <f>IF(INDEX('Cloud Price List'!$B$3:$N$1491,MATCH($A20,'Cloud Price List'!$A$3:$A$1491,0),8)="UC0",0,VLOOKUP($D20,M$1:N$4,2,FALSE))</f>
        <v>0</v>
      </c>
      <c r="N20" s="252">
        <f t="shared" si="6"/>
        <v>0</v>
      </c>
      <c r="O20" s="252">
        <v>0</v>
      </c>
      <c r="P20" s="252">
        <f t="shared" si="1"/>
        <v>0</v>
      </c>
      <c r="Q20" s="252">
        <f t="shared" si="7"/>
        <v>0</v>
      </c>
      <c r="R20" s="250"/>
      <c r="S20" s="757">
        <f>IF(INDEX('Cloud Price List'!$B$3:$N$1491,MATCH($A20,'Cloud Price List'!$A$3:$A$1491,0),8)="UC0",0,VLOOKUP($D20,S$1:T$4,2,FALSE))</f>
        <v>0</v>
      </c>
      <c r="T20" s="252">
        <f t="shared" si="8"/>
        <v>0</v>
      </c>
      <c r="U20" s="252">
        <v>0</v>
      </c>
      <c r="V20" s="252">
        <f t="shared" si="2"/>
        <v>0</v>
      </c>
      <c r="W20" s="252">
        <f t="shared" si="9"/>
        <v>0</v>
      </c>
      <c r="X20" s="250"/>
      <c r="Y20" s="757">
        <f>IF(INDEX('Cloud Price List'!$B$3:$N$1491,MATCH($A20,'Cloud Price List'!$A$3:$A$1491,0),8)="UC0",0,VLOOKUP($D20,Y$1:Z$4,2,FALSE))</f>
        <v>0</v>
      </c>
      <c r="Z20" s="252">
        <f t="shared" si="10"/>
        <v>0</v>
      </c>
      <c r="AA20" s="252">
        <v>0</v>
      </c>
      <c r="AB20" s="252">
        <f t="shared" si="3"/>
        <v>0</v>
      </c>
      <c r="AC20" s="252">
        <f t="shared" si="11"/>
        <v>0</v>
      </c>
      <c r="AD20" s="250"/>
      <c r="AE20" s="757">
        <f>IF(INDEX('Cloud Price List'!$B$3:$N$1491,MATCH($A20,'Cloud Price List'!$A$3:$A$1491,0),8)="UC0",0,VLOOKUP($D20,AE$1:AF$4,2,FALSE))</f>
        <v>0</v>
      </c>
      <c r="AF20" s="252">
        <f t="shared" si="12"/>
        <v>0</v>
      </c>
      <c r="AG20" s="252">
        <v>0</v>
      </c>
      <c r="AH20" s="252">
        <f t="shared" si="4"/>
        <v>0</v>
      </c>
      <c r="AI20" s="252">
        <f t="shared" si="13"/>
        <v>0</v>
      </c>
      <c r="AJ20" s="250"/>
      <c r="AK20" s="779" t="str">
        <f t="shared" si="14"/>
        <v/>
      </c>
      <c r="AL20" s="250"/>
      <c r="AM20" s="325" t="s">
        <v>589</v>
      </c>
    </row>
    <row r="21" spans="1:39" s="260" customFormat="1">
      <c r="A21" s="246" t="s">
        <v>1192</v>
      </c>
      <c r="B21" s="249" t="str">
        <f>VLOOKUP($A21,'Cloud Price List'!$A$3:$B$1500,2,FALSE)</f>
        <v>Oracle Cloud Infrastructure - Database Cloud Service - All Editions - BYOL</v>
      </c>
      <c r="C21" s="443" t="str">
        <f>VLOOKUP($A21,'Cloud Price List'!$A$3:$M$1500,5,FALSE)</f>
        <v>OCPU Per Hour</v>
      </c>
      <c r="D21" s="258" t="str">
        <f>VLOOKUP($A21,'Cloud Price List'!$A$3:$N$1500,10,FALSE)</f>
        <v>BYOL</v>
      </c>
      <c r="E21" s="265">
        <f>VLOOKUP($A21,'Cloud Price List'!$A$3:$D$1500,4,FALSE)*'Cloud Price List'!$E$1</f>
        <v>0.19350000000000001</v>
      </c>
      <c r="G21" s="757">
        <f>IF(INDEX('Cloud Price List'!$B$3:$N$1491,MATCH($A21,'Cloud Price List'!$A$3:$A$1491,0),8)="UC0",0,VLOOKUP($D21,G$1:H$4,2,FALSE))</f>
        <v>0</v>
      </c>
      <c r="H21" s="252"/>
      <c r="I21" s="252">
        <v>0</v>
      </c>
      <c r="J21" s="252">
        <f t="shared" si="0"/>
        <v>0</v>
      </c>
      <c r="K21" s="252">
        <f t="shared" si="5"/>
        <v>0</v>
      </c>
      <c r="L21" s="250"/>
      <c r="M21" s="757">
        <f>IF(INDEX('Cloud Price List'!$B$3:$N$1491,MATCH($A21,'Cloud Price List'!$A$3:$A$1491,0),8)="UC0",0,VLOOKUP($D21,M$1:N$4,2,FALSE))</f>
        <v>0</v>
      </c>
      <c r="N21" s="252">
        <f t="shared" si="6"/>
        <v>0</v>
      </c>
      <c r="O21" s="252">
        <v>0</v>
      </c>
      <c r="P21" s="252">
        <f t="shared" si="1"/>
        <v>0</v>
      </c>
      <c r="Q21" s="252">
        <f t="shared" si="7"/>
        <v>0</v>
      </c>
      <c r="R21" s="250"/>
      <c r="S21" s="757">
        <f>IF(INDEX('Cloud Price List'!$B$3:$N$1491,MATCH($A21,'Cloud Price List'!$A$3:$A$1491,0),8)="UC0",0,VLOOKUP($D21,S$1:T$4,2,FALSE))</f>
        <v>0</v>
      </c>
      <c r="T21" s="252">
        <f t="shared" si="8"/>
        <v>0</v>
      </c>
      <c r="U21" s="252">
        <v>0</v>
      </c>
      <c r="V21" s="252">
        <f t="shared" si="2"/>
        <v>0</v>
      </c>
      <c r="W21" s="252">
        <f t="shared" si="9"/>
        <v>0</v>
      </c>
      <c r="X21" s="250"/>
      <c r="Y21" s="757">
        <f>IF(INDEX('Cloud Price List'!$B$3:$N$1491,MATCH($A21,'Cloud Price List'!$A$3:$A$1491,0),8)="UC0",0,VLOOKUP($D21,Y$1:Z$4,2,FALSE))</f>
        <v>0</v>
      </c>
      <c r="Z21" s="252">
        <f t="shared" si="10"/>
        <v>0</v>
      </c>
      <c r="AA21" s="252">
        <v>0</v>
      </c>
      <c r="AB21" s="252">
        <f t="shared" si="3"/>
        <v>0</v>
      </c>
      <c r="AC21" s="252">
        <f t="shared" si="11"/>
        <v>0</v>
      </c>
      <c r="AD21" s="250"/>
      <c r="AE21" s="757">
        <f>IF(INDEX('Cloud Price List'!$B$3:$N$1491,MATCH($A21,'Cloud Price List'!$A$3:$A$1491,0),8)="UC0",0,VLOOKUP($D21,AE$1:AF$4,2,FALSE))</f>
        <v>0</v>
      </c>
      <c r="AF21" s="252">
        <f t="shared" si="12"/>
        <v>0</v>
      </c>
      <c r="AG21" s="252">
        <v>0</v>
      </c>
      <c r="AH21" s="252">
        <f t="shared" si="4"/>
        <v>0</v>
      </c>
      <c r="AI21" s="252">
        <f t="shared" si="13"/>
        <v>0</v>
      </c>
      <c r="AJ21" s="250"/>
      <c r="AK21" s="779" t="str">
        <f t="shared" si="14"/>
        <v/>
      </c>
      <c r="AL21" s="250"/>
      <c r="AM21" s="325" t="s">
        <v>589</v>
      </c>
    </row>
    <row r="22" spans="1:39" s="260" customFormat="1">
      <c r="A22" s="248" t="s">
        <v>1008</v>
      </c>
      <c r="B22" s="249" t="e">
        <f>VLOOKUP($A22,'Cloud Price List'!$A$3:$B$1500,2,FALSE)</f>
        <v>#N/A</v>
      </c>
      <c r="C22" s="443" t="e">
        <f>VLOOKUP($A22,'Cloud Price List'!$A$3:$M$1500,5,FALSE)</f>
        <v>#N/A</v>
      </c>
      <c r="D22" s="258" t="e">
        <f>VLOOKUP($A22,'Cloud Price List'!$A$3:$N$1500,10,FALSE)</f>
        <v>#N/A</v>
      </c>
      <c r="E22" s="265" t="e">
        <f>VLOOKUP($A22,'Cloud Price List'!$A$3:$D$1500,4,FALSE)*'Cloud Price List'!$E$1</f>
        <v>#N/A</v>
      </c>
      <c r="G22" s="757" t="e">
        <f>IF(INDEX('Cloud Price List'!$B$3:$N$1491,MATCH($A22,'Cloud Price List'!$A$3:$A$1491,0),8)="UC0",0,VLOOKUP($D22,G$1:H$4,2,FALSE))</f>
        <v>#N/A</v>
      </c>
      <c r="H22" s="252"/>
      <c r="I22" s="252">
        <v>0</v>
      </c>
      <c r="J22" s="252" t="e">
        <f t="shared" si="0"/>
        <v>#N/A</v>
      </c>
      <c r="K22" s="252" t="e">
        <f t="shared" si="5"/>
        <v>#N/A</v>
      </c>
      <c r="L22" s="250"/>
      <c r="M22" s="757" t="e">
        <f>IF(INDEX('Cloud Price List'!$B$3:$N$1491,MATCH($A22,'Cloud Price List'!$A$3:$A$1491,0),8)="UC0",0,VLOOKUP($D22,M$1:N$4,2,FALSE))</f>
        <v>#N/A</v>
      </c>
      <c r="N22" s="252">
        <f t="shared" si="6"/>
        <v>0</v>
      </c>
      <c r="O22" s="252">
        <v>0</v>
      </c>
      <c r="P22" s="252" t="e">
        <f t="shared" si="1"/>
        <v>#N/A</v>
      </c>
      <c r="Q22" s="252" t="e">
        <f t="shared" si="7"/>
        <v>#N/A</v>
      </c>
      <c r="R22" s="250"/>
      <c r="S22" s="757" t="e">
        <f>IF(INDEX('Cloud Price List'!$B$3:$N$1491,MATCH($A22,'Cloud Price List'!$A$3:$A$1491,0),8)="UC0",0,VLOOKUP($D22,S$1:T$4,2,FALSE))</f>
        <v>#N/A</v>
      </c>
      <c r="T22" s="252">
        <f t="shared" si="8"/>
        <v>0</v>
      </c>
      <c r="U22" s="252">
        <v>0</v>
      </c>
      <c r="V22" s="252" t="e">
        <f t="shared" si="2"/>
        <v>#N/A</v>
      </c>
      <c r="W22" s="252" t="e">
        <f t="shared" si="9"/>
        <v>#N/A</v>
      </c>
      <c r="X22" s="250"/>
      <c r="Y22" s="757" t="e">
        <f>IF(INDEX('Cloud Price List'!$B$3:$N$1491,MATCH($A22,'Cloud Price List'!$A$3:$A$1491,0),8)="UC0",0,VLOOKUP($D22,Y$1:Z$4,2,FALSE))</f>
        <v>#N/A</v>
      </c>
      <c r="Z22" s="252">
        <f t="shared" si="10"/>
        <v>0</v>
      </c>
      <c r="AA22" s="252">
        <v>0</v>
      </c>
      <c r="AB22" s="252" t="e">
        <f t="shared" si="3"/>
        <v>#N/A</v>
      </c>
      <c r="AC22" s="252" t="e">
        <f t="shared" si="11"/>
        <v>#N/A</v>
      </c>
      <c r="AD22" s="250"/>
      <c r="AE22" s="757" t="e">
        <f>IF(INDEX('Cloud Price List'!$B$3:$N$1491,MATCH($A22,'Cloud Price List'!$A$3:$A$1491,0),8)="UC0",0,VLOOKUP($D22,AE$1:AF$4,2,FALSE))</f>
        <v>#N/A</v>
      </c>
      <c r="AF22" s="252">
        <f t="shared" si="12"/>
        <v>0</v>
      </c>
      <c r="AG22" s="252">
        <v>0</v>
      </c>
      <c r="AH22" s="252" t="e">
        <f t="shared" si="4"/>
        <v>#N/A</v>
      </c>
      <c r="AI22" s="252" t="e">
        <f t="shared" si="13"/>
        <v>#N/A</v>
      </c>
      <c r="AJ22" s="250"/>
      <c r="AK22" s="779" t="str">
        <f t="shared" si="14"/>
        <v/>
      </c>
      <c r="AL22" s="250"/>
      <c r="AM22" s="325" t="s">
        <v>589</v>
      </c>
    </row>
    <row r="23" spans="1:39" s="260" customFormat="1">
      <c r="A23" s="247" t="s">
        <v>1189</v>
      </c>
      <c r="B23" s="249" t="str">
        <f>VLOOKUP($A23,'Cloud Price List'!$A$3:$B$1500,2,FALSE)</f>
        <v>Oracle Cloud Infrastructure - Database Cloud Service - 
Enterprise Edition</v>
      </c>
      <c r="C23" s="443" t="str">
        <f>VLOOKUP($A23,'Cloud Price List'!$A$3:$M$1500,5,FALSE)</f>
        <v>OCPU Per Hour</v>
      </c>
      <c r="D23" s="258" t="str">
        <f>VLOOKUP($A23,'Cloud Price List'!$A$3:$N$1500,10,FALSE)</f>
        <v>PAAS</v>
      </c>
      <c r="E23" s="265">
        <f>VLOOKUP($A23,'Cloud Price List'!$A$3:$D$1500,4,FALSE)*'Cloud Price List'!$E$1</f>
        <v>0.43009999999999998</v>
      </c>
      <c r="G23" s="757">
        <f>IF(INDEX('Cloud Price List'!$B$3:$N$1491,MATCH($A23,'Cloud Price List'!$A$3:$A$1491,0),8)="UC0",0,VLOOKUP($D23,G$1:H$4,2,FALSE))</f>
        <v>0</v>
      </c>
      <c r="H23" s="252"/>
      <c r="I23" s="252">
        <v>0</v>
      </c>
      <c r="J23" s="252">
        <f t="shared" si="0"/>
        <v>0</v>
      </c>
      <c r="K23" s="252">
        <f t="shared" si="5"/>
        <v>0</v>
      </c>
      <c r="L23" s="250"/>
      <c r="M23" s="757">
        <f>IF(INDEX('Cloud Price List'!$B$3:$N$1491,MATCH($A23,'Cloud Price List'!$A$3:$A$1491,0),8)="UC0",0,VLOOKUP($D23,M$1:N$4,2,FALSE))</f>
        <v>0</v>
      </c>
      <c r="N23" s="252">
        <f t="shared" si="6"/>
        <v>0</v>
      </c>
      <c r="O23" s="252">
        <v>0</v>
      </c>
      <c r="P23" s="252">
        <f t="shared" si="1"/>
        <v>0</v>
      </c>
      <c r="Q23" s="252">
        <f t="shared" si="7"/>
        <v>0</v>
      </c>
      <c r="R23" s="250"/>
      <c r="S23" s="757">
        <f>IF(INDEX('Cloud Price List'!$B$3:$N$1491,MATCH($A23,'Cloud Price List'!$A$3:$A$1491,0),8)="UC0",0,VLOOKUP($D23,S$1:T$4,2,FALSE))</f>
        <v>0</v>
      </c>
      <c r="T23" s="252">
        <f t="shared" si="8"/>
        <v>0</v>
      </c>
      <c r="U23" s="252">
        <v>0</v>
      </c>
      <c r="V23" s="252">
        <f t="shared" si="2"/>
        <v>0</v>
      </c>
      <c r="W23" s="252">
        <f t="shared" si="9"/>
        <v>0</v>
      </c>
      <c r="X23" s="250"/>
      <c r="Y23" s="757">
        <f>IF(INDEX('Cloud Price List'!$B$3:$N$1491,MATCH($A23,'Cloud Price List'!$A$3:$A$1491,0),8)="UC0",0,VLOOKUP($D23,Y$1:Z$4,2,FALSE))</f>
        <v>0</v>
      </c>
      <c r="Z23" s="252">
        <f t="shared" si="10"/>
        <v>0</v>
      </c>
      <c r="AA23" s="252">
        <v>0</v>
      </c>
      <c r="AB23" s="252">
        <f t="shared" si="3"/>
        <v>0</v>
      </c>
      <c r="AC23" s="252">
        <f t="shared" si="11"/>
        <v>0</v>
      </c>
      <c r="AD23" s="250"/>
      <c r="AE23" s="757">
        <f>IF(INDEX('Cloud Price List'!$B$3:$N$1491,MATCH($A23,'Cloud Price List'!$A$3:$A$1491,0),8)="UC0",0,VLOOKUP($D23,AE$1:AF$4,2,FALSE))</f>
        <v>0</v>
      </c>
      <c r="AF23" s="252">
        <f t="shared" si="12"/>
        <v>0</v>
      </c>
      <c r="AG23" s="252">
        <v>0</v>
      </c>
      <c r="AH23" s="252">
        <f t="shared" si="4"/>
        <v>0</v>
      </c>
      <c r="AI23" s="252">
        <f t="shared" si="13"/>
        <v>0</v>
      </c>
      <c r="AJ23" s="250"/>
      <c r="AK23" s="779" t="str">
        <f t="shared" si="14"/>
        <v/>
      </c>
      <c r="AL23" s="250"/>
      <c r="AM23" s="325" t="s">
        <v>589</v>
      </c>
    </row>
    <row r="24" spans="1:39" s="260" customFormat="1">
      <c r="A24" s="248" t="s">
        <v>1002</v>
      </c>
      <c r="B24" s="249" t="e">
        <f>VLOOKUP($A24,'Cloud Price List'!$A$3:$B$1500,2,FALSE)</f>
        <v>#N/A</v>
      </c>
      <c r="C24" s="443" t="e">
        <f>VLOOKUP($A24,'Cloud Price List'!$A$3:$M$1500,5,FALSE)</f>
        <v>#N/A</v>
      </c>
      <c r="D24" s="258" t="e">
        <f>VLOOKUP($A24,'Cloud Price List'!$A$3:$N$1500,10,FALSE)</f>
        <v>#N/A</v>
      </c>
      <c r="E24" s="265" t="e">
        <f>VLOOKUP($A24,'Cloud Price List'!$A$3:$D$1500,4,FALSE)*'Cloud Price List'!$E$1</f>
        <v>#N/A</v>
      </c>
      <c r="G24" s="757" t="e">
        <f>IF(INDEX('Cloud Price List'!$B$3:$N$1491,MATCH($A24,'Cloud Price List'!$A$3:$A$1491,0),8)="UC0",0,VLOOKUP($D24,G$1:H$4,2,FALSE))</f>
        <v>#N/A</v>
      </c>
      <c r="H24" s="252"/>
      <c r="I24" s="252">
        <v>0</v>
      </c>
      <c r="J24" s="252" t="e">
        <f t="shared" si="0"/>
        <v>#N/A</v>
      </c>
      <c r="K24" s="252" t="e">
        <f t="shared" si="5"/>
        <v>#N/A</v>
      </c>
      <c r="L24" s="250"/>
      <c r="M24" s="757" t="e">
        <f>IF(INDEX('Cloud Price List'!$B$3:$N$1491,MATCH($A24,'Cloud Price List'!$A$3:$A$1491,0),8)="UC0",0,VLOOKUP($D24,M$1:N$4,2,FALSE))</f>
        <v>#N/A</v>
      </c>
      <c r="N24" s="252">
        <f t="shared" si="6"/>
        <v>0</v>
      </c>
      <c r="O24" s="252">
        <v>0</v>
      </c>
      <c r="P24" s="252" t="e">
        <f t="shared" si="1"/>
        <v>#N/A</v>
      </c>
      <c r="Q24" s="252" t="e">
        <f t="shared" si="7"/>
        <v>#N/A</v>
      </c>
      <c r="R24" s="250"/>
      <c r="S24" s="757" t="e">
        <f>IF(INDEX('Cloud Price List'!$B$3:$N$1491,MATCH($A24,'Cloud Price List'!$A$3:$A$1491,0),8)="UC0",0,VLOOKUP($D24,S$1:T$4,2,FALSE))</f>
        <v>#N/A</v>
      </c>
      <c r="T24" s="252">
        <f t="shared" si="8"/>
        <v>0</v>
      </c>
      <c r="U24" s="252">
        <v>0</v>
      </c>
      <c r="V24" s="252" t="e">
        <f t="shared" si="2"/>
        <v>#N/A</v>
      </c>
      <c r="W24" s="252" t="e">
        <f t="shared" si="9"/>
        <v>#N/A</v>
      </c>
      <c r="X24" s="250"/>
      <c r="Y24" s="757" t="e">
        <f>IF(INDEX('Cloud Price List'!$B$3:$N$1491,MATCH($A24,'Cloud Price List'!$A$3:$A$1491,0),8)="UC0",0,VLOOKUP($D24,Y$1:Z$4,2,FALSE))</f>
        <v>#N/A</v>
      </c>
      <c r="Z24" s="252">
        <f t="shared" si="10"/>
        <v>0</v>
      </c>
      <c r="AA24" s="252">
        <v>0</v>
      </c>
      <c r="AB24" s="252" t="e">
        <f t="shared" si="3"/>
        <v>#N/A</v>
      </c>
      <c r="AC24" s="252" t="e">
        <f t="shared" si="11"/>
        <v>#N/A</v>
      </c>
      <c r="AD24" s="250"/>
      <c r="AE24" s="757" t="e">
        <f>IF(INDEX('Cloud Price List'!$B$3:$N$1491,MATCH($A24,'Cloud Price List'!$A$3:$A$1491,0),8)="UC0",0,VLOOKUP($D24,AE$1:AF$4,2,FALSE))</f>
        <v>#N/A</v>
      </c>
      <c r="AF24" s="252">
        <f t="shared" si="12"/>
        <v>0</v>
      </c>
      <c r="AG24" s="252">
        <v>0</v>
      </c>
      <c r="AH24" s="252" t="e">
        <f t="shared" si="4"/>
        <v>#N/A</v>
      </c>
      <c r="AI24" s="252" t="e">
        <f t="shared" si="13"/>
        <v>#N/A</v>
      </c>
      <c r="AJ24" s="250"/>
      <c r="AK24" s="779" t="str">
        <f t="shared" si="14"/>
        <v/>
      </c>
      <c r="AL24" s="250"/>
      <c r="AM24" s="325" t="s">
        <v>589</v>
      </c>
    </row>
    <row r="25" spans="1:39" s="260" customFormat="1">
      <c r="A25" s="247" t="s">
        <v>1190</v>
      </c>
      <c r="B25" s="249" t="str">
        <f>VLOOKUP($A25,'Cloud Price List'!$A$3:$B$1500,2,FALSE)</f>
        <v>Oracle Cloud Infrastructure - Database Cloud Service - 
Enterprise Edition High Performance</v>
      </c>
      <c r="C25" s="443" t="str">
        <f>VLOOKUP($A25,'Cloud Price List'!$A$3:$M$1500,5,FALSE)</f>
        <v>OCPU Per Hour</v>
      </c>
      <c r="D25" s="258" t="str">
        <f>VLOOKUP($A25,'Cloud Price List'!$A$3:$N$1500,10,FALSE)</f>
        <v>PAAS</v>
      </c>
      <c r="E25" s="265">
        <f>VLOOKUP($A25,'Cloud Price List'!$A$3:$D$1500,4,FALSE)*'Cloud Price List'!$E$1</f>
        <v>0.8871</v>
      </c>
      <c r="G25" s="757">
        <f>IF(INDEX('Cloud Price List'!$B$3:$N$1491,MATCH($A25,'Cloud Price List'!$A$3:$A$1491,0),8)="UC0",0,VLOOKUP($D25,G$1:H$4,2,FALSE))</f>
        <v>0</v>
      </c>
      <c r="H25" s="252"/>
      <c r="I25" s="252">
        <v>0</v>
      </c>
      <c r="J25" s="252">
        <f t="shared" si="0"/>
        <v>0</v>
      </c>
      <c r="K25" s="252">
        <f t="shared" si="5"/>
        <v>0</v>
      </c>
      <c r="L25" s="250"/>
      <c r="M25" s="757">
        <f>IF(INDEX('Cloud Price List'!$B$3:$N$1491,MATCH($A25,'Cloud Price List'!$A$3:$A$1491,0),8)="UC0",0,VLOOKUP($D25,M$1:N$4,2,FALSE))</f>
        <v>0</v>
      </c>
      <c r="N25" s="252">
        <f t="shared" si="6"/>
        <v>0</v>
      </c>
      <c r="O25" s="252">
        <v>0</v>
      </c>
      <c r="P25" s="252">
        <f t="shared" si="1"/>
        <v>0</v>
      </c>
      <c r="Q25" s="252">
        <f t="shared" si="7"/>
        <v>0</v>
      </c>
      <c r="R25" s="250"/>
      <c r="S25" s="757">
        <f>IF(INDEX('Cloud Price List'!$B$3:$N$1491,MATCH($A25,'Cloud Price List'!$A$3:$A$1491,0),8)="UC0",0,VLOOKUP($D25,S$1:T$4,2,FALSE))</f>
        <v>0</v>
      </c>
      <c r="T25" s="252">
        <f t="shared" si="8"/>
        <v>0</v>
      </c>
      <c r="U25" s="252">
        <v>0</v>
      </c>
      <c r="V25" s="252">
        <f t="shared" si="2"/>
        <v>0</v>
      </c>
      <c r="W25" s="252">
        <f t="shared" si="9"/>
        <v>0</v>
      </c>
      <c r="X25" s="250"/>
      <c r="Y25" s="757">
        <f>IF(INDEX('Cloud Price List'!$B$3:$N$1491,MATCH($A25,'Cloud Price List'!$A$3:$A$1491,0),8)="UC0",0,VLOOKUP($D25,Y$1:Z$4,2,FALSE))</f>
        <v>0</v>
      </c>
      <c r="Z25" s="252">
        <f t="shared" si="10"/>
        <v>0</v>
      </c>
      <c r="AA25" s="252">
        <v>0</v>
      </c>
      <c r="AB25" s="252">
        <f t="shared" si="3"/>
        <v>0</v>
      </c>
      <c r="AC25" s="252">
        <f t="shared" si="11"/>
        <v>0</v>
      </c>
      <c r="AD25" s="250"/>
      <c r="AE25" s="757">
        <f>IF(INDEX('Cloud Price List'!$B$3:$N$1491,MATCH($A25,'Cloud Price List'!$A$3:$A$1491,0),8)="UC0",0,VLOOKUP($D25,AE$1:AF$4,2,FALSE))</f>
        <v>0</v>
      </c>
      <c r="AF25" s="252">
        <f t="shared" si="12"/>
        <v>0</v>
      </c>
      <c r="AG25" s="252">
        <v>0</v>
      </c>
      <c r="AH25" s="252">
        <f t="shared" si="4"/>
        <v>0</v>
      </c>
      <c r="AI25" s="252">
        <f t="shared" si="13"/>
        <v>0</v>
      </c>
      <c r="AJ25" s="250"/>
      <c r="AK25" s="779" t="str">
        <f t="shared" si="14"/>
        <v/>
      </c>
      <c r="AL25" s="250"/>
      <c r="AM25" s="325" t="s">
        <v>589</v>
      </c>
    </row>
    <row r="26" spans="1:39" s="260" customFormat="1">
      <c r="A26" s="248" t="s">
        <v>1004</v>
      </c>
      <c r="B26" s="249" t="e">
        <f>VLOOKUP($A26,'Cloud Price List'!$A$3:$B$1500,2,FALSE)</f>
        <v>#N/A</v>
      </c>
      <c r="C26" s="443" t="e">
        <f>VLOOKUP($A26,'Cloud Price List'!$A$3:$M$1500,5,FALSE)</f>
        <v>#N/A</v>
      </c>
      <c r="D26" s="258" t="e">
        <f>VLOOKUP($A26,'Cloud Price List'!$A$3:$N$1500,10,FALSE)</f>
        <v>#N/A</v>
      </c>
      <c r="E26" s="265" t="e">
        <f>VLOOKUP($A26,'Cloud Price List'!$A$3:$D$1500,4,FALSE)*'Cloud Price List'!$E$1</f>
        <v>#N/A</v>
      </c>
      <c r="G26" s="757" t="e">
        <f>IF(INDEX('Cloud Price List'!$B$3:$N$1491,MATCH($A26,'Cloud Price List'!$A$3:$A$1491,0),8)="UC0",0,VLOOKUP($D26,G$1:H$4,2,FALSE))</f>
        <v>#N/A</v>
      </c>
      <c r="H26" s="252"/>
      <c r="I26" s="252">
        <v>0</v>
      </c>
      <c r="J26" s="252" t="e">
        <f t="shared" si="0"/>
        <v>#N/A</v>
      </c>
      <c r="K26" s="252" t="e">
        <f t="shared" si="5"/>
        <v>#N/A</v>
      </c>
      <c r="L26" s="250"/>
      <c r="M26" s="757" t="e">
        <f>IF(INDEX('Cloud Price List'!$B$3:$N$1491,MATCH($A26,'Cloud Price List'!$A$3:$A$1491,0),8)="UC0",0,VLOOKUP($D26,M$1:N$4,2,FALSE))</f>
        <v>#N/A</v>
      </c>
      <c r="N26" s="252">
        <f t="shared" si="6"/>
        <v>0</v>
      </c>
      <c r="O26" s="252">
        <v>0</v>
      </c>
      <c r="P26" s="252" t="e">
        <f t="shared" si="1"/>
        <v>#N/A</v>
      </c>
      <c r="Q26" s="252" t="e">
        <f t="shared" si="7"/>
        <v>#N/A</v>
      </c>
      <c r="R26" s="250"/>
      <c r="S26" s="757" t="e">
        <f>IF(INDEX('Cloud Price List'!$B$3:$N$1491,MATCH($A26,'Cloud Price List'!$A$3:$A$1491,0),8)="UC0",0,VLOOKUP($D26,S$1:T$4,2,FALSE))</f>
        <v>#N/A</v>
      </c>
      <c r="T26" s="252">
        <f t="shared" si="8"/>
        <v>0</v>
      </c>
      <c r="U26" s="252">
        <v>0</v>
      </c>
      <c r="V26" s="252" t="e">
        <f t="shared" si="2"/>
        <v>#N/A</v>
      </c>
      <c r="W26" s="252" t="e">
        <f t="shared" si="9"/>
        <v>#N/A</v>
      </c>
      <c r="X26" s="250"/>
      <c r="Y26" s="757" t="e">
        <f>IF(INDEX('Cloud Price List'!$B$3:$N$1491,MATCH($A26,'Cloud Price List'!$A$3:$A$1491,0),8)="UC0",0,VLOOKUP($D26,Y$1:Z$4,2,FALSE))</f>
        <v>#N/A</v>
      </c>
      <c r="Z26" s="252">
        <f t="shared" si="10"/>
        <v>0</v>
      </c>
      <c r="AA26" s="252">
        <v>0</v>
      </c>
      <c r="AB26" s="252" t="e">
        <f t="shared" si="3"/>
        <v>#N/A</v>
      </c>
      <c r="AC26" s="252" t="e">
        <f t="shared" si="11"/>
        <v>#N/A</v>
      </c>
      <c r="AD26" s="250"/>
      <c r="AE26" s="757" t="e">
        <f>IF(INDEX('Cloud Price List'!$B$3:$N$1491,MATCH($A26,'Cloud Price List'!$A$3:$A$1491,0),8)="UC0",0,VLOOKUP($D26,AE$1:AF$4,2,FALSE))</f>
        <v>#N/A</v>
      </c>
      <c r="AF26" s="252">
        <f t="shared" si="12"/>
        <v>0</v>
      </c>
      <c r="AG26" s="252">
        <v>0</v>
      </c>
      <c r="AH26" s="252" t="e">
        <f t="shared" si="4"/>
        <v>#N/A</v>
      </c>
      <c r="AI26" s="252" t="e">
        <f t="shared" si="13"/>
        <v>#N/A</v>
      </c>
      <c r="AJ26" s="250"/>
      <c r="AK26" s="779" t="str">
        <f t="shared" si="14"/>
        <v/>
      </c>
      <c r="AL26" s="250"/>
      <c r="AM26" s="325" t="s">
        <v>589</v>
      </c>
    </row>
    <row r="27" spans="1:39" s="260" customFormat="1">
      <c r="A27" s="247" t="s">
        <v>1191</v>
      </c>
      <c r="B27" s="249" t="str">
        <f>VLOOKUP($A27,'Cloud Price List'!$A$3:$B$1500,2,FALSE)</f>
        <v>Oracle Cloud Infrastructure - Database Cloud Service - 
Enterprise Edition Extreme Performance</v>
      </c>
      <c r="C27" s="443" t="str">
        <f>VLOOKUP($A27,'Cloud Price List'!$A$3:$M$1500,5,FALSE)</f>
        <v>OCPU Per Hour</v>
      </c>
      <c r="D27" s="258" t="str">
        <f>VLOOKUP($A27,'Cloud Price List'!$A$3:$N$1500,10,FALSE)</f>
        <v>PAAS</v>
      </c>
      <c r="E27" s="265">
        <f>VLOOKUP($A27,'Cloud Price List'!$A$3:$D$1500,4,FALSE)*'Cloud Price List'!$E$1</f>
        <v>1.3441000000000001</v>
      </c>
      <c r="G27" s="757">
        <f>IF(INDEX('Cloud Price List'!$B$3:$N$1491,MATCH($A27,'Cloud Price List'!$A$3:$A$1491,0),8)="UC0",0,VLOOKUP($D27,G$1:H$4,2,FALSE))</f>
        <v>0</v>
      </c>
      <c r="H27" s="252"/>
      <c r="I27" s="252">
        <v>0</v>
      </c>
      <c r="J27" s="252">
        <f t="shared" si="0"/>
        <v>0</v>
      </c>
      <c r="K27" s="252">
        <f t="shared" si="5"/>
        <v>0</v>
      </c>
      <c r="L27" s="250"/>
      <c r="M27" s="757">
        <f>IF(INDEX('Cloud Price List'!$B$3:$N$1491,MATCH($A27,'Cloud Price List'!$A$3:$A$1491,0),8)="UC0",0,VLOOKUP($D27,M$1:N$4,2,FALSE))</f>
        <v>0</v>
      </c>
      <c r="N27" s="252">
        <f t="shared" si="6"/>
        <v>0</v>
      </c>
      <c r="O27" s="252">
        <v>0</v>
      </c>
      <c r="P27" s="252">
        <f t="shared" si="1"/>
        <v>0</v>
      </c>
      <c r="Q27" s="252">
        <f t="shared" si="7"/>
        <v>0</v>
      </c>
      <c r="R27" s="250"/>
      <c r="S27" s="757">
        <f>IF(INDEX('Cloud Price List'!$B$3:$N$1491,MATCH($A27,'Cloud Price List'!$A$3:$A$1491,0),8)="UC0",0,VLOOKUP($D27,S$1:T$4,2,FALSE))</f>
        <v>0</v>
      </c>
      <c r="T27" s="252">
        <f t="shared" si="8"/>
        <v>0</v>
      </c>
      <c r="U27" s="252">
        <v>0</v>
      </c>
      <c r="V27" s="252">
        <f t="shared" si="2"/>
        <v>0</v>
      </c>
      <c r="W27" s="252">
        <f t="shared" si="9"/>
        <v>0</v>
      </c>
      <c r="X27" s="250"/>
      <c r="Y27" s="757">
        <f>IF(INDEX('Cloud Price List'!$B$3:$N$1491,MATCH($A27,'Cloud Price List'!$A$3:$A$1491,0),8)="UC0",0,VLOOKUP($D27,Y$1:Z$4,2,FALSE))</f>
        <v>0</v>
      </c>
      <c r="Z27" s="252">
        <f t="shared" si="10"/>
        <v>0</v>
      </c>
      <c r="AA27" s="252">
        <v>0</v>
      </c>
      <c r="AB27" s="252">
        <f t="shared" si="3"/>
        <v>0</v>
      </c>
      <c r="AC27" s="252">
        <f t="shared" si="11"/>
        <v>0</v>
      </c>
      <c r="AD27" s="250"/>
      <c r="AE27" s="757">
        <f>IF(INDEX('Cloud Price List'!$B$3:$N$1491,MATCH($A27,'Cloud Price List'!$A$3:$A$1491,0),8)="UC0",0,VLOOKUP($D27,AE$1:AF$4,2,FALSE))</f>
        <v>0</v>
      </c>
      <c r="AF27" s="252">
        <f t="shared" si="12"/>
        <v>0</v>
      </c>
      <c r="AG27" s="252">
        <v>0</v>
      </c>
      <c r="AH27" s="252">
        <f t="shared" si="4"/>
        <v>0</v>
      </c>
      <c r="AI27" s="252">
        <f t="shared" si="13"/>
        <v>0</v>
      </c>
      <c r="AJ27" s="250"/>
      <c r="AK27" s="779" t="str">
        <f t="shared" si="14"/>
        <v/>
      </c>
      <c r="AL27" s="250"/>
      <c r="AM27" s="325" t="s">
        <v>589</v>
      </c>
    </row>
    <row r="28" spans="1:39" s="260" customFormat="1">
      <c r="A28" s="248" t="s">
        <v>1006</v>
      </c>
      <c r="B28" s="249" t="e">
        <f>VLOOKUP($A28,'Cloud Price List'!$A$3:$B$1500,2,FALSE)</f>
        <v>#N/A</v>
      </c>
      <c r="C28" s="443" t="e">
        <f>VLOOKUP($A28,'Cloud Price List'!$A$3:$M$1500,5,FALSE)</f>
        <v>#N/A</v>
      </c>
      <c r="D28" s="258" t="e">
        <f>VLOOKUP($A28,'Cloud Price List'!$A$3:$N$1500,10,FALSE)</f>
        <v>#N/A</v>
      </c>
      <c r="E28" s="265" t="e">
        <f>VLOOKUP($A28,'Cloud Price List'!$A$3:$D$1500,4,FALSE)*'Cloud Price List'!$E$1</f>
        <v>#N/A</v>
      </c>
      <c r="G28" s="757" t="e">
        <f>IF(INDEX('Cloud Price List'!$B$3:$N$1491,MATCH($A28,'Cloud Price List'!$A$3:$A$1491,0),8)="UC0",0,VLOOKUP($D28,G$1:H$4,2,FALSE))</f>
        <v>#N/A</v>
      </c>
      <c r="H28" s="252"/>
      <c r="I28" s="252">
        <v>0</v>
      </c>
      <c r="J28" s="252" t="e">
        <f t="shared" si="0"/>
        <v>#N/A</v>
      </c>
      <c r="K28" s="252" t="e">
        <f t="shared" si="5"/>
        <v>#N/A</v>
      </c>
      <c r="L28" s="250"/>
      <c r="M28" s="757" t="e">
        <f>IF(INDEX('Cloud Price List'!$B$3:$N$1491,MATCH($A28,'Cloud Price List'!$A$3:$A$1491,0),8)="UC0",0,VLOOKUP($D28,M$1:N$4,2,FALSE))</f>
        <v>#N/A</v>
      </c>
      <c r="N28" s="252">
        <f t="shared" si="6"/>
        <v>0</v>
      </c>
      <c r="O28" s="252">
        <v>0</v>
      </c>
      <c r="P28" s="252" t="e">
        <f t="shared" si="1"/>
        <v>#N/A</v>
      </c>
      <c r="Q28" s="252" t="e">
        <f t="shared" si="7"/>
        <v>#N/A</v>
      </c>
      <c r="R28" s="250"/>
      <c r="S28" s="757" t="e">
        <f>IF(INDEX('Cloud Price List'!$B$3:$N$1491,MATCH($A28,'Cloud Price List'!$A$3:$A$1491,0),8)="UC0",0,VLOOKUP($D28,S$1:T$4,2,FALSE))</f>
        <v>#N/A</v>
      </c>
      <c r="T28" s="252">
        <f t="shared" si="8"/>
        <v>0</v>
      </c>
      <c r="U28" s="252">
        <v>0</v>
      </c>
      <c r="V28" s="252" t="e">
        <f t="shared" si="2"/>
        <v>#N/A</v>
      </c>
      <c r="W28" s="252" t="e">
        <f t="shared" si="9"/>
        <v>#N/A</v>
      </c>
      <c r="X28" s="250"/>
      <c r="Y28" s="757" t="e">
        <f>IF(INDEX('Cloud Price List'!$B$3:$N$1491,MATCH($A28,'Cloud Price List'!$A$3:$A$1491,0),8)="UC0",0,VLOOKUP($D28,Y$1:Z$4,2,FALSE))</f>
        <v>#N/A</v>
      </c>
      <c r="Z28" s="252">
        <f t="shared" si="10"/>
        <v>0</v>
      </c>
      <c r="AA28" s="252">
        <v>0</v>
      </c>
      <c r="AB28" s="252" t="e">
        <f t="shared" si="3"/>
        <v>#N/A</v>
      </c>
      <c r="AC28" s="252" t="e">
        <f t="shared" si="11"/>
        <v>#N/A</v>
      </c>
      <c r="AD28" s="250"/>
      <c r="AE28" s="757" t="e">
        <f>IF(INDEX('Cloud Price List'!$B$3:$N$1491,MATCH($A28,'Cloud Price List'!$A$3:$A$1491,0),8)="UC0",0,VLOOKUP($D28,AE$1:AF$4,2,FALSE))</f>
        <v>#N/A</v>
      </c>
      <c r="AF28" s="252">
        <f t="shared" si="12"/>
        <v>0</v>
      </c>
      <c r="AG28" s="252">
        <v>0</v>
      </c>
      <c r="AH28" s="252" t="e">
        <f t="shared" si="4"/>
        <v>#N/A</v>
      </c>
      <c r="AI28" s="252" t="e">
        <f t="shared" si="13"/>
        <v>#N/A</v>
      </c>
      <c r="AJ28" s="250"/>
      <c r="AK28" s="779" t="str">
        <f t="shared" si="14"/>
        <v/>
      </c>
      <c r="AL28" s="250"/>
      <c r="AM28" s="325" t="s">
        <v>589</v>
      </c>
    </row>
    <row r="29" spans="1:39" s="260" customFormat="1">
      <c r="A29" s="247" t="s">
        <v>1188</v>
      </c>
      <c r="B29" s="249" t="str">
        <f>VLOOKUP($A29,'Cloud Price List'!$A$3:$B$1500,2,FALSE)</f>
        <v>Oracle Cloud Infrastructure - Database Cloud Service - Standard Edition</v>
      </c>
      <c r="C29" s="443" t="str">
        <f>VLOOKUP($A29,'Cloud Price List'!$A$3:$M$1500,5,FALSE)</f>
        <v>OCPU Per Hour</v>
      </c>
      <c r="D29" s="258" t="str">
        <f>VLOOKUP($A29,'Cloud Price List'!$A$3:$N$1500,10,FALSE)</f>
        <v>PAAS</v>
      </c>
      <c r="E29" s="265">
        <f>VLOOKUP($A29,'Cloud Price List'!$A$3:$D$1500,4,FALSE)*'Cloud Price List'!$E$1</f>
        <v>0.215</v>
      </c>
      <c r="G29" s="757">
        <f>IF(INDEX('Cloud Price List'!$B$3:$N$1491,MATCH($A29,'Cloud Price List'!$A$3:$A$1491,0),8)="UC0",0,VLOOKUP($D29,G$1:H$4,2,FALSE))</f>
        <v>0</v>
      </c>
      <c r="H29" s="252"/>
      <c r="I29" s="252">
        <v>0</v>
      </c>
      <c r="J29" s="252">
        <f t="shared" si="0"/>
        <v>0</v>
      </c>
      <c r="K29" s="252">
        <f t="shared" si="5"/>
        <v>0</v>
      </c>
      <c r="L29" s="250"/>
      <c r="M29" s="757">
        <f>IF(INDEX('Cloud Price List'!$B$3:$N$1491,MATCH($A29,'Cloud Price List'!$A$3:$A$1491,0),8)="UC0",0,VLOOKUP($D29,M$1:N$4,2,FALSE))</f>
        <v>0</v>
      </c>
      <c r="N29" s="252">
        <f t="shared" si="6"/>
        <v>0</v>
      </c>
      <c r="O29" s="252">
        <v>0</v>
      </c>
      <c r="P29" s="252">
        <f t="shared" si="1"/>
        <v>0</v>
      </c>
      <c r="Q29" s="252">
        <f t="shared" si="7"/>
        <v>0</v>
      </c>
      <c r="R29" s="250"/>
      <c r="S29" s="757">
        <f>IF(INDEX('Cloud Price List'!$B$3:$N$1491,MATCH($A29,'Cloud Price List'!$A$3:$A$1491,0),8)="UC0",0,VLOOKUP($D29,S$1:T$4,2,FALSE))</f>
        <v>0</v>
      </c>
      <c r="T29" s="252">
        <f t="shared" si="8"/>
        <v>0</v>
      </c>
      <c r="U29" s="252">
        <v>0</v>
      </c>
      <c r="V29" s="252">
        <f t="shared" si="2"/>
        <v>0</v>
      </c>
      <c r="W29" s="252">
        <f t="shared" si="9"/>
        <v>0</v>
      </c>
      <c r="X29" s="250"/>
      <c r="Y29" s="757">
        <f>IF(INDEX('Cloud Price List'!$B$3:$N$1491,MATCH($A29,'Cloud Price List'!$A$3:$A$1491,0),8)="UC0",0,VLOOKUP($D29,Y$1:Z$4,2,FALSE))</f>
        <v>0</v>
      </c>
      <c r="Z29" s="252">
        <f t="shared" si="10"/>
        <v>0</v>
      </c>
      <c r="AA29" s="252">
        <v>0</v>
      </c>
      <c r="AB29" s="252">
        <f t="shared" si="3"/>
        <v>0</v>
      </c>
      <c r="AC29" s="252">
        <f t="shared" si="11"/>
        <v>0</v>
      </c>
      <c r="AD29" s="250"/>
      <c r="AE29" s="757">
        <f>IF(INDEX('Cloud Price List'!$B$3:$N$1491,MATCH($A29,'Cloud Price List'!$A$3:$A$1491,0),8)="UC0",0,VLOOKUP($D29,AE$1:AF$4,2,FALSE))</f>
        <v>0</v>
      </c>
      <c r="AF29" s="252">
        <f t="shared" si="12"/>
        <v>0</v>
      </c>
      <c r="AG29" s="252">
        <v>0</v>
      </c>
      <c r="AH29" s="252">
        <f t="shared" si="4"/>
        <v>0</v>
      </c>
      <c r="AI29" s="252">
        <f t="shared" si="13"/>
        <v>0</v>
      </c>
      <c r="AJ29" s="250"/>
      <c r="AK29" s="779" t="str">
        <f t="shared" si="14"/>
        <v/>
      </c>
      <c r="AL29" s="250"/>
      <c r="AM29" s="325" t="s">
        <v>589</v>
      </c>
    </row>
    <row r="30" spans="1:39" s="260" customFormat="1">
      <c r="A30" s="248" t="s">
        <v>1000</v>
      </c>
      <c r="B30" s="249" t="e">
        <f>VLOOKUP($A30,'Cloud Price List'!$A$3:$B$1500,2,FALSE)</f>
        <v>#N/A</v>
      </c>
      <c r="C30" s="443" t="e">
        <f>VLOOKUP($A30,'Cloud Price List'!$A$3:$M$1500,5,FALSE)</f>
        <v>#N/A</v>
      </c>
      <c r="D30" s="258" t="e">
        <f>VLOOKUP($A30,'Cloud Price List'!$A$3:$N$1500,10,FALSE)</f>
        <v>#N/A</v>
      </c>
      <c r="E30" s="265" t="e">
        <f>VLOOKUP($A30,'Cloud Price List'!$A$3:$D$1500,4,FALSE)*'Cloud Price List'!$E$1</f>
        <v>#N/A</v>
      </c>
      <c r="G30" s="757" t="e">
        <f>IF(INDEX('Cloud Price List'!$B$3:$N$1491,MATCH($A30,'Cloud Price List'!$A$3:$A$1491,0),8)="UC0",0,VLOOKUP($D30,G$1:H$4,2,FALSE))</f>
        <v>#N/A</v>
      </c>
      <c r="H30" s="252"/>
      <c r="I30" s="252">
        <v>0</v>
      </c>
      <c r="J30" s="252" t="e">
        <f t="shared" si="0"/>
        <v>#N/A</v>
      </c>
      <c r="K30" s="252" t="e">
        <f t="shared" si="5"/>
        <v>#N/A</v>
      </c>
      <c r="L30" s="250"/>
      <c r="M30" s="757" t="e">
        <f>IF(INDEX('Cloud Price List'!$B$3:$N$1491,MATCH($A30,'Cloud Price List'!$A$3:$A$1491,0),8)="UC0",0,VLOOKUP($D30,M$1:N$4,2,FALSE))</f>
        <v>#N/A</v>
      </c>
      <c r="N30" s="252">
        <f t="shared" si="6"/>
        <v>0</v>
      </c>
      <c r="O30" s="252">
        <v>0</v>
      </c>
      <c r="P30" s="252" t="e">
        <f t="shared" si="1"/>
        <v>#N/A</v>
      </c>
      <c r="Q30" s="252" t="e">
        <f t="shared" si="7"/>
        <v>#N/A</v>
      </c>
      <c r="R30" s="250"/>
      <c r="S30" s="757" t="e">
        <f>IF(INDEX('Cloud Price List'!$B$3:$N$1491,MATCH($A30,'Cloud Price List'!$A$3:$A$1491,0),8)="UC0",0,VLOOKUP($D30,S$1:T$4,2,FALSE))</f>
        <v>#N/A</v>
      </c>
      <c r="T30" s="252">
        <f t="shared" si="8"/>
        <v>0</v>
      </c>
      <c r="U30" s="252">
        <v>0</v>
      </c>
      <c r="V30" s="252" t="e">
        <f t="shared" si="2"/>
        <v>#N/A</v>
      </c>
      <c r="W30" s="252" t="e">
        <f t="shared" si="9"/>
        <v>#N/A</v>
      </c>
      <c r="X30" s="250"/>
      <c r="Y30" s="757" t="e">
        <f>IF(INDEX('Cloud Price List'!$B$3:$N$1491,MATCH($A30,'Cloud Price List'!$A$3:$A$1491,0),8)="UC0",0,VLOOKUP($D30,Y$1:Z$4,2,FALSE))</f>
        <v>#N/A</v>
      </c>
      <c r="Z30" s="252">
        <f t="shared" si="10"/>
        <v>0</v>
      </c>
      <c r="AA30" s="252">
        <v>0</v>
      </c>
      <c r="AB30" s="252" t="e">
        <f t="shared" si="3"/>
        <v>#N/A</v>
      </c>
      <c r="AC30" s="252" t="e">
        <f t="shared" si="11"/>
        <v>#N/A</v>
      </c>
      <c r="AD30" s="250"/>
      <c r="AE30" s="757" t="e">
        <f>IF(INDEX('Cloud Price List'!$B$3:$N$1491,MATCH($A30,'Cloud Price List'!$A$3:$A$1491,0),8)="UC0",0,VLOOKUP($D30,AE$1:AF$4,2,FALSE))</f>
        <v>#N/A</v>
      </c>
      <c r="AF30" s="252">
        <f t="shared" si="12"/>
        <v>0</v>
      </c>
      <c r="AG30" s="252">
        <v>0</v>
      </c>
      <c r="AH30" s="252" t="e">
        <f t="shared" si="4"/>
        <v>#N/A</v>
      </c>
      <c r="AI30" s="252" t="e">
        <f t="shared" si="13"/>
        <v>#N/A</v>
      </c>
      <c r="AJ30" s="250"/>
      <c r="AK30" s="779" t="str">
        <f t="shared" si="14"/>
        <v/>
      </c>
      <c r="AL30" s="250"/>
      <c r="AM30" s="325" t="s">
        <v>589</v>
      </c>
    </row>
    <row r="31" spans="1:39" s="260" customFormat="1">
      <c r="A31" s="249" t="s">
        <v>1068</v>
      </c>
      <c r="B31" s="249" t="str">
        <f>VLOOKUP($A31,'Cloud Price List'!$A$3:$B$1500,2,FALSE)</f>
        <v xml:space="preserve">Oracle Cloud Infrastructure - Database Exadata Infrastructure - Quarter Rack - X7
</v>
      </c>
      <c r="C31" s="443" t="str">
        <f>VLOOKUP($A31,'Cloud Price List'!$A$3:$M$1500,5,FALSE)</f>
        <v>Hosted Environment Per Hour</v>
      </c>
      <c r="D31" s="258" t="str">
        <f>VLOOKUP($A31,'Cloud Price List'!$A$3:$N$1500,10,FALSE)</f>
        <v>PAAS</v>
      </c>
      <c r="E31" s="265">
        <f>VLOOKUP($A31,'Cloud Price List'!$A$3:$D$1500,4,FALSE)*'Cloud Price List'!$E$1</f>
        <v>21.505400000000002</v>
      </c>
      <c r="G31" s="757">
        <f>IF(INDEX('Cloud Price List'!$B$3:$N$1491,MATCH($A31,'Cloud Price List'!$A$3:$A$1491,0),8)="UC0",0,VLOOKUP($D31,G$1:H$4,2,FALSE))</f>
        <v>0</v>
      </c>
      <c r="H31" s="252"/>
      <c r="I31" s="252">
        <v>0</v>
      </c>
      <c r="J31" s="252">
        <f t="shared" si="0"/>
        <v>0</v>
      </c>
      <c r="K31" s="252">
        <f t="shared" si="5"/>
        <v>0</v>
      </c>
      <c r="L31" s="250"/>
      <c r="M31" s="757">
        <f>IF(INDEX('Cloud Price List'!$B$3:$N$1491,MATCH($A31,'Cloud Price List'!$A$3:$A$1491,0),8)="UC0",0,VLOOKUP($D31,M$1:N$4,2,FALSE))</f>
        <v>0</v>
      </c>
      <c r="N31" s="252">
        <f t="shared" si="6"/>
        <v>0</v>
      </c>
      <c r="O31" s="252">
        <v>0</v>
      </c>
      <c r="P31" s="252">
        <f t="shared" si="1"/>
        <v>0</v>
      </c>
      <c r="Q31" s="252">
        <f t="shared" si="7"/>
        <v>0</v>
      </c>
      <c r="R31" s="250"/>
      <c r="S31" s="757">
        <f>IF(INDEX('Cloud Price List'!$B$3:$N$1491,MATCH($A31,'Cloud Price List'!$A$3:$A$1491,0),8)="UC0",0,VLOOKUP($D31,S$1:T$4,2,FALSE))</f>
        <v>0</v>
      </c>
      <c r="T31" s="252">
        <f t="shared" si="8"/>
        <v>0</v>
      </c>
      <c r="U31" s="252">
        <v>0</v>
      </c>
      <c r="V31" s="252">
        <f t="shared" si="2"/>
        <v>0</v>
      </c>
      <c r="W31" s="252">
        <f t="shared" si="9"/>
        <v>0</v>
      </c>
      <c r="X31" s="250"/>
      <c r="Y31" s="757">
        <f>IF(INDEX('Cloud Price List'!$B$3:$N$1491,MATCH($A31,'Cloud Price List'!$A$3:$A$1491,0),8)="UC0",0,VLOOKUP($D31,Y$1:Z$4,2,FALSE))</f>
        <v>0</v>
      </c>
      <c r="Z31" s="252">
        <f t="shared" si="10"/>
        <v>0</v>
      </c>
      <c r="AA31" s="252">
        <v>0</v>
      </c>
      <c r="AB31" s="252">
        <f t="shared" si="3"/>
        <v>0</v>
      </c>
      <c r="AC31" s="252">
        <f t="shared" si="11"/>
        <v>0</v>
      </c>
      <c r="AD31" s="250"/>
      <c r="AE31" s="757">
        <f>IF(INDEX('Cloud Price List'!$B$3:$N$1491,MATCH($A31,'Cloud Price List'!$A$3:$A$1491,0),8)="UC0",0,VLOOKUP($D31,AE$1:AF$4,2,FALSE))</f>
        <v>0</v>
      </c>
      <c r="AF31" s="252">
        <f t="shared" si="12"/>
        <v>0</v>
      </c>
      <c r="AG31" s="252">
        <v>0</v>
      </c>
      <c r="AH31" s="252">
        <f t="shared" si="4"/>
        <v>0</v>
      </c>
      <c r="AI31" s="252">
        <f t="shared" si="13"/>
        <v>0</v>
      </c>
      <c r="AJ31" s="250"/>
      <c r="AK31" s="779" t="str">
        <f t="shared" si="14"/>
        <v/>
      </c>
      <c r="AL31" s="250"/>
      <c r="AM31" s="325" t="s">
        <v>589</v>
      </c>
    </row>
    <row r="32" spans="1:39" s="260" customFormat="1">
      <c r="A32" s="249" t="s">
        <v>1069</v>
      </c>
      <c r="B32" s="249" t="str">
        <f>VLOOKUP($A32,'Cloud Price List'!$A$3:$B$1500,2,FALSE)</f>
        <v xml:space="preserve">Oracle Cloud Infrastructure - Database Exadata Infrastructure - Half Rack - X7
</v>
      </c>
      <c r="C32" s="443" t="str">
        <f>VLOOKUP($A32,'Cloud Price List'!$A$3:$M$1500,5,FALSE)</f>
        <v>Hosted Environment Per Hour</v>
      </c>
      <c r="D32" s="258" t="str">
        <f>VLOOKUP($A32,'Cloud Price List'!$A$3:$N$1500,10,FALSE)</f>
        <v>PAAS</v>
      </c>
      <c r="E32" s="265">
        <f>VLOOKUP($A32,'Cloud Price List'!$A$3:$D$1500,4,FALSE)*'Cloud Price List'!$E$1</f>
        <v>43.0107</v>
      </c>
      <c r="G32" s="757">
        <f>IF(INDEX('Cloud Price List'!$B$3:$N$1491,MATCH($A32,'Cloud Price List'!$A$3:$A$1491,0),8)="UC0",0,VLOOKUP($D32,G$1:H$4,2,FALSE))</f>
        <v>0</v>
      </c>
      <c r="H32" s="252"/>
      <c r="I32" s="252">
        <v>0</v>
      </c>
      <c r="J32" s="252">
        <f t="shared" si="0"/>
        <v>0</v>
      </c>
      <c r="K32" s="252">
        <f t="shared" si="5"/>
        <v>0</v>
      </c>
      <c r="L32" s="250"/>
      <c r="M32" s="757">
        <f>IF(INDEX('Cloud Price List'!$B$3:$N$1491,MATCH($A32,'Cloud Price List'!$A$3:$A$1491,0),8)="UC0",0,VLOOKUP($D32,M$1:N$4,2,FALSE))</f>
        <v>0</v>
      </c>
      <c r="N32" s="252">
        <f t="shared" si="6"/>
        <v>0</v>
      </c>
      <c r="O32" s="252">
        <v>0</v>
      </c>
      <c r="P32" s="252">
        <f t="shared" si="1"/>
        <v>0</v>
      </c>
      <c r="Q32" s="252">
        <f t="shared" si="7"/>
        <v>0</v>
      </c>
      <c r="R32" s="250"/>
      <c r="S32" s="757">
        <f>IF(INDEX('Cloud Price List'!$B$3:$N$1491,MATCH($A32,'Cloud Price List'!$A$3:$A$1491,0),8)="UC0",0,VLOOKUP($D32,S$1:T$4,2,FALSE))</f>
        <v>0</v>
      </c>
      <c r="T32" s="252">
        <f t="shared" si="8"/>
        <v>0</v>
      </c>
      <c r="U32" s="252">
        <v>0</v>
      </c>
      <c r="V32" s="252">
        <f t="shared" si="2"/>
        <v>0</v>
      </c>
      <c r="W32" s="252">
        <f t="shared" si="9"/>
        <v>0</v>
      </c>
      <c r="X32" s="250"/>
      <c r="Y32" s="757">
        <f>IF(INDEX('Cloud Price List'!$B$3:$N$1491,MATCH($A32,'Cloud Price List'!$A$3:$A$1491,0),8)="UC0",0,VLOOKUP($D32,Y$1:Z$4,2,FALSE))</f>
        <v>0</v>
      </c>
      <c r="Z32" s="252">
        <f t="shared" si="10"/>
        <v>0</v>
      </c>
      <c r="AA32" s="252">
        <v>0</v>
      </c>
      <c r="AB32" s="252">
        <f t="shared" si="3"/>
        <v>0</v>
      </c>
      <c r="AC32" s="252">
        <f t="shared" si="11"/>
        <v>0</v>
      </c>
      <c r="AD32" s="250"/>
      <c r="AE32" s="757">
        <f>IF(INDEX('Cloud Price List'!$B$3:$N$1491,MATCH($A32,'Cloud Price List'!$A$3:$A$1491,0),8)="UC0",0,VLOOKUP($D32,AE$1:AF$4,2,FALSE))</f>
        <v>0</v>
      </c>
      <c r="AF32" s="252">
        <f t="shared" si="12"/>
        <v>0</v>
      </c>
      <c r="AG32" s="252">
        <v>0</v>
      </c>
      <c r="AH32" s="252">
        <f t="shared" si="4"/>
        <v>0</v>
      </c>
      <c r="AI32" s="252">
        <f t="shared" si="13"/>
        <v>0</v>
      </c>
      <c r="AJ32" s="250"/>
      <c r="AK32" s="779" t="str">
        <f t="shared" si="14"/>
        <v/>
      </c>
      <c r="AL32" s="250"/>
      <c r="AM32" s="325" t="s">
        <v>589</v>
      </c>
    </row>
    <row r="33" spans="1:39" s="260" customFormat="1">
      <c r="A33" s="249" t="s">
        <v>1070</v>
      </c>
      <c r="B33" s="249" t="str">
        <f>VLOOKUP($A33,'Cloud Price List'!$A$3:$B$1500,2,FALSE)</f>
        <v xml:space="preserve">Oracle Cloud Infrastructure - Database Exadata Infrastructure - Full Rack - X7
</v>
      </c>
      <c r="C33" s="443" t="str">
        <f>VLOOKUP($A33,'Cloud Price List'!$A$3:$M$1500,5,FALSE)</f>
        <v>Hosted Environment Per Hour</v>
      </c>
      <c r="D33" s="258" t="str">
        <f>VLOOKUP($A33,'Cloud Price List'!$A$3:$N$1500,10,FALSE)</f>
        <v>PAAS</v>
      </c>
      <c r="E33" s="265">
        <f>VLOOKUP($A33,'Cloud Price List'!$A$3:$D$1500,4,FALSE)*'Cloud Price List'!$E$1</f>
        <v>86.021500000000003</v>
      </c>
      <c r="G33" s="757">
        <f>IF(INDEX('Cloud Price List'!$B$3:$N$1491,MATCH($A33,'Cloud Price List'!$A$3:$A$1491,0),8)="UC0",0,VLOOKUP($D33,G$1:H$4,2,FALSE))</f>
        <v>0</v>
      </c>
      <c r="H33" s="252"/>
      <c r="I33" s="252">
        <v>0</v>
      </c>
      <c r="J33" s="252">
        <f t="shared" si="0"/>
        <v>0</v>
      </c>
      <c r="K33" s="252">
        <f t="shared" si="5"/>
        <v>0</v>
      </c>
      <c r="L33" s="250"/>
      <c r="M33" s="757">
        <f>IF(INDEX('Cloud Price List'!$B$3:$N$1491,MATCH($A33,'Cloud Price List'!$A$3:$A$1491,0),8)="UC0",0,VLOOKUP($D33,M$1:N$4,2,FALSE))</f>
        <v>0</v>
      </c>
      <c r="N33" s="252">
        <f t="shared" si="6"/>
        <v>0</v>
      </c>
      <c r="O33" s="252">
        <v>0</v>
      </c>
      <c r="P33" s="252">
        <f t="shared" si="1"/>
        <v>0</v>
      </c>
      <c r="Q33" s="252">
        <f t="shared" si="7"/>
        <v>0</v>
      </c>
      <c r="R33" s="250"/>
      <c r="S33" s="757">
        <f>IF(INDEX('Cloud Price List'!$B$3:$N$1491,MATCH($A33,'Cloud Price List'!$A$3:$A$1491,0),8)="UC0",0,VLOOKUP($D33,S$1:T$4,2,FALSE))</f>
        <v>0</v>
      </c>
      <c r="T33" s="252">
        <f t="shared" si="8"/>
        <v>0</v>
      </c>
      <c r="U33" s="252">
        <v>0</v>
      </c>
      <c r="V33" s="252">
        <f t="shared" si="2"/>
        <v>0</v>
      </c>
      <c r="W33" s="252">
        <f t="shared" si="9"/>
        <v>0</v>
      </c>
      <c r="X33" s="250"/>
      <c r="Y33" s="757">
        <f>IF(INDEX('Cloud Price List'!$B$3:$N$1491,MATCH($A33,'Cloud Price List'!$A$3:$A$1491,0),8)="UC0",0,VLOOKUP($D33,Y$1:Z$4,2,FALSE))</f>
        <v>0</v>
      </c>
      <c r="Z33" s="252">
        <f t="shared" si="10"/>
        <v>0</v>
      </c>
      <c r="AA33" s="252">
        <v>0</v>
      </c>
      <c r="AB33" s="252">
        <f t="shared" si="3"/>
        <v>0</v>
      </c>
      <c r="AC33" s="252">
        <f t="shared" si="11"/>
        <v>0</v>
      </c>
      <c r="AD33" s="250"/>
      <c r="AE33" s="757">
        <f>IF(INDEX('Cloud Price List'!$B$3:$N$1491,MATCH($A33,'Cloud Price List'!$A$3:$A$1491,0),8)="UC0",0,VLOOKUP($D33,AE$1:AF$4,2,FALSE))</f>
        <v>0</v>
      </c>
      <c r="AF33" s="252">
        <f t="shared" si="12"/>
        <v>0</v>
      </c>
      <c r="AG33" s="252">
        <v>0</v>
      </c>
      <c r="AH33" s="252">
        <f t="shared" si="4"/>
        <v>0</v>
      </c>
      <c r="AI33" s="252">
        <f t="shared" si="13"/>
        <v>0</v>
      </c>
      <c r="AJ33" s="250"/>
      <c r="AK33" s="779" t="str">
        <f t="shared" si="14"/>
        <v/>
      </c>
      <c r="AL33" s="250"/>
      <c r="AM33" s="325" t="s">
        <v>589</v>
      </c>
    </row>
    <row r="34" spans="1:39" s="260" customFormat="1">
      <c r="A34" s="249" t="s">
        <v>1329</v>
      </c>
      <c r="B34" s="249" t="str">
        <f>VLOOKUP($A34,'Cloud Price List'!$A$3:$B$1500,2,FALSE)</f>
        <v>Oracle Cloud Infrastructure - Database Exadata Infrastructure - Base System</v>
      </c>
      <c r="C34" s="443" t="str">
        <f>VLOOKUP($A34,'Cloud Price List'!$A$3:$M$1500,5,FALSE)</f>
        <v>Hosted Environment Per Hour</v>
      </c>
      <c r="D34" s="258" t="str">
        <f>VLOOKUP($A34,'Cloud Price List'!$A$3:$N$1500,10,FALSE)</f>
        <v>PAAS</v>
      </c>
      <c r="E34" s="265">
        <f>VLOOKUP($A34,'Cloud Price List'!$A$3:$D$1500,4,FALSE)*'Cloud Price List'!$E$1</f>
        <v>10.752700000000001</v>
      </c>
      <c r="G34" s="757">
        <f>IF(INDEX('Cloud Price List'!$B$3:$N$1491,MATCH($A34,'Cloud Price List'!$A$3:$A$1491,0),8)="UC0",0,VLOOKUP($D34,G$1:H$4,2,FALSE))</f>
        <v>0</v>
      </c>
      <c r="H34" s="252"/>
      <c r="I34" s="252">
        <v>0</v>
      </c>
      <c r="J34" s="252">
        <f t="shared" si="0"/>
        <v>0</v>
      </c>
      <c r="K34" s="252">
        <f t="shared" si="5"/>
        <v>0</v>
      </c>
      <c r="L34" s="250"/>
      <c r="M34" s="757">
        <f>IF(INDEX('Cloud Price List'!$B$3:$N$1491,MATCH($A34,'Cloud Price List'!$A$3:$A$1491,0),8)="UC0",0,VLOOKUP($D34,M$1:N$4,2,FALSE))</f>
        <v>0</v>
      </c>
      <c r="N34" s="252">
        <f t="shared" si="6"/>
        <v>0</v>
      </c>
      <c r="O34" s="252">
        <v>0</v>
      </c>
      <c r="P34" s="252">
        <f t="shared" si="1"/>
        <v>0</v>
      </c>
      <c r="Q34" s="252">
        <f t="shared" si="7"/>
        <v>0</v>
      </c>
      <c r="R34" s="250"/>
      <c r="S34" s="757">
        <f>IF(INDEX('Cloud Price List'!$B$3:$N$1491,MATCH($A34,'Cloud Price List'!$A$3:$A$1491,0),8)="UC0",0,VLOOKUP($D34,S$1:T$4,2,FALSE))</f>
        <v>0</v>
      </c>
      <c r="T34" s="252">
        <f t="shared" si="8"/>
        <v>0</v>
      </c>
      <c r="U34" s="252">
        <v>0</v>
      </c>
      <c r="V34" s="252">
        <f t="shared" si="2"/>
        <v>0</v>
      </c>
      <c r="W34" s="252">
        <f t="shared" si="9"/>
        <v>0</v>
      </c>
      <c r="X34" s="250"/>
      <c r="Y34" s="757">
        <f>IF(INDEX('Cloud Price List'!$B$3:$N$1491,MATCH($A34,'Cloud Price List'!$A$3:$A$1491,0),8)="UC0",0,VLOOKUP($D34,Y$1:Z$4,2,FALSE))</f>
        <v>0</v>
      </c>
      <c r="Z34" s="252">
        <f t="shared" si="10"/>
        <v>0</v>
      </c>
      <c r="AA34" s="252">
        <v>0</v>
      </c>
      <c r="AB34" s="252">
        <f t="shared" si="3"/>
        <v>0</v>
      </c>
      <c r="AC34" s="252">
        <f t="shared" si="11"/>
        <v>0</v>
      </c>
      <c r="AD34" s="250"/>
      <c r="AE34" s="757">
        <f>IF(INDEX('Cloud Price List'!$B$3:$N$1491,MATCH($A34,'Cloud Price List'!$A$3:$A$1491,0),8)="UC0",0,VLOOKUP($D34,AE$1:AF$4,2,FALSE))</f>
        <v>0</v>
      </c>
      <c r="AF34" s="252">
        <f t="shared" si="12"/>
        <v>0</v>
      </c>
      <c r="AG34" s="252">
        <v>0</v>
      </c>
      <c r="AH34" s="252">
        <f t="shared" si="4"/>
        <v>0</v>
      </c>
      <c r="AI34" s="252">
        <f t="shared" si="13"/>
        <v>0</v>
      </c>
      <c r="AJ34" s="250"/>
      <c r="AK34" s="779" t="str">
        <f t="shared" si="14"/>
        <v/>
      </c>
      <c r="AL34" s="250"/>
      <c r="AM34" s="325" t="s">
        <v>589</v>
      </c>
    </row>
    <row r="35" spans="1:39" s="260" customFormat="1">
      <c r="A35" s="249" t="s">
        <v>1950</v>
      </c>
      <c r="B35" s="249" t="str">
        <f>VLOOKUP($A35,'Cloud Price List'!$A$3:$B$1500,2,FALSE)</f>
        <v xml:space="preserve">Oracle Cloud Infrastructure - Database Exadata Infrastructure - Quarter Rack - X8
</v>
      </c>
      <c r="C35" s="443" t="str">
        <f>VLOOKUP($A35,'Cloud Price List'!$A$3:$M$1500,5,FALSE)</f>
        <v>Hosted Environment Per Hour</v>
      </c>
      <c r="D35" s="258" t="str">
        <f>VLOOKUP($A35,'Cloud Price List'!$A$3:$N$1500,10,FALSE)</f>
        <v>PAAS</v>
      </c>
      <c r="E35" s="265">
        <f>VLOOKUP($A35,'Cloud Price List'!$A$3:$D$1500,4,FALSE)*'Cloud Price List'!$E$1</f>
        <v>14.5162</v>
      </c>
      <c r="G35" s="757">
        <f>IF(INDEX('Cloud Price List'!$B$3:$N$1491,MATCH($A35,'Cloud Price List'!$A$3:$A$1491,0),8)="UC0",0,VLOOKUP($D35,G$1:H$4,2,FALSE))</f>
        <v>0</v>
      </c>
      <c r="H35" s="252"/>
      <c r="I35" s="252">
        <v>0</v>
      </c>
      <c r="J35" s="252">
        <f t="shared" si="0"/>
        <v>0</v>
      </c>
      <c r="K35" s="252">
        <f t="shared" si="5"/>
        <v>0</v>
      </c>
      <c r="L35" s="250"/>
      <c r="M35" s="757">
        <f>IF(INDEX('Cloud Price List'!$B$3:$N$1491,MATCH($A35,'Cloud Price List'!$A$3:$A$1491,0),8)="UC0",0,VLOOKUP($D35,M$1:N$4,2,FALSE))</f>
        <v>0</v>
      </c>
      <c r="N35" s="252">
        <f t="shared" si="6"/>
        <v>0</v>
      </c>
      <c r="O35" s="252">
        <v>0</v>
      </c>
      <c r="P35" s="252">
        <f t="shared" si="1"/>
        <v>0</v>
      </c>
      <c r="Q35" s="252">
        <f t="shared" si="7"/>
        <v>0</v>
      </c>
      <c r="R35" s="250"/>
      <c r="S35" s="757">
        <f>IF(INDEX('Cloud Price List'!$B$3:$N$1491,MATCH($A35,'Cloud Price List'!$A$3:$A$1491,0),8)="UC0",0,VLOOKUP($D35,S$1:T$4,2,FALSE))</f>
        <v>0</v>
      </c>
      <c r="T35" s="252">
        <f t="shared" si="8"/>
        <v>0</v>
      </c>
      <c r="U35" s="252">
        <v>0</v>
      </c>
      <c r="V35" s="252">
        <f t="shared" si="2"/>
        <v>0</v>
      </c>
      <c r="W35" s="252">
        <f t="shared" si="9"/>
        <v>0</v>
      </c>
      <c r="X35" s="250"/>
      <c r="Y35" s="757">
        <f>IF(INDEX('Cloud Price List'!$B$3:$N$1491,MATCH($A35,'Cloud Price List'!$A$3:$A$1491,0),8)="UC0",0,VLOOKUP($D35,Y$1:Z$4,2,FALSE))</f>
        <v>0</v>
      </c>
      <c r="Z35" s="252">
        <f t="shared" si="10"/>
        <v>0</v>
      </c>
      <c r="AA35" s="252">
        <v>0</v>
      </c>
      <c r="AB35" s="252">
        <f t="shared" si="3"/>
        <v>0</v>
      </c>
      <c r="AC35" s="252">
        <f t="shared" si="11"/>
        <v>0</v>
      </c>
      <c r="AD35" s="250"/>
      <c r="AE35" s="757">
        <f>IF(INDEX('Cloud Price List'!$B$3:$N$1491,MATCH($A35,'Cloud Price List'!$A$3:$A$1491,0),8)="UC0",0,VLOOKUP($D35,AE$1:AF$4,2,FALSE))</f>
        <v>0</v>
      </c>
      <c r="AF35" s="252">
        <f t="shared" si="12"/>
        <v>0</v>
      </c>
      <c r="AG35" s="252">
        <v>0</v>
      </c>
      <c r="AH35" s="252">
        <f t="shared" si="4"/>
        <v>0</v>
      </c>
      <c r="AI35" s="252">
        <f t="shared" si="13"/>
        <v>0</v>
      </c>
      <c r="AJ35" s="250"/>
      <c r="AK35" s="779" t="str">
        <f t="shared" si="14"/>
        <v/>
      </c>
      <c r="AL35" s="250"/>
      <c r="AM35" s="325" t="s">
        <v>589</v>
      </c>
    </row>
    <row r="36" spans="1:39" s="260" customFormat="1">
      <c r="A36" s="249" t="s">
        <v>1951</v>
      </c>
      <c r="B36" s="249" t="str">
        <f>VLOOKUP($A36,'Cloud Price List'!$A$3:$B$1500,2,FALSE)</f>
        <v xml:space="preserve">Oracle Cloud Infrastructure - Database Exadata Infrastructure - Half Rack - X8
</v>
      </c>
      <c r="C36" s="443" t="str">
        <f>VLOOKUP($A36,'Cloud Price List'!$A$3:$M$1500,5,FALSE)</f>
        <v>Hosted Environment Per Hour</v>
      </c>
      <c r="D36" s="258" t="str">
        <f>VLOOKUP($A36,'Cloud Price List'!$A$3:$N$1500,10,FALSE)</f>
        <v>PAAS</v>
      </c>
      <c r="E36" s="265">
        <f>VLOOKUP($A36,'Cloud Price List'!$A$3:$D$1500,4,FALSE)*'Cloud Price List'!$E$1</f>
        <v>29.032299999999999</v>
      </c>
      <c r="G36" s="757">
        <f>IF(INDEX('Cloud Price List'!$B$3:$N$1491,MATCH($A36,'Cloud Price List'!$A$3:$A$1491,0),8)="UC0",0,VLOOKUP($D36,G$1:H$4,2,FALSE))</f>
        <v>0</v>
      </c>
      <c r="H36" s="252"/>
      <c r="I36" s="252">
        <v>0</v>
      </c>
      <c r="J36" s="252">
        <f t="shared" si="0"/>
        <v>0</v>
      </c>
      <c r="K36" s="252">
        <f t="shared" si="5"/>
        <v>0</v>
      </c>
      <c r="L36" s="250"/>
      <c r="M36" s="757">
        <f>IF(INDEX('Cloud Price List'!$B$3:$N$1491,MATCH($A36,'Cloud Price List'!$A$3:$A$1491,0),8)="UC0",0,VLOOKUP($D36,M$1:N$4,2,FALSE))</f>
        <v>0</v>
      </c>
      <c r="N36" s="252">
        <f t="shared" si="6"/>
        <v>0</v>
      </c>
      <c r="O36" s="252">
        <v>0</v>
      </c>
      <c r="P36" s="252">
        <f t="shared" si="1"/>
        <v>0</v>
      </c>
      <c r="Q36" s="252">
        <f t="shared" si="7"/>
        <v>0</v>
      </c>
      <c r="R36" s="250"/>
      <c r="S36" s="757">
        <f>IF(INDEX('Cloud Price List'!$B$3:$N$1491,MATCH($A36,'Cloud Price List'!$A$3:$A$1491,0),8)="UC0",0,VLOOKUP($D36,S$1:T$4,2,FALSE))</f>
        <v>0</v>
      </c>
      <c r="T36" s="252">
        <f t="shared" si="8"/>
        <v>0</v>
      </c>
      <c r="U36" s="252">
        <v>0</v>
      </c>
      <c r="V36" s="252">
        <f t="shared" si="2"/>
        <v>0</v>
      </c>
      <c r="W36" s="252">
        <f t="shared" si="9"/>
        <v>0</v>
      </c>
      <c r="X36" s="250"/>
      <c r="Y36" s="757">
        <f>IF(INDEX('Cloud Price List'!$B$3:$N$1491,MATCH($A36,'Cloud Price List'!$A$3:$A$1491,0),8)="UC0",0,VLOOKUP($D36,Y$1:Z$4,2,FALSE))</f>
        <v>0</v>
      </c>
      <c r="Z36" s="252">
        <f t="shared" si="10"/>
        <v>0</v>
      </c>
      <c r="AA36" s="252">
        <v>0</v>
      </c>
      <c r="AB36" s="252">
        <f t="shared" si="3"/>
        <v>0</v>
      </c>
      <c r="AC36" s="252">
        <f t="shared" si="11"/>
        <v>0</v>
      </c>
      <c r="AD36" s="250"/>
      <c r="AE36" s="757">
        <f>IF(INDEX('Cloud Price List'!$B$3:$N$1491,MATCH($A36,'Cloud Price List'!$A$3:$A$1491,0),8)="UC0",0,VLOOKUP($D36,AE$1:AF$4,2,FALSE))</f>
        <v>0</v>
      </c>
      <c r="AF36" s="252">
        <f t="shared" si="12"/>
        <v>0</v>
      </c>
      <c r="AG36" s="252">
        <v>0</v>
      </c>
      <c r="AH36" s="252">
        <f t="shared" si="4"/>
        <v>0</v>
      </c>
      <c r="AI36" s="252">
        <f t="shared" si="13"/>
        <v>0</v>
      </c>
      <c r="AJ36" s="250"/>
      <c r="AK36" s="779" t="str">
        <f t="shared" si="14"/>
        <v/>
      </c>
      <c r="AL36" s="250"/>
      <c r="AM36" s="325" t="s">
        <v>589</v>
      </c>
    </row>
    <row r="37" spans="1:39" s="260" customFormat="1">
      <c r="A37" s="249" t="s">
        <v>1952</v>
      </c>
      <c r="B37" s="249" t="str">
        <f>VLOOKUP($A37,'Cloud Price List'!$A$3:$B$1500,2,FALSE)</f>
        <v xml:space="preserve">Oracle Cloud Infrastructure - Database Exadata Infrastructure - Full Rack - X8
</v>
      </c>
      <c r="C37" s="443" t="str">
        <f>VLOOKUP($A37,'Cloud Price List'!$A$3:$M$1500,5,FALSE)</f>
        <v>Hosted Environment Per Hour</v>
      </c>
      <c r="D37" s="258" t="str">
        <f>VLOOKUP($A37,'Cloud Price List'!$A$3:$N$1500,10,FALSE)</f>
        <v>PAAS</v>
      </c>
      <c r="E37" s="265">
        <f>VLOOKUP($A37,'Cloud Price List'!$A$3:$D$1500,4,FALSE)*'Cloud Price List'!$E$1</f>
        <v>58.064500000000002</v>
      </c>
      <c r="G37" s="757">
        <f>IF(INDEX('Cloud Price List'!$B$3:$N$1491,MATCH($A37,'Cloud Price List'!$A$3:$A$1491,0),8)="UC0",0,VLOOKUP($D37,G$1:H$4,2,FALSE))</f>
        <v>0</v>
      </c>
      <c r="H37" s="252"/>
      <c r="I37" s="252">
        <v>0</v>
      </c>
      <c r="J37" s="252">
        <f t="shared" si="0"/>
        <v>0</v>
      </c>
      <c r="K37" s="252">
        <f t="shared" si="5"/>
        <v>0</v>
      </c>
      <c r="L37" s="250"/>
      <c r="M37" s="757">
        <f>IF(INDEX('Cloud Price List'!$B$3:$N$1491,MATCH($A37,'Cloud Price List'!$A$3:$A$1491,0),8)="UC0",0,VLOOKUP($D37,M$1:N$4,2,FALSE))</f>
        <v>0</v>
      </c>
      <c r="N37" s="252">
        <f t="shared" si="6"/>
        <v>0</v>
      </c>
      <c r="O37" s="252">
        <v>0</v>
      </c>
      <c r="P37" s="252">
        <f t="shared" si="1"/>
        <v>0</v>
      </c>
      <c r="Q37" s="252">
        <f t="shared" si="7"/>
        <v>0</v>
      </c>
      <c r="R37" s="250"/>
      <c r="S37" s="757">
        <f>IF(INDEX('Cloud Price List'!$B$3:$N$1491,MATCH($A37,'Cloud Price List'!$A$3:$A$1491,0),8)="UC0",0,VLOOKUP($D37,S$1:T$4,2,FALSE))</f>
        <v>0</v>
      </c>
      <c r="T37" s="252">
        <f t="shared" si="8"/>
        <v>0</v>
      </c>
      <c r="U37" s="252">
        <v>0</v>
      </c>
      <c r="V37" s="252">
        <f t="shared" si="2"/>
        <v>0</v>
      </c>
      <c r="W37" s="252">
        <f t="shared" si="9"/>
        <v>0</v>
      </c>
      <c r="X37" s="250"/>
      <c r="Y37" s="757">
        <f>IF(INDEX('Cloud Price List'!$B$3:$N$1491,MATCH($A37,'Cloud Price List'!$A$3:$A$1491,0),8)="UC0",0,VLOOKUP($D37,Y$1:Z$4,2,FALSE))</f>
        <v>0</v>
      </c>
      <c r="Z37" s="252">
        <f t="shared" si="10"/>
        <v>0</v>
      </c>
      <c r="AA37" s="252">
        <v>0</v>
      </c>
      <c r="AB37" s="252">
        <f t="shared" si="3"/>
        <v>0</v>
      </c>
      <c r="AC37" s="252">
        <f t="shared" si="11"/>
        <v>0</v>
      </c>
      <c r="AD37" s="250"/>
      <c r="AE37" s="757">
        <f>IF(INDEX('Cloud Price List'!$B$3:$N$1491,MATCH($A37,'Cloud Price List'!$A$3:$A$1491,0),8)="UC0",0,VLOOKUP($D37,AE$1:AF$4,2,FALSE))</f>
        <v>0</v>
      </c>
      <c r="AF37" s="252">
        <f t="shared" si="12"/>
        <v>0</v>
      </c>
      <c r="AG37" s="252">
        <v>0</v>
      </c>
      <c r="AH37" s="252">
        <f t="shared" si="4"/>
        <v>0</v>
      </c>
      <c r="AI37" s="252">
        <f t="shared" si="13"/>
        <v>0</v>
      </c>
      <c r="AJ37" s="250"/>
      <c r="AK37" s="779" t="str">
        <f t="shared" si="14"/>
        <v/>
      </c>
      <c r="AL37" s="250"/>
      <c r="AM37" s="325" t="s">
        <v>589</v>
      </c>
    </row>
    <row r="38" spans="1:39" s="260" customFormat="1">
      <c r="A38" s="246" t="s">
        <v>111</v>
      </c>
      <c r="B38" s="249" t="str">
        <f>VLOOKUP($A38,'Cloud Price List'!$A$3:$B$1500,2,FALSE)</f>
        <v>Oracle Cloud Infrastructure - Database Exadata OCPU</v>
      </c>
      <c r="C38" s="443" t="str">
        <f>VLOOKUP($A38,'Cloud Price List'!$A$3:$M$1500,5,FALSE)</f>
        <v>OCPU Per Hour</v>
      </c>
      <c r="D38" s="258" t="str">
        <f>VLOOKUP($A38,'Cloud Price List'!$A$3:$N$1500,10,FALSE)</f>
        <v>PAAS</v>
      </c>
      <c r="E38" s="265">
        <f>VLOOKUP($A38,'Cloud Price List'!$A$3:$D$1500,4,FALSE)*'Cloud Price List'!$E$1</f>
        <v>1.3441000000000001</v>
      </c>
      <c r="G38" s="757">
        <f>IF(INDEX('Cloud Price List'!$B$3:$N$1491,MATCH($A38,'Cloud Price List'!$A$3:$A$1491,0),8)="UC0",0,VLOOKUP($D38,G$1:H$4,2,FALSE))</f>
        <v>0</v>
      </c>
      <c r="H38" s="252"/>
      <c r="I38" s="252">
        <v>0</v>
      </c>
      <c r="J38" s="252">
        <f t="shared" si="0"/>
        <v>0</v>
      </c>
      <c r="K38" s="252">
        <f t="shared" si="5"/>
        <v>0</v>
      </c>
      <c r="L38" s="250"/>
      <c r="M38" s="757">
        <f>IF(INDEX('Cloud Price List'!$B$3:$N$1491,MATCH($A38,'Cloud Price List'!$A$3:$A$1491,0),8)="UC0",0,VLOOKUP($D38,M$1:N$4,2,FALSE))</f>
        <v>0</v>
      </c>
      <c r="N38" s="252">
        <f t="shared" si="6"/>
        <v>0</v>
      </c>
      <c r="O38" s="252">
        <v>0</v>
      </c>
      <c r="P38" s="252">
        <f t="shared" si="1"/>
        <v>0</v>
      </c>
      <c r="Q38" s="252">
        <f t="shared" si="7"/>
        <v>0</v>
      </c>
      <c r="R38" s="250"/>
      <c r="S38" s="757">
        <f>IF(INDEX('Cloud Price List'!$B$3:$N$1491,MATCH($A38,'Cloud Price List'!$A$3:$A$1491,0),8)="UC0",0,VLOOKUP($D38,S$1:T$4,2,FALSE))</f>
        <v>0</v>
      </c>
      <c r="T38" s="252">
        <f t="shared" si="8"/>
        <v>0</v>
      </c>
      <c r="U38" s="252">
        <v>0</v>
      </c>
      <c r="V38" s="252">
        <f t="shared" si="2"/>
        <v>0</v>
      </c>
      <c r="W38" s="252">
        <f t="shared" si="9"/>
        <v>0</v>
      </c>
      <c r="X38" s="250"/>
      <c r="Y38" s="757">
        <f>IF(INDEX('Cloud Price List'!$B$3:$N$1491,MATCH($A38,'Cloud Price List'!$A$3:$A$1491,0),8)="UC0",0,VLOOKUP($D38,Y$1:Z$4,2,FALSE))</f>
        <v>0</v>
      </c>
      <c r="Z38" s="252">
        <f t="shared" si="10"/>
        <v>0</v>
      </c>
      <c r="AA38" s="252">
        <v>0</v>
      </c>
      <c r="AB38" s="252">
        <f t="shared" si="3"/>
        <v>0</v>
      </c>
      <c r="AC38" s="252">
        <f t="shared" si="11"/>
        <v>0</v>
      </c>
      <c r="AD38" s="250"/>
      <c r="AE38" s="757">
        <f>IF(INDEX('Cloud Price List'!$B$3:$N$1491,MATCH($A38,'Cloud Price List'!$A$3:$A$1491,0),8)="UC0",0,VLOOKUP($D38,AE$1:AF$4,2,FALSE))</f>
        <v>0</v>
      </c>
      <c r="AF38" s="252">
        <f t="shared" si="12"/>
        <v>0</v>
      </c>
      <c r="AG38" s="252">
        <v>0</v>
      </c>
      <c r="AH38" s="252">
        <f t="shared" si="4"/>
        <v>0</v>
      </c>
      <c r="AI38" s="252">
        <f t="shared" si="13"/>
        <v>0</v>
      </c>
      <c r="AJ38" s="250"/>
      <c r="AK38" s="779" t="str">
        <f t="shared" si="14"/>
        <v/>
      </c>
      <c r="AL38" s="250"/>
      <c r="AM38" s="325" t="s">
        <v>589</v>
      </c>
    </row>
    <row r="39" spans="1:39" s="260" customFormat="1">
      <c r="A39" s="246" t="s">
        <v>81</v>
      </c>
      <c r="B39" s="249" t="str">
        <f>VLOOKUP($A39,'Cloud Price List'!$A$3:$B$1500,2,FALSE)</f>
        <v>Oracle Cloud Infrastructure - Database Exadata OCPU - BYOL</v>
      </c>
      <c r="C39" s="443" t="str">
        <f>VLOOKUP($A39,'Cloud Price List'!$A$3:$M$1500,5,FALSE)</f>
        <v>OCPU Per Hour</v>
      </c>
      <c r="D39" s="258" t="str">
        <f>VLOOKUP($A39,'Cloud Price List'!$A$3:$N$1500,10,FALSE)</f>
        <v>BYOL</v>
      </c>
      <c r="E39" s="265">
        <f>VLOOKUP($A39,'Cloud Price List'!$A$3:$D$1500,4,FALSE)*'Cloud Price List'!$E$1</f>
        <v>0.3226</v>
      </c>
      <c r="G39" s="757">
        <f>IF(INDEX('Cloud Price List'!$B$3:$N$1491,MATCH($A39,'Cloud Price List'!$A$3:$A$1491,0),8)="UC0",0,VLOOKUP($D39,G$1:H$4,2,FALSE))</f>
        <v>0</v>
      </c>
      <c r="H39" s="252"/>
      <c r="I39" s="252">
        <v>0</v>
      </c>
      <c r="J39" s="252">
        <f t="shared" si="0"/>
        <v>0</v>
      </c>
      <c r="K39" s="252">
        <f t="shared" si="5"/>
        <v>0</v>
      </c>
      <c r="L39" s="250"/>
      <c r="M39" s="757">
        <f>IF(INDEX('Cloud Price List'!$B$3:$N$1491,MATCH($A39,'Cloud Price List'!$A$3:$A$1491,0),8)="UC0",0,VLOOKUP($D39,M$1:N$4,2,FALSE))</f>
        <v>0</v>
      </c>
      <c r="N39" s="252">
        <f t="shared" si="6"/>
        <v>0</v>
      </c>
      <c r="O39" s="252">
        <v>0</v>
      </c>
      <c r="P39" s="252">
        <f t="shared" si="1"/>
        <v>0</v>
      </c>
      <c r="Q39" s="252">
        <f t="shared" si="7"/>
        <v>0</v>
      </c>
      <c r="R39" s="250"/>
      <c r="S39" s="757">
        <f>IF(INDEX('Cloud Price List'!$B$3:$N$1491,MATCH($A39,'Cloud Price List'!$A$3:$A$1491,0),8)="UC0",0,VLOOKUP($D39,S$1:T$4,2,FALSE))</f>
        <v>0</v>
      </c>
      <c r="T39" s="252">
        <f t="shared" si="8"/>
        <v>0</v>
      </c>
      <c r="U39" s="252">
        <v>0</v>
      </c>
      <c r="V39" s="252">
        <f t="shared" si="2"/>
        <v>0</v>
      </c>
      <c r="W39" s="252">
        <f t="shared" si="9"/>
        <v>0</v>
      </c>
      <c r="X39" s="250"/>
      <c r="Y39" s="757">
        <f>IF(INDEX('Cloud Price List'!$B$3:$N$1491,MATCH($A39,'Cloud Price List'!$A$3:$A$1491,0),8)="UC0",0,VLOOKUP($D39,Y$1:Z$4,2,FALSE))</f>
        <v>0</v>
      </c>
      <c r="Z39" s="252">
        <f t="shared" si="10"/>
        <v>0</v>
      </c>
      <c r="AA39" s="252">
        <v>0</v>
      </c>
      <c r="AB39" s="252">
        <f t="shared" si="3"/>
        <v>0</v>
      </c>
      <c r="AC39" s="252">
        <f t="shared" si="11"/>
        <v>0</v>
      </c>
      <c r="AD39" s="250"/>
      <c r="AE39" s="757">
        <f>IF(INDEX('Cloud Price List'!$B$3:$N$1491,MATCH($A39,'Cloud Price List'!$A$3:$A$1491,0),8)="UC0",0,VLOOKUP($D39,AE$1:AF$4,2,FALSE))</f>
        <v>0</v>
      </c>
      <c r="AF39" s="252">
        <f t="shared" si="12"/>
        <v>0</v>
      </c>
      <c r="AG39" s="252">
        <v>0</v>
      </c>
      <c r="AH39" s="252">
        <f t="shared" si="4"/>
        <v>0</v>
      </c>
      <c r="AI39" s="252">
        <f t="shared" si="13"/>
        <v>0</v>
      </c>
      <c r="AJ39" s="250"/>
      <c r="AK39" s="779" t="str">
        <f t="shared" si="14"/>
        <v/>
      </c>
      <c r="AL39" s="250"/>
      <c r="AM39" s="325" t="s">
        <v>589</v>
      </c>
    </row>
    <row r="40" spans="1:39" s="260" customFormat="1">
      <c r="A40" s="248" t="s">
        <v>1680</v>
      </c>
      <c r="B40" s="249" t="str">
        <f>VLOOKUP($A40,'Cloud Price List'!$A$3:$B$1500,2,FALSE)</f>
        <v>Gen 2 Exadata Cloud at Customer - Database OCPU</v>
      </c>
      <c r="C40" s="443" t="str">
        <f>VLOOKUP($A40,'Cloud Price List'!$A$3:$M$1500,5,FALSE)</f>
        <v>OCPU Per Hour</v>
      </c>
      <c r="D40" s="258" t="str">
        <f>VLOOKUP($A40,'Cloud Price List'!$A$3:$N$1500,10,FALSE)</f>
        <v>PAAS</v>
      </c>
      <c r="E40" s="265">
        <f>VLOOKUP($A40,'Cloud Price List'!$A$3:$D$1500,4,FALSE)*'Cloud Price List'!$E$1</f>
        <v>1.3441000000000001</v>
      </c>
      <c r="G40" s="757">
        <f>IF(INDEX('Cloud Price List'!$B$3:$N$1491,MATCH($A40,'Cloud Price List'!$A$3:$A$1491,0),8)="UC0",0,VLOOKUP($D40,G$1:H$4,2,FALSE))</f>
        <v>0</v>
      </c>
      <c r="H40" s="252"/>
      <c r="I40" s="252">
        <v>0</v>
      </c>
      <c r="J40" s="252">
        <f t="shared" si="0"/>
        <v>0</v>
      </c>
      <c r="K40" s="252">
        <f t="shared" si="5"/>
        <v>0</v>
      </c>
      <c r="L40" s="250"/>
      <c r="M40" s="757">
        <f>IF(INDEX('Cloud Price List'!$B$3:$N$1491,MATCH($A40,'Cloud Price List'!$A$3:$A$1491,0),8)="UC0",0,VLOOKUP($D40,M$1:N$4,2,FALSE))</f>
        <v>0</v>
      </c>
      <c r="N40" s="252">
        <f t="shared" si="6"/>
        <v>0</v>
      </c>
      <c r="O40" s="252">
        <v>0</v>
      </c>
      <c r="P40" s="252">
        <f t="shared" si="1"/>
        <v>0</v>
      </c>
      <c r="Q40" s="252">
        <f t="shared" si="7"/>
        <v>0</v>
      </c>
      <c r="R40" s="250"/>
      <c r="S40" s="757">
        <f>IF(INDEX('Cloud Price List'!$B$3:$N$1491,MATCH($A40,'Cloud Price List'!$A$3:$A$1491,0),8)="UC0",0,VLOOKUP($D40,S$1:T$4,2,FALSE))</f>
        <v>0</v>
      </c>
      <c r="T40" s="252">
        <f t="shared" si="8"/>
        <v>0</v>
      </c>
      <c r="U40" s="252">
        <v>0</v>
      </c>
      <c r="V40" s="252">
        <f t="shared" si="2"/>
        <v>0</v>
      </c>
      <c r="W40" s="252">
        <f t="shared" si="9"/>
        <v>0</v>
      </c>
      <c r="X40" s="250"/>
      <c r="Y40" s="757">
        <f>IF(INDEX('Cloud Price List'!$B$3:$N$1491,MATCH($A40,'Cloud Price List'!$A$3:$A$1491,0),8)="UC0",0,VLOOKUP($D40,Y$1:Z$4,2,FALSE))</f>
        <v>0</v>
      </c>
      <c r="Z40" s="252">
        <f t="shared" si="10"/>
        <v>0</v>
      </c>
      <c r="AA40" s="252">
        <v>0</v>
      </c>
      <c r="AB40" s="252">
        <f t="shared" si="3"/>
        <v>0</v>
      </c>
      <c r="AC40" s="252">
        <f t="shared" si="11"/>
        <v>0</v>
      </c>
      <c r="AD40" s="250"/>
      <c r="AE40" s="757">
        <f>IF(INDEX('Cloud Price List'!$B$3:$N$1491,MATCH($A40,'Cloud Price List'!$A$3:$A$1491,0),8)="UC0",0,VLOOKUP($D40,AE$1:AF$4,2,FALSE))</f>
        <v>0</v>
      </c>
      <c r="AF40" s="252">
        <f t="shared" si="12"/>
        <v>0</v>
      </c>
      <c r="AG40" s="252">
        <v>0</v>
      </c>
      <c r="AH40" s="252">
        <f t="shared" si="4"/>
        <v>0</v>
      </c>
      <c r="AI40" s="252">
        <f t="shared" si="13"/>
        <v>0</v>
      </c>
      <c r="AJ40" s="250"/>
      <c r="AK40" s="779" t="str">
        <f t="shared" si="14"/>
        <v/>
      </c>
      <c r="AL40" s="250"/>
      <c r="AM40" s="325" t="s">
        <v>589</v>
      </c>
    </row>
    <row r="41" spans="1:39" s="260" customFormat="1">
      <c r="A41" s="248" t="s">
        <v>1682</v>
      </c>
      <c r="B41" s="249" t="str">
        <f>VLOOKUP($A41,'Cloud Price List'!$A$3:$B$1500,2,FALSE)</f>
        <v>Gen 2 Exadata Cloud at Customer - Database OCPU - BYOL</v>
      </c>
      <c r="C41" s="443" t="str">
        <f>VLOOKUP($A41,'Cloud Price List'!$A$3:$M$1500,5,FALSE)</f>
        <v>OCPU Per Hour</v>
      </c>
      <c r="D41" s="258" t="str">
        <f>VLOOKUP($A41,'Cloud Price List'!$A$3:$N$1500,10,FALSE)</f>
        <v>BYOL</v>
      </c>
      <c r="E41" s="265">
        <f>VLOOKUP($A41,'Cloud Price List'!$A$3:$D$1500,4,FALSE)*'Cloud Price List'!$E$1</f>
        <v>0.3226</v>
      </c>
      <c r="G41" s="757">
        <f>IF(INDEX('Cloud Price List'!$B$3:$N$1491,MATCH($A41,'Cloud Price List'!$A$3:$A$1491,0),8)="UC0",0,VLOOKUP($D41,G$1:H$4,2,FALSE))</f>
        <v>0</v>
      </c>
      <c r="H41" s="252"/>
      <c r="I41" s="252">
        <v>0</v>
      </c>
      <c r="J41" s="252">
        <f t="shared" si="0"/>
        <v>0</v>
      </c>
      <c r="K41" s="252">
        <f t="shared" si="5"/>
        <v>0</v>
      </c>
      <c r="L41" s="250"/>
      <c r="M41" s="757">
        <f>IF(INDEX('Cloud Price List'!$B$3:$N$1491,MATCH($A41,'Cloud Price List'!$A$3:$A$1491,0),8)="UC0",0,VLOOKUP($D41,M$1:N$4,2,FALSE))</f>
        <v>0</v>
      </c>
      <c r="N41" s="252">
        <f t="shared" si="6"/>
        <v>0</v>
      </c>
      <c r="O41" s="252">
        <v>0</v>
      </c>
      <c r="P41" s="252">
        <f t="shared" si="1"/>
        <v>0</v>
      </c>
      <c r="Q41" s="252">
        <f t="shared" si="7"/>
        <v>0</v>
      </c>
      <c r="R41" s="250"/>
      <c r="S41" s="757">
        <f>IF(INDEX('Cloud Price List'!$B$3:$N$1491,MATCH($A41,'Cloud Price List'!$A$3:$A$1491,0),8)="UC0",0,VLOOKUP($D41,S$1:T$4,2,FALSE))</f>
        <v>0</v>
      </c>
      <c r="T41" s="252">
        <f t="shared" si="8"/>
        <v>0</v>
      </c>
      <c r="U41" s="252">
        <v>0</v>
      </c>
      <c r="V41" s="252">
        <f t="shared" si="2"/>
        <v>0</v>
      </c>
      <c r="W41" s="252">
        <f t="shared" si="9"/>
        <v>0</v>
      </c>
      <c r="X41" s="250"/>
      <c r="Y41" s="757">
        <f>IF(INDEX('Cloud Price List'!$B$3:$N$1491,MATCH($A41,'Cloud Price List'!$A$3:$A$1491,0),8)="UC0",0,VLOOKUP($D41,Y$1:Z$4,2,FALSE))</f>
        <v>0</v>
      </c>
      <c r="Z41" s="252">
        <f t="shared" si="10"/>
        <v>0</v>
      </c>
      <c r="AA41" s="252">
        <v>0</v>
      </c>
      <c r="AB41" s="252">
        <f t="shared" si="3"/>
        <v>0</v>
      </c>
      <c r="AC41" s="252">
        <f t="shared" si="11"/>
        <v>0</v>
      </c>
      <c r="AD41" s="250"/>
      <c r="AE41" s="757">
        <f>IF(INDEX('Cloud Price List'!$B$3:$N$1491,MATCH($A41,'Cloud Price List'!$A$3:$A$1491,0),8)="UC0",0,VLOOKUP($D41,AE$1:AF$4,2,FALSE))</f>
        <v>0</v>
      </c>
      <c r="AF41" s="252">
        <f t="shared" si="12"/>
        <v>0</v>
      </c>
      <c r="AG41" s="252">
        <v>0</v>
      </c>
      <c r="AH41" s="252">
        <f t="shared" si="4"/>
        <v>0</v>
      </c>
      <c r="AI41" s="252">
        <f t="shared" si="13"/>
        <v>0</v>
      </c>
      <c r="AJ41" s="250"/>
      <c r="AK41" s="779" t="str">
        <f t="shared" si="14"/>
        <v/>
      </c>
      <c r="AL41" s="250"/>
      <c r="AM41" s="325" t="s">
        <v>589</v>
      </c>
    </row>
    <row r="42" spans="1:39" s="260" customFormat="1">
      <c r="A42" s="246" t="s">
        <v>1127</v>
      </c>
      <c r="B42" s="249" t="str">
        <f>VLOOKUP($A42,'Cloud Price List'!$A$3:$B$1500,2,FALSE)</f>
        <v>Oracle Autonomous Transaction Processing</v>
      </c>
      <c r="C42" s="443" t="str">
        <f>VLOOKUP($A42,'Cloud Price List'!$A$3:$M$1500,5,FALSE)</f>
        <v>OCPU Per Hour</v>
      </c>
      <c r="D42" s="258" t="str">
        <f>VLOOKUP($A42,'Cloud Price List'!$A$3:$N$1500,10,FALSE)</f>
        <v>PAAS</v>
      </c>
      <c r="E42" s="265">
        <f>VLOOKUP($A42,'Cloud Price List'!$A$3:$D$1500,4,FALSE)*'Cloud Price List'!$E$1</f>
        <v>1.3441000000000001</v>
      </c>
      <c r="G42" s="757">
        <f>IF(INDEX('Cloud Price List'!$B$3:$N$1491,MATCH($A42,'Cloud Price List'!$A$3:$A$1491,0),8)="UC0",0,VLOOKUP($D42,G$1:H$4,2,FALSE))</f>
        <v>0</v>
      </c>
      <c r="H42" s="252"/>
      <c r="I42" s="252">
        <v>0</v>
      </c>
      <c r="J42" s="252">
        <f t="shared" si="0"/>
        <v>0</v>
      </c>
      <c r="K42" s="252">
        <f t="shared" si="5"/>
        <v>0</v>
      </c>
      <c r="L42" s="250"/>
      <c r="M42" s="757">
        <f>IF(INDEX('Cloud Price List'!$B$3:$N$1491,MATCH($A42,'Cloud Price List'!$A$3:$A$1491,0),8)="UC0",0,VLOOKUP($D42,M$1:N$4,2,FALSE))</f>
        <v>0</v>
      </c>
      <c r="N42" s="252">
        <f t="shared" si="6"/>
        <v>0</v>
      </c>
      <c r="O42" s="252">
        <v>0</v>
      </c>
      <c r="P42" s="252">
        <f t="shared" si="1"/>
        <v>0</v>
      </c>
      <c r="Q42" s="252">
        <f t="shared" si="7"/>
        <v>0</v>
      </c>
      <c r="R42" s="250"/>
      <c r="S42" s="757">
        <f>IF(INDEX('Cloud Price List'!$B$3:$N$1491,MATCH($A42,'Cloud Price List'!$A$3:$A$1491,0),8)="UC0",0,VLOOKUP($D42,S$1:T$4,2,FALSE))</f>
        <v>0</v>
      </c>
      <c r="T42" s="252">
        <f t="shared" si="8"/>
        <v>0</v>
      </c>
      <c r="U42" s="252">
        <v>0</v>
      </c>
      <c r="V42" s="252">
        <f t="shared" si="2"/>
        <v>0</v>
      </c>
      <c r="W42" s="252">
        <f t="shared" si="9"/>
        <v>0</v>
      </c>
      <c r="X42" s="250"/>
      <c r="Y42" s="757">
        <f>IF(INDEX('Cloud Price List'!$B$3:$N$1491,MATCH($A42,'Cloud Price List'!$A$3:$A$1491,0),8)="UC0",0,VLOOKUP($D42,Y$1:Z$4,2,FALSE))</f>
        <v>0</v>
      </c>
      <c r="Z42" s="252">
        <f t="shared" si="10"/>
        <v>0</v>
      </c>
      <c r="AA42" s="252">
        <v>0</v>
      </c>
      <c r="AB42" s="252">
        <f t="shared" si="3"/>
        <v>0</v>
      </c>
      <c r="AC42" s="252">
        <f t="shared" si="11"/>
        <v>0</v>
      </c>
      <c r="AD42" s="250"/>
      <c r="AE42" s="757">
        <f>IF(INDEX('Cloud Price List'!$B$3:$N$1491,MATCH($A42,'Cloud Price List'!$A$3:$A$1491,0),8)="UC0",0,VLOOKUP($D42,AE$1:AF$4,2,FALSE))</f>
        <v>0</v>
      </c>
      <c r="AF42" s="252">
        <f t="shared" si="12"/>
        <v>0</v>
      </c>
      <c r="AG42" s="252">
        <v>0</v>
      </c>
      <c r="AH42" s="252">
        <f t="shared" si="4"/>
        <v>0</v>
      </c>
      <c r="AI42" s="252">
        <f t="shared" si="13"/>
        <v>0</v>
      </c>
      <c r="AJ42" s="250"/>
      <c r="AK42" s="779" t="str">
        <f t="shared" si="14"/>
        <v/>
      </c>
      <c r="AL42" s="250"/>
      <c r="AM42" s="325" t="s">
        <v>589</v>
      </c>
    </row>
    <row r="43" spans="1:39" s="260" customFormat="1">
      <c r="A43" s="246" t="s">
        <v>1129</v>
      </c>
      <c r="B43" s="249" t="str">
        <f>VLOOKUP($A43,'Cloud Price List'!$A$3:$B$1500,2,FALSE)</f>
        <v>Oracle Autonomous Transaction Processing - BYOL</v>
      </c>
      <c r="C43" s="443" t="str">
        <f>VLOOKUP($A43,'Cloud Price List'!$A$3:$M$1500,5,FALSE)</f>
        <v>OCPU Per Hour</v>
      </c>
      <c r="D43" s="258" t="str">
        <f>VLOOKUP($A43,'Cloud Price List'!$A$3:$N$1500,10,FALSE)</f>
        <v>BYOL</v>
      </c>
      <c r="E43" s="265">
        <f>VLOOKUP($A43,'Cloud Price List'!$A$3:$D$1500,4,FALSE)*'Cloud Price List'!$E$1</f>
        <v>0.3226</v>
      </c>
      <c r="G43" s="757">
        <f>IF(INDEX('Cloud Price List'!$B$3:$N$1491,MATCH($A43,'Cloud Price List'!$A$3:$A$1491,0),8)="UC0",0,VLOOKUP($D43,G$1:H$4,2,FALSE))</f>
        <v>0</v>
      </c>
      <c r="H43" s="252"/>
      <c r="I43" s="252">
        <v>0</v>
      </c>
      <c r="J43" s="252">
        <f t="shared" si="0"/>
        <v>0</v>
      </c>
      <c r="K43" s="252">
        <f t="shared" si="5"/>
        <v>0</v>
      </c>
      <c r="L43" s="250"/>
      <c r="M43" s="757">
        <f>IF(INDEX('Cloud Price List'!$B$3:$N$1491,MATCH($A43,'Cloud Price List'!$A$3:$A$1491,0),8)="UC0",0,VLOOKUP($D43,M$1:N$4,2,FALSE))</f>
        <v>0</v>
      </c>
      <c r="N43" s="252">
        <f t="shared" si="6"/>
        <v>0</v>
      </c>
      <c r="O43" s="252">
        <v>0</v>
      </c>
      <c r="P43" s="252">
        <f t="shared" si="1"/>
        <v>0</v>
      </c>
      <c r="Q43" s="252">
        <f t="shared" si="7"/>
        <v>0</v>
      </c>
      <c r="R43" s="250"/>
      <c r="S43" s="757">
        <f>IF(INDEX('Cloud Price List'!$B$3:$N$1491,MATCH($A43,'Cloud Price List'!$A$3:$A$1491,0),8)="UC0",0,VLOOKUP($D43,S$1:T$4,2,FALSE))</f>
        <v>0</v>
      </c>
      <c r="T43" s="252">
        <f t="shared" si="8"/>
        <v>0</v>
      </c>
      <c r="U43" s="252">
        <v>0</v>
      </c>
      <c r="V43" s="252">
        <f t="shared" si="2"/>
        <v>0</v>
      </c>
      <c r="W43" s="252">
        <f t="shared" si="9"/>
        <v>0</v>
      </c>
      <c r="X43" s="250"/>
      <c r="Y43" s="757">
        <f>IF(INDEX('Cloud Price List'!$B$3:$N$1491,MATCH($A43,'Cloud Price List'!$A$3:$A$1491,0),8)="UC0",0,VLOOKUP($D43,Y$1:Z$4,2,FALSE))</f>
        <v>0</v>
      </c>
      <c r="Z43" s="252">
        <f t="shared" si="10"/>
        <v>0</v>
      </c>
      <c r="AA43" s="252">
        <v>0</v>
      </c>
      <c r="AB43" s="252">
        <f t="shared" si="3"/>
        <v>0</v>
      </c>
      <c r="AC43" s="252">
        <f t="shared" si="11"/>
        <v>0</v>
      </c>
      <c r="AD43" s="250"/>
      <c r="AE43" s="757">
        <f>IF(INDEX('Cloud Price List'!$B$3:$N$1491,MATCH($A43,'Cloud Price List'!$A$3:$A$1491,0),8)="UC0",0,VLOOKUP($D43,AE$1:AF$4,2,FALSE))</f>
        <v>0</v>
      </c>
      <c r="AF43" s="252">
        <f t="shared" si="12"/>
        <v>0</v>
      </c>
      <c r="AG43" s="252">
        <v>0</v>
      </c>
      <c r="AH43" s="252">
        <f t="shared" si="4"/>
        <v>0</v>
      </c>
      <c r="AI43" s="252">
        <f t="shared" si="13"/>
        <v>0</v>
      </c>
      <c r="AJ43" s="250"/>
      <c r="AK43" s="779" t="str">
        <f t="shared" si="14"/>
        <v/>
      </c>
      <c r="AL43" s="250"/>
      <c r="AM43" s="325" t="s">
        <v>589</v>
      </c>
    </row>
    <row r="44" spans="1:39" s="260" customFormat="1">
      <c r="A44" s="246" t="s">
        <v>1131</v>
      </c>
      <c r="B44" s="249" t="str">
        <f>VLOOKUP($A44,'Cloud Price List'!$A$3:$B$1500,2,FALSE)</f>
        <v>Oracle Autonomous Transaction Processing - Exadata Storage</v>
      </c>
      <c r="C44" s="443" t="str">
        <f>VLOOKUP($A44,'Cloud Price List'!$A$3:$M$1500,5,FALSE)</f>
        <v>Terabyte Storage Capacity Per Month</v>
      </c>
      <c r="D44" s="258" t="str">
        <f>VLOOKUP($A44,'Cloud Price List'!$A$3:$N$1500,10,FALSE)</f>
        <v>PAAS</v>
      </c>
      <c r="E44" s="265">
        <f>VLOOKUP($A44,'Cloud Price List'!$A$3:$D$1500,4,FALSE)*'Cloud Price List'!$E$1</f>
        <v>118.4</v>
      </c>
      <c r="G44" s="757">
        <f>IF(INDEX('Cloud Price List'!$B$3:$N$1491,MATCH($A44,'Cloud Price List'!$A$3:$A$1491,0),8)="UC0",0,VLOOKUP($D44,G$1:H$4,2,FALSE))</f>
        <v>0</v>
      </c>
      <c r="H44" s="252"/>
      <c r="I44" s="252">
        <v>0</v>
      </c>
      <c r="J44" s="252">
        <f t="shared" si="0"/>
        <v>0</v>
      </c>
      <c r="K44" s="252">
        <f t="shared" si="5"/>
        <v>0</v>
      </c>
      <c r="L44" s="250"/>
      <c r="M44" s="757">
        <f>IF(INDEX('Cloud Price List'!$B$3:$N$1491,MATCH($A44,'Cloud Price List'!$A$3:$A$1491,0),8)="UC0",0,VLOOKUP($D44,M$1:N$4,2,FALSE))</f>
        <v>0</v>
      </c>
      <c r="N44" s="252">
        <f t="shared" si="6"/>
        <v>0</v>
      </c>
      <c r="O44" s="252">
        <v>0</v>
      </c>
      <c r="P44" s="252">
        <f t="shared" si="1"/>
        <v>0</v>
      </c>
      <c r="Q44" s="252">
        <f t="shared" si="7"/>
        <v>0</v>
      </c>
      <c r="R44" s="250"/>
      <c r="S44" s="757">
        <f>IF(INDEX('Cloud Price List'!$B$3:$N$1491,MATCH($A44,'Cloud Price List'!$A$3:$A$1491,0),8)="UC0",0,VLOOKUP($D44,S$1:T$4,2,FALSE))</f>
        <v>0</v>
      </c>
      <c r="T44" s="252">
        <f t="shared" si="8"/>
        <v>0</v>
      </c>
      <c r="U44" s="252">
        <v>0</v>
      </c>
      <c r="V44" s="252">
        <f t="shared" si="2"/>
        <v>0</v>
      </c>
      <c r="W44" s="252">
        <f t="shared" si="9"/>
        <v>0</v>
      </c>
      <c r="X44" s="250"/>
      <c r="Y44" s="757">
        <f>IF(INDEX('Cloud Price List'!$B$3:$N$1491,MATCH($A44,'Cloud Price List'!$A$3:$A$1491,0),8)="UC0",0,VLOOKUP($D44,Y$1:Z$4,2,FALSE))</f>
        <v>0</v>
      </c>
      <c r="Z44" s="252">
        <f t="shared" si="10"/>
        <v>0</v>
      </c>
      <c r="AA44" s="252">
        <v>0</v>
      </c>
      <c r="AB44" s="252">
        <f t="shared" si="3"/>
        <v>0</v>
      </c>
      <c r="AC44" s="252">
        <f t="shared" si="11"/>
        <v>0</v>
      </c>
      <c r="AD44" s="250"/>
      <c r="AE44" s="757">
        <f>IF(INDEX('Cloud Price List'!$B$3:$N$1491,MATCH($A44,'Cloud Price List'!$A$3:$A$1491,0),8)="UC0",0,VLOOKUP($D44,AE$1:AF$4,2,FALSE))</f>
        <v>0</v>
      </c>
      <c r="AF44" s="252">
        <f t="shared" si="12"/>
        <v>0</v>
      </c>
      <c r="AG44" s="252">
        <v>0</v>
      </c>
      <c r="AH44" s="252">
        <f t="shared" si="4"/>
        <v>0</v>
      </c>
      <c r="AI44" s="252">
        <f t="shared" si="13"/>
        <v>0</v>
      </c>
      <c r="AJ44" s="250"/>
      <c r="AK44" s="779" t="str">
        <f t="shared" si="14"/>
        <v/>
      </c>
      <c r="AL44" s="250"/>
      <c r="AM44" s="325" t="s">
        <v>589</v>
      </c>
    </row>
    <row r="45" spans="1:39" s="260" customFormat="1">
      <c r="A45" s="246" t="s">
        <v>591</v>
      </c>
      <c r="B45" s="249" t="str">
        <f>VLOOKUP($A45,'Cloud Price List'!$A$3:$B$1500,2,FALSE)</f>
        <v>Oracle Autonomous Data Warehouse</v>
      </c>
      <c r="C45" s="443" t="str">
        <f>VLOOKUP($A45,'Cloud Price List'!$A$3:$M$1500,5,FALSE)</f>
        <v>OCPU Per Hour</v>
      </c>
      <c r="D45" s="258" t="str">
        <f>VLOOKUP($A45,'Cloud Price List'!$A$3:$N$1500,10,FALSE)</f>
        <v>PAAS</v>
      </c>
      <c r="E45" s="265">
        <f>VLOOKUP($A45,'Cloud Price List'!$A$3:$D$1500,4,FALSE)*'Cloud Price List'!$E$1</f>
        <v>1.3441000000000001</v>
      </c>
      <c r="G45" s="757">
        <f>IF(INDEX('Cloud Price List'!$B$3:$N$1491,MATCH($A45,'Cloud Price List'!$A$3:$A$1491,0),8)="UC0",0,VLOOKUP($D45,G$1:H$4,2,FALSE))</f>
        <v>0</v>
      </c>
      <c r="H45" s="252"/>
      <c r="I45" s="252">
        <v>0</v>
      </c>
      <c r="J45" s="252">
        <f t="shared" si="0"/>
        <v>0</v>
      </c>
      <c r="K45" s="252">
        <f t="shared" si="5"/>
        <v>0</v>
      </c>
      <c r="L45" s="250"/>
      <c r="M45" s="757">
        <f>IF(INDEX('Cloud Price List'!$B$3:$N$1491,MATCH($A45,'Cloud Price List'!$A$3:$A$1491,0),8)="UC0",0,VLOOKUP($D45,M$1:N$4,2,FALSE))</f>
        <v>0</v>
      </c>
      <c r="N45" s="252">
        <f t="shared" si="6"/>
        <v>0</v>
      </c>
      <c r="O45" s="252">
        <v>0</v>
      </c>
      <c r="P45" s="252">
        <f t="shared" si="1"/>
        <v>0</v>
      </c>
      <c r="Q45" s="252">
        <f t="shared" si="7"/>
        <v>0</v>
      </c>
      <c r="R45" s="250"/>
      <c r="S45" s="757">
        <f>IF(INDEX('Cloud Price List'!$B$3:$N$1491,MATCH($A45,'Cloud Price List'!$A$3:$A$1491,0),8)="UC0",0,VLOOKUP($D45,S$1:T$4,2,FALSE))</f>
        <v>0</v>
      </c>
      <c r="T45" s="252">
        <f t="shared" si="8"/>
        <v>0</v>
      </c>
      <c r="U45" s="252">
        <v>0</v>
      </c>
      <c r="V45" s="252">
        <f t="shared" si="2"/>
        <v>0</v>
      </c>
      <c r="W45" s="252">
        <f t="shared" si="9"/>
        <v>0</v>
      </c>
      <c r="X45" s="250"/>
      <c r="Y45" s="757">
        <f>IF(INDEX('Cloud Price List'!$B$3:$N$1491,MATCH($A45,'Cloud Price List'!$A$3:$A$1491,0),8)="UC0",0,VLOOKUP($D45,Y$1:Z$4,2,FALSE))</f>
        <v>0</v>
      </c>
      <c r="Z45" s="252">
        <f t="shared" si="10"/>
        <v>0</v>
      </c>
      <c r="AA45" s="252">
        <v>0</v>
      </c>
      <c r="AB45" s="252">
        <f t="shared" si="3"/>
        <v>0</v>
      </c>
      <c r="AC45" s="252">
        <f t="shared" si="11"/>
        <v>0</v>
      </c>
      <c r="AD45" s="250"/>
      <c r="AE45" s="757">
        <f>IF(INDEX('Cloud Price List'!$B$3:$N$1491,MATCH($A45,'Cloud Price List'!$A$3:$A$1491,0),8)="UC0",0,VLOOKUP($D45,AE$1:AF$4,2,FALSE))</f>
        <v>0</v>
      </c>
      <c r="AF45" s="252">
        <f t="shared" si="12"/>
        <v>0</v>
      </c>
      <c r="AG45" s="252">
        <v>0</v>
      </c>
      <c r="AH45" s="252">
        <f t="shared" si="4"/>
        <v>0</v>
      </c>
      <c r="AI45" s="252">
        <f t="shared" si="13"/>
        <v>0</v>
      </c>
      <c r="AJ45" s="250"/>
      <c r="AK45" s="779" t="str">
        <f t="shared" si="14"/>
        <v/>
      </c>
      <c r="AL45" s="250"/>
      <c r="AM45" s="325" t="s">
        <v>589</v>
      </c>
    </row>
    <row r="46" spans="1:39" s="260" customFormat="1">
      <c r="A46" s="246" t="s">
        <v>590</v>
      </c>
      <c r="B46" s="249" t="str">
        <f>VLOOKUP($A46,'Cloud Price List'!$A$3:$B$1500,2,FALSE)</f>
        <v>Oracle Autonomous Data Warehouse - BYOL</v>
      </c>
      <c r="C46" s="443" t="str">
        <f>VLOOKUP($A46,'Cloud Price List'!$A$3:$M$1500,5,FALSE)</f>
        <v>OCPU Per Hour</v>
      </c>
      <c r="D46" s="258" t="str">
        <f>VLOOKUP($A46,'Cloud Price List'!$A$3:$N$1500,10,FALSE)</f>
        <v>BYOL</v>
      </c>
      <c r="E46" s="265">
        <f>VLOOKUP($A46,'Cloud Price List'!$A$3:$D$1500,4,FALSE)*'Cloud Price List'!$E$1</f>
        <v>0.3226</v>
      </c>
      <c r="G46" s="757">
        <f>IF(INDEX('Cloud Price List'!$B$3:$N$1491,MATCH($A46,'Cloud Price List'!$A$3:$A$1491,0),8)="UC0",0,VLOOKUP($D46,G$1:H$4,2,FALSE))</f>
        <v>0</v>
      </c>
      <c r="H46" s="252"/>
      <c r="I46" s="252">
        <v>0</v>
      </c>
      <c r="J46" s="252">
        <f t="shared" si="0"/>
        <v>0</v>
      </c>
      <c r="K46" s="252">
        <f t="shared" si="5"/>
        <v>0</v>
      </c>
      <c r="L46" s="250"/>
      <c r="M46" s="757">
        <f>IF(INDEX('Cloud Price List'!$B$3:$N$1491,MATCH($A46,'Cloud Price List'!$A$3:$A$1491,0),8)="UC0",0,VLOOKUP($D46,M$1:N$4,2,FALSE))</f>
        <v>0</v>
      </c>
      <c r="N46" s="252">
        <f t="shared" si="6"/>
        <v>0</v>
      </c>
      <c r="O46" s="252">
        <v>0</v>
      </c>
      <c r="P46" s="252">
        <f t="shared" si="1"/>
        <v>0</v>
      </c>
      <c r="Q46" s="252">
        <f t="shared" si="7"/>
        <v>0</v>
      </c>
      <c r="R46" s="250"/>
      <c r="S46" s="757">
        <f>IF(INDEX('Cloud Price List'!$B$3:$N$1491,MATCH($A46,'Cloud Price List'!$A$3:$A$1491,0),8)="UC0",0,VLOOKUP($D46,S$1:T$4,2,FALSE))</f>
        <v>0</v>
      </c>
      <c r="T46" s="252">
        <f t="shared" si="8"/>
        <v>0</v>
      </c>
      <c r="U46" s="252">
        <v>0</v>
      </c>
      <c r="V46" s="252">
        <f t="shared" si="2"/>
        <v>0</v>
      </c>
      <c r="W46" s="252">
        <f t="shared" si="9"/>
        <v>0</v>
      </c>
      <c r="X46" s="250"/>
      <c r="Y46" s="757">
        <f>IF(INDEX('Cloud Price List'!$B$3:$N$1491,MATCH($A46,'Cloud Price List'!$A$3:$A$1491,0),8)="UC0",0,VLOOKUP($D46,Y$1:Z$4,2,FALSE))</f>
        <v>0</v>
      </c>
      <c r="Z46" s="252">
        <f t="shared" si="10"/>
        <v>0</v>
      </c>
      <c r="AA46" s="252">
        <v>0</v>
      </c>
      <c r="AB46" s="252">
        <f t="shared" si="3"/>
        <v>0</v>
      </c>
      <c r="AC46" s="252">
        <f t="shared" si="11"/>
        <v>0</v>
      </c>
      <c r="AD46" s="250"/>
      <c r="AE46" s="757">
        <f>IF(INDEX('Cloud Price List'!$B$3:$N$1491,MATCH($A46,'Cloud Price List'!$A$3:$A$1491,0),8)="UC0",0,VLOOKUP($D46,AE$1:AF$4,2,FALSE))</f>
        <v>0</v>
      </c>
      <c r="AF46" s="252">
        <f t="shared" si="12"/>
        <v>0</v>
      </c>
      <c r="AG46" s="252">
        <v>0</v>
      </c>
      <c r="AH46" s="252">
        <f t="shared" si="4"/>
        <v>0</v>
      </c>
      <c r="AI46" s="252">
        <f t="shared" si="13"/>
        <v>0</v>
      </c>
      <c r="AJ46" s="250"/>
      <c r="AK46" s="779" t="str">
        <f t="shared" si="14"/>
        <v/>
      </c>
      <c r="AL46" s="250"/>
      <c r="AM46" s="325" t="s">
        <v>589</v>
      </c>
    </row>
    <row r="47" spans="1:39" s="260" customFormat="1">
      <c r="A47" s="246" t="s">
        <v>592</v>
      </c>
      <c r="B47" s="249" t="str">
        <f>VLOOKUP($A47,'Cloud Price List'!$A$3:$B$1500,2,FALSE)</f>
        <v>Oracle Autonomous Data Warehouse - Exadata Storage</v>
      </c>
      <c r="C47" s="443" t="str">
        <f>VLOOKUP($A47,'Cloud Price List'!$A$3:$M$1500,5,FALSE)</f>
        <v>Terabyte Storage Capacity Per Month</v>
      </c>
      <c r="D47" s="258" t="str">
        <f>VLOOKUP($A47,'Cloud Price List'!$A$3:$N$1500,10,FALSE)</f>
        <v>PAAS</v>
      </c>
      <c r="E47" s="265">
        <f>VLOOKUP($A47,'Cloud Price List'!$A$3:$D$1500,4,FALSE)*'Cloud Price List'!$E$1</f>
        <v>118.4</v>
      </c>
      <c r="G47" s="757">
        <f>IF(INDEX('Cloud Price List'!$B$3:$N$1491,MATCH($A47,'Cloud Price List'!$A$3:$A$1491,0),8)="UC0",0,VLOOKUP($D47,G$1:H$4,2,FALSE))</f>
        <v>0</v>
      </c>
      <c r="H47" s="252"/>
      <c r="I47" s="252">
        <v>0</v>
      </c>
      <c r="J47" s="252">
        <f t="shared" si="0"/>
        <v>0</v>
      </c>
      <c r="K47" s="252">
        <f t="shared" si="5"/>
        <v>0</v>
      </c>
      <c r="L47" s="250"/>
      <c r="M47" s="757">
        <f>IF(INDEX('Cloud Price List'!$B$3:$N$1491,MATCH($A47,'Cloud Price List'!$A$3:$A$1491,0),8)="UC0",0,VLOOKUP($D47,M$1:N$4,2,FALSE))</f>
        <v>0</v>
      </c>
      <c r="N47" s="252">
        <f t="shared" si="6"/>
        <v>0</v>
      </c>
      <c r="O47" s="252">
        <v>0</v>
      </c>
      <c r="P47" s="252">
        <f t="shared" si="1"/>
        <v>0</v>
      </c>
      <c r="Q47" s="252">
        <f t="shared" si="7"/>
        <v>0</v>
      </c>
      <c r="R47" s="250"/>
      <c r="S47" s="757">
        <f>IF(INDEX('Cloud Price List'!$B$3:$N$1491,MATCH($A47,'Cloud Price List'!$A$3:$A$1491,0),8)="UC0",0,VLOOKUP($D47,S$1:T$4,2,FALSE))</f>
        <v>0</v>
      </c>
      <c r="T47" s="252">
        <f t="shared" si="8"/>
        <v>0</v>
      </c>
      <c r="U47" s="252">
        <v>0</v>
      </c>
      <c r="V47" s="252">
        <f t="shared" si="2"/>
        <v>0</v>
      </c>
      <c r="W47" s="252">
        <f t="shared" si="9"/>
        <v>0</v>
      </c>
      <c r="X47" s="250"/>
      <c r="Y47" s="757">
        <f>IF(INDEX('Cloud Price List'!$B$3:$N$1491,MATCH($A47,'Cloud Price List'!$A$3:$A$1491,0),8)="UC0",0,VLOOKUP($D47,Y$1:Z$4,2,FALSE))</f>
        <v>0</v>
      </c>
      <c r="Z47" s="252">
        <f t="shared" si="10"/>
        <v>0</v>
      </c>
      <c r="AA47" s="252">
        <v>0</v>
      </c>
      <c r="AB47" s="252">
        <f t="shared" si="3"/>
        <v>0</v>
      </c>
      <c r="AC47" s="252">
        <f t="shared" si="11"/>
        <v>0</v>
      </c>
      <c r="AD47" s="250"/>
      <c r="AE47" s="757">
        <f>IF(INDEX('Cloud Price List'!$B$3:$N$1491,MATCH($A47,'Cloud Price List'!$A$3:$A$1491,0),8)="UC0",0,VLOOKUP($D47,AE$1:AF$4,2,FALSE))</f>
        <v>0</v>
      </c>
      <c r="AF47" s="252">
        <f t="shared" si="12"/>
        <v>0</v>
      </c>
      <c r="AG47" s="252">
        <v>0</v>
      </c>
      <c r="AH47" s="252">
        <f t="shared" si="4"/>
        <v>0</v>
      </c>
      <c r="AI47" s="252">
        <f t="shared" si="13"/>
        <v>0</v>
      </c>
      <c r="AJ47" s="250"/>
      <c r="AK47" s="779" t="str">
        <f t="shared" si="14"/>
        <v/>
      </c>
      <c r="AL47" s="250"/>
      <c r="AM47" s="325" t="s">
        <v>589</v>
      </c>
    </row>
    <row r="48" spans="1:39" s="260" customFormat="1">
      <c r="A48" s="246" t="s">
        <v>1010</v>
      </c>
      <c r="B48" s="249" t="str">
        <f>VLOOKUP($A48,'Cloud Price List'!$A$3:$B$1500,2,FALSE)</f>
        <v>Oracle Integration Cloud Service - Standard</v>
      </c>
      <c r="C48" s="443" t="str">
        <f>VLOOKUP($A48,'Cloud Price List'!$A$3:$M$1500,5,FALSE)</f>
        <v>5,000 Messages Per Hour</v>
      </c>
      <c r="D48" s="258" t="str">
        <f>VLOOKUP($A48,'Cloud Price List'!$A$3:$N$1500,10,FALSE)</f>
        <v>PAAS</v>
      </c>
      <c r="E48" s="265">
        <f>VLOOKUP($A48,'Cloud Price List'!$A$3:$D$1500,4,FALSE)*'Cloud Price List'!$E$1</f>
        <v>0.6452</v>
      </c>
      <c r="G48" s="757">
        <f>IF(INDEX('Cloud Price List'!$B$3:$N$1491,MATCH($A48,'Cloud Price List'!$A$3:$A$1491,0),8)="UC0",0,VLOOKUP($D48,G$1:H$4,2,FALSE))</f>
        <v>0</v>
      </c>
      <c r="H48" s="252"/>
      <c r="I48" s="252">
        <v>0</v>
      </c>
      <c r="J48" s="252">
        <f t="shared" si="0"/>
        <v>0</v>
      </c>
      <c r="K48" s="252">
        <f t="shared" si="5"/>
        <v>0</v>
      </c>
      <c r="L48" s="250"/>
      <c r="M48" s="757">
        <f>IF(INDEX('Cloud Price List'!$B$3:$N$1491,MATCH($A48,'Cloud Price List'!$A$3:$A$1491,0),8)="UC0",0,VLOOKUP($D48,M$1:N$4,2,FALSE))</f>
        <v>0</v>
      </c>
      <c r="N48" s="252">
        <f t="shared" si="6"/>
        <v>0</v>
      </c>
      <c r="O48" s="252">
        <v>0</v>
      </c>
      <c r="P48" s="252">
        <f t="shared" si="1"/>
        <v>0</v>
      </c>
      <c r="Q48" s="252">
        <f t="shared" si="7"/>
        <v>0</v>
      </c>
      <c r="R48" s="250"/>
      <c r="S48" s="757">
        <f>IF(INDEX('Cloud Price List'!$B$3:$N$1491,MATCH($A48,'Cloud Price List'!$A$3:$A$1491,0),8)="UC0",0,VLOOKUP($D48,S$1:T$4,2,FALSE))</f>
        <v>0</v>
      </c>
      <c r="T48" s="252">
        <f t="shared" si="8"/>
        <v>0</v>
      </c>
      <c r="U48" s="252">
        <v>0</v>
      </c>
      <c r="V48" s="252">
        <f t="shared" si="2"/>
        <v>0</v>
      </c>
      <c r="W48" s="252">
        <f t="shared" si="9"/>
        <v>0</v>
      </c>
      <c r="X48" s="250"/>
      <c r="Y48" s="757">
        <f>IF(INDEX('Cloud Price List'!$B$3:$N$1491,MATCH($A48,'Cloud Price List'!$A$3:$A$1491,0),8)="UC0",0,VLOOKUP($D48,Y$1:Z$4,2,FALSE))</f>
        <v>0</v>
      </c>
      <c r="Z48" s="252">
        <f t="shared" si="10"/>
        <v>0</v>
      </c>
      <c r="AA48" s="252">
        <v>0</v>
      </c>
      <c r="AB48" s="252">
        <f t="shared" si="3"/>
        <v>0</v>
      </c>
      <c r="AC48" s="252">
        <f t="shared" si="11"/>
        <v>0</v>
      </c>
      <c r="AD48" s="250"/>
      <c r="AE48" s="757">
        <f>IF(INDEX('Cloud Price List'!$B$3:$N$1491,MATCH($A48,'Cloud Price List'!$A$3:$A$1491,0),8)="UC0",0,VLOOKUP($D48,AE$1:AF$4,2,FALSE))</f>
        <v>0</v>
      </c>
      <c r="AF48" s="252">
        <f t="shared" si="12"/>
        <v>0</v>
      </c>
      <c r="AG48" s="252">
        <v>0</v>
      </c>
      <c r="AH48" s="252">
        <f t="shared" si="4"/>
        <v>0</v>
      </c>
      <c r="AI48" s="252">
        <f t="shared" si="13"/>
        <v>0</v>
      </c>
      <c r="AJ48" s="250"/>
      <c r="AK48" s="779" t="str">
        <f t="shared" si="14"/>
        <v/>
      </c>
      <c r="AL48" s="250"/>
      <c r="AM48" s="325" t="s">
        <v>589</v>
      </c>
    </row>
    <row r="49" spans="1:54" s="260" customFormat="1">
      <c r="A49" s="246" t="s">
        <v>1011</v>
      </c>
      <c r="B49" s="249" t="str">
        <f>VLOOKUP($A49,'Cloud Price List'!$A$3:$B$1500,2,FALSE)</f>
        <v>Oracle Integration Cloud Service - Enterprise</v>
      </c>
      <c r="C49" s="443" t="str">
        <f>VLOOKUP($A49,'Cloud Price List'!$A$3:$M$1500,5,FALSE)</f>
        <v>5,000 Messages Per Hour</v>
      </c>
      <c r="D49" s="258" t="str">
        <f>VLOOKUP($A49,'Cloud Price List'!$A$3:$N$1500,10,FALSE)</f>
        <v>PAAS</v>
      </c>
      <c r="E49" s="265">
        <f>VLOOKUP($A49,'Cloud Price List'!$A$3:$D$1500,4,FALSE)*'Cloud Price List'!$E$1</f>
        <v>1.2903</v>
      </c>
      <c r="G49" s="757">
        <f>IF(INDEX('Cloud Price List'!$B$3:$N$1491,MATCH($A49,'Cloud Price List'!$A$3:$A$1491,0),8)="UC0",0,VLOOKUP($D49,G$1:H$4,2,FALSE))</f>
        <v>0</v>
      </c>
      <c r="H49" s="252"/>
      <c r="I49" s="252">
        <v>0</v>
      </c>
      <c r="J49" s="252">
        <f t="shared" si="0"/>
        <v>0</v>
      </c>
      <c r="K49" s="252">
        <f t="shared" si="5"/>
        <v>0</v>
      </c>
      <c r="L49" s="250"/>
      <c r="M49" s="757">
        <f>IF(INDEX('Cloud Price List'!$B$3:$N$1491,MATCH($A49,'Cloud Price List'!$A$3:$A$1491,0),8)="UC0",0,VLOOKUP($D49,M$1:N$4,2,FALSE))</f>
        <v>0</v>
      </c>
      <c r="N49" s="252">
        <f t="shared" si="6"/>
        <v>0</v>
      </c>
      <c r="O49" s="252">
        <v>0</v>
      </c>
      <c r="P49" s="252">
        <f t="shared" si="1"/>
        <v>0</v>
      </c>
      <c r="Q49" s="252">
        <f t="shared" si="7"/>
        <v>0</v>
      </c>
      <c r="R49" s="250"/>
      <c r="S49" s="757">
        <f>IF(INDEX('Cloud Price List'!$B$3:$N$1491,MATCH($A49,'Cloud Price List'!$A$3:$A$1491,0),8)="UC0",0,VLOOKUP($D49,S$1:T$4,2,FALSE))</f>
        <v>0</v>
      </c>
      <c r="T49" s="252">
        <f t="shared" si="8"/>
        <v>0</v>
      </c>
      <c r="U49" s="252">
        <v>0</v>
      </c>
      <c r="V49" s="252">
        <f t="shared" si="2"/>
        <v>0</v>
      </c>
      <c r="W49" s="252">
        <f t="shared" si="9"/>
        <v>0</v>
      </c>
      <c r="X49" s="250"/>
      <c r="Y49" s="757">
        <f>IF(INDEX('Cloud Price List'!$B$3:$N$1491,MATCH($A49,'Cloud Price List'!$A$3:$A$1491,0),8)="UC0",0,VLOOKUP($D49,Y$1:Z$4,2,FALSE))</f>
        <v>0</v>
      </c>
      <c r="Z49" s="252">
        <f t="shared" si="10"/>
        <v>0</v>
      </c>
      <c r="AA49" s="252">
        <v>0</v>
      </c>
      <c r="AB49" s="252">
        <f t="shared" si="3"/>
        <v>0</v>
      </c>
      <c r="AC49" s="252">
        <f t="shared" si="11"/>
        <v>0</v>
      </c>
      <c r="AD49" s="250"/>
      <c r="AE49" s="757">
        <f>IF(INDEX('Cloud Price List'!$B$3:$N$1491,MATCH($A49,'Cloud Price List'!$A$3:$A$1491,0),8)="UC0",0,VLOOKUP($D49,AE$1:AF$4,2,FALSE))</f>
        <v>0</v>
      </c>
      <c r="AF49" s="252">
        <f t="shared" si="12"/>
        <v>0</v>
      </c>
      <c r="AG49" s="252">
        <v>0</v>
      </c>
      <c r="AH49" s="252">
        <f t="shared" si="4"/>
        <v>0</v>
      </c>
      <c r="AI49" s="252">
        <f t="shared" si="13"/>
        <v>0</v>
      </c>
      <c r="AJ49" s="250"/>
      <c r="AK49" s="779" t="str">
        <f t="shared" si="14"/>
        <v/>
      </c>
      <c r="AL49" s="250"/>
      <c r="AM49" s="325" t="s">
        <v>589</v>
      </c>
    </row>
    <row r="50" spans="1:54" s="260" customFormat="1">
      <c r="A50" s="246" t="s">
        <v>1259</v>
      </c>
      <c r="B50" s="249" t="str">
        <f>VLOOKUP($A50,'Cloud Price List'!$A$3:$B$1500,2,FALSE)</f>
        <v>Oracle Analytics Cloud - Professional - Subscription</v>
      </c>
      <c r="C50" s="443" t="str">
        <f>VLOOKUP($A50,'Cloud Price List'!$A$3:$M$1500,5,FALSE)</f>
        <v>Hosted Named User Per Month</v>
      </c>
      <c r="D50" s="258" t="str">
        <f>VLOOKUP($A50,'Cloud Price List'!$A$3:$N$1500,10,FALSE)</f>
        <v>PAAS</v>
      </c>
      <c r="E50" s="265">
        <f>VLOOKUP($A50,'Cloud Price List'!$A$3:$D$1500,4,FALSE)*'Cloud Price List'!$E$1</f>
        <v>20</v>
      </c>
      <c r="G50" s="757">
        <f>IF(INDEX('Cloud Price List'!$B$3:$N$1491,MATCH($A50,'Cloud Price List'!$A$3:$A$1491,0),8)="UC0",0,VLOOKUP($D50,G$1:H$4,2,FALSE))</f>
        <v>0</v>
      </c>
      <c r="H50" s="252"/>
      <c r="I50" s="252">
        <v>0</v>
      </c>
      <c r="J50" s="252">
        <f t="shared" si="0"/>
        <v>0</v>
      </c>
      <c r="K50" s="252">
        <f t="shared" si="5"/>
        <v>0</v>
      </c>
      <c r="L50" s="250"/>
      <c r="M50" s="757">
        <f>IF(INDEX('Cloud Price List'!$B$3:$N$1491,MATCH($A50,'Cloud Price List'!$A$3:$A$1491,0),8)="UC0",0,VLOOKUP($D50,M$1:N$4,2,FALSE))</f>
        <v>0</v>
      </c>
      <c r="N50" s="252">
        <f t="shared" si="6"/>
        <v>0</v>
      </c>
      <c r="O50" s="252">
        <v>0</v>
      </c>
      <c r="P50" s="252">
        <f t="shared" si="1"/>
        <v>0</v>
      </c>
      <c r="Q50" s="252">
        <f t="shared" si="7"/>
        <v>0</v>
      </c>
      <c r="R50" s="250"/>
      <c r="S50" s="757">
        <f>IF(INDEX('Cloud Price List'!$B$3:$N$1491,MATCH($A50,'Cloud Price List'!$A$3:$A$1491,0),8)="UC0",0,VLOOKUP($D50,S$1:T$4,2,FALSE))</f>
        <v>0</v>
      </c>
      <c r="T50" s="252">
        <f t="shared" si="8"/>
        <v>0</v>
      </c>
      <c r="U50" s="252">
        <v>0</v>
      </c>
      <c r="V50" s="252">
        <f t="shared" si="2"/>
        <v>0</v>
      </c>
      <c r="W50" s="252">
        <f t="shared" si="9"/>
        <v>0</v>
      </c>
      <c r="X50" s="250"/>
      <c r="Y50" s="757">
        <f>IF(INDEX('Cloud Price List'!$B$3:$N$1491,MATCH($A50,'Cloud Price List'!$A$3:$A$1491,0),8)="UC0",0,VLOOKUP($D50,Y$1:Z$4,2,FALSE))</f>
        <v>0</v>
      </c>
      <c r="Z50" s="252">
        <f t="shared" si="10"/>
        <v>0</v>
      </c>
      <c r="AA50" s="252">
        <v>0</v>
      </c>
      <c r="AB50" s="252">
        <f t="shared" si="3"/>
        <v>0</v>
      </c>
      <c r="AC50" s="252">
        <f t="shared" si="11"/>
        <v>0</v>
      </c>
      <c r="AD50" s="250"/>
      <c r="AE50" s="757">
        <f>IF(INDEX('Cloud Price List'!$B$3:$N$1491,MATCH($A50,'Cloud Price List'!$A$3:$A$1491,0),8)="UC0",0,VLOOKUP($D50,AE$1:AF$4,2,FALSE))</f>
        <v>0</v>
      </c>
      <c r="AF50" s="252">
        <f t="shared" si="12"/>
        <v>0</v>
      </c>
      <c r="AG50" s="252">
        <v>0</v>
      </c>
      <c r="AH50" s="252">
        <f t="shared" si="4"/>
        <v>0</v>
      </c>
      <c r="AI50" s="252">
        <f t="shared" si="13"/>
        <v>0</v>
      </c>
      <c r="AJ50" s="250"/>
      <c r="AK50" s="779" t="str">
        <f t="shared" si="14"/>
        <v/>
      </c>
      <c r="AL50" s="250"/>
      <c r="AM50" s="325" t="s">
        <v>589</v>
      </c>
    </row>
    <row r="51" spans="1:54" s="260" customFormat="1">
      <c r="A51" s="246" t="s">
        <v>1260</v>
      </c>
      <c r="B51" s="249" t="str">
        <f>VLOOKUP($A51,'Cloud Price List'!$A$3:$B$1500,2,FALSE)</f>
        <v>Oracle Analytics Cloud - Enterprise - Subscription</v>
      </c>
      <c r="C51" s="443" t="str">
        <f>VLOOKUP($A51,'Cloud Price List'!$A$3:$M$1500,5,FALSE)</f>
        <v>Hosted Named User Per Month</v>
      </c>
      <c r="D51" s="258" t="str">
        <f>VLOOKUP($A51,'Cloud Price List'!$A$3:$N$1500,10,FALSE)</f>
        <v>PAAS</v>
      </c>
      <c r="E51" s="265">
        <f>VLOOKUP($A51,'Cloud Price List'!$A$3:$D$1500,4,FALSE)*'Cloud Price List'!$E$1</f>
        <v>100</v>
      </c>
      <c r="G51" s="757">
        <f>IF(INDEX('Cloud Price List'!$B$3:$N$1491,MATCH($A51,'Cloud Price List'!$A$3:$A$1491,0),8)="UC0",0,VLOOKUP($D51,G$1:H$4,2,FALSE))</f>
        <v>0</v>
      </c>
      <c r="H51" s="252"/>
      <c r="I51" s="252">
        <v>0</v>
      </c>
      <c r="J51" s="252">
        <f t="shared" si="0"/>
        <v>0</v>
      </c>
      <c r="K51" s="252">
        <f t="shared" si="5"/>
        <v>0</v>
      </c>
      <c r="L51" s="250"/>
      <c r="M51" s="757">
        <f>IF(INDEX('Cloud Price List'!$B$3:$N$1491,MATCH($A51,'Cloud Price List'!$A$3:$A$1491,0),8)="UC0",0,VLOOKUP($D51,M$1:N$4,2,FALSE))</f>
        <v>0</v>
      </c>
      <c r="N51" s="252">
        <f t="shared" si="6"/>
        <v>0</v>
      </c>
      <c r="O51" s="252">
        <v>0</v>
      </c>
      <c r="P51" s="252">
        <f t="shared" si="1"/>
        <v>0</v>
      </c>
      <c r="Q51" s="252">
        <f t="shared" si="7"/>
        <v>0</v>
      </c>
      <c r="R51" s="250"/>
      <c r="S51" s="757">
        <f>IF(INDEX('Cloud Price List'!$B$3:$N$1491,MATCH($A51,'Cloud Price List'!$A$3:$A$1491,0),8)="UC0",0,VLOOKUP($D51,S$1:T$4,2,FALSE))</f>
        <v>0</v>
      </c>
      <c r="T51" s="252">
        <f t="shared" si="8"/>
        <v>0</v>
      </c>
      <c r="U51" s="252">
        <v>0</v>
      </c>
      <c r="V51" s="252">
        <f t="shared" si="2"/>
        <v>0</v>
      </c>
      <c r="W51" s="252">
        <f t="shared" si="9"/>
        <v>0</v>
      </c>
      <c r="X51" s="250"/>
      <c r="Y51" s="757">
        <f>IF(INDEX('Cloud Price List'!$B$3:$N$1491,MATCH($A51,'Cloud Price List'!$A$3:$A$1491,0),8)="UC0",0,VLOOKUP($D51,Y$1:Z$4,2,FALSE))</f>
        <v>0</v>
      </c>
      <c r="Z51" s="252">
        <f t="shared" si="10"/>
        <v>0</v>
      </c>
      <c r="AA51" s="252">
        <v>0</v>
      </c>
      <c r="AB51" s="252">
        <f t="shared" si="3"/>
        <v>0</v>
      </c>
      <c r="AC51" s="252">
        <f t="shared" si="11"/>
        <v>0</v>
      </c>
      <c r="AD51" s="250"/>
      <c r="AE51" s="757">
        <f>IF(INDEX('Cloud Price List'!$B$3:$N$1491,MATCH($A51,'Cloud Price List'!$A$3:$A$1491,0),8)="UC0",0,VLOOKUP($D51,AE$1:AF$4,2,FALSE))</f>
        <v>0</v>
      </c>
      <c r="AF51" s="252">
        <f t="shared" si="12"/>
        <v>0</v>
      </c>
      <c r="AG51" s="252">
        <v>0</v>
      </c>
      <c r="AH51" s="252">
        <f t="shared" si="4"/>
        <v>0</v>
      </c>
      <c r="AI51" s="252">
        <f t="shared" si="13"/>
        <v>0</v>
      </c>
      <c r="AJ51" s="250"/>
      <c r="AK51" s="779" t="str">
        <f t="shared" si="14"/>
        <v/>
      </c>
      <c r="AL51" s="250"/>
      <c r="AM51" s="325" t="s">
        <v>589</v>
      </c>
    </row>
    <row r="52" spans="1:54" s="260" customFormat="1">
      <c r="A52" s="1" t="s">
        <v>2133</v>
      </c>
      <c r="B52" s="249" t="str">
        <f>VLOOKUP($A52,'Cloud Price List'!$A$3:$B$1500,2,FALSE)</f>
        <v>Oracle WebLogic Server Enterprise Edition for Oracle Cloud Infrastructure*
(*Available on the Oracle Cloud Marketplace:  See Note 15)</v>
      </c>
      <c r="C52" s="443"/>
      <c r="D52" s="258" t="str">
        <f>VLOOKUP($A52,'Cloud Price List'!$A$3:$N$1500,10,FALSE)</f>
        <v>PAAS</v>
      </c>
      <c r="E52" s="265">
        <f>VLOOKUP($A52,'Cloud Price List'!$A$3:$D$1500,4,FALSE)*'Cloud Price List'!$E$1</f>
        <v>0.2581</v>
      </c>
      <c r="F52" s="267"/>
      <c r="G52" s="757">
        <f>IF(INDEX('Cloud Price List'!$B$3:$N$1491,MATCH($A52,'Cloud Price List'!$A$3:$A$1491,0),8)="UC0",0,VLOOKUP($D52,G$1:H$4,2,FALSE))</f>
        <v>0</v>
      </c>
      <c r="H52" s="252"/>
      <c r="I52" s="252">
        <v>0</v>
      </c>
      <c r="J52" s="252">
        <f t="shared" si="0"/>
        <v>0</v>
      </c>
      <c r="K52" s="252">
        <f t="shared" si="5"/>
        <v>0</v>
      </c>
      <c r="L52" s="268"/>
      <c r="M52" s="757">
        <f>IF(INDEX('Cloud Price List'!$B$3:$N$1491,MATCH($A52,'Cloud Price List'!$A$3:$A$1491,0),8)="UC0",0,VLOOKUP($D52,M$1:N$4,2,FALSE))</f>
        <v>0</v>
      </c>
      <c r="N52" s="252">
        <f t="shared" si="6"/>
        <v>0</v>
      </c>
      <c r="O52" s="252">
        <v>0</v>
      </c>
      <c r="P52" s="252">
        <f t="shared" si="1"/>
        <v>0</v>
      </c>
      <c r="Q52" s="252">
        <f t="shared" si="7"/>
        <v>0</v>
      </c>
      <c r="R52" s="268"/>
      <c r="S52" s="757">
        <f>IF(INDEX('Cloud Price List'!$B$3:$N$1491,MATCH($A52,'Cloud Price List'!$A$3:$A$1491,0),8)="UC0",0,VLOOKUP($D52,S$1:T$4,2,FALSE))</f>
        <v>0</v>
      </c>
      <c r="T52" s="252">
        <f t="shared" si="8"/>
        <v>0</v>
      </c>
      <c r="U52" s="252">
        <v>0</v>
      </c>
      <c r="V52" s="252">
        <f t="shared" si="2"/>
        <v>0</v>
      </c>
      <c r="W52" s="252">
        <f t="shared" si="9"/>
        <v>0</v>
      </c>
      <c r="X52" s="268"/>
      <c r="Y52" s="757">
        <f>IF(INDEX('Cloud Price List'!$B$3:$N$1491,MATCH($A52,'Cloud Price List'!$A$3:$A$1491,0),8)="UC0",0,VLOOKUP($D52,Y$1:Z$4,2,FALSE))</f>
        <v>0</v>
      </c>
      <c r="Z52" s="252">
        <f t="shared" si="10"/>
        <v>0</v>
      </c>
      <c r="AA52" s="252">
        <v>0</v>
      </c>
      <c r="AB52" s="252">
        <f t="shared" si="3"/>
        <v>0</v>
      </c>
      <c r="AC52" s="252">
        <f t="shared" si="11"/>
        <v>0</v>
      </c>
      <c r="AD52" s="268"/>
      <c r="AE52" s="757">
        <f>IF(INDEX('Cloud Price List'!$B$3:$N$1491,MATCH($A52,'Cloud Price List'!$A$3:$A$1491,0),8)="UC0",0,VLOOKUP($D52,AE$1:AF$4,2,FALSE))</f>
        <v>0</v>
      </c>
      <c r="AF52" s="252">
        <f t="shared" si="12"/>
        <v>0</v>
      </c>
      <c r="AG52" s="252">
        <v>0</v>
      </c>
      <c r="AH52" s="252">
        <f t="shared" si="4"/>
        <v>0</v>
      </c>
      <c r="AI52" s="252">
        <f t="shared" si="13"/>
        <v>0</v>
      </c>
      <c r="AJ52" s="268"/>
      <c r="AK52" s="779" t="str">
        <f t="shared" si="14"/>
        <v/>
      </c>
      <c r="AL52" s="268"/>
      <c r="AM52" s="325"/>
    </row>
    <row r="53" spans="1:54" s="260" customFormat="1">
      <c r="A53" s="1" t="s">
        <v>2134</v>
      </c>
      <c r="B53" s="249" t="str">
        <f>VLOOKUP($A53,'Cloud Price List'!$A$3:$B$1500,2,FALSE)</f>
        <v>Oracle WebLogic Suite for Oracle Cloud Infrastructure
(*Available on the Oracle Cloud Marketplace:  See Note 15)</v>
      </c>
      <c r="C53" s="443"/>
      <c r="D53" s="258" t="str">
        <f>VLOOKUP($A53,'Cloud Price List'!$A$3:$N$1500,10,FALSE)</f>
        <v>PAAS</v>
      </c>
      <c r="E53" s="265">
        <f>VLOOKUP($A53,'Cloud Price List'!$A$3:$D$1500,4,FALSE)*'Cloud Price List'!$E$1</f>
        <v>0.72270000000000001</v>
      </c>
      <c r="G53" s="757">
        <f>IF(INDEX('Cloud Price List'!$B$3:$N$1491,MATCH($A53,'Cloud Price List'!$A$3:$A$1491,0),8)="UC0",0,VLOOKUP($D53,G$1:H$4,2,FALSE))</f>
        <v>0</v>
      </c>
      <c r="H53" s="252"/>
      <c r="I53" s="252">
        <v>0</v>
      </c>
      <c r="J53" s="252">
        <f t="shared" si="0"/>
        <v>0</v>
      </c>
      <c r="K53" s="252">
        <f t="shared" si="5"/>
        <v>0</v>
      </c>
      <c r="L53" s="250"/>
      <c r="M53" s="757">
        <f>IF(INDEX('Cloud Price List'!$B$3:$N$1491,MATCH($A53,'Cloud Price List'!$A$3:$A$1491,0),8)="UC0",0,VLOOKUP($D53,M$1:N$4,2,FALSE))</f>
        <v>0</v>
      </c>
      <c r="N53" s="252">
        <f t="shared" si="6"/>
        <v>0</v>
      </c>
      <c r="O53" s="252">
        <v>0</v>
      </c>
      <c r="P53" s="252">
        <f t="shared" si="1"/>
        <v>0</v>
      </c>
      <c r="Q53" s="252">
        <f t="shared" si="7"/>
        <v>0</v>
      </c>
      <c r="R53" s="250"/>
      <c r="S53" s="757">
        <f>IF(INDEX('Cloud Price List'!$B$3:$N$1491,MATCH($A53,'Cloud Price List'!$A$3:$A$1491,0),8)="UC0",0,VLOOKUP($D53,S$1:T$4,2,FALSE))</f>
        <v>0</v>
      </c>
      <c r="T53" s="252">
        <f t="shared" si="8"/>
        <v>0</v>
      </c>
      <c r="U53" s="252">
        <v>0</v>
      </c>
      <c r="V53" s="252">
        <f t="shared" si="2"/>
        <v>0</v>
      </c>
      <c r="W53" s="252">
        <f t="shared" si="9"/>
        <v>0</v>
      </c>
      <c r="X53" s="250"/>
      <c r="Y53" s="757">
        <f>IF(INDEX('Cloud Price List'!$B$3:$N$1491,MATCH($A53,'Cloud Price List'!$A$3:$A$1491,0),8)="UC0",0,VLOOKUP($D53,Y$1:Z$4,2,FALSE))</f>
        <v>0</v>
      </c>
      <c r="Z53" s="252">
        <f t="shared" si="10"/>
        <v>0</v>
      </c>
      <c r="AA53" s="252">
        <v>0</v>
      </c>
      <c r="AB53" s="252">
        <f t="shared" si="3"/>
        <v>0</v>
      </c>
      <c r="AC53" s="252">
        <f t="shared" si="11"/>
        <v>0</v>
      </c>
      <c r="AD53" s="250"/>
      <c r="AE53" s="757">
        <f>IF(INDEX('Cloud Price List'!$B$3:$N$1491,MATCH($A53,'Cloud Price List'!$A$3:$A$1491,0),8)="UC0",0,VLOOKUP($D53,AE$1:AF$4,2,FALSE))</f>
        <v>0</v>
      </c>
      <c r="AF53" s="252">
        <f t="shared" si="12"/>
        <v>0</v>
      </c>
      <c r="AG53" s="252">
        <v>0</v>
      </c>
      <c r="AH53" s="252">
        <f t="shared" si="4"/>
        <v>0</v>
      </c>
      <c r="AI53" s="252">
        <f t="shared" si="13"/>
        <v>0</v>
      </c>
      <c r="AJ53" s="250"/>
      <c r="AK53" s="779" t="str">
        <f t="shared" si="14"/>
        <v/>
      </c>
      <c r="AL53" s="250"/>
      <c r="AM53" s="340"/>
    </row>
    <row r="54" spans="1:54" s="260" customFormat="1">
      <c r="A54" s="240"/>
      <c r="B54" s="248"/>
      <c r="C54" s="444"/>
      <c r="D54" s="266"/>
      <c r="E54" s="265"/>
      <c r="H54" s="252"/>
      <c r="I54" s="252"/>
      <c r="J54" s="252"/>
      <c r="K54" s="252"/>
      <c r="N54" s="252"/>
      <c r="O54" s="252"/>
      <c r="P54" s="252"/>
      <c r="Q54" s="252"/>
      <c r="T54" s="252"/>
      <c r="U54" s="252"/>
      <c r="V54" s="252"/>
      <c r="W54" s="252"/>
      <c r="Z54" s="252"/>
      <c r="AA54" s="252"/>
      <c r="AB54" s="252"/>
      <c r="AC54" s="252"/>
      <c r="AF54" s="252"/>
      <c r="AG54" s="252"/>
      <c r="AH54" s="252"/>
      <c r="AI54" s="252"/>
      <c r="AK54" s="252"/>
      <c r="AM54" s="325"/>
    </row>
    <row r="55" spans="1:54" s="7" customFormat="1">
      <c r="A55" s="312" t="s">
        <v>493</v>
      </c>
      <c r="B55" s="5"/>
      <c r="C55" s="296"/>
      <c r="D55" s="258"/>
      <c r="J55" s="21" t="e">
        <f>SUM(J8:J53)</f>
        <v>#N/A</v>
      </c>
      <c r="K55" s="21" t="e">
        <f>SUM(K8:K53)</f>
        <v>#N/A</v>
      </c>
      <c r="L55" s="28"/>
      <c r="N55" s="28"/>
      <c r="O55" s="28"/>
      <c r="P55" s="21" t="e">
        <f>SUM(P8:P53)</f>
        <v>#N/A</v>
      </c>
      <c r="Q55" s="21" t="e">
        <f>SUM(Q8:Q53)</f>
        <v>#N/A</v>
      </c>
      <c r="R55" s="28"/>
      <c r="T55" s="28"/>
      <c r="U55" s="28"/>
      <c r="V55" s="21" t="e">
        <f>SUM(V8:V53)</f>
        <v>#N/A</v>
      </c>
      <c r="W55" s="21" t="e">
        <f>SUM(W8:W53)</f>
        <v>#N/A</v>
      </c>
      <c r="X55" s="28"/>
      <c r="Z55" s="28"/>
      <c r="AA55" s="28"/>
      <c r="AB55" s="21" t="e">
        <f>SUM(AB8:AB53)</f>
        <v>#N/A</v>
      </c>
      <c r="AC55" s="21" t="e">
        <f>SUM(AC8:AC53)</f>
        <v>#N/A</v>
      </c>
      <c r="AD55" s="28"/>
      <c r="AF55" s="28"/>
      <c r="AG55" s="28"/>
      <c r="AH55" s="21" t="e">
        <f>SUM(AH8:AH53)</f>
        <v>#N/A</v>
      </c>
      <c r="AI55" s="21" t="e">
        <f>SUM(AI8:AI53)</f>
        <v>#N/A</v>
      </c>
      <c r="AJ55" s="28"/>
      <c r="AK55" s="28"/>
      <c r="AL55" s="28"/>
      <c r="AM55" s="326"/>
      <c r="AN55" s="261"/>
      <c r="AO55" s="261"/>
      <c r="AP55" s="261"/>
      <c r="AQ55" s="261"/>
      <c r="AR55" s="261"/>
      <c r="AS55" s="261"/>
      <c r="AT55" s="261"/>
      <c r="AU55" s="261"/>
      <c r="AV55" s="261"/>
      <c r="AW55" s="261"/>
      <c r="AX55" s="261"/>
      <c r="AY55" s="261"/>
      <c r="AZ55" s="261"/>
      <c r="BA55" s="261"/>
      <c r="BB55" s="261"/>
    </row>
    <row r="56" spans="1:54" s="7" customFormat="1">
      <c r="A56" s="313"/>
      <c r="B56" s="78"/>
      <c r="C56" s="296"/>
      <c r="D56" s="26"/>
      <c r="AM56" s="327"/>
    </row>
    <row r="57" spans="1:54" s="1" customFormat="1">
      <c r="A57" s="312" t="s">
        <v>490</v>
      </c>
      <c r="B57" s="5"/>
      <c r="C57" s="441"/>
      <c r="D57" s="16"/>
      <c r="E57" s="20"/>
      <c r="H57" s="13"/>
      <c r="I57" s="13"/>
      <c r="J57" s="18" t="e">
        <f>J55/$A$3</f>
        <v>#N/A</v>
      </c>
      <c r="K57" s="18" t="e">
        <f>K55/$A$3</f>
        <v>#N/A</v>
      </c>
      <c r="L57" s="21"/>
      <c r="N57" s="21"/>
      <c r="O57" s="21"/>
      <c r="P57" s="18" t="e">
        <f>P55/$A$3</f>
        <v>#N/A</v>
      </c>
      <c r="Q57" s="18" t="e">
        <f>Q55/$A$3</f>
        <v>#N/A</v>
      </c>
      <c r="R57" s="21"/>
      <c r="T57" s="21"/>
      <c r="U57" s="21"/>
      <c r="V57" s="18" t="e">
        <f>V55/$A$3</f>
        <v>#N/A</v>
      </c>
      <c r="W57" s="18" t="e">
        <f>W55/$A$3</f>
        <v>#N/A</v>
      </c>
      <c r="X57" s="21"/>
      <c r="Z57" s="21"/>
      <c r="AA57" s="21"/>
      <c r="AB57" s="18" t="e">
        <f>AB55/$A$3</f>
        <v>#N/A</v>
      </c>
      <c r="AC57" s="18" t="e">
        <f>AC55/$A$3</f>
        <v>#N/A</v>
      </c>
      <c r="AD57" s="21"/>
      <c r="AF57" s="21"/>
      <c r="AG57" s="21"/>
      <c r="AH57" s="18" t="e">
        <f>AH55/$A$3</f>
        <v>#N/A</v>
      </c>
      <c r="AI57" s="18" t="e">
        <f>AI55/$A$3</f>
        <v>#N/A</v>
      </c>
      <c r="AJ57" s="21"/>
      <c r="AK57" s="21"/>
      <c r="AL57" s="21"/>
      <c r="AM57" s="323"/>
    </row>
    <row r="58" spans="1:54">
      <c r="H58" s="259"/>
      <c r="I58" s="259"/>
      <c r="J58" s="259"/>
      <c r="K58" s="259"/>
      <c r="L58" s="259"/>
      <c r="N58" s="259"/>
      <c r="O58" s="259"/>
      <c r="P58" s="259"/>
      <c r="Q58" s="259"/>
      <c r="R58" s="259"/>
      <c r="T58" s="259"/>
      <c r="U58" s="259"/>
      <c r="V58" s="259"/>
      <c r="W58" s="259"/>
      <c r="X58" s="259"/>
      <c r="Z58" s="259"/>
      <c r="AA58" s="259"/>
      <c r="AB58" s="259"/>
      <c r="AC58" s="259"/>
      <c r="AD58" s="259"/>
      <c r="AF58" s="259"/>
      <c r="AG58" s="259"/>
      <c r="AH58" s="259"/>
      <c r="AI58" s="259"/>
      <c r="AJ58" s="259"/>
      <c r="AK58" s="259"/>
      <c r="AL58" s="259"/>
    </row>
    <row r="59" spans="1:54">
      <c r="A59" s="246" t="s">
        <v>40</v>
      </c>
      <c r="B59" s="249" t="str">
        <f>VLOOKUP($A59,'Cloud Price List'!$A$3:$B$1500,2,FALSE)</f>
        <v>Oracle Cloud Infrastructure - Compute - Windows OS</v>
      </c>
      <c r="C59" s="443"/>
      <c r="D59" s="258"/>
      <c r="E59" s="265"/>
      <c r="H59" s="259"/>
      <c r="I59" s="259"/>
      <c r="J59" s="259"/>
      <c r="K59" s="18">
        <f>SUMIF($A$7:$A$54,$A59,K$7:K$54)</f>
        <v>0</v>
      </c>
      <c r="L59" s="259"/>
      <c r="N59" s="259"/>
      <c r="O59" s="259"/>
      <c r="P59" s="259"/>
      <c r="Q59" s="18">
        <f>SUMIF($A$7:$A$54,$A59,Q$7:Q$54)</f>
        <v>0</v>
      </c>
      <c r="R59" s="259"/>
      <c r="T59" s="259"/>
      <c r="U59" s="259"/>
      <c r="V59" s="259"/>
      <c r="W59" s="259"/>
      <c r="X59" s="259"/>
      <c r="Z59" s="259"/>
      <c r="AA59" s="259"/>
      <c r="AB59" s="259"/>
      <c r="AC59" s="259"/>
      <c r="AD59" s="259"/>
      <c r="AF59" s="259"/>
      <c r="AG59" s="259"/>
      <c r="AH59" s="259"/>
      <c r="AI59" s="259"/>
      <c r="AJ59" s="259"/>
      <c r="AK59" s="259"/>
      <c r="AL59" s="259"/>
    </row>
    <row r="60" spans="1:54">
      <c r="A60" s="247" t="s">
        <v>979</v>
      </c>
      <c r="B60" s="249" t="str">
        <f>VLOOKUP($A60,'Cloud Price List'!$A$3:$B$1500,2,FALSE)</f>
        <v>Oracle Cloud Infrastructure - File Storage</v>
      </c>
      <c r="H60" s="259"/>
      <c r="I60" s="259"/>
      <c r="J60" s="259"/>
      <c r="K60" s="18">
        <f>SUMIF($A$7:$A$54,$A60,K$7:K$54)</f>
        <v>0</v>
      </c>
      <c r="L60" s="259"/>
      <c r="N60" s="259"/>
      <c r="O60" s="259"/>
      <c r="P60" s="259"/>
      <c r="Q60" s="18">
        <f>SUMIF($A$7:$A$54,$A60,Q$7:Q$54)</f>
        <v>0</v>
      </c>
      <c r="R60" s="259"/>
      <c r="T60" s="259"/>
      <c r="U60" s="259"/>
      <c r="V60" s="259"/>
      <c r="W60" s="259"/>
      <c r="X60" s="259"/>
      <c r="Z60" s="259"/>
      <c r="AA60" s="259"/>
      <c r="AB60" s="259"/>
      <c r="AC60" s="259"/>
      <c r="AD60" s="259"/>
      <c r="AF60" s="259"/>
      <c r="AG60" s="259"/>
      <c r="AH60" s="259"/>
      <c r="AI60" s="259"/>
      <c r="AJ60" s="259"/>
      <c r="AK60" s="259"/>
      <c r="AL60" s="259"/>
    </row>
    <row r="61" spans="1:54">
      <c r="B61" t="s">
        <v>3000</v>
      </c>
      <c r="H61" s="259"/>
      <c r="I61" s="259"/>
      <c r="J61" s="259"/>
      <c r="K61" s="18" t="e">
        <f>K55-SUM(K59:K60)</f>
        <v>#N/A</v>
      </c>
      <c r="L61" s="259"/>
      <c r="N61" s="259"/>
      <c r="O61" s="259"/>
      <c r="P61" s="259"/>
      <c r="Q61" s="18" t="e">
        <f>Q55-SUM(Q59:Q60)</f>
        <v>#N/A</v>
      </c>
      <c r="R61" s="259"/>
      <c r="T61" s="259"/>
      <c r="U61" s="259"/>
      <c r="V61" s="259"/>
      <c r="W61" s="259"/>
      <c r="X61" s="259"/>
      <c r="Z61" s="259"/>
      <c r="AA61" s="259"/>
      <c r="AB61" s="259"/>
      <c r="AC61" s="259"/>
      <c r="AD61" s="259"/>
      <c r="AF61" s="259"/>
      <c r="AG61" s="259"/>
      <c r="AH61" s="259"/>
      <c r="AI61" s="259"/>
      <c r="AJ61" s="259"/>
      <c r="AK61" s="259"/>
      <c r="AL61" s="259"/>
    </row>
    <row r="62" spans="1:54">
      <c r="H62" s="259"/>
      <c r="I62" s="259"/>
      <c r="J62" s="259"/>
      <c r="K62" s="259"/>
      <c r="L62" s="259"/>
      <c r="N62" s="259"/>
      <c r="O62" s="259"/>
      <c r="P62" s="259"/>
      <c r="Q62" s="259"/>
      <c r="R62" s="259"/>
      <c r="T62" s="259"/>
      <c r="U62" s="259"/>
      <c r="V62" s="259"/>
      <c r="W62" s="259"/>
      <c r="X62" s="259"/>
      <c r="Z62" s="259"/>
      <c r="AA62" s="259"/>
      <c r="AB62" s="259"/>
      <c r="AC62" s="259"/>
      <c r="AD62" s="259"/>
      <c r="AF62" s="259"/>
      <c r="AG62" s="259"/>
      <c r="AH62" s="259"/>
      <c r="AI62" s="259"/>
      <c r="AJ62" s="259"/>
      <c r="AK62" s="259"/>
      <c r="AL62" s="259"/>
    </row>
    <row r="63" spans="1:54">
      <c r="H63" s="259"/>
      <c r="I63" s="259"/>
      <c r="J63" s="259"/>
      <c r="K63" s="259"/>
      <c r="L63" s="259"/>
      <c r="N63" s="259"/>
      <c r="O63" s="259"/>
      <c r="P63" s="259"/>
      <c r="Q63" s="259"/>
      <c r="R63" s="259"/>
      <c r="T63" s="259"/>
      <c r="U63" s="259"/>
      <c r="V63" s="259"/>
      <c r="W63" s="259"/>
      <c r="X63" s="259"/>
      <c r="Z63" s="259"/>
      <c r="AA63" s="259"/>
      <c r="AB63" s="259"/>
      <c r="AC63" s="259"/>
      <c r="AD63" s="259"/>
      <c r="AF63" s="259"/>
      <c r="AG63" s="259"/>
      <c r="AH63" s="259"/>
      <c r="AI63" s="259"/>
      <c r="AJ63" s="259"/>
      <c r="AK63" s="259"/>
      <c r="AL63" s="259"/>
    </row>
    <row r="64" spans="1:54">
      <c r="H64" s="259"/>
      <c r="I64" s="259"/>
      <c r="J64" s="259"/>
      <c r="K64" s="259"/>
      <c r="L64" s="259"/>
      <c r="N64" s="259"/>
      <c r="O64" s="259"/>
      <c r="P64" s="259"/>
      <c r="Q64" s="259"/>
      <c r="R64" s="259"/>
      <c r="T64" s="259"/>
      <c r="U64" s="259"/>
      <c r="V64" s="259"/>
      <c r="W64" s="259"/>
      <c r="X64" s="259"/>
      <c r="Z64" s="259"/>
      <c r="AA64" s="259"/>
      <c r="AB64" s="259"/>
      <c r="AC64" s="259"/>
      <c r="AD64" s="259"/>
      <c r="AF64" s="259"/>
      <c r="AG64" s="259"/>
      <c r="AH64" s="259"/>
      <c r="AI64" s="259"/>
      <c r="AJ64" s="259"/>
      <c r="AK64" s="259"/>
      <c r="AL64" s="259"/>
    </row>
    <row r="65" spans="8:38">
      <c r="H65" s="259"/>
      <c r="I65" s="259"/>
      <c r="J65" s="259"/>
      <c r="K65" s="259"/>
      <c r="L65" s="259"/>
      <c r="N65" s="259"/>
      <c r="O65" s="259"/>
      <c r="P65" s="259"/>
      <c r="Q65" s="259"/>
      <c r="R65" s="259"/>
      <c r="T65" s="259"/>
      <c r="U65" s="259"/>
      <c r="V65" s="259"/>
      <c r="W65" s="259"/>
      <c r="X65" s="259"/>
      <c r="Z65" s="259"/>
      <c r="AA65" s="259"/>
      <c r="AB65" s="259"/>
      <c r="AC65" s="259"/>
      <c r="AD65" s="259"/>
      <c r="AF65" s="259"/>
      <c r="AG65" s="259"/>
      <c r="AH65" s="259"/>
      <c r="AI65" s="259"/>
      <c r="AJ65" s="259"/>
      <c r="AK65" s="259"/>
      <c r="AL65" s="259"/>
    </row>
    <row r="66" spans="8:38">
      <c r="H66" s="259"/>
      <c r="I66" s="259"/>
      <c r="J66" s="259"/>
      <c r="K66" s="259"/>
      <c r="L66" s="259"/>
      <c r="N66" s="259"/>
      <c r="O66" s="259"/>
      <c r="P66" s="259"/>
      <c r="Q66" s="259"/>
      <c r="R66" s="259"/>
      <c r="T66" s="259"/>
      <c r="U66" s="259"/>
      <c r="V66" s="259"/>
      <c r="W66" s="259"/>
      <c r="X66" s="259"/>
      <c r="Z66" s="259"/>
      <c r="AA66" s="259"/>
      <c r="AB66" s="259"/>
      <c r="AC66" s="259"/>
      <c r="AD66" s="259"/>
      <c r="AF66" s="259"/>
      <c r="AG66" s="259"/>
      <c r="AH66" s="259"/>
      <c r="AI66" s="259"/>
      <c r="AJ66" s="259"/>
      <c r="AK66" s="259"/>
      <c r="AL66" s="259"/>
    </row>
    <row r="67" spans="8:38">
      <c r="H67" s="259"/>
      <c r="I67" s="259"/>
      <c r="J67" s="259"/>
      <c r="K67" s="259"/>
      <c r="L67" s="259"/>
      <c r="N67" s="259"/>
      <c r="O67" s="259"/>
      <c r="P67" s="259"/>
      <c r="Q67" s="259"/>
      <c r="R67" s="259"/>
      <c r="T67" s="259"/>
      <c r="U67" s="259"/>
      <c r="V67" s="259"/>
      <c r="W67" s="259"/>
      <c r="X67" s="259"/>
      <c r="Z67" s="259"/>
      <c r="AA67" s="259"/>
      <c r="AB67" s="259"/>
      <c r="AC67" s="259"/>
      <c r="AD67" s="259"/>
      <c r="AF67" s="259"/>
      <c r="AG67" s="259"/>
      <c r="AH67" s="259"/>
      <c r="AI67" s="259"/>
      <c r="AJ67" s="259"/>
      <c r="AK67" s="259"/>
      <c r="AL67" s="259"/>
    </row>
    <row r="68" spans="8:38">
      <c r="H68" s="259"/>
      <c r="I68" s="259"/>
      <c r="J68" s="259"/>
      <c r="K68" s="259"/>
      <c r="L68" s="259"/>
      <c r="N68" s="259"/>
      <c r="O68" s="259"/>
      <c r="P68" s="259"/>
      <c r="Q68" s="259"/>
      <c r="R68" s="259"/>
      <c r="T68" s="259"/>
      <c r="U68" s="259"/>
      <c r="V68" s="259"/>
      <c r="W68" s="259"/>
      <c r="X68" s="259"/>
      <c r="Z68" s="259"/>
      <c r="AA68" s="259"/>
      <c r="AB68" s="259"/>
      <c r="AC68" s="259"/>
      <c r="AD68" s="259"/>
      <c r="AF68" s="259"/>
      <c r="AG68" s="259"/>
      <c r="AH68" s="259"/>
      <c r="AI68" s="259"/>
      <c r="AJ68" s="259"/>
      <c r="AK68" s="259"/>
      <c r="AL68" s="259"/>
    </row>
    <row r="69" spans="8:38">
      <c r="H69" s="259"/>
      <c r="I69" s="259"/>
      <c r="J69" s="259"/>
      <c r="K69" s="259"/>
      <c r="L69" s="259"/>
      <c r="N69" s="259"/>
      <c r="O69" s="259"/>
      <c r="P69" s="259"/>
      <c r="Q69" s="259"/>
      <c r="R69" s="259"/>
      <c r="T69" s="259"/>
      <c r="U69" s="259"/>
      <c r="V69" s="259"/>
      <c r="W69" s="259"/>
      <c r="X69" s="259"/>
      <c r="Z69" s="259"/>
      <c r="AA69" s="259"/>
      <c r="AB69" s="259"/>
      <c r="AC69" s="259"/>
      <c r="AD69" s="259"/>
      <c r="AF69" s="259"/>
      <c r="AG69" s="259"/>
      <c r="AH69" s="259"/>
      <c r="AI69" s="259"/>
      <c r="AJ69" s="259"/>
      <c r="AK69" s="259"/>
      <c r="AL69" s="259"/>
    </row>
  </sheetData>
  <sheetProtection insertRows="0" deleteRows="0" autoFilter="0"/>
  <autoFilter ref="AK7:AK53" xr:uid="{5AB3FD9B-690A-4E1C-9079-0DEBF16B5308}"/>
  <conditionalFormatting sqref="A54">
    <cfRule type="cellIs" dxfId="19" priority="8" operator="equal">
      <formula>#REF!</formula>
    </cfRule>
  </conditionalFormatting>
  <conditionalFormatting sqref="A52:A53">
    <cfRule type="cellIs" dxfId="18" priority="5" operator="equal">
      <formula>A51</formula>
    </cfRule>
  </conditionalFormatting>
  <pageMargins left="0.25" right="0.25" top="0.75" bottom="0.75" header="0.3" footer="0.3"/>
  <pageSetup scale="47" fitToHeight="0" orientation="landscape"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0064F18-CE1B-4F01-BB67-40B3A0C60294}">
          <x14:formula1>
            <xm:f>Discounts!$AE$4:$AE$5</xm:f>
          </x14:formula1>
          <xm:sqref>AC5 K5 AI5 W5 Q5 AM8:AM53</xm:sqref>
        </x14:dataValidation>
        <x14:dataValidation type="list" allowBlank="1" showInputMessage="1" showErrorMessage="1" error="Annual, Monthly, or PAYG" xr:uid="{4C2CE1F8-3873-428D-AE74-A5AEF3233974}">
          <x14:formula1>
            <xm:f>Discounts!$AD$4:$AD$6</xm:f>
          </x14:formula1>
          <xm:sqref>A1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61023-175F-49FA-B08D-CCC1B78B3A8A}">
  <sheetPr>
    <tabColor theme="9"/>
  </sheetPr>
  <dimension ref="A1:T143"/>
  <sheetViews>
    <sheetView showZeros="0" zoomScale="90" zoomScaleNormal="90" workbookViewId="0">
      <selection activeCell="C31" sqref="C31"/>
    </sheetView>
  </sheetViews>
  <sheetFormatPr baseColWidth="10" defaultColWidth="9.1640625" defaultRowHeight="16"/>
  <cols>
    <col min="1" max="1" width="4.5" style="83" customWidth="1"/>
    <col min="2" max="2" width="1.6640625" style="83" customWidth="1"/>
    <col min="3" max="3" width="47" style="83" customWidth="1"/>
    <col min="4" max="6" width="20.6640625" style="83" customWidth="1"/>
    <col min="7" max="9" width="20.6640625" style="83" hidden="1" customWidth="1"/>
    <col min="10" max="10" width="20.6640625" style="83" customWidth="1"/>
    <col min="11" max="11" width="1.6640625" style="83" customWidth="1"/>
    <col min="12" max="12" width="8.33203125" style="760" customWidth="1"/>
    <col min="13" max="13" width="8.33203125" style="84" customWidth="1"/>
    <col min="14" max="14" width="7.83203125" style="85" customWidth="1"/>
    <col min="15" max="18" width="22" style="85" customWidth="1"/>
    <col min="19" max="20" width="22" style="83" customWidth="1"/>
    <col min="21" max="16384" width="9.1640625" style="83"/>
  </cols>
  <sheetData>
    <row r="1" spans="1:20" ht="17" thickBot="1">
      <c r="A1" s="82" t="s">
        <v>580</v>
      </c>
      <c r="C1" s="83" t="s">
        <v>560</v>
      </c>
      <c r="D1" s="83">
        <v>3</v>
      </c>
      <c r="L1" s="760" t="s">
        <v>2839</v>
      </c>
    </row>
    <row r="2" spans="1:20" ht="10" customHeight="1">
      <c r="B2" s="378"/>
      <c r="C2" s="379"/>
      <c r="D2" s="379"/>
      <c r="E2" s="379"/>
      <c r="F2" s="379"/>
      <c r="G2" s="379"/>
      <c r="H2" s="379"/>
      <c r="I2" s="379"/>
      <c r="J2" s="379"/>
      <c r="K2" s="380"/>
      <c r="N2" s="86"/>
      <c r="O2" s="86"/>
      <c r="P2" s="86"/>
      <c r="Q2" s="86"/>
      <c r="R2" s="86"/>
      <c r="S2" s="87"/>
      <c r="T2" s="87"/>
    </row>
    <row r="3" spans="1:20" s="88" customFormat="1" ht="18">
      <c r="B3" s="381"/>
      <c r="C3" s="386"/>
      <c r="D3" s="387"/>
      <c r="E3" s="387"/>
      <c r="F3" s="387"/>
      <c r="G3" s="387"/>
      <c r="H3" s="387"/>
      <c r="I3" s="387"/>
      <c r="J3" s="388"/>
      <c r="K3" s="382"/>
      <c r="L3" s="761"/>
      <c r="M3" s="89"/>
      <c r="N3" s="86"/>
      <c r="O3" s="86"/>
      <c r="P3" s="86"/>
      <c r="Q3" s="86"/>
      <c r="R3" s="86"/>
      <c r="S3" s="90"/>
      <c r="T3" s="90"/>
    </row>
    <row r="4" spans="1:20" s="88" customFormat="1" ht="18">
      <c r="B4" s="381"/>
      <c r="C4" s="389"/>
      <c r="D4" s="550">
        <f ca="1">IF(MONTH(TODAY())&gt;8,YEAR(TODAY())+1,YEAR(TODAY()))</f>
        <v>2022</v>
      </c>
      <c r="E4" s="550">
        <f ca="1">D4+1</f>
        <v>2023</v>
      </c>
      <c r="F4" s="550">
        <f ca="1">E4+1</f>
        <v>2024</v>
      </c>
      <c r="G4" s="550">
        <f ca="1">F4+1</f>
        <v>2025</v>
      </c>
      <c r="H4" s="550">
        <f ca="1">G4+1</f>
        <v>2026</v>
      </c>
      <c r="I4" s="550"/>
      <c r="J4" s="551" t="str">
        <f>$D$1&amp;"-Year Total"</f>
        <v>3-Year Total</v>
      </c>
      <c r="K4" s="382"/>
      <c r="L4" s="761"/>
      <c r="M4" s="89"/>
      <c r="N4" s="86"/>
      <c r="O4" s="90"/>
      <c r="P4" s="86"/>
      <c r="Q4" s="86"/>
      <c r="R4" s="86"/>
      <c r="S4" s="90"/>
      <c r="T4" s="90"/>
    </row>
    <row r="5" spans="1:20" s="88" customFormat="1" ht="18">
      <c r="B5" s="381"/>
      <c r="C5" s="389" t="s">
        <v>2709</v>
      </c>
      <c r="D5" s="651"/>
      <c r="E5" s="651"/>
      <c r="F5" s="651"/>
      <c r="G5" s="651"/>
      <c r="H5" s="651"/>
      <c r="I5" s="651"/>
      <c r="J5" s="652"/>
      <c r="K5" s="382"/>
      <c r="L5" s="761"/>
      <c r="M5" s="89"/>
      <c r="N5" s="86"/>
      <c r="O5" s="86"/>
      <c r="P5" s="86"/>
      <c r="Q5" s="86"/>
      <c r="R5" s="86"/>
      <c r="S5" s="90"/>
      <c r="T5" s="90"/>
    </row>
    <row r="6" spans="1:20" s="88" customFormat="1" ht="18.75" customHeight="1">
      <c r="B6" s="381"/>
      <c r="C6" s="390" t="s">
        <v>947</v>
      </c>
      <c r="D6" s="391">
        <v>30000</v>
      </c>
      <c r="E6" s="391"/>
      <c r="F6" s="391">
        <v>30000</v>
      </c>
      <c r="G6" s="391">
        <f t="shared" ref="G6:H6" si="0">F6</f>
        <v>30000</v>
      </c>
      <c r="H6" s="391">
        <f t="shared" si="0"/>
        <v>30000</v>
      </c>
      <c r="I6" s="391"/>
      <c r="J6" s="392">
        <f>IF($D$1=3,SUM(D6:F6),IF($D$1=4,SUM(D6:G6),IF($D$1=5,SUM(D6:H6),0)))</f>
        <v>60000</v>
      </c>
      <c r="K6" s="382"/>
      <c r="L6" s="761"/>
      <c r="M6" s="89"/>
      <c r="N6" s="86"/>
      <c r="O6" s="86"/>
      <c r="P6" s="86"/>
      <c r="Q6" s="86"/>
      <c r="R6" s="86"/>
      <c r="S6" s="90"/>
      <c r="T6" s="90"/>
    </row>
    <row r="7" spans="1:20" s="88" customFormat="1" ht="18.75" customHeight="1">
      <c r="B7" s="381"/>
      <c r="C7" s="390" t="s">
        <v>950</v>
      </c>
      <c r="D7" s="391">
        <v>200000</v>
      </c>
      <c r="E7" s="391"/>
      <c r="F7" s="391"/>
      <c r="G7" s="391"/>
      <c r="H7" s="391"/>
      <c r="I7" s="391"/>
      <c r="J7" s="392">
        <f>IF($D$1=3,SUM(D7:F7),IF($D$1=4,SUM(D7:G7),IF($D$1=5,SUM(D7:H7),0)))</f>
        <v>200000</v>
      </c>
      <c r="K7" s="382"/>
      <c r="L7" s="761"/>
      <c r="M7" s="89"/>
      <c r="N7" s="86"/>
      <c r="O7" s="86"/>
      <c r="P7" s="86"/>
      <c r="Q7" s="86"/>
      <c r="R7" s="86"/>
      <c r="S7" s="90"/>
      <c r="T7" s="90"/>
    </row>
    <row r="8" spans="1:20" s="88" customFormat="1" ht="19" thickBot="1">
      <c r="B8" s="381"/>
      <c r="C8" s="390" t="s">
        <v>581</v>
      </c>
      <c r="D8" s="391">
        <v>50000</v>
      </c>
      <c r="E8" s="391">
        <v>50000</v>
      </c>
      <c r="F8" s="391">
        <v>50000</v>
      </c>
      <c r="G8" s="391"/>
      <c r="H8" s="391"/>
      <c r="I8" s="391"/>
      <c r="J8" s="392">
        <f t="shared" ref="J8" si="1">IF($D$1=3,SUM(D8:F8),IF($D$1=4,SUM(D8:G8),IF($D$1=5,SUM(D8:H8),0)))</f>
        <v>150000</v>
      </c>
      <c r="K8" s="382"/>
      <c r="L8" s="761"/>
      <c r="M8" s="89"/>
      <c r="N8" s="86"/>
      <c r="O8" s="86"/>
      <c r="P8" s="86"/>
      <c r="Q8" s="86"/>
      <c r="R8" s="86"/>
      <c r="S8" s="90"/>
      <c r="T8" s="90"/>
    </row>
    <row r="9" spans="1:20" s="88" customFormat="1" ht="19" hidden="1" thickBot="1">
      <c r="B9" s="381"/>
      <c r="C9" s="390"/>
      <c r="D9" s="391">
        <f>IF($L9&lt;&gt;"y",0,"a")</f>
        <v>0</v>
      </c>
      <c r="E9" s="391">
        <f>D9</f>
        <v>0</v>
      </c>
      <c r="F9" s="391">
        <f>E9</f>
        <v>0</v>
      </c>
      <c r="G9" s="391"/>
      <c r="H9" s="391"/>
      <c r="I9" s="391"/>
      <c r="J9" s="392"/>
      <c r="K9" s="382"/>
      <c r="L9" s="761" t="s">
        <v>944</v>
      </c>
      <c r="M9" s="89"/>
      <c r="N9" s="86"/>
      <c r="O9" s="86"/>
      <c r="P9" s="86"/>
      <c r="Q9" s="86"/>
      <c r="R9" s="86"/>
      <c r="S9" s="90"/>
      <c r="T9" s="90"/>
    </row>
    <row r="10" spans="1:20" s="88" customFormat="1" ht="19" thickTop="1">
      <c r="B10" s="381"/>
      <c r="C10" s="393" t="str">
        <f>C5&amp;" TCO"</f>
        <v>Current State TCO</v>
      </c>
      <c r="D10" s="394">
        <f>SUM(D5:D9)</f>
        <v>280000</v>
      </c>
      <c r="E10" s="394">
        <f t="shared" ref="E10:H10" si="2">SUM(E5:E9)</f>
        <v>50000</v>
      </c>
      <c r="F10" s="394">
        <f t="shared" si="2"/>
        <v>80000</v>
      </c>
      <c r="G10" s="394">
        <f t="shared" si="2"/>
        <v>30000</v>
      </c>
      <c r="H10" s="394">
        <f t="shared" si="2"/>
        <v>30000</v>
      </c>
      <c r="I10" s="394"/>
      <c r="J10" s="395">
        <f>IF($D$1=3,SUM(D10:F10),IF($D$1=4,SUM(D10:G10),IF($D$1=5,SUM(D10:H10),0)))</f>
        <v>410000</v>
      </c>
      <c r="K10" s="382"/>
      <c r="L10" s="761"/>
      <c r="M10" s="89"/>
      <c r="N10" s="86"/>
      <c r="O10" s="86"/>
      <c r="P10" s="86"/>
      <c r="Q10" s="86"/>
      <c r="R10" s="86"/>
      <c r="S10" s="90"/>
      <c r="T10" s="90"/>
    </row>
    <row r="11" spans="1:20" s="88" customFormat="1" ht="18">
      <c r="B11" s="381"/>
      <c r="C11" s="396"/>
      <c r="D11" s="397"/>
      <c r="E11" s="397"/>
      <c r="F11" s="397"/>
      <c r="G11" s="397"/>
      <c r="H11" s="397"/>
      <c r="I11" s="397"/>
      <c r="J11" s="398"/>
      <c r="K11" s="382"/>
      <c r="L11" s="761"/>
      <c r="M11" s="89"/>
      <c r="N11" s="86"/>
      <c r="O11" s="86"/>
      <c r="P11" s="86"/>
      <c r="Q11" s="86"/>
      <c r="R11" s="86"/>
      <c r="S11" s="90"/>
      <c r="T11" s="90"/>
    </row>
    <row r="12" spans="1:20" s="88" customFormat="1" ht="18">
      <c r="B12" s="381"/>
      <c r="C12" s="389" t="s">
        <v>2710</v>
      </c>
      <c r="D12" s="651"/>
      <c r="E12" s="651"/>
      <c r="F12" s="651"/>
      <c r="G12" s="651"/>
      <c r="H12" s="651"/>
      <c r="I12" s="651"/>
      <c r="J12" s="652"/>
      <c r="K12" s="382"/>
      <c r="L12" s="761"/>
      <c r="M12" s="89"/>
      <c r="N12" s="86"/>
      <c r="O12" s="86"/>
      <c r="P12" s="86"/>
      <c r="Q12" s="86"/>
      <c r="R12" s="86"/>
      <c r="S12" s="90"/>
      <c r="T12" s="90"/>
    </row>
    <row r="13" spans="1:20" s="88" customFormat="1" ht="18">
      <c r="B13" s="381"/>
      <c r="C13" s="390" t="s">
        <v>1828</v>
      </c>
      <c r="D13" s="391">
        <f>BOM!AJ68</f>
        <v>144887.29680000001</v>
      </c>
      <c r="E13" s="391">
        <f>D13</f>
        <v>144887.29680000001</v>
      </c>
      <c r="F13" s="391">
        <f>E13</f>
        <v>144887.29680000001</v>
      </c>
      <c r="G13" s="391">
        <f t="shared" ref="G13:H13" si="3">F13</f>
        <v>144887.29680000001</v>
      </c>
      <c r="H13" s="391">
        <f t="shared" si="3"/>
        <v>144887.29680000001</v>
      </c>
      <c r="I13" s="391"/>
      <c r="J13" s="392">
        <f>IF($D$1=3,SUM(D13:F13),IF($D$1=4,SUM(D13:G13),IF($D$1=5,SUM(D13:H13),0)))</f>
        <v>434661.89040000003</v>
      </c>
      <c r="K13" s="382"/>
      <c r="L13" s="761"/>
      <c r="M13" s="89"/>
      <c r="N13" s="86"/>
      <c r="O13" s="86"/>
      <c r="P13" s="86"/>
      <c r="Q13" s="86"/>
      <c r="R13" s="86"/>
      <c r="S13" s="90"/>
      <c r="T13" s="90"/>
    </row>
    <row r="14" spans="1:20" s="88" customFormat="1" ht="19" thickBot="1">
      <c r="B14" s="381"/>
      <c r="C14" s="390" t="s">
        <v>951</v>
      </c>
      <c r="D14" s="391"/>
      <c r="E14" s="391"/>
      <c r="F14" s="391"/>
      <c r="G14" s="391"/>
      <c r="H14" s="391"/>
      <c r="I14" s="391"/>
      <c r="J14" s="392">
        <f t="shared" ref="J14" si="4">IF($D$1=3,SUM(D14:F14),IF($D$1=4,SUM(D14:G14),IF($D$1=5,SUM(D14:H14),0)))</f>
        <v>0</v>
      </c>
      <c r="K14" s="382"/>
      <c r="L14" s="761"/>
      <c r="M14" s="89"/>
      <c r="N14" s="86"/>
      <c r="O14" s="86"/>
      <c r="P14" s="86"/>
      <c r="Q14" s="86"/>
      <c r="R14" s="86"/>
      <c r="S14" s="90"/>
      <c r="T14" s="90"/>
    </row>
    <row r="15" spans="1:20" s="88" customFormat="1" ht="19" hidden="1" thickBot="1">
      <c r="B15" s="381"/>
      <c r="C15" s="399"/>
      <c r="D15" s="391"/>
      <c r="E15" s="391"/>
      <c r="F15" s="391"/>
      <c r="G15" s="391"/>
      <c r="H15" s="391"/>
      <c r="I15" s="391"/>
      <c r="J15" s="392"/>
      <c r="K15" s="382"/>
      <c r="L15" s="761"/>
      <c r="M15" s="89"/>
      <c r="N15" s="86"/>
      <c r="O15" s="86"/>
      <c r="P15" s="86"/>
      <c r="Q15" s="86"/>
      <c r="R15" s="86"/>
      <c r="S15" s="90"/>
      <c r="T15" s="90"/>
    </row>
    <row r="16" spans="1:20" s="88" customFormat="1" ht="19" thickTop="1">
      <c r="B16" s="381"/>
      <c r="C16" s="393" t="str">
        <f>C12&amp;" TCO"</f>
        <v>Option 1 - Oracle Cloud TCO</v>
      </c>
      <c r="D16" s="394">
        <f t="shared" ref="D16:H16" si="5">SUM(D12:D15)</f>
        <v>144887.29680000001</v>
      </c>
      <c r="E16" s="394">
        <f t="shared" si="5"/>
        <v>144887.29680000001</v>
      </c>
      <c r="F16" s="394">
        <f t="shared" si="5"/>
        <v>144887.29680000001</v>
      </c>
      <c r="G16" s="394">
        <f t="shared" si="5"/>
        <v>144887.29680000001</v>
      </c>
      <c r="H16" s="394">
        <f t="shared" si="5"/>
        <v>144887.29680000001</v>
      </c>
      <c r="I16" s="394"/>
      <c r="J16" s="395">
        <f>IF($D$1=3,SUM(D16:F16),IF($D$1=4,SUM(D16:G16),IF($D$1=5,SUM(D16:H16),0)))</f>
        <v>434661.89040000003</v>
      </c>
      <c r="K16" s="382"/>
      <c r="L16" s="761"/>
      <c r="M16" s="89"/>
      <c r="N16" s="86"/>
      <c r="O16" s="86"/>
      <c r="P16" s="86"/>
      <c r="Q16" s="86"/>
      <c r="R16" s="86"/>
      <c r="S16" s="90"/>
      <c r="T16" s="90"/>
    </row>
    <row r="17" spans="2:20" s="88" customFormat="1" ht="18">
      <c r="B17" s="381"/>
      <c r="C17" s="396"/>
      <c r="D17" s="397"/>
      <c r="E17" s="397"/>
      <c r="F17" s="397"/>
      <c r="G17" s="397"/>
      <c r="H17" s="397"/>
      <c r="I17" s="397"/>
      <c r="J17" s="398"/>
      <c r="K17" s="382"/>
      <c r="L17" s="761"/>
      <c r="M17" s="89"/>
      <c r="N17" s="86"/>
      <c r="O17" s="86"/>
      <c r="P17" s="86"/>
      <c r="Q17" s="86"/>
      <c r="R17" s="86"/>
      <c r="S17" s="90"/>
      <c r="T17" s="90"/>
    </row>
    <row r="18" spans="2:20" s="88" customFormat="1" ht="18">
      <c r="B18" s="381"/>
      <c r="C18" s="389" t="str">
        <f>D1&amp;" -Year Difference"</f>
        <v>3 -Year Difference</v>
      </c>
      <c r="D18" s="400"/>
      <c r="E18" s="400"/>
      <c r="F18" s="400"/>
      <c r="G18" s="400"/>
      <c r="H18" s="400"/>
      <c r="I18" s="400"/>
      <c r="J18" s="834">
        <f>J16-J10</f>
        <v>24661.890400000033</v>
      </c>
      <c r="K18" s="382"/>
      <c r="L18" s="761"/>
      <c r="M18" s="89"/>
      <c r="N18" s="86"/>
      <c r="O18" s="86"/>
      <c r="P18" s="86"/>
      <c r="Q18" s="86"/>
      <c r="R18" s="86"/>
      <c r="S18" s="90"/>
      <c r="T18" s="90"/>
    </row>
    <row r="19" spans="2:20" s="88" customFormat="1" ht="19" thickBot="1">
      <c r="B19" s="381"/>
      <c r="C19" s="396"/>
      <c r="D19" s="397"/>
      <c r="E19" s="397"/>
      <c r="F19" s="397"/>
      <c r="G19" s="397"/>
      <c r="H19" s="397"/>
      <c r="I19" s="397"/>
      <c r="J19" s="398"/>
      <c r="K19" s="382"/>
      <c r="L19" s="761"/>
      <c r="M19" s="89"/>
      <c r="N19" s="86"/>
      <c r="O19" s="86"/>
      <c r="P19" s="86"/>
      <c r="Q19" s="86"/>
      <c r="R19" s="86"/>
      <c r="S19" s="90"/>
      <c r="T19" s="90"/>
    </row>
    <row r="20" spans="2:20" s="88" customFormat="1" ht="19" thickTop="1">
      <c r="B20" s="381"/>
      <c r="C20" s="611" t="s">
        <v>3039</v>
      </c>
      <c r="D20" s="397">
        <v>10000</v>
      </c>
      <c r="E20" s="397">
        <v>10000</v>
      </c>
      <c r="F20" s="397">
        <v>10000</v>
      </c>
      <c r="G20" s="397"/>
      <c r="H20" s="397"/>
      <c r="I20" s="397"/>
      <c r="J20" s="395">
        <f>IF($D$1=3,SUM(D20:F20),IF($D$1=4,SUM(D20:G20),IF($D$1=5,SUM(D20:H20),0)))</f>
        <v>30000</v>
      </c>
      <c r="K20" s="382"/>
      <c r="L20" s="761"/>
      <c r="M20" s="89"/>
      <c r="N20" s="86"/>
      <c r="O20" s="86"/>
      <c r="P20" s="86"/>
      <c r="Q20" s="86"/>
      <c r="R20" s="86"/>
      <c r="S20" s="90"/>
      <c r="T20" s="90"/>
    </row>
    <row r="21" spans="2:20" s="88" customFormat="1" ht="18">
      <c r="B21" s="381"/>
      <c r="C21" s="396"/>
      <c r="D21" s="397"/>
      <c r="E21" s="397"/>
      <c r="F21" s="397"/>
      <c r="G21" s="397"/>
      <c r="H21" s="397"/>
      <c r="I21" s="397"/>
      <c r="J21" s="398"/>
      <c r="K21" s="382"/>
      <c r="L21" s="761"/>
      <c r="M21" s="89"/>
      <c r="N21" s="86"/>
      <c r="O21" s="86"/>
      <c r="P21" s="86"/>
      <c r="Q21" s="86"/>
      <c r="R21" s="86"/>
      <c r="S21" s="90"/>
      <c r="T21" s="90"/>
    </row>
    <row r="22" spans="2:20" s="88" customFormat="1" ht="18">
      <c r="B22" s="381"/>
      <c r="C22" s="389" t="str">
        <f>D1&amp;" -Year Difference with Business Benefits"</f>
        <v>3 -Year Difference with Business Benefits</v>
      </c>
      <c r="D22" s="400"/>
      <c r="E22" s="400"/>
      <c r="F22" s="400"/>
      <c r="G22" s="400"/>
      <c r="H22" s="400"/>
      <c r="I22" s="400"/>
      <c r="J22" s="834">
        <f>J18-J20</f>
        <v>-5338.109599999967</v>
      </c>
      <c r="K22" s="382"/>
      <c r="L22" s="761"/>
      <c r="M22" s="89"/>
      <c r="N22" s="86"/>
      <c r="O22" s="86"/>
      <c r="P22" s="86"/>
      <c r="Q22" s="86"/>
      <c r="R22" s="86"/>
      <c r="S22" s="90"/>
      <c r="T22" s="90"/>
    </row>
    <row r="23" spans="2:20" s="88" customFormat="1" ht="18">
      <c r="B23" s="381"/>
      <c r="C23" s="401"/>
      <c r="D23" s="402"/>
      <c r="E23" s="402"/>
      <c r="F23" s="402"/>
      <c r="G23" s="402"/>
      <c r="H23" s="402"/>
      <c r="I23" s="402"/>
      <c r="J23" s="403"/>
      <c r="K23" s="382"/>
      <c r="L23" s="761"/>
      <c r="M23" s="89"/>
      <c r="N23" s="86"/>
      <c r="O23" s="87"/>
      <c r="P23" s="91"/>
      <c r="Q23" s="91"/>
      <c r="R23" s="91"/>
      <c r="S23" s="90"/>
      <c r="T23" s="90"/>
    </row>
    <row r="24" spans="2:20" ht="10" customHeight="1" thickBot="1">
      <c r="B24" s="383"/>
      <c r="C24" s="384"/>
      <c r="D24" s="384"/>
      <c r="E24" s="384"/>
      <c r="F24" s="384"/>
      <c r="G24" s="384"/>
      <c r="H24" s="384"/>
      <c r="I24" s="384"/>
      <c r="J24" s="384"/>
      <c r="K24" s="385"/>
      <c r="N24" s="86"/>
      <c r="O24" s="87"/>
      <c r="P24" s="91"/>
      <c r="Q24" s="91"/>
      <c r="R24" s="91"/>
      <c r="S24" s="87"/>
      <c r="T24" s="87"/>
    </row>
    <row r="25" spans="2:20" s="544" customFormat="1">
      <c r="L25" s="762"/>
      <c r="M25" s="545"/>
      <c r="N25" s="86"/>
      <c r="O25" s="87"/>
      <c r="P25" s="91"/>
      <c r="Q25" s="91"/>
      <c r="R25" s="91"/>
      <c r="S25" s="87"/>
      <c r="T25" s="87"/>
    </row>
    <row r="26" spans="2:20" s="546" customFormat="1" ht="19">
      <c r="C26" s="547" t="s">
        <v>2653</v>
      </c>
      <c r="L26" s="763"/>
      <c r="M26" s="548"/>
      <c r="N26" s="86"/>
      <c r="O26" s="87"/>
      <c r="P26" s="91"/>
      <c r="Q26" s="91"/>
      <c r="R26" s="91"/>
      <c r="S26" s="87"/>
      <c r="T26" s="87"/>
    </row>
    <row r="27" spans="2:20" s="546" customFormat="1">
      <c r="C27" s="546" t="str">
        <f>C5</f>
        <v>Current State</v>
      </c>
      <c r="D27" s="546">
        <f>D10</f>
        <v>280000</v>
      </c>
      <c r="E27" s="546">
        <f>D27+E10</f>
        <v>330000</v>
      </c>
      <c r="F27" s="546">
        <f t="shared" ref="F27:H27" si="6">E27+F10</f>
        <v>410000</v>
      </c>
      <c r="G27" s="546">
        <f t="shared" si="6"/>
        <v>440000</v>
      </c>
      <c r="H27" s="546">
        <f t="shared" si="6"/>
        <v>470000</v>
      </c>
      <c r="L27" s="763"/>
      <c r="M27" s="548"/>
      <c r="N27" s="86"/>
      <c r="O27" s="87"/>
      <c r="P27" s="91"/>
      <c r="Q27" s="91"/>
      <c r="R27" s="91"/>
      <c r="S27" s="87"/>
      <c r="T27" s="87"/>
    </row>
    <row r="28" spans="2:20" s="546" customFormat="1">
      <c r="C28" s="546" t="str">
        <f>C12</f>
        <v>Option 1 - Oracle Cloud</v>
      </c>
      <c r="D28" s="546">
        <f>D16</f>
        <v>144887.29680000001</v>
      </c>
      <c r="E28" s="546">
        <f>D28+E16</f>
        <v>289774.59360000002</v>
      </c>
      <c r="F28" s="546">
        <f t="shared" ref="F28:H28" si="7">E28+F16</f>
        <v>434661.89040000003</v>
      </c>
      <c r="G28" s="546">
        <f t="shared" si="7"/>
        <v>579549.18720000004</v>
      </c>
      <c r="H28" s="546">
        <f t="shared" si="7"/>
        <v>724436.48400000005</v>
      </c>
      <c r="L28" s="763"/>
      <c r="M28" s="548"/>
      <c r="N28" s="86"/>
      <c r="O28" s="87"/>
      <c r="P28" s="91"/>
      <c r="Q28" s="91"/>
      <c r="R28" s="91"/>
      <c r="S28" s="87"/>
      <c r="T28" s="87"/>
    </row>
    <row r="29" spans="2:20" s="546" customFormat="1">
      <c r="L29" s="763"/>
      <c r="M29" s="548"/>
      <c r="N29" s="86"/>
      <c r="O29" s="87"/>
      <c r="P29" s="91"/>
      <c r="Q29" s="91"/>
      <c r="R29" s="91"/>
      <c r="S29" s="87"/>
      <c r="T29" s="87"/>
    </row>
    <row r="30" spans="2:20" s="546" customFormat="1" ht="19">
      <c r="C30" s="547" t="s">
        <v>2654</v>
      </c>
      <c r="L30" s="763"/>
      <c r="M30" s="548"/>
      <c r="N30" s="86"/>
      <c r="O30" s="87"/>
      <c r="P30" s="91"/>
      <c r="Q30" s="91"/>
      <c r="R30" s="91"/>
      <c r="S30" s="87"/>
      <c r="T30" s="87"/>
    </row>
    <row r="31" spans="2:20" s="546" customFormat="1">
      <c r="L31" s="763"/>
      <c r="M31" s="548"/>
      <c r="N31" s="86"/>
      <c r="O31" s="87"/>
      <c r="P31" s="91"/>
      <c r="Q31" s="91"/>
      <c r="R31" s="91"/>
      <c r="S31" s="87"/>
      <c r="T31" s="87"/>
    </row>
    <row r="32" spans="2:20" s="546" customFormat="1">
      <c r="L32" s="763"/>
      <c r="M32" s="548"/>
      <c r="N32" s="86"/>
      <c r="O32" s="87"/>
      <c r="P32" s="91"/>
      <c r="Q32" s="91"/>
      <c r="R32" s="91"/>
      <c r="S32" s="87"/>
      <c r="T32" s="87"/>
    </row>
    <row r="33" spans="12:20" s="546" customFormat="1">
      <c r="L33" s="763"/>
      <c r="M33" s="548"/>
      <c r="N33" s="86"/>
      <c r="O33" s="87"/>
      <c r="P33" s="91"/>
      <c r="Q33" s="91"/>
      <c r="R33" s="91"/>
      <c r="S33" s="87"/>
      <c r="T33" s="87"/>
    </row>
    <row r="34" spans="12:20" s="546" customFormat="1">
      <c r="L34" s="763"/>
      <c r="M34" s="548"/>
      <c r="N34" s="86"/>
      <c r="O34" s="87"/>
      <c r="P34" s="91"/>
      <c r="Q34" s="91"/>
      <c r="R34" s="91"/>
      <c r="S34" s="87"/>
      <c r="T34" s="87"/>
    </row>
    <row r="35" spans="12:20" s="546" customFormat="1">
      <c r="L35" s="763"/>
      <c r="M35" s="548"/>
      <c r="N35" s="86"/>
      <c r="O35" s="87"/>
      <c r="P35" s="91"/>
      <c r="Q35" s="91"/>
      <c r="R35" s="91"/>
      <c r="S35" s="87"/>
      <c r="T35" s="87"/>
    </row>
    <row r="36" spans="12:20" s="546" customFormat="1">
      <c r="L36" s="763"/>
      <c r="M36" s="548"/>
      <c r="N36" s="86"/>
      <c r="O36" s="87"/>
      <c r="P36" s="91"/>
      <c r="Q36" s="91"/>
      <c r="R36" s="91"/>
      <c r="S36" s="87"/>
      <c r="T36" s="87"/>
    </row>
    <row r="37" spans="12:20" s="546" customFormat="1" ht="15">
      <c r="L37" s="763"/>
      <c r="M37" s="548"/>
    </row>
    <row r="38" spans="12:20" s="546" customFormat="1" ht="15">
      <c r="L38" s="763"/>
      <c r="M38" s="548"/>
    </row>
    <row r="39" spans="12:20" s="546" customFormat="1" ht="15">
      <c r="L39" s="763"/>
      <c r="M39" s="548"/>
    </row>
    <row r="40" spans="12:20" s="546" customFormat="1" ht="15">
      <c r="L40" s="763"/>
      <c r="M40" s="548"/>
    </row>
    <row r="41" spans="12:20" s="546" customFormat="1" ht="15">
      <c r="L41" s="763"/>
      <c r="M41" s="548"/>
    </row>
    <row r="42" spans="12:20" s="546" customFormat="1" ht="15">
      <c r="L42" s="763"/>
      <c r="M42" s="548"/>
    </row>
    <row r="43" spans="12:20" s="546" customFormat="1" ht="15">
      <c r="L43" s="763"/>
      <c r="M43" s="548"/>
    </row>
    <row r="44" spans="12:20" s="546" customFormat="1" ht="15">
      <c r="L44" s="763"/>
      <c r="M44" s="548"/>
    </row>
    <row r="45" spans="12:20" s="546" customFormat="1" ht="15">
      <c r="L45" s="763"/>
      <c r="M45" s="548"/>
    </row>
    <row r="46" spans="12:20" s="546" customFormat="1" ht="15">
      <c r="L46" s="763"/>
      <c r="M46" s="548"/>
    </row>
    <row r="47" spans="12:20" s="546" customFormat="1" ht="15">
      <c r="L47" s="763"/>
      <c r="M47" s="548"/>
    </row>
    <row r="48" spans="12:20" s="546" customFormat="1" ht="15">
      <c r="L48" s="763"/>
      <c r="M48" s="548"/>
    </row>
    <row r="49" spans="12:13" s="546" customFormat="1" ht="15">
      <c r="L49" s="763"/>
      <c r="M49" s="548"/>
    </row>
    <row r="50" spans="12:13" s="546" customFormat="1" ht="15">
      <c r="L50" s="763"/>
      <c r="M50" s="548"/>
    </row>
    <row r="51" spans="12:13" s="546" customFormat="1" ht="15">
      <c r="L51" s="763"/>
      <c r="M51" s="548"/>
    </row>
    <row r="52" spans="12:13" s="546" customFormat="1" ht="15">
      <c r="L52" s="763"/>
      <c r="M52" s="548"/>
    </row>
    <row r="53" spans="12:13" s="546" customFormat="1" ht="15">
      <c r="L53" s="763"/>
      <c r="M53" s="548"/>
    </row>
    <row r="54" spans="12:13" s="546" customFormat="1" ht="15">
      <c r="L54" s="763"/>
      <c r="M54" s="548"/>
    </row>
    <row r="55" spans="12:13" s="546" customFormat="1" ht="15">
      <c r="L55" s="763"/>
      <c r="M55" s="548"/>
    </row>
    <row r="56" spans="12:13" s="546" customFormat="1" ht="15">
      <c r="L56" s="763"/>
      <c r="M56" s="548"/>
    </row>
    <row r="57" spans="12:13" s="546" customFormat="1" ht="15">
      <c r="L57" s="763"/>
      <c r="M57" s="548"/>
    </row>
    <row r="58" spans="12:13" s="546" customFormat="1" ht="15">
      <c r="L58" s="763"/>
      <c r="M58" s="548"/>
    </row>
    <row r="59" spans="12:13" s="546" customFormat="1" ht="15">
      <c r="L59" s="763"/>
      <c r="M59" s="548"/>
    </row>
    <row r="60" spans="12:13" s="546" customFormat="1" ht="15">
      <c r="L60" s="763"/>
      <c r="M60" s="548"/>
    </row>
    <row r="61" spans="12:13" s="546" customFormat="1" ht="15">
      <c r="L61" s="763"/>
      <c r="M61" s="548"/>
    </row>
    <row r="62" spans="12:13" s="546" customFormat="1" ht="15">
      <c r="L62" s="763"/>
      <c r="M62" s="548"/>
    </row>
    <row r="63" spans="12:13" s="546" customFormat="1" ht="15">
      <c r="L63" s="763"/>
      <c r="M63" s="548"/>
    </row>
    <row r="64" spans="12:13" s="546" customFormat="1" ht="15">
      <c r="L64" s="763"/>
      <c r="M64" s="548"/>
    </row>
    <row r="65" spans="12:13" s="546" customFormat="1" ht="15">
      <c r="L65" s="763"/>
      <c r="M65" s="548"/>
    </row>
    <row r="66" spans="12:13" s="546" customFormat="1" ht="15">
      <c r="L66" s="763"/>
      <c r="M66" s="548"/>
    </row>
    <row r="67" spans="12:13" s="546" customFormat="1" ht="15">
      <c r="L67" s="763"/>
      <c r="M67" s="548"/>
    </row>
    <row r="68" spans="12:13" s="546" customFormat="1" ht="15">
      <c r="L68" s="763"/>
      <c r="M68" s="548"/>
    </row>
    <row r="69" spans="12:13" s="546" customFormat="1" ht="15">
      <c r="L69" s="763"/>
      <c r="M69" s="548"/>
    </row>
    <row r="70" spans="12:13" s="546" customFormat="1" ht="15">
      <c r="L70" s="763"/>
      <c r="M70" s="548"/>
    </row>
    <row r="71" spans="12:13" s="546" customFormat="1" ht="15">
      <c r="L71" s="763"/>
      <c r="M71" s="548"/>
    </row>
    <row r="72" spans="12:13" s="546" customFormat="1" ht="15">
      <c r="L72" s="763"/>
      <c r="M72" s="548"/>
    </row>
    <row r="73" spans="12:13" s="546" customFormat="1" ht="15">
      <c r="L73" s="763"/>
      <c r="M73" s="548"/>
    </row>
    <row r="74" spans="12:13" s="546" customFormat="1" ht="15">
      <c r="L74" s="763"/>
      <c r="M74" s="548"/>
    </row>
    <row r="75" spans="12:13" s="546" customFormat="1" ht="15">
      <c r="L75" s="763"/>
      <c r="M75" s="548"/>
    </row>
    <row r="76" spans="12:13" s="546" customFormat="1" ht="15">
      <c r="L76" s="763"/>
      <c r="M76" s="548"/>
    </row>
    <row r="77" spans="12:13" s="546" customFormat="1" ht="15">
      <c r="L77" s="763"/>
      <c r="M77" s="548"/>
    </row>
    <row r="78" spans="12:13" s="546" customFormat="1" ht="15">
      <c r="L78" s="763"/>
      <c r="M78" s="548"/>
    </row>
    <row r="79" spans="12:13" s="546" customFormat="1" ht="15">
      <c r="L79" s="763"/>
      <c r="M79" s="548"/>
    </row>
    <row r="80" spans="12:13" s="546" customFormat="1" ht="15">
      <c r="L80" s="763"/>
      <c r="M80" s="548"/>
    </row>
    <row r="81" spans="12:13" s="546" customFormat="1" ht="15">
      <c r="L81" s="763"/>
      <c r="M81" s="548"/>
    </row>
    <row r="82" spans="12:13" s="544" customFormat="1" ht="15">
      <c r="L82" s="762"/>
      <c r="M82" s="545"/>
    </row>
    <row r="83" spans="12:13" s="544" customFormat="1" ht="15">
      <c r="L83" s="762"/>
      <c r="M83" s="545"/>
    </row>
    <row r="84" spans="12:13" s="544" customFormat="1" ht="15">
      <c r="L84" s="762"/>
      <c r="M84" s="545"/>
    </row>
    <row r="85" spans="12:13" s="544" customFormat="1" ht="15">
      <c r="L85" s="762"/>
      <c r="M85" s="545"/>
    </row>
    <row r="86" spans="12:13" s="544" customFormat="1" ht="15">
      <c r="L86" s="762"/>
      <c r="M86" s="545"/>
    </row>
    <row r="87" spans="12:13" s="544" customFormat="1" ht="15">
      <c r="L87" s="762"/>
      <c r="M87" s="545"/>
    </row>
    <row r="88" spans="12:13" s="544" customFormat="1" ht="15">
      <c r="L88" s="762"/>
      <c r="M88" s="545"/>
    </row>
    <row r="89" spans="12:13" s="544" customFormat="1" ht="15">
      <c r="L89" s="762"/>
      <c r="M89" s="545"/>
    </row>
    <row r="90" spans="12:13" s="544" customFormat="1" ht="15">
      <c r="L90" s="762"/>
      <c r="M90" s="545"/>
    </row>
    <row r="91" spans="12:13" s="544" customFormat="1" ht="15">
      <c r="L91" s="762"/>
      <c r="M91" s="545"/>
    </row>
    <row r="92" spans="12:13" s="544" customFormat="1" ht="15">
      <c r="L92" s="762"/>
      <c r="M92" s="545"/>
    </row>
    <row r="93" spans="12:13" s="544" customFormat="1" ht="15">
      <c r="L93" s="762"/>
      <c r="M93" s="545"/>
    </row>
    <row r="94" spans="12:13" s="544" customFormat="1" ht="15">
      <c r="L94" s="762"/>
      <c r="M94" s="545"/>
    </row>
    <row r="95" spans="12:13" s="544" customFormat="1" ht="15">
      <c r="L95" s="762"/>
      <c r="M95" s="545"/>
    </row>
    <row r="96" spans="12:13" s="544" customFormat="1" ht="15">
      <c r="L96" s="762"/>
      <c r="M96" s="545"/>
    </row>
    <row r="97" spans="12:13" s="544" customFormat="1" ht="15">
      <c r="L97" s="762"/>
      <c r="M97" s="545"/>
    </row>
    <row r="98" spans="12:13" s="544" customFormat="1" ht="15">
      <c r="L98" s="762"/>
      <c r="M98" s="545"/>
    </row>
    <row r="99" spans="12:13" s="544" customFormat="1" ht="15">
      <c r="L99" s="762"/>
      <c r="M99" s="545"/>
    </row>
    <row r="100" spans="12:13" s="544" customFormat="1" ht="15">
      <c r="L100" s="762"/>
      <c r="M100" s="545"/>
    </row>
    <row r="101" spans="12:13" s="544" customFormat="1" ht="15">
      <c r="L101" s="762"/>
      <c r="M101" s="545"/>
    </row>
    <row r="102" spans="12:13" s="544" customFormat="1" ht="15">
      <c r="L102" s="762"/>
      <c r="M102" s="545"/>
    </row>
    <row r="103" spans="12:13" s="544" customFormat="1" ht="15">
      <c r="L103" s="762"/>
      <c r="M103" s="545"/>
    </row>
    <row r="104" spans="12:13" s="544" customFormat="1" ht="15">
      <c r="L104" s="762"/>
      <c r="M104" s="545"/>
    </row>
    <row r="105" spans="12:13" s="544" customFormat="1" ht="15">
      <c r="L105" s="762"/>
      <c r="M105" s="545"/>
    </row>
    <row r="106" spans="12:13" s="544" customFormat="1" ht="15">
      <c r="L106" s="762"/>
      <c r="M106" s="545"/>
    </row>
    <row r="107" spans="12:13" s="544" customFormat="1" ht="15">
      <c r="L107" s="762"/>
      <c r="M107" s="545"/>
    </row>
    <row r="108" spans="12:13" s="544" customFormat="1" ht="15">
      <c r="L108" s="762"/>
      <c r="M108" s="545"/>
    </row>
    <row r="109" spans="12:13" s="544" customFormat="1" ht="15">
      <c r="L109" s="762"/>
      <c r="M109" s="545"/>
    </row>
    <row r="110" spans="12:13" s="544" customFormat="1" ht="15">
      <c r="L110" s="762"/>
      <c r="M110" s="545"/>
    </row>
    <row r="111" spans="12:13" s="544" customFormat="1" ht="15">
      <c r="L111" s="762"/>
      <c r="M111" s="545"/>
    </row>
    <row r="112" spans="12:13" s="544" customFormat="1" ht="15">
      <c r="L112" s="762"/>
      <c r="M112" s="545"/>
    </row>
    <row r="113" spans="12:13" s="544" customFormat="1" ht="15">
      <c r="L113" s="762"/>
      <c r="M113" s="545"/>
    </row>
    <row r="114" spans="12:13" s="544" customFormat="1" ht="15">
      <c r="L114" s="762"/>
      <c r="M114" s="545"/>
    </row>
    <row r="115" spans="12:13" s="544" customFormat="1" ht="15">
      <c r="L115" s="762"/>
      <c r="M115" s="545"/>
    </row>
    <row r="116" spans="12:13" s="544" customFormat="1" ht="15">
      <c r="L116" s="762"/>
      <c r="M116" s="545"/>
    </row>
    <row r="117" spans="12:13" s="544" customFormat="1" ht="15">
      <c r="L117" s="762"/>
      <c r="M117" s="545"/>
    </row>
    <row r="118" spans="12:13" s="544" customFormat="1" ht="15">
      <c r="L118" s="762"/>
      <c r="M118" s="545"/>
    </row>
    <row r="119" spans="12:13" s="544" customFormat="1" ht="15">
      <c r="L119" s="762"/>
      <c r="M119" s="545"/>
    </row>
    <row r="120" spans="12:13" s="544" customFormat="1" ht="15">
      <c r="L120" s="762"/>
      <c r="M120" s="545"/>
    </row>
    <row r="121" spans="12:13" s="544" customFormat="1" ht="15">
      <c r="L121" s="762"/>
      <c r="M121" s="545"/>
    </row>
    <row r="122" spans="12:13" s="544" customFormat="1" ht="15">
      <c r="L122" s="762"/>
      <c r="M122" s="545"/>
    </row>
    <row r="123" spans="12:13" s="544" customFormat="1" ht="15">
      <c r="L123" s="762"/>
      <c r="M123" s="545"/>
    </row>
    <row r="124" spans="12:13" s="544" customFormat="1" ht="15">
      <c r="L124" s="762"/>
      <c r="M124" s="545"/>
    </row>
    <row r="125" spans="12:13" s="544" customFormat="1" ht="15">
      <c r="L125" s="762"/>
      <c r="M125" s="545"/>
    </row>
    <row r="126" spans="12:13" s="544" customFormat="1" ht="15">
      <c r="L126" s="762"/>
      <c r="M126" s="545"/>
    </row>
    <row r="127" spans="12:13" s="544" customFormat="1" ht="15">
      <c r="L127" s="762"/>
      <c r="M127" s="545"/>
    </row>
    <row r="128" spans="12:13" s="544" customFormat="1" ht="15">
      <c r="L128" s="762"/>
      <c r="M128" s="545"/>
    </row>
    <row r="129" spans="12:13" s="544" customFormat="1" ht="15">
      <c r="L129" s="762"/>
      <c r="M129" s="545"/>
    </row>
    <row r="130" spans="12:13" s="544" customFormat="1" ht="15">
      <c r="L130" s="762"/>
      <c r="M130" s="545"/>
    </row>
    <row r="131" spans="12:13" s="544" customFormat="1" ht="15">
      <c r="L131" s="762"/>
      <c r="M131" s="545"/>
    </row>
    <row r="132" spans="12:13" s="544" customFormat="1" ht="15">
      <c r="L132" s="762"/>
      <c r="M132" s="545"/>
    </row>
    <row r="133" spans="12:13" s="544" customFormat="1" ht="15">
      <c r="L133" s="762"/>
      <c r="M133" s="545"/>
    </row>
    <row r="134" spans="12:13" s="544" customFormat="1" ht="15">
      <c r="L134" s="762"/>
      <c r="M134" s="545"/>
    </row>
    <row r="135" spans="12:13" s="544" customFormat="1" ht="15">
      <c r="L135" s="762"/>
      <c r="M135" s="545"/>
    </row>
    <row r="136" spans="12:13" s="544" customFormat="1" ht="15">
      <c r="L136" s="762"/>
      <c r="M136" s="545"/>
    </row>
    <row r="137" spans="12:13" s="544" customFormat="1" ht="15">
      <c r="L137" s="762"/>
      <c r="M137" s="545"/>
    </row>
    <row r="138" spans="12:13" s="544" customFormat="1" ht="15">
      <c r="L138" s="762"/>
      <c r="M138" s="545"/>
    </row>
    <row r="139" spans="12:13" s="544" customFormat="1" ht="15">
      <c r="L139" s="762"/>
      <c r="M139" s="545"/>
    </row>
    <row r="140" spans="12:13" s="544" customFormat="1" ht="15">
      <c r="L140" s="762"/>
      <c r="M140" s="545"/>
    </row>
    <row r="141" spans="12:13" s="544" customFormat="1" ht="15">
      <c r="L141" s="762"/>
      <c r="M141" s="545"/>
    </row>
    <row r="142" spans="12:13" s="544" customFormat="1" ht="15">
      <c r="L142" s="762"/>
      <c r="M142" s="545"/>
    </row>
    <row r="143" spans="12:13" s="544" customFormat="1" ht="15">
      <c r="L143" s="762"/>
      <c r="M143" s="545"/>
    </row>
  </sheetData>
  <hyperlinks>
    <hyperlink ref="A1" location="TOC!A1" display="Back" xr:uid="{7CD6457B-349C-4AC1-A5BA-6914D6A4B0B0}"/>
  </hyperlinks>
  <pageMargins left="0.8" right="0.56000000000000005" top="0.57999999999999996" bottom="0.54" header="0.3" footer="0.3"/>
  <pageSetup scale="4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D00E6-0106-4511-9EDC-B87A812042B6}">
  <sheetPr>
    <tabColor theme="9"/>
  </sheetPr>
  <dimension ref="A1:N121"/>
  <sheetViews>
    <sheetView showZeros="0" zoomScaleNormal="100" workbookViewId="0">
      <selection activeCell="C35" sqref="C35"/>
    </sheetView>
  </sheetViews>
  <sheetFormatPr baseColWidth="10" defaultColWidth="9.1640625" defaultRowHeight="16"/>
  <cols>
    <col min="1" max="1" width="4.5" style="83" customWidth="1"/>
    <col min="2" max="2" width="1.6640625" style="83" customWidth="1"/>
    <col min="3" max="3" width="68" style="83" customWidth="1"/>
    <col min="4" max="4" width="20.6640625" style="83" customWidth="1"/>
    <col min="5" max="5" width="1.6640625" style="83" customWidth="1"/>
    <col min="6" max="6" width="20.6640625" style="83" customWidth="1"/>
    <col min="7" max="8" width="1.6640625" style="83" customWidth="1"/>
    <col min="9" max="9" width="8.33203125" style="84" customWidth="1"/>
    <col min="10" max="10" width="7.83203125" style="85" customWidth="1"/>
    <col min="11" max="12" width="22" style="83" customWidth="1"/>
    <col min="13" max="16384" width="9.1640625" style="83"/>
  </cols>
  <sheetData>
    <row r="1" spans="1:12" ht="17" thickBot="1">
      <c r="A1" s="82" t="s">
        <v>580</v>
      </c>
      <c r="C1" s="83" t="s">
        <v>560</v>
      </c>
    </row>
    <row r="2" spans="1:12" ht="10" customHeight="1">
      <c r="B2" s="378"/>
      <c r="C2" s="379"/>
      <c r="D2" s="379"/>
      <c r="E2" s="379"/>
      <c r="F2" s="379"/>
      <c r="G2" s="379"/>
      <c r="H2" s="380"/>
      <c r="J2" s="86"/>
      <c r="K2" s="87"/>
      <c r="L2" s="87"/>
    </row>
    <row r="3" spans="1:12" s="88" customFormat="1" ht="18">
      <c r="B3" s="381"/>
      <c r="C3" s="386"/>
      <c r="D3" s="387"/>
      <c r="E3" s="387"/>
      <c r="F3" s="387"/>
      <c r="G3" s="388"/>
      <c r="H3" s="382"/>
      <c r="I3" s="89"/>
      <c r="J3" s="86"/>
      <c r="K3" s="90"/>
      <c r="L3" s="90"/>
    </row>
    <row r="4" spans="1:12" s="88" customFormat="1" ht="18">
      <c r="B4" s="381"/>
      <c r="C4" s="389"/>
      <c r="D4" s="604" t="s">
        <v>2709</v>
      </c>
      <c r="E4" s="605"/>
      <c r="F4" s="606" t="s">
        <v>1828</v>
      </c>
      <c r="G4" s="607"/>
      <c r="H4" s="382"/>
      <c r="I4" s="89"/>
      <c r="J4" s="86"/>
      <c r="K4" s="90"/>
      <c r="L4" s="90"/>
    </row>
    <row r="5" spans="1:12" s="88" customFormat="1" ht="18">
      <c r="B5" s="381"/>
      <c r="C5" s="390" t="str">
        <f>C25</f>
        <v>Compute</v>
      </c>
      <c r="D5" s="391">
        <f>D25</f>
        <v>1</v>
      </c>
      <c r="E5" s="391"/>
      <c r="F5" s="391">
        <f>F25</f>
        <v>5301.1139999999996</v>
      </c>
      <c r="G5" s="608"/>
      <c r="H5" s="382"/>
      <c r="I5" s="89"/>
      <c r="J5" s="86"/>
      <c r="K5" s="90"/>
      <c r="L5" s="90"/>
    </row>
    <row r="6" spans="1:12" s="88" customFormat="1" ht="18">
      <c r="B6" s="381"/>
      <c r="C6" s="390" t="str">
        <f t="shared" ref="C6:C12" si="0">C26</f>
        <v>Storage</v>
      </c>
      <c r="D6" s="391">
        <f t="shared" ref="D6:F12" si="1">D26</f>
        <v>2</v>
      </c>
      <c r="E6" s="391"/>
      <c r="F6" s="391">
        <f t="shared" si="1"/>
        <v>10361.915999999997</v>
      </c>
      <c r="G6" s="608"/>
      <c r="H6" s="382"/>
      <c r="I6" s="89"/>
      <c r="J6" s="86"/>
      <c r="K6" s="90"/>
      <c r="L6" s="90"/>
    </row>
    <row r="7" spans="1:12" s="88" customFormat="1" ht="18">
      <c r="B7" s="381"/>
      <c r="C7" s="390" t="str">
        <f t="shared" si="0"/>
        <v>Network</v>
      </c>
      <c r="D7" s="391">
        <f t="shared" si="1"/>
        <v>3</v>
      </c>
      <c r="E7" s="391"/>
      <c r="F7" s="391">
        <f t="shared" si="1"/>
        <v>698.21579999999994</v>
      </c>
      <c r="G7" s="608"/>
      <c r="H7" s="382"/>
      <c r="I7" s="89"/>
      <c r="J7" s="86"/>
      <c r="K7" s="90"/>
      <c r="L7" s="90"/>
    </row>
    <row r="8" spans="1:12" s="88" customFormat="1" ht="18">
      <c r="B8" s="381"/>
      <c r="C8" s="390" t="str">
        <f t="shared" si="0"/>
        <v>Data Center</v>
      </c>
      <c r="D8" s="391">
        <f t="shared" si="1"/>
        <v>4</v>
      </c>
      <c r="E8" s="391"/>
      <c r="F8" s="391">
        <f t="shared" si="1"/>
        <v>0</v>
      </c>
      <c r="G8" s="608"/>
      <c r="H8" s="382"/>
      <c r="I8" s="89"/>
      <c r="J8" s="86"/>
      <c r="K8" s="90"/>
      <c r="L8" s="90"/>
    </row>
    <row r="9" spans="1:12" s="88" customFormat="1" ht="18">
      <c r="B9" s="381"/>
      <c r="C9" s="390" t="str">
        <f t="shared" si="0"/>
        <v>Support</v>
      </c>
      <c r="D9" s="391">
        <f t="shared" si="1"/>
        <v>5</v>
      </c>
      <c r="E9" s="391"/>
      <c r="F9" s="391">
        <f t="shared" si="1"/>
        <v>0</v>
      </c>
      <c r="G9" s="608"/>
      <c r="H9" s="382"/>
      <c r="I9" s="89"/>
      <c r="J9" s="86"/>
      <c r="K9" s="90"/>
      <c r="L9" s="90"/>
    </row>
    <row r="10" spans="1:12" s="88" customFormat="1" ht="18">
      <c r="B10" s="381"/>
      <c r="C10" s="390" t="str">
        <f t="shared" si="0"/>
        <v>Security</v>
      </c>
      <c r="D10" s="391">
        <f t="shared" si="1"/>
        <v>6</v>
      </c>
      <c r="E10" s="391"/>
      <c r="F10" s="391">
        <f t="shared" si="1"/>
        <v>0</v>
      </c>
      <c r="G10" s="608"/>
      <c r="H10" s="382"/>
      <c r="I10" s="89"/>
      <c r="J10" s="86"/>
      <c r="K10" s="90"/>
      <c r="L10" s="90"/>
    </row>
    <row r="11" spans="1:12" s="88" customFormat="1" ht="18">
      <c r="B11" s="381"/>
      <c r="C11" s="390" t="str">
        <f t="shared" si="0"/>
        <v>Services</v>
      </c>
      <c r="D11" s="391">
        <f t="shared" si="1"/>
        <v>7</v>
      </c>
      <c r="E11" s="391"/>
      <c r="F11" s="391">
        <f t="shared" si="1"/>
        <v>0</v>
      </c>
      <c r="G11" s="608"/>
      <c r="H11" s="382"/>
      <c r="I11" s="89"/>
      <c r="J11" s="86"/>
      <c r="K11" s="90"/>
      <c r="L11" s="90"/>
    </row>
    <row r="12" spans="1:12" s="88" customFormat="1" ht="18">
      <c r="B12" s="381"/>
      <c r="C12" s="390" t="str">
        <f t="shared" si="0"/>
        <v>Labor</v>
      </c>
      <c r="D12" s="391">
        <f t="shared" si="1"/>
        <v>8</v>
      </c>
      <c r="E12" s="391"/>
      <c r="F12" s="391">
        <f t="shared" si="1"/>
        <v>0</v>
      </c>
      <c r="G12" s="608"/>
      <c r="H12" s="382"/>
      <c r="I12" s="89"/>
      <c r="J12" s="86"/>
      <c r="K12" s="90"/>
      <c r="L12" s="90"/>
    </row>
    <row r="13" spans="1:12" s="88" customFormat="1" ht="18" hidden="1">
      <c r="B13" s="381"/>
      <c r="C13" s="390">
        <v>0</v>
      </c>
      <c r="D13" s="391">
        <v>0</v>
      </c>
      <c r="E13" s="391"/>
      <c r="F13" s="609">
        <v>0</v>
      </c>
      <c r="G13" s="608"/>
      <c r="H13" s="382"/>
      <c r="I13" s="89"/>
      <c r="J13" s="86"/>
      <c r="K13" s="90"/>
      <c r="L13" s="90"/>
    </row>
    <row r="14" spans="1:12" s="88" customFormat="1" ht="18">
      <c r="B14" s="381"/>
      <c r="C14" s="393" t="s">
        <v>2729</v>
      </c>
      <c r="D14" s="610">
        <f>SUM(D4:D13)</f>
        <v>36</v>
      </c>
      <c r="E14" s="610"/>
      <c r="F14" s="610">
        <f>SUM(F4:F13)</f>
        <v>16361.245799999997</v>
      </c>
      <c r="G14" s="398"/>
      <c r="H14" s="382"/>
      <c r="I14" s="89"/>
      <c r="J14" s="86"/>
      <c r="K14" s="90"/>
      <c r="L14" s="90"/>
    </row>
    <row r="15" spans="1:12" s="88" customFormat="1" ht="18">
      <c r="B15" s="381"/>
      <c r="C15" s="396">
        <v>0</v>
      </c>
      <c r="D15" s="397"/>
      <c r="E15" s="397"/>
      <c r="F15" s="397"/>
      <c r="G15" s="398"/>
      <c r="H15" s="382"/>
      <c r="I15" s="89"/>
      <c r="J15" s="86"/>
      <c r="K15" s="90"/>
      <c r="L15" s="90"/>
    </row>
    <row r="16" spans="1:12" s="88" customFormat="1" ht="19" thickBot="1">
      <c r="B16" s="381"/>
      <c r="C16" s="611" t="s">
        <v>2735</v>
      </c>
      <c r="D16" s="391"/>
      <c r="E16" s="391"/>
      <c r="F16" s="391"/>
      <c r="G16" s="608"/>
      <c r="H16" s="382"/>
      <c r="I16" s="612"/>
      <c r="J16" s="86"/>
      <c r="K16" s="90"/>
      <c r="L16" s="90"/>
    </row>
    <row r="17" spans="2:14" s="88" customFormat="1" ht="19" hidden="1" thickBot="1">
      <c r="B17" s="381"/>
      <c r="C17" s="399">
        <v>0</v>
      </c>
      <c r="D17" s="391"/>
      <c r="E17" s="391"/>
      <c r="F17" s="609">
        <v>0</v>
      </c>
      <c r="G17" s="608"/>
      <c r="H17" s="382"/>
      <c r="I17" s="89"/>
      <c r="J17" s="86"/>
      <c r="K17" s="90"/>
      <c r="L17" s="90"/>
    </row>
    <row r="18" spans="2:14" s="88" customFormat="1" ht="19" thickTop="1">
      <c r="B18" s="381"/>
      <c r="C18" s="393" t="str">
        <f>C14&amp;" + Business Benefits"</f>
        <v>TCO + Business Benefits</v>
      </c>
      <c r="D18" s="394">
        <f>SUM(D14:D17)</f>
        <v>36</v>
      </c>
      <c r="E18" s="394"/>
      <c r="F18" s="394">
        <f>SUM(F14:F17)</f>
        <v>16361.245799999997</v>
      </c>
      <c r="G18" s="398"/>
      <c r="H18" s="382"/>
      <c r="I18" s="89"/>
      <c r="J18" s="86"/>
      <c r="K18" s="90"/>
      <c r="L18" s="90"/>
    </row>
    <row r="19" spans="2:14" s="88" customFormat="1" ht="18">
      <c r="B19" s="381"/>
      <c r="C19" s="396">
        <v>0</v>
      </c>
      <c r="D19" s="397"/>
      <c r="E19" s="397"/>
      <c r="F19" s="397">
        <v>0</v>
      </c>
      <c r="G19" s="398"/>
      <c r="H19" s="382"/>
      <c r="I19" s="89"/>
      <c r="J19" s="86"/>
      <c r="K19" s="90"/>
      <c r="L19" s="90"/>
      <c r="N19" s="88">
        <v>0</v>
      </c>
    </row>
    <row r="20" spans="2:14" s="88" customFormat="1" ht="19" thickBot="1">
      <c r="B20" s="381"/>
      <c r="C20" s="389" t="s">
        <v>2736</v>
      </c>
      <c r="D20" s="400"/>
      <c r="E20" s="400"/>
      <c r="F20" s="613">
        <f>F14-D14</f>
        <v>16325.245799999997</v>
      </c>
      <c r="G20" s="614"/>
      <c r="H20" s="382"/>
      <c r="I20" s="89"/>
      <c r="J20" s="86"/>
      <c r="K20" s="90"/>
      <c r="L20" s="90"/>
    </row>
    <row r="21" spans="2:14" s="88" customFormat="1" ht="18">
      <c r="B21" s="381"/>
      <c r="C21" s="389" t="s">
        <v>2737</v>
      </c>
      <c r="D21" s="400"/>
      <c r="E21" s="400"/>
      <c r="F21" s="615">
        <f>F18-D18</f>
        <v>16325.245799999997</v>
      </c>
      <c r="G21" s="614"/>
      <c r="H21" s="382"/>
      <c r="I21" s="89"/>
      <c r="J21" s="86"/>
      <c r="K21" s="90"/>
      <c r="L21" s="90"/>
    </row>
    <row r="22" spans="2:14" s="88" customFormat="1" ht="18">
      <c r="B22" s="381"/>
      <c r="C22" s="401"/>
      <c r="D22" s="402"/>
      <c r="E22" s="402"/>
      <c r="F22" s="402"/>
      <c r="G22" s="403"/>
      <c r="H22" s="382"/>
      <c r="I22" s="89"/>
      <c r="J22" s="86"/>
      <c r="K22" s="90"/>
      <c r="L22" s="90"/>
    </row>
    <row r="23" spans="2:14" ht="10" customHeight="1" thickBot="1">
      <c r="B23" s="383"/>
      <c r="C23" s="384"/>
      <c r="D23" s="384"/>
      <c r="E23" s="384"/>
      <c r="F23" s="384"/>
      <c r="G23" s="384"/>
      <c r="H23" s="385"/>
      <c r="J23" s="86"/>
      <c r="K23" s="87"/>
      <c r="L23" s="87"/>
    </row>
    <row r="24" spans="2:14" s="544" customFormat="1">
      <c r="I24" s="545"/>
      <c r="J24" s="86"/>
      <c r="K24" s="87"/>
      <c r="L24" s="87"/>
    </row>
    <row r="25" spans="2:14" s="546" customFormat="1" ht="15">
      <c r="C25" s="546" t="s">
        <v>1835</v>
      </c>
      <c r="D25" s="546">
        <v>1</v>
      </c>
      <c r="F25" s="546">
        <f>SUMIF(BOM!$AO$12:$AO$65,Summary!$C25,BOM!$AJ$12:$AJ$65)</f>
        <v>5301.1139999999996</v>
      </c>
      <c r="I25" s="548"/>
    </row>
    <row r="26" spans="2:14" s="546" customFormat="1" ht="15">
      <c r="C26" s="546" t="s">
        <v>1840</v>
      </c>
      <c r="D26" s="546">
        <v>2</v>
      </c>
      <c r="F26" s="546">
        <f>SUMIF(BOM!$AO$12:$AO$65,Summary!$C26,BOM!$AJ$12:$AJ$65)</f>
        <v>10361.915999999997</v>
      </c>
      <c r="I26" s="548"/>
    </row>
    <row r="27" spans="2:14" s="546" customFormat="1" ht="15">
      <c r="C27" s="546" t="s">
        <v>2313</v>
      </c>
      <c r="D27" s="546">
        <v>3</v>
      </c>
      <c r="F27" s="546">
        <f>SUMIF(BOM!$AO$12:$AO$65,Summary!$C27,BOM!$AJ$12:$AJ$65)</f>
        <v>698.21579999999994</v>
      </c>
      <c r="I27" s="548"/>
    </row>
    <row r="28" spans="2:14" s="546" customFormat="1" ht="15">
      <c r="C28" s="546" t="s">
        <v>1853</v>
      </c>
      <c r="D28" s="546">
        <v>4</v>
      </c>
      <c r="F28" s="546">
        <f>SUMIF(BOM!$AO$12:$AO$65,Summary!$C28,BOM!$AJ$12:$AJ$65)</f>
        <v>0</v>
      </c>
      <c r="I28" s="548"/>
    </row>
    <row r="29" spans="2:14" s="546" customFormat="1" ht="15">
      <c r="C29" s="546" t="s">
        <v>581</v>
      </c>
      <c r="D29" s="546">
        <v>5</v>
      </c>
      <c r="F29" s="546">
        <f>SUMIF(BOM!$AO$12:$AO$65,Summary!$C29,BOM!$AJ$12:$AJ$65)</f>
        <v>0</v>
      </c>
      <c r="I29" s="548"/>
    </row>
    <row r="30" spans="2:14" s="546" customFormat="1" ht="15">
      <c r="C30" s="546" t="s">
        <v>2728</v>
      </c>
      <c r="D30" s="546">
        <v>6</v>
      </c>
      <c r="F30" s="546">
        <f>SUMIF(BOM!$AO$12:$AO$65,Summary!$C30,BOM!$AJ$12:$AJ$65)</f>
        <v>0</v>
      </c>
      <c r="I30" s="548"/>
    </row>
    <row r="31" spans="2:14" s="546" customFormat="1" ht="15">
      <c r="C31" s="546" t="s">
        <v>951</v>
      </c>
      <c r="D31" s="546">
        <v>7</v>
      </c>
      <c r="F31" s="546">
        <f>SUMIF(BOM!$AO$12:$AO$65,Summary!$C31,BOM!$AJ$12:$AJ$65)</f>
        <v>0</v>
      </c>
      <c r="I31" s="548"/>
    </row>
    <row r="32" spans="2:14" s="546" customFormat="1" ht="15">
      <c r="C32" s="546" t="s">
        <v>2827</v>
      </c>
      <c r="D32" s="546">
        <v>8</v>
      </c>
      <c r="F32" s="546">
        <f>SUMIF(BOM!$AO$12:$AO$65,Summary!$C32,BOM!$AJ$12:$AJ$65)</f>
        <v>0</v>
      </c>
      <c r="I32" s="548"/>
    </row>
    <row r="33" spans="9:9" s="546" customFormat="1" ht="15">
      <c r="I33" s="548"/>
    </row>
    <row r="34" spans="9:9" s="546" customFormat="1" ht="15">
      <c r="I34" s="548"/>
    </row>
    <row r="35" spans="9:9" s="546" customFormat="1" ht="15">
      <c r="I35" s="548"/>
    </row>
    <row r="36" spans="9:9" s="546" customFormat="1" ht="15">
      <c r="I36" s="548"/>
    </row>
    <row r="37" spans="9:9" s="546" customFormat="1" ht="15">
      <c r="I37" s="548"/>
    </row>
    <row r="38" spans="9:9" s="546" customFormat="1" ht="15">
      <c r="I38" s="548"/>
    </row>
    <row r="39" spans="9:9" s="546" customFormat="1" ht="15">
      <c r="I39" s="548"/>
    </row>
    <row r="40" spans="9:9" s="546" customFormat="1" ht="15">
      <c r="I40" s="548"/>
    </row>
    <row r="41" spans="9:9" s="546" customFormat="1" ht="15">
      <c r="I41" s="548"/>
    </row>
    <row r="42" spans="9:9" s="546" customFormat="1" ht="15">
      <c r="I42" s="548"/>
    </row>
    <row r="43" spans="9:9" s="546" customFormat="1" ht="15">
      <c r="I43" s="548"/>
    </row>
    <row r="44" spans="9:9" s="546" customFormat="1" ht="15">
      <c r="I44" s="548"/>
    </row>
    <row r="45" spans="9:9" s="546" customFormat="1" ht="15">
      <c r="I45" s="548"/>
    </row>
    <row r="46" spans="9:9" s="546" customFormat="1" ht="15">
      <c r="I46" s="548"/>
    </row>
    <row r="47" spans="9:9" s="546" customFormat="1" ht="15">
      <c r="I47" s="548"/>
    </row>
    <row r="48" spans="9:9" s="546" customFormat="1" ht="15">
      <c r="I48" s="548"/>
    </row>
    <row r="49" spans="9:9" s="546" customFormat="1" ht="15">
      <c r="I49" s="548"/>
    </row>
    <row r="50" spans="9:9" s="546" customFormat="1" ht="15">
      <c r="I50" s="548"/>
    </row>
    <row r="51" spans="9:9" s="546" customFormat="1" ht="15">
      <c r="I51" s="548"/>
    </row>
    <row r="52" spans="9:9" s="546" customFormat="1" ht="15">
      <c r="I52" s="548"/>
    </row>
    <row r="53" spans="9:9" s="546" customFormat="1" ht="15">
      <c r="I53" s="548"/>
    </row>
    <row r="54" spans="9:9" s="546" customFormat="1" ht="15">
      <c r="I54" s="548"/>
    </row>
    <row r="55" spans="9:9" s="546" customFormat="1" ht="15">
      <c r="I55" s="548"/>
    </row>
    <row r="56" spans="9:9" s="546" customFormat="1" ht="15">
      <c r="I56" s="548"/>
    </row>
    <row r="57" spans="9:9" s="546" customFormat="1" ht="15">
      <c r="I57" s="548"/>
    </row>
    <row r="58" spans="9:9" s="546" customFormat="1" ht="15">
      <c r="I58" s="548"/>
    </row>
    <row r="59" spans="9:9" s="546" customFormat="1" ht="15">
      <c r="I59" s="548"/>
    </row>
    <row r="60" spans="9:9" s="544" customFormat="1" ht="15">
      <c r="I60" s="545"/>
    </row>
    <row r="61" spans="9:9" s="544" customFormat="1" ht="15">
      <c r="I61" s="545"/>
    </row>
    <row r="62" spans="9:9" s="544" customFormat="1" ht="15">
      <c r="I62" s="545"/>
    </row>
    <row r="63" spans="9:9" s="544" customFormat="1" ht="15">
      <c r="I63" s="545"/>
    </row>
    <row r="64" spans="9:9" s="544" customFormat="1" ht="15">
      <c r="I64" s="545"/>
    </row>
    <row r="65" spans="9:9" s="544" customFormat="1" ht="15">
      <c r="I65" s="545"/>
    </row>
    <row r="66" spans="9:9" s="544" customFormat="1" ht="15">
      <c r="I66" s="545"/>
    </row>
    <row r="67" spans="9:9" s="544" customFormat="1" ht="15">
      <c r="I67" s="545"/>
    </row>
    <row r="68" spans="9:9" s="544" customFormat="1" ht="15">
      <c r="I68" s="545"/>
    </row>
    <row r="69" spans="9:9" s="544" customFormat="1" ht="15">
      <c r="I69" s="545"/>
    </row>
    <row r="70" spans="9:9" s="544" customFormat="1" ht="15">
      <c r="I70" s="545"/>
    </row>
    <row r="71" spans="9:9" s="544" customFormat="1" ht="15">
      <c r="I71" s="545"/>
    </row>
    <row r="72" spans="9:9" s="544" customFormat="1" ht="15">
      <c r="I72" s="545"/>
    </row>
    <row r="73" spans="9:9" s="544" customFormat="1" ht="15">
      <c r="I73" s="545"/>
    </row>
    <row r="74" spans="9:9" s="544" customFormat="1" ht="15">
      <c r="I74" s="545"/>
    </row>
    <row r="75" spans="9:9" s="544" customFormat="1" ht="15">
      <c r="I75" s="545"/>
    </row>
    <row r="76" spans="9:9" s="544" customFormat="1" ht="15">
      <c r="I76" s="545"/>
    </row>
    <row r="77" spans="9:9" s="544" customFormat="1" ht="15">
      <c r="I77" s="545"/>
    </row>
    <row r="78" spans="9:9" s="544" customFormat="1" ht="15">
      <c r="I78" s="545"/>
    </row>
    <row r="79" spans="9:9" s="544" customFormat="1" ht="15">
      <c r="I79" s="545"/>
    </row>
    <row r="80" spans="9:9" s="544" customFormat="1" ht="15">
      <c r="I80" s="545"/>
    </row>
    <row r="81" spans="9:9" s="544" customFormat="1" ht="15">
      <c r="I81" s="545"/>
    </row>
    <row r="82" spans="9:9" s="544" customFormat="1" ht="15">
      <c r="I82" s="545"/>
    </row>
    <row r="83" spans="9:9" s="544" customFormat="1" ht="15">
      <c r="I83" s="545"/>
    </row>
    <row r="84" spans="9:9" s="544" customFormat="1" ht="15">
      <c r="I84" s="545"/>
    </row>
    <row r="85" spans="9:9" s="544" customFormat="1" ht="15">
      <c r="I85" s="545"/>
    </row>
    <row r="86" spans="9:9" s="544" customFormat="1" ht="15">
      <c r="I86" s="545"/>
    </row>
    <row r="87" spans="9:9" s="544" customFormat="1" ht="15">
      <c r="I87" s="545"/>
    </row>
    <row r="88" spans="9:9" s="544" customFormat="1" ht="15">
      <c r="I88" s="545"/>
    </row>
    <row r="89" spans="9:9" s="544" customFormat="1" ht="15">
      <c r="I89" s="545"/>
    </row>
    <row r="90" spans="9:9" s="544" customFormat="1" ht="15">
      <c r="I90" s="545"/>
    </row>
    <row r="91" spans="9:9" s="544" customFormat="1" ht="15">
      <c r="I91" s="545"/>
    </row>
    <row r="92" spans="9:9" s="544" customFormat="1" ht="15">
      <c r="I92" s="545"/>
    </row>
    <row r="93" spans="9:9" s="544" customFormat="1" ht="15">
      <c r="I93" s="545"/>
    </row>
    <row r="94" spans="9:9" s="544" customFormat="1" ht="15">
      <c r="I94" s="545"/>
    </row>
    <row r="95" spans="9:9" s="544" customFormat="1" ht="15">
      <c r="I95" s="545"/>
    </row>
    <row r="96" spans="9:9" s="544" customFormat="1" ht="15">
      <c r="I96" s="545"/>
    </row>
    <row r="97" spans="9:9" s="544" customFormat="1" ht="15">
      <c r="I97" s="545"/>
    </row>
    <row r="98" spans="9:9" s="544" customFormat="1" ht="15">
      <c r="I98" s="545"/>
    </row>
    <row r="99" spans="9:9" s="544" customFormat="1" ht="15">
      <c r="I99" s="545"/>
    </row>
    <row r="100" spans="9:9" s="544" customFormat="1" ht="15">
      <c r="I100" s="545"/>
    </row>
    <row r="101" spans="9:9" s="544" customFormat="1" ht="15">
      <c r="I101" s="545"/>
    </row>
    <row r="102" spans="9:9" s="544" customFormat="1" ht="15">
      <c r="I102" s="545"/>
    </row>
    <row r="103" spans="9:9" s="544" customFormat="1" ht="15">
      <c r="I103" s="545"/>
    </row>
    <row r="104" spans="9:9" s="544" customFormat="1" ht="15">
      <c r="I104" s="545"/>
    </row>
    <row r="105" spans="9:9" s="544" customFormat="1" ht="15">
      <c r="I105" s="545"/>
    </row>
    <row r="106" spans="9:9" s="544" customFormat="1" ht="15">
      <c r="I106" s="545"/>
    </row>
    <row r="107" spans="9:9" s="544" customFormat="1" ht="15">
      <c r="I107" s="545"/>
    </row>
    <row r="108" spans="9:9" s="544" customFormat="1" ht="15">
      <c r="I108" s="545"/>
    </row>
    <row r="109" spans="9:9" s="544" customFormat="1" ht="15">
      <c r="I109" s="545"/>
    </row>
    <row r="110" spans="9:9" s="544" customFormat="1" ht="15">
      <c r="I110" s="545"/>
    </row>
    <row r="111" spans="9:9" s="544" customFormat="1" ht="15">
      <c r="I111" s="545"/>
    </row>
    <row r="112" spans="9:9" s="544" customFormat="1" ht="15">
      <c r="I112" s="545"/>
    </row>
    <row r="113" spans="9:9" s="544" customFormat="1" ht="15">
      <c r="I113" s="545"/>
    </row>
    <row r="114" spans="9:9" s="544" customFormat="1" ht="15">
      <c r="I114" s="545"/>
    </row>
    <row r="115" spans="9:9" s="544" customFormat="1" ht="15">
      <c r="I115" s="545"/>
    </row>
    <row r="116" spans="9:9" s="544" customFormat="1" ht="15">
      <c r="I116" s="545"/>
    </row>
    <row r="117" spans="9:9" s="544" customFormat="1" ht="15">
      <c r="I117" s="545"/>
    </row>
    <row r="118" spans="9:9" s="544" customFormat="1" ht="15">
      <c r="I118" s="545"/>
    </row>
    <row r="119" spans="9:9" s="544" customFormat="1" ht="15">
      <c r="I119" s="545"/>
    </row>
    <row r="120" spans="9:9" s="544" customFormat="1" ht="15">
      <c r="I120" s="545"/>
    </row>
    <row r="121" spans="9:9" s="544" customFormat="1" ht="15">
      <c r="I121" s="545"/>
    </row>
  </sheetData>
  <hyperlinks>
    <hyperlink ref="A1" location="TOC!A1" display="Back" xr:uid="{08857D9E-A190-411C-A394-21EAB2381C43}"/>
  </hyperlinks>
  <pageMargins left="0.8" right="0.56000000000000005" top="0.57999999999999996" bottom="0.54" header="0.3" footer="0.3"/>
  <pageSetup scale="4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75930-33E1-4228-8653-A3C0966A47BE}">
  <sheetPr codeName="Sheet8">
    <tabColor theme="5" tint="0.79998168889431442"/>
  </sheetPr>
  <dimension ref="A1:P45"/>
  <sheetViews>
    <sheetView topLeftCell="B1" workbookViewId="0">
      <pane xSplit="2" ySplit="2" topLeftCell="D3" activePane="bottomRight" state="frozen"/>
      <selection activeCell="J38" sqref="J38"/>
      <selection pane="topRight" activeCell="J38" sqref="J38"/>
      <selection pane="bottomLeft" activeCell="J38" sqref="J38"/>
      <selection pane="bottomRight" activeCell="J38" sqref="J38"/>
    </sheetView>
  </sheetViews>
  <sheetFormatPr baseColWidth="10" defaultColWidth="8.6640625" defaultRowHeight="15"/>
  <cols>
    <col min="1" max="1" width="12.83203125" style="1" hidden="1" customWidth="1"/>
    <col min="2" max="2" width="8.6640625" style="1"/>
    <col min="3" max="3" width="76.83203125" style="1" customWidth="1"/>
    <col min="4" max="4" width="14.6640625" style="405" customWidth="1"/>
    <col min="5" max="8" width="12" style="405" customWidth="1"/>
    <col min="9" max="12" width="13" style="405" customWidth="1"/>
    <col min="13" max="15" width="9.83203125" style="405" customWidth="1"/>
    <col min="16" max="16" width="10" style="405" customWidth="1"/>
    <col min="17" max="16384" width="8.6640625" style="1"/>
  </cols>
  <sheetData>
    <row r="1" spans="1:16">
      <c r="B1" s="1">
        <v>1</v>
      </c>
      <c r="C1" s="1">
        <v>2</v>
      </c>
      <c r="D1" s="1">
        <v>3</v>
      </c>
      <c r="E1" s="1">
        <v>4</v>
      </c>
      <c r="F1" s="1">
        <v>5</v>
      </c>
      <c r="G1" s="1">
        <v>6</v>
      </c>
      <c r="H1" s="1">
        <v>7</v>
      </c>
      <c r="I1" s="1">
        <v>8</v>
      </c>
      <c r="J1" s="1">
        <v>9</v>
      </c>
      <c r="K1" s="1">
        <v>10</v>
      </c>
      <c r="L1" s="1">
        <v>11</v>
      </c>
      <c r="M1" s="1">
        <v>12</v>
      </c>
      <c r="N1" s="1">
        <v>13</v>
      </c>
      <c r="O1" s="1">
        <v>14</v>
      </c>
      <c r="P1" s="1">
        <v>15</v>
      </c>
    </row>
    <row r="2" spans="1:16" s="271" customFormat="1">
      <c r="A2" s="271" t="s">
        <v>1853</v>
      </c>
      <c r="B2" s="694" t="s">
        <v>1854</v>
      </c>
      <c r="C2" s="694" t="s">
        <v>1855</v>
      </c>
      <c r="D2" s="699" t="s">
        <v>943</v>
      </c>
      <c r="E2" s="695" t="s">
        <v>2373</v>
      </c>
      <c r="F2" s="695" t="s">
        <v>2374</v>
      </c>
      <c r="G2" s="695" t="s">
        <v>2375</v>
      </c>
      <c r="H2" s="695" t="s">
        <v>2376</v>
      </c>
      <c r="I2" s="695" t="s">
        <v>2377</v>
      </c>
      <c r="J2" s="695" t="s">
        <v>2378</v>
      </c>
      <c r="K2" s="695" t="s">
        <v>2379</v>
      </c>
      <c r="L2" s="695" t="s">
        <v>2380</v>
      </c>
      <c r="M2" s="695" t="s">
        <v>2381</v>
      </c>
      <c r="N2" s="695" t="s">
        <v>2382</v>
      </c>
      <c r="O2" s="695" t="s">
        <v>2383</v>
      </c>
      <c r="P2" s="695" t="s">
        <v>2372</v>
      </c>
    </row>
    <row r="45" spans="5:16" s="406" customFormat="1">
      <c r="E45" s="404">
        <v>43983</v>
      </c>
      <c r="F45" s="404">
        <v>44013</v>
      </c>
      <c r="G45" s="404">
        <v>44044</v>
      </c>
      <c r="H45" s="404">
        <v>44075</v>
      </c>
      <c r="I45" s="404">
        <v>44105</v>
      </c>
      <c r="J45" s="404">
        <v>44136</v>
      </c>
      <c r="K45" s="404">
        <v>44166</v>
      </c>
      <c r="L45" s="404">
        <v>44197</v>
      </c>
      <c r="M45" s="404">
        <v>44228</v>
      </c>
      <c r="N45" s="404">
        <v>44256</v>
      </c>
      <c r="O45" s="404">
        <v>44287</v>
      </c>
      <c r="P45" s="404">
        <v>44317</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4086E-A3EB-4493-B7C7-480B664C721D}">
  <sheetPr codeName="Sheet9">
    <tabColor theme="5" tint="0.79998168889431442"/>
  </sheetPr>
  <dimension ref="A1:CC59"/>
  <sheetViews>
    <sheetView workbookViewId="0">
      <pane xSplit="5" ySplit="2" topLeftCell="BB3" activePane="bottomRight" state="frozen"/>
      <selection activeCell="BE2" sqref="BE2"/>
      <selection pane="topRight" activeCell="BE2" sqref="BE2"/>
      <selection pane="bottomLeft" activeCell="BE2" sqref="BE2"/>
      <selection pane="bottomRight" activeCell="BE2" sqref="BE2"/>
    </sheetView>
  </sheetViews>
  <sheetFormatPr baseColWidth="10" defaultColWidth="8.6640625" defaultRowHeight="15"/>
  <cols>
    <col min="1" max="1" width="14.5" style="1" hidden="1" customWidth="1"/>
    <col min="2" max="2" width="10.5" style="1" customWidth="1"/>
    <col min="3" max="3" width="12.83203125" style="1" hidden="1" customWidth="1"/>
    <col min="4" max="4" width="8.6640625" style="1"/>
    <col min="5" max="5" width="76.83203125" style="1" customWidth="1"/>
    <col min="6" max="6" width="9.1640625" style="1" hidden="1" customWidth="1"/>
    <col min="7" max="7" width="10" style="1" hidden="1" customWidth="1"/>
    <col min="8" max="8" width="9.5" style="1" hidden="1" customWidth="1"/>
    <col min="9" max="9" width="10.5" style="1" hidden="1" customWidth="1"/>
    <col min="10" max="10" width="10.33203125" style="1" hidden="1" customWidth="1"/>
    <col min="11" max="11" width="10" style="1" hidden="1" customWidth="1"/>
    <col min="12" max="12" width="10.5" style="1" hidden="1" customWidth="1"/>
    <col min="13" max="13" width="10.33203125" style="1" hidden="1" customWidth="1"/>
    <col min="14" max="14" width="9.83203125" style="1" hidden="1" customWidth="1"/>
    <col min="15" max="15" width="10.33203125" style="1" hidden="1" customWidth="1"/>
    <col min="16" max="16" width="10.5" style="1" hidden="1" customWidth="1"/>
    <col min="17" max="17" width="10.1640625" style="1" hidden="1" customWidth="1"/>
    <col min="18" max="18" width="10.5" style="1" hidden="1" customWidth="1"/>
    <col min="19" max="19" width="10" style="1" hidden="1" customWidth="1"/>
    <col min="20" max="20" width="9.5" style="1" hidden="1" customWidth="1"/>
    <col min="21" max="21" width="10.5" style="1" hidden="1" customWidth="1"/>
    <col min="22" max="22" width="10.33203125" style="1" hidden="1" customWidth="1"/>
    <col min="23" max="23" width="10" style="1" hidden="1" customWidth="1"/>
    <col min="24" max="24" width="10.5" style="1" hidden="1" customWidth="1"/>
    <col min="25" max="25" width="10.33203125" style="1" hidden="1" customWidth="1"/>
    <col min="26" max="26" width="9.83203125" style="1" customWidth="1"/>
    <col min="27" max="27" width="10.33203125" style="1" customWidth="1"/>
    <col min="28" max="28" width="10.5" style="1" customWidth="1"/>
    <col min="29" max="29" width="10.1640625" style="1" customWidth="1"/>
    <col min="30" max="30" width="10.5" style="1" customWidth="1"/>
    <col min="31" max="31" width="10" style="1" customWidth="1"/>
    <col min="32" max="32" width="9.5" style="1" customWidth="1"/>
    <col min="33" max="33" width="10.5" style="1" customWidth="1"/>
    <col min="34" max="34" width="10.33203125" style="1" customWidth="1"/>
    <col min="35" max="35" width="10" style="1" customWidth="1"/>
    <col min="36" max="36" width="10.5" style="1" customWidth="1"/>
    <col min="37" max="37" width="10.33203125" style="1" customWidth="1"/>
    <col min="38" max="38" width="9.83203125" style="1" customWidth="1"/>
    <col min="39" max="39" width="10.33203125" style="1" customWidth="1"/>
    <col min="40" max="40" width="10.5" style="1" customWidth="1"/>
    <col min="41" max="41" width="10.1640625" style="1" customWidth="1"/>
    <col min="42" max="42" width="10.5" style="1" customWidth="1"/>
    <col min="43" max="43" width="10" style="1" customWidth="1"/>
    <col min="44" max="44" width="9.5" style="1" customWidth="1"/>
    <col min="45" max="45" width="10.5" style="1" customWidth="1"/>
    <col min="46" max="46" width="10.33203125" style="1" customWidth="1"/>
    <col min="47" max="47" width="10" style="1" customWidth="1"/>
    <col min="48" max="48" width="10.5" style="1" customWidth="1"/>
    <col min="49" max="49" width="10.33203125" style="1" customWidth="1"/>
    <col min="50" max="50" width="9.83203125" style="1" customWidth="1"/>
    <col min="51" max="51" width="10.33203125" style="1" customWidth="1"/>
    <col min="52" max="52" width="10.5" style="1" customWidth="1"/>
    <col min="53" max="53" width="10.1640625" style="1" customWidth="1"/>
    <col min="54" max="54" width="10.5" style="1" customWidth="1"/>
    <col min="55" max="56" width="8.6640625" style="1"/>
    <col min="57" max="57" width="7.83203125" style="1" customWidth="1"/>
    <col min="58" max="58" width="7.83203125" style="306" customWidth="1"/>
    <col min="59" max="59" width="10.5" style="373" customWidth="1"/>
    <col min="60" max="61" width="10.1640625" style="373" customWidth="1"/>
    <col min="62" max="62" width="8.33203125" style="1" customWidth="1"/>
    <col min="63" max="63" width="11.1640625" style="413" customWidth="1"/>
    <col min="64" max="64" width="8.1640625" style="409" customWidth="1"/>
    <col min="65" max="16384" width="8.6640625" style="1"/>
  </cols>
  <sheetData>
    <row r="1" spans="1:81">
      <c r="D1" s="1">
        <v>1</v>
      </c>
      <c r="E1" s="1">
        <v>2</v>
      </c>
      <c r="F1" s="1">
        <v>3</v>
      </c>
      <c r="G1" s="1">
        <v>4</v>
      </c>
      <c r="H1" s="1">
        <v>5</v>
      </c>
      <c r="I1" s="1">
        <v>6</v>
      </c>
      <c r="J1" s="1">
        <v>7</v>
      </c>
      <c r="K1" s="1">
        <v>8</v>
      </c>
      <c r="L1" s="1">
        <v>9</v>
      </c>
      <c r="M1" s="1">
        <v>10</v>
      </c>
      <c r="N1" s="1">
        <v>11</v>
      </c>
      <c r="O1" s="1">
        <v>12</v>
      </c>
      <c r="P1" s="1">
        <v>13</v>
      </c>
      <c r="Q1" s="1">
        <v>14</v>
      </c>
      <c r="R1" s="1">
        <v>15</v>
      </c>
      <c r="S1" s="1">
        <v>16</v>
      </c>
      <c r="T1" s="1">
        <v>17</v>
      </c>
      <c r="U1" s="1">
        <v>18</v>
      </c>
      <c r="V1" s="1">
        <v>19</v>
      </c>
      <c r="W1" s="1">
        <v>20</v>
      </c>
      <c r="X1" s="1">
        <v>21</v>
      </c>
      <c r="Y1" s="1">
        <v>22</v>
      </c>
      <c r="Z1" s="1">
        <v>23</v>
      </c>
      <c r="AA1" s="1">
        <v>24</v>
      </c>
      <c r="AB1" s="1">
        <v>25</v>
      </c>
      <c r="AC1" s="1">
        <v>26</v>
      </c>
      <c r="AD1" s="1">
        <v>27</v>
      </c>
      <c r="AE1" s="1">
        <v>28</v>
      </c>
      <c r="AF1" s="1">
        <v>29</v>
      </c>
      <c r="AG1" s="1">
        <v>30</v>
      </c>
      <c r="AH1" s="1">
        <v>31</v>
      </c>
      <c r="AI1" s="1">
        <v>32</v>
      </c>
      <c r="AJ1" s="1">
        <v>33</v>
      </c>
      <c r="AK1" s="1">
        <v>34</v>
      </c>
      <c r="AL1" s="1">
        <v>35</v>
      </c>
      <c r="AM1" s="1">
        <v>36</v>
      </c>
      <c r="AN1" s="1">
        <v>37</v>
      </c>
      <c r="AO1" s="1">
        <v>38</v>
      </c>
      <c r="AP1" s="1">
        <v>39</v>
      </c>
      <c r="AQ1" s="1">
        <v>40</v>
      </c>
      <c r="AR1" s="1">
        <v>41</v>
      </c>
      <c r="AS1" s="1">
        <v>42</v>
      </c>
      <c r="AT1" s="1">
        <v>43</v>
      </c>
      <c r="AU1" s="1">
        <v>44</v>
      </c>
      <c r="AV1" s="1">
        <v>45</v>
      </c>
      <c r="AW1" s="1">
        <v>46</v>
      </c>
      <c r="AX1" s="1">
        <v>47</v>
      </c>
      <c r="AY1" s="1">
        <v>48</v>
      </c>
      <c r="AZ1" s="1">
        <v>49</v>
      </c>
      <c r="BA1" s="1">
        <v>50</v>
      </c>
      <c r="BB1" s="1">
        <v>51</v>
      </c>
      <c r="BD1" s="15" t="s">
        <v>2256</v>
      </c>
      <c r="BE1" s="445" t="s">
        <v>2383</v>
      </c>
      <c r="BF1" s="453"/>
      <c r="BG1" s="452" t="s">
        <v>2257</v>
      </c>
      <c r="BH1" s="439">
        <f>DAY(EOMONTH(VALUE(BE1),0))*24</f>
        <v>720</v>
      </c>
      <c r="BI1" s="439"/>
    </row>
    <row r="2" spans="1:81" s="271" customFormat="1">
      <c r="A2" s="271" t="s">
        <v>1856</v>
      </c>
      <c r="B2" s="694" t="s">
        <v>1638</v>
      </c>
      <c r="C2" s="694" t="s">
        <v>1853</v>
      </c>
      <c r="D2" s="694" t="s">
        <v>1854</v>
      </c>
      <c r="E2" s="694" t="s">
        <v>1855</v>
      </c>
      <c r="F2" s="694" t="s">
        <v>943</v>
      </c>
      <c r="G2" s="695" t="s">
        <v>1985</v>
      </c>
      <c r="H2" s="695" t="s">
        <v>1986</v>
      </c>
      <c r="I2" s="695" t="s">
        <v>1987</v>
      </c>
      <c r="J2" s="695" t="s">
        <v>1988</v>
      </c>
      <c r="K2" s="695" t="s">
        <v>1989</v>
      </c>
      <c r="L2" s="695" t="s">
        <v>1990</v>
      </c>
      <c r="M2" s="695" t="s">
        <v>1991</v>
      </c>
      <c r="N2" s="695" t="s">
        <v>1992</v>
      </c>
      <c r="O2" s="695" t="s">
        <v>1993</v>
      </c>
      <c r="P2" s="695" t="s">
        <v>1994</v>
      </c>
      <c r="Q2" s="695" t="s">
        <v>1995</v>
      </c>
      <c r="R2" s="695" t="s">
        <v>1996</v>
      </c>
      <c r="S2" s="695" t="s">
        <v>1997</v>
      </c>
      <c r="T2" s="695" t="s">
        <v>1998</v>
      </c>
      <c r="U2" s="695" t="s">
        <v>1999</v>
      </c>
      <c r="V2" s="695" t="s">
        <v>2000</v>
      </c>
      <c r="W2" s="695" t="s">
        <v>2001</v>
      </c>
      <c r="X2" s="695" t="s">
        <v>2002</v>
      </c>
      <c r="Y2" s="695" t="s">
        <v>2003</v>
      </c>
      <c r="Z2" s="695" t="s">
        <v>2004</v>
      </c>
      <c r="AA2" s="695" t="s">
        <v>2005</v>
      </c>
      <c r="AB2" s="695" t="s">
        <v>2006</v>
      </c>
      <c r="AC2" s="695" t="s">
        <v>2007</v>
      </c>
      <c r="AD2" s="695" t="s">
        <v>2008</v>
      </c>
      <c r="AE2" s="695" t="s">
        <v>2009</v>
      </c>
      <c r="AF2" s="695" t="s">
        <v>2010</v>
      </c>
      <c r="AG2" s="695" t="s">
        <v>2011</v>
      </c>
      <c r="AH2" s="695" t="s">
        <v>2012</v>
      </c>
      <c r="AI2" s="695" t="s">
        <v>2013</v>
      </c>
      <c r="AJ2" s="695" t="s">
        <v>2014</v>
      </c>
      <c r="AK2" s="695" t="s">
        <v>2015</v>
      </c>
      <c r="AL2" s="695" t="s">
        <v>2016</v>
      </c>
      <c r="AM2" s="695" t="s">
        <v>2017</v>
      </c>
      <c r="AN2" s="695" t="s">
        <v>2018</v>
      </c>
      <c r="AO2" s="695" t="s">
        <v>2019</v>
      </c>
      <c r="AP2" s="695" t="s">
        <v>2020</v>
      </c>
      <c r="AQ2" s="695" t="s">
        <v>2373</v>
      </c>
      <c r="AR2" s="695" t="s">
        <v>2374</v>
      </c>
      <c r="AS2" s="695" t="s">
        <v>2375</v>
      </c>
      <c r="AT2" s="695" t="s">
        <v>2376</v>
      </c>
      <c r="AU2" s="695" t="s">
        <v>2377</v>
      </c>
      <c r="AV2" s="695" t="s">
        <v>2378</v>
      </c>
      <c r="AW2" s="695" t="s">
        <v>2379</v>
      </c>
      <c r="AX2" s="695" t="s">
        <v>2380</v>
      </c>
      <c r="AY2" s="695" t="s">
        <v>2381</v>
      </c>
      <c r="AZ2" s="695" t="s">
        <v>2382</v>
      </c>
      <c r="BA2" s="695" t="s">
        <v>2383</v>
      </c>
      <c r="BB2" s="695" t="s">
        <v>2372</v>
      </c>
      <c r="BC2" s="407"/>
      <c r="BD2" s="696" t="s">
        <v>2157</v>
      </c>
      <c r="BE2" s="696" t="s">
        <v>28</v>
      </c>
      <c r="BF2" s="697" t="s">
        <v>2272</v>
      </c>
      <c r="BG2" s="696" t="s">
        <v>2025</v>
      </c>
      <c r="BH2" s="696" t="s">
        <v>0</v>
      </c>
      <c r="BI2" s="696" t="s">
        <v>2240</v>
      </c>
      <c r="BJ2" s="696" t="s">
        <v>2026</v>
      </c>
      <c r="BK2" s="698" t="s">
        <v>2027</v>
      </c>
      <c r="BL2" s="412" t="s">
        <v>2024</v>
      </c>
      <c r="BM2" s="407"/>
      <c r="BN2" s="407"/>
      <c r="BO2" s="407"/>
      <c r="BP2" s="407"/>
      <c r="BQ2" s="407"/>
      <c r="BR2" s="407"/>
      <c r="BS2" s="407"/>
      <c r="BT2" s="407"/>
      <c r="BU2" s="407"/>
      <c r="BV2" s="407"/>
      <c r="BW2" s="407"/>
      <c r="BX2" s="407"/>
      <c r="BY2" s="407"/>
      <c r="BZ2" s="407"/>
      <c r="CA2" s="407"/>
      <c r="CB2" s="407"/>
      <c r="CC2" s="407"/>
    </row>
    <row r="3" spans="1:81">
      <c r="B3" s="1" t="str">
        <f>VLOOKUP(UsageCost[[#This Row],[Sku]],'Cloud Price List'!$A$3:$M$1005,7,FALSE)</f>
        <v>Deprecated</v>
      </c>
      <c r="F3" s="372"/>
      <c r="G3" s="372"/>
      <c r="H3" s="372"/>
      <c r="I3" s="372"/>
      <c r="J3" s="372"/>
      <c r="K3" s="372"/>
      <c r="L3" s="372"/>
      <c r="M3" s="372"/>
      <c r="N3" s="372"/>
      <c r="O3" s="372"/>
      <c r="P3" s="372"/>
      <c r="Q3" s="372"/>
      <c r="R3" s="372"/>
      <c r="S3" s="372"/>
      <c r="T3" s="372"/>
      <c r="U3" s="372"/>
      <c r="V3" s="372"/>
      <c r="W3" s="372"/>
      <c r="X3" s="372"/>
      <c r="Y3" s="372"/>
      <c r="Z3" s="372"/>
      <c r="AA3" s="372"/>
      <c r="AB3" s="372"/>
      <c r="AC3" s="372"/>
      <c r="AD3" s="372"/>
      <c r="AE3" s="372"/>
      <c r="AF3" s="372"/>
      <c r="AG3" s="372"/>
      <c r="AH3" s="372"/>
      <c r="AI3" s="372"/>
      <c r="AJ3" s="372"/>
      <c r="AK3" s="372"/>
      <c r="AL3" s="372"/>
      <c r="AM3" s="372"/>
      <c r="AN3" s="372"/>
      <c r="AO3" s="372"/>
      <c r="AP3" s="372"/>
      <c r="AQ3" s="372"/>
      <c r="AR3" s="372"/>
      <c r="AS3" s="372"/>
      <c r="AT3" s="372"/>
      <c r="AU3" s="372"/>
      <c r="AV3" s="372"/>
      <c r="AW3" s="372"/>
      <c r="AX3" s="372"/>
      <c r="AY3" s="372"/>
      <c r="AZ3" s="372"/>
      <c r="BA3" s="372"/>
      <c r="BB3" s="372"/>
      <c r="BD3" s="1">
        <f>UsageCost[[#This Row],[Sku]]</f>
        <v>0</v>
      </c>
      <c r="BE3" s="1" t="str">
        <f>IFERROR(VLOOKUP(UsageCost[[#This Row],[Sku]],'Cloud Price List'!$A$3:M1500,8,FALSE),"-")</f>
        <v>UNIT</v>
      </c>
      <c r="BF3" s="306" t="str">
        <f ca="1">IFERROR(INDEX(INDIRECT("UsageCost["&amp;$BE$1&amp;"]"),MATCH(BD3,UsageCost[Sku],0)),"-")</f>
        <v>-</v>
      </c>
      <c r="BG3" s="373" t="str">
        <f ca="1">IFERROR(INDEX(INDIRECT("UsageQty["&amp;$BE$1&amp;"]"),MATCH(BD3,UsageQty[Sku],0)),"-")</f>
        <v>-</v>
      </c>
      <c r="BH3" s="373" t="str">
        <f ca="1">IFERROR(INDEX(INDIRECT("UsageQty["&amp;$BE$1&amp;"]"),MATCH(BD3,UsageQty[Sku],0))/IF(BE3="HR",$BH$1,1),"-")</f>
        <v>-</v>
      </c>
      <c r="BI3" s="373" t="str">
        <f ca="1">IF(BE3="HR",ROUND(BH3,0),BH3)</f>
        <v>-</v>
      </c>
      <c r="BJ3" s="1">
        <f>IFERROR(VLOOKUP(UsageCost[[#This Row],[Sku]],'Cloud Price List'!$A$3:M1500,4,FALSE),"-")</f>
        <v>0</v>
      </c>
      <c r="BK3" s="413" t="str">
        <f t="shared" ref="BK3" ca="1" si="0">IFERROR(INDIRECT("UsageCost["&amp;$BE$1&amp;"]")/BG3,"-")</f>
        <v>-</v>
      </c>
      <c r="BL3" s="409" t="str">
        <f ca="1">IFERROR(1-BK3/BJ3,"-")</f>
        <v>-</v>
      </c>
    </row>
    <row r="4" spans="1:81">
      <c r="B4" s="1" t="str">
        <f>VLOOKUP(UsageCost[[#This Row],[Sku]],'Cloud Price List'!$A$3:$M$1005,7,FALSE)</f>
        <v>Deprecated</v>
      </c>
      <c r="F4" s="372"/>
      <c r="G4" s="372"/>
      <c r="H4" s="372"/>
      <c r="I4" s="372"/>
      <c r="J4" s="372"/>
      <c r="K4" s="372"/>
      <c r="L4" s="372"/>
      <c r="M4" s="372"/>
      <c r="N4" s="372"/>
      <c r="O4" s="372"/>
      <c r="P4" s="372"/>
      <c r="Q4" s="372"/>
      <c r="R4" s="372"/>
      <c r="S4" s="372"/>
      <c r="T4" s="372"/>
      <c r="U4" s="372"/>
      <c r="V4" s="372"/>
      <c r="W4" s="372"/>
      <c r="X4" s="372"/>
      <c r="Y4" s="372"/>
      <c r="Z4" s="372"/>
      <c r="AA4" s="372"/>
      <c r="AB4" s="372"/>
      <c r="AC4" s="372"/>
      <c r="AD4" s="372"/>
      <c r="AE4" s="372"/>
      <c r="AF4" s="372"/>
      <c r="AG4" s="372"/>
      <c r="AH4" s="372"/>
      <c r="AI4" s="372"/>
      <c r="AJ4" s="372"/>
      <c r="AK4" s="372"/>
      <c r="AL4" s="372"/>
      <c r="AM4" s="372"/>
      <c r="AN4" s="372"/>
      <c r="AO4" s="372"/>
      <c r="AP4" s="372"/>
      <c r="AQ4" s="372"/>
      <c r="AR4" s="372"/>
      <c r="AS4" s="372"/>
      <c r="AT4" s="372"/>
      <c r="AU4" s="372"/>
      <c r="AV4" s="372"/>
      <c r="AW4" s="372"/>
      <c r="AX4" s="372"/>
      <c r="AY4" s="372"/>
      <c r="AZ4" s="372"/>
      <c r="BA4" s="372"/>
      <c r="BB4" s="372"/>
      <c r="BD4" s="1">
        <f>UsageCost[[#This Row],[Sku]]</f>
        <v>0</v>
      </c>
      <c r="BE4" s="1" t="str">
        <f>IFERROR(VLOOKUP(UsageCost[[#This Row],[Sku]],'Cloud Price List'!$A$3:M1501,8,FALSE),"-")</f>
        <v>UNIT</v>
      </c>
      <c r="BF4" s="306" t="str">
        <f ca="1">IFERROR(INDEX(INDIRECT("UsageCost["&amp;$BE$1&amp;"]"),MATCH(BD4,UsageCost[Sku],0)),"-")</f>
        <v>-</v>
      </c>
      <c r="BG4" s="373" t="str">
        <f ca="1">IFERROR(INDEX(INDIRECT("UsageQty["&amp;$BE$1&amp;"]"),MATCH(BD4,UsageQty[Sku],0)),"-")</f>
        <v>-</v>
      </c>
      <c r="BH4" s="373" t="str">
        <f ca="1">IFERROR(INDEX(INDIRECT("UsageQty["&amp;$BE$1&amp;"]"),MATCH(BD4,UsageQty[Sku],0))/IF(BE4="HR",$BH$1,1),"-")</f>
        <v>-</v>
      </c>
      <c r="BI4" s="373" t="str">
        <f t="shared" ref="BI4:BI43" ca="1" si="1">IF(BE4="HR",ROUND(BH4,0),BH4)</f>
        <v>-</v>
      </c>
      <c r="BJ4" s="1">
        <f>IFERROR(VLOOKUP(UsageCost[[#This Row],[Sku]],'Cloud Price List'!$A$3:M1501,4,FALSE),"-")</f>
        <v>0</v>
      </c>
      <c r="BK4" s="413" t="str">
        <f ca="1">IFERROR(INDIRECT("UsageCost["&amp;$BE$1&amp;"]")/BG4,"-")</f>
        <v>-</v>
      </c>
      <c r="BL4" s="409" t="str">
        <f t="shared" ref="BL4:BL43" ca="1" si="2">IFERROR(1-BK4/BJ4,"-")</f>
        <v>-</v>
      </c>
    </row>
    <row r="5" spans="1:81">
      <c r="B5" s="1" t="str">
        <f>VLOOKUP(UsageCost[[#This Row],[Sku]],'Cloud Price List'!$A$3:$M$1005,7,FALSE)</f>
        <v>Deprecated</v>
      </c>
      <c r="F5" s="372"/>
      <c r="G5" s="372"/>
      <c r="H5" s="372"/>
      <c r="I5" s="372"/>
      <c r="J5" s="372"/>
      <c r="K5" s="372"/>
      <c r="L5" s="372"/>
      <c r="M5" s="372"/>
      <c r="N5" s="372"/>
      <c r="O5" s="372"/>
      <c r="P5" s="372"/>
      <c r="Q5" s="372"/>
      <c r="R5" s="372"/>
      <c r="S5" s="372"/>
      <c r="T5" s="372"/>
      <c r="U5" s="372"/>
      <c r="V5" s="372"/>
      <c r="W5" s="372"/>
      <c r="X5" s="372"/>
      <c r="Y5" s="372"/>
      <c r="Z5" s="372"/>
      <c r="AA5" s="372"/>
      <c r="AB5" s="372"/>
      <c r="AC5" s="372"/>
      <c r="AD5" s="372"/>
      <c r="AE5" s="372"/>
      <c r="AF5" s="372"/>
      <c r="AG5" s="372"/>
      <c r="AH5" s="372"/>
      <c r="AI5" s="372"/>
      <c r="AJ5" s="372"/>
      <c r="AK5" s="372"/>
      <c r="AL5" s="372"/>
      <c r="AM5" s="372"/>
      <c r="AN5" s="372"/>
      <c r="AO5" s="372"/>
      <c r="AP5" s="372"/>
      <c r="AQ5" s="372"/>
      <c r="AR5" s="372"/>
      <c r="AS5" s="372"/>
      <c r="AT5" s="372"/>
      <c r="AU5" s="372"/>
      <c r="AV5" s="372"/>
      <c r="AW5" s="372"/>
      <c r="AX5" s="372"/>
      <c r="AY5" s="372"/>
      <c r="AZ5" s="372"/>
      <c r="BA5" s="372"/>
      <c r="BB5" s="372"/>
      <c r="BD5" s="1">
        <f>UsageCost[[#This Row],[Sku]]</f>
        <v>0</v>
      </c>
      <c r="BE5" s="1" t="str">
        <f>IFERROR(VLOOKUP(UsageCost[[#This Row],[Sku]],'Cloud Price List'!$A$3:M1502,8,FALSE),"-")</f>
        <v>UNIT</v>
      </c>
      <c r="BF5" s="306" t="str">
        <f ca="1">IFERROR(INDEX(INDIRECT("UsageCost["&amp;$BE$1&amp;"]"),MATCH(BD5,UsageCost[Sku],0)),"-")</f>
        <v>-</v>
      </c>
      <c r="BG5" s="373" t="str">
        <f ca="1">IFERROR(INDEX(INDIRECT("UsageQty["&amp;$BE$1&amp;"]"),MATCH(BD5,UsageQty[Sku],0)),"-")</f>
        <v>-</v>
      </c>
      <c r="BH5" s="373" t="str">
        <f ca="1">IFERROR(INDEX(INDIRECT("UsageQty["&amp;$BE$1&amp;"]"),MATCH(BD5,UsageQty[Sku],0))/IF(BE5="HR",$BH$1,1),"-")</f>
        <v>-</v>
      </c>
      <c r="BI5" s="373" t="str">
        <f t="shared" ca="1" si="1"/>
        <v>-</v>
      </c>
      <c r="BJ5" s="1">
        <f>IFERROR(VLOOKUP(UsageCost[[#This Row],[Sku]],'Cloud Price List'!$A$3:M1502,4,FALSE),"-")</f>
        <v>0</v>
      </c>
      <c r="BK5" s="413" t="str">
        <f t="shared" ref="BK5:BK43" ca="1" si="3">IFERROR(INDIRECT("UsageCost["&amp;$BE$1&amp;"]")/BG5,"-")</f>
        <v>-</v>
      </c>
      <c r="BL5" s="409" t="str">
        <f t="shared" ca="1" si="2"/>
        <v>-</v>
      </c>
    </row>
    <row r="6" spans="1:81">
      <c r="B6" s="1" t="str">
        <f>VLOOKUP(UsageCost[[#This Row],[Sku]],'Cloud Price List'!$A$3:$M$1005,7,FALSE)</f>
        <v>Deprecated</v>
      </c>
      <c r="F6" s="372"/>
      <c r="G6" s="372"/>
      <c r="H6" s="372"/>
      <c r="I6" s="372"/>
      <c r="J6" s="372"/>
      <c r="K6" s="372"/>
      <c r="L6" s="372"/>
      <c r="M6" s="372"/>
      <c r="N6" s="372"/>
      <c r="O6" s="372"/>
      <c r="P6" s="372"/>
      <c r="Q6" s="372"/>
      <c r="R6" s="372"/>
      <c r="S6" s="372"/>
      <c r="T6" s="372"/>
      <c r="U6" s="372"/>
      <c r="V6" s="372"/>
      <c r="W6" s="372"/>
      <c r="X6" s="372"/>
      <c r="Y6" s="372"/>
      <c r="Z6" s="372"/>
      <c r="AA6" s="372"/>
      <c r="AB6" s="372"/>
      <c r="AC6" s="372"/>
      <c r="AD6" s="372"/>
      <c r="AE6" s="372"/>
      <c r="AF6" s="372"/>
      <c r="AG6" s="372"/>
      <c r="AH6" s="372"/>
      <c r="AI6" s="372"/>
      <c r="AJ6" s="372"/>
      <c r="AK6" s="372"/>
      <c r="AL6" s="372"/>
      <c r="AM6" s="372"/>
      <c r="AN6" s="372"/>
      <c r="AO6" s="372"/>
      <c r="AP6" s="372"/>
      <c r="AQ6" s="372"/>
      <c r="AR6" s="372"/>
      <c r="AS6" s="372"/>
      <c r="AT6" s="372"/>
      <c r="AU6" s="372"/>
      <c r="AV6" s="372"/>
      <c r="AW6" s="372"/>
      <c r="AX6" s="372"/>
      <c r="AY6" s="372"/>
      <c r="AZ6" s="372"/>
      <c r="BA6" s="372"/>
      <c r="BB6" s="372"/>
      <c r="BD6" s="1">
        <f>UsageCost[[#This Row],[Sku]]</f>
        <v>0</v>
      </c>
      <c r="BE6" s="1" t="str">
        <f>IFERROR(VLOOKUP(UsageCost[[#This Row],[Sku]],'Cloud Price List'!$A$3:M1503,8,FALSE),"-")</f>
        <v>UNIT</v>
      </c>
      <c r="BF6" s="306" t="str">
        <f ca="1">IFERROR(INDEX(INDIRECT("UsageCost["&amp;$BE$1&amp;"]"),MATCH(BD6,UsageCost[Sku],0)),"-")</f>
        <v>-</v>
      </c>
      <c r="BG6" s="373" t="str">
        <f ca="1">IFERROR(INDEX(INDIRECT("UsageQty["&amp;$BE$1&amp;"]"),MATCH(BD6,UsageQty[Sku],0)),"-")</f>
        <v>-</v>
      </c>
      <c r="BH6" s="373" t="str">
        <f ca="1">IFERROR(INDEX(INDIRECT("UsageQty["&amp;$BE$1&amp;"]"),MATCH(BD6,UsageQty[Sku],0))/IF(BE6="HR",$BH$1,1),"-")</f>
        <v>-</v>
      </c>
      <c r="BI6" s="373" t="str">
        <f t="shared" ca="1" si="1"/>
        <v>-</v>
      </c>
      <c r="BJ6" s="1">
        <f>IFERROR(VLOOKUP(UsageCost[[#This Row],[Sku]],'Cloud Price List'!$A$3:M1503,4,FALSE),"-")</f>
        <v>0</v>
      </c>
      <c r="BK6" s="413" t="str">
        <f t="shared" ca="1" si="3"/>
        <v>-</v>
      </c>
      <c r="BL6" s="409" t="str">
        <f t="shared" ca="1" si="2"/>
        <v>-</v>
      </c>
    </row>
    <row r="7" spans="1:81">
      <c r="B7" s="1" t="str">
        <f>VLOOKUP(UsageCost[[#This Row],[Sku]],'Cloud Price List'!$A$3:$M$1005,7,FALSE)</f>
        <v>Deprecated</v>
      </c>
      <c r="F7" s="372"/>
      <c r="G7" s="372"/>
      <c r="H7" s="372"/>
      <c r="I7" s="372"/>
      <c r="J7" s="372"/>
      <c r="K7" s="372"/>
      <c r="L7" s="372"/>
      <c r="M7" s="372"/>
      <c r="N7" s="372"/>
      <c r="O7" s="372"/>
      <c r="P7" s="372"/>
      <c r="Q7" s="372"/>
      <c r="R7" s="372"/>
      <c r="S7" s="372"/>
      <c r="T7" s="372"/>
      <c r="U7" s="372"/>
      <c r="V7" s="372"/>
      <c r="W7" s="372"/>
      <c r="X7" s="372"/>
      <c r="Y7" s="372"/>
      <c r="Z7" s="372"/>
      <c r="AA7" s="372"/>
      <c r="AB7" s="372"/>
      <c r="AC7" s="372"/>
      <c r="AD7" s="372"/>
      <c r="AE7" s="372"/>
      <c r="AF7" s="372"/>
      <c r="AG7" s="372"/>
      <c r="AH7" s="372"/>
      <c r="AI7" s="372"/>
      <c r="AJ7" s="372"/>
      <c r="AK7" s="372"/>
      <c r="AL7" s="372"/>
      <c r="AM7" s="372"/>
      <c r="AN7" s="372"/>
      <c r="AO7" s="372"/>
      <c r="AP7" s="372"/>
      <c r="AQ7" s="372"/>
      <c r="AR7" s="372"/>
      <c r="AS7" s="372"/>
      <c r="AT7" s="372"/>
      <c r="AU7" s="372"/>
      <c r="AV7" s="372"/>
      <c r="AW7" s="372"/>
      <c r="AX7" s="372"/>
      <c r="AY7" s="372"/>
      <c r="AZ7" s="372"/>
      <c r="BA7" s="372"/>
      <c r="BB7" s="372"/>
      <c r="BD7" s="1">
        <f>UsageCost[[#This Row],[Sku]]</f>
        <v>0</v>
      </c>
      <c r="BE7" s="1" t="str">
        <f>IFERROR(VLOOKUP(UsageCost[[#This Row],[Sku]],'Cloud Price List'!$A$3:M1504,8,FALSE),"-")</f>
        <v>UNIT</v>
      </c>
      <c r="BF7" s="306" t="str">
        <f ca="1">IFERROR(INDEX(INDIRECT("UsageCost["&amp;$BE$1&amp;"]"),MATCH(BD7,UsageCost[Sku],0)),"-")</f>
        <v>-</v>
      </c>
      <c r="BG7" s="373" t="str">
        <f ca="1">IFERROR(INDEX(INDIRECT("UsageQty["&amp;$BE$1&amp;"]"),MATCH(BD7,UsageQty[Sku],0)),"-")</f>
        <v>-</v>
      </c>
      <c r="BH7" s="373" t="str">
        <f ca="1">IFERROR(INDEX(INDIRECT("UsageQty["&amp;$BE$1&amp;"]"),MATCH(BD7,UsageQty[Sku],0))/IF(BE7="HR",$BH$1,1),"-")</f>
        <v>-</v>
      </c>
      <c r="BI7" s="373" t="str">
        <f t="shared" ca="1" si="1"/>
        <v>-</v>
      </c>
      <c r="BJ7" s="1">
        <f>IFERROR(VLOOKUP(UsageCost[[#This Row],[Sku]],'Cloud Price List'!$A$3:M1504,4,FALSE),"-")</f>
        <v>0</v>
      </c>
      <c r="BK7" s="413" t="str">
        <f t="shared" ca="1" si="3"/>
        <v>-</v>
      </c>
      <c r="BL7" s="409" t="str">
        <f t="shared" ca="1" si="2"/>
        <v>-</v>
      </c>
    </row>
    <row r="8" spans="1:81">
      <c r="B8" s="1" t="str">
        <f>VLOOKUP(UsageCost[[#This Row],[Sku]],'Cloud Price List'!$A$3:$M$1005,7,FALSE)</f>
        <v>Deprecated</v>
      </c>
      <c r="F8" s="372"/>
      <c r="G8" s="372"/>
      <c r="H8" s="372"/>
      <c r="I8" s="372"/>
      <c r="J8" s="372"/>
      <c r="K8" s="372"/>
      <c r="L8" s="372"/>
      <c r="M8" s="372"/>
      <c r="N8" s="372"/>
      <c r="O8" s="372"/>
      <c r="P8" s="372"/>
      <c r="Q8" s="372"/>
      <c r="R8" s="372"/>
      <c r="S8" s="372"/>
      <c r="T8" s="372"/>
      <c r="U8" s="372"/>
      <c r="V8" s="372"/>
      <c r="W8" s="372"/>
      <c r="X8" s="372"/>
      <c r="Y8" s="372"/>
      <c r="Z8" s="372"/>
      <c r="AA8" s="372"/>
      <c r="AB8" s="372"/>
      <c r="AC8" s="372"/>
      <c r="AD8" s="372"/>
      <c r="AE8" s="372"/>
      <c r="AF8" s="372"/>
      <c r="AG8" s="372"/>
      <c r="AH8" s="372"/>
      <c r="AI8" s="372"/>
      <c r="AJ8" s="372"/>
      <c r="AK8" s="372"/>
      <c r="AL8" s="372"/>
      <c r="AM8" s="372"/>
      <c r="AN8" s="372"/>
      <c r="AO8" s="372"/>
      <c r="AP8" s="372"/>
      <c r="AQ8" s="372"/>
      <c r="AR8" s="372"/>
      <c r="AS8" s="372"/>
      <c r="AT8" s="372"/>
      <c r="AU8" s="372"/>
      <c r="AV8" s="372"/>
      <c r="AW8" s="372"/>
      <c r="AX8" s="372"/>
      <c r="AY8" s="372"/>
      <c r="AZ8" s="372"/>
      <c r="BA8" s="372"/>
      <c r="BB8" s="372"/>
      <c r="BD8" s="1">
        <f>UsageCost[[#This Row],[Sku]]</f>
        <v>0</v>
      </c>
      <c r="BE8" s="1" t="str">
        <f>IFERROR(VLOOKUP(UsageCost[[#This Row],[Sku]],'Cloud Price List'!$A$3:M1505,8,FALSE),"-")</f>
        <v>UNIT</v>
      </c>
      <c r="BF8" s="306" t="str">
        <f ca="1">IFERROR(INDEX(INDIRECT("UsageCost["&amp;$BE$1&amp;"]"),MATCH(BD8,UsageCost[Sku],0)),"-")</f>
        <v>-</v>
      </c>
      <c r="BG8" s="373" t="str">
        <f ca="1">IFERROR(INDEX(INDIRECT("UsageQty["&amp;$BE$1&amp;"]"),MATCH(BD8,UsageQty[Sku],0)),"-")</f>
        <v>-</v>
      </c>
      <c r="BH8" s="373" t="str">
        <f ca="1">IFERROR(INDEX(INDIRECT("UsageQty["&amp;$BE$1&amp;"]"),MATCH(BD8,UsageQty[Sku],0))/IF(BE8="HR",$BH$1,1),"-")</f>
        <v>-</v>
      </c>
      <c r="BI8" s="373" t="str">
        <f t="shared" ca="1" si="1"/>
        <v>-</v>
      </c>
      <c r="BJ8" s="1">
        <f>IFERROR(VLOOKUP(UsageCost[[#This Row],[Sku]],'Cloud Price List'!$A$3:M1505,4,FALSE),"-")</f>
        <v>0</v>
      </c>
      <c r="BK8" s="413" t="str">
        <f t="shared" ca="1" si="3"/>
        <v>-</v>
      </c>
      <c r="BL8" s="409" t="str">
        <f t="shared" ca="1" si="2"/>
        <v>-</v>
      </c>
    </row>
    <row r="9" spans="1:81">
      <c r="B9" s="1" t="str">
        <f>VLOOKUP(UsageCost[[#This Row],[Sku]],'Cloud Price List'!$A$3:$M$1005,7,FALSE)</f>
        <v>Deprecated</v>
      </c>
      <c r="F9" s="372"/>
      <c r="G9" s="372"/>
      <c r="H9" s="372"/>
      <c r="I9" s="372"/>
      <c r="J9" s="372"/>
      <c r="K9" s="372"/>
      <c r="L9" s="372"/>
      <c r="M9" s="372"/>
      <c r="N9" s="372"/>
      <c r="O9" s="372"/>
      <c r="P9" s="372"/>
      <c r="Q9" s="372"/>
      <c r="R9" s="372"/>
      <c r="S9" s="372"/>
      <c r="T9" s="372"/>
      <c r="U9" s="372"/>
      <c r="V9" s="372"/>
      <c r="W9" s="372"/>
      <c r="X9" s="372"/>
      <c r="Y9" s="372"/>
      <c r="Z9" s="372"/>
      <c r="AA9" s="372"/>
      <c r="AB9" s="372"/>
      <c r="AC9" s="372"/>
      <c r="AD9" s="372"/>
      <c r="AE9" s="372"/>
      <c r="AF9" s="372"/>
      <c r="AG9" s="372"/>
      <c r="AH9" s="372"/>
      <c r="AI9" s="372"/>
      <c r="AJ9" s="372"/>
      <c r="AK9" s="372"/>
      <c r="AL9" s="372"/>
      <c r="AM9" s="372"/>
      <c r="AN9" s="372"/>
      <c r="AO9" s="372"/>
      <c r="AP9" s="372"/>
      <c r="AQ9" s="372"/>
      <c r="AR9" s="372"/>
      <c r="AS9" s="372"/>
      <c r="AT9" s="372"/>
      <c r="AU9" s="372"/>
      <c r="AV9" s="372"/>
      <c r="AW9" s="372"/>
      <c r="AX9" s="372"/>
      <c r="AY9" s="372"/>
      <c r="AZ9" s="372"/>
      <c r="BA9" s="372"/>
      <c r="BB9" s="372"/>
      <c r="BD9" s="1">
        <f>UsageCost[[#This Row],[Sku]]</f>
        <v>0</v>
      </c>
      <c r="BE9" s="1" t="str">
        <f>IFERROR(VLOOKUP(UsageCost[[#This Row],[Sku]],'Cloud Price List'!$A$3:M1506,8,FALSE),"-")</f>
        <v>UNIT</v>
      </c>
      <c r="BF9" s="306" t="str">
        <f ca="1">IFERROR(INDEX(INDIRECT("UsageCost["&amp;$BE$1&amp;"]"),MATCH(BD9,UsageCost[Sku],0)),"-")</f>
        <v>-</v>
      </c>
      <c r="BG9" s="373" t="str">
        <f ca="1">IFERROR(INDEX(INDIRECT("UsageQty["&amp;$BE$1&amp;"]"),MATCH(BD9,UsageQty[Sku],0)),"-")</f>
        <v>-</v>
      </c>
      <c r="BH9" s="373" t="str">
        <f ca="1">IFERROR(INDEX(INDIRECT("UsageQty["&amp;$BE$1&amp;"]"),MATCH(BD9,UsageQty[Sku],0))/IF(BE9="HR",$BH$1,1),"-")</f>
        <v>-</v>
      </c>
      <c r="BI9" s="373" t="str">
        <f t="shared" ca="1" si="1"/>
        <v>-</v>
      </c>
      <c r="BJ9" s="1">
        <f>IFERROR(VLOOKUP(UsageCost[[#This Row],[Sku]],'Cloud Price List'!$A$3:M1506,4,FALSE),"-")</f>
        <v>0</v>
      </c>
      <c r="BK9" s="413" t="str">
        <f t="shared" ca="1" si="3"/>
        <v>-</v>
      </c>
      <c r="BL9" s="409" t="str">
        <f t="shared" ca="1" si="2"/>
        <v>-</v>
      </c>
    </row>
    <row r="10" spans="1:81">
      <c r="B10" s="1" t="str">
        <f>VLOOKUP(UsageCost[[#This Row],[Sku]],'Cloud Price List'!$A$3:$M$1005,7,FALSE)</f>
        <v>Deprecated</v>
      </c>
      <c r="F10" s="372"/>
      <c r="G10" s="372"/>
      <c r="H10" s="372"/>
      <c r="I10" s="372"/>
      <c r="J10" s="372"/>
      <c r="K10" s="372"/>
      <c r="L10" s="372"/>
      <c r="M10" s="372"/>
      <c r="N10" s="372"/>
      <c r="O10" s="372"/>
      <c r="P10" s="372"/>
      <c r="Q10" s="372"/>
      <c r="R10" s="372"/>
      <c r="S10" s="372"/>
      <c r="T10" s="372"/>
      <c r="U10" s="372"/>
      <c r="V10" s="372"/>
      <c r="W10" s="372"/>
      <c r="X10" s="372"/>
      <c r="Y10" s="372"/>
      <c r="Z10" s="372"/>
      <c r="AA10" s="372"/>
      <c r="AB10" s="372"/>
      <c r="AC10" s="372"/>
      <c r="AD10" s="372"/>
      <c r="AE10" s="372"/>
      <c r="AF10" s="372"/>
      <c r="AG10" s="372"/>
      <c r="AH10" s="372"/>
      <c r="AI10" s="372"/>
      <c r="AJ10" s="372"/>
      <c r="AK10" s="372"/>
      <c r="AL10" s="372"/>
      <c r="AM10" s="372"/>
      <c r="AN10" s="372"/>
      <c r="AO10" s="372"/>
      <c r="AP10" s="372"/>
      <c r="AQ10" s="372"/>
      <c r="AR10" s="372"/>
      <c r="AS10" s="372"/>
      <c r="AT10" s="372"/>
      <c r="AU10" s="372"/>
      <c r="AV10" s="372"/>
      <c r="AW10" s="372"/>
      <c r="AX10" s="372"/>
      <c r="AY10" s="372"/>
      <c r="AZ10" s="372"/>
      <c r="BA10" s="372"/>
      <c r="BB10" s="372"/>
      <c r="BD10" s="1">
        <f>UsageCost[[#This Row],[Sku]]</f>
        <v>0</v>
      </c>
      <c r="BE10" s="1" t="str">
        <f>IFERROR(VLOOKUP(UsageCost[[#This Row],[Sku]],'Cloud Price List'!$A$3:M1507,8,FALSE),"-")</f>
        <v>UNIT</v>
      </c>
      <c r="BF10" s="306" t="str">
        <f ca="1">IFERROR(INDEX(INDIRECT("UsageCost["&amp;$BE$1&amp;"]"),MATCH(BD10,UsageCost[Sku],0)),"-")</f>
        <v>-</v>
      </c>
      <c r="BG10" s="373" t="str">
        <f ca="1">IFERROR(INDEX(INDIRECT("UsageQty["&amp;$BE$1&amp;"]"),MATCH(BD10,UsageQty[Sku],0)),"-")</f>
        <v>-</v>
      </c>
      <c r="BH10" s="373" t="str">
        <f ca="1">IFERROR(INDEX(INDIRECT("UsageQty["&amp;$BE$1&amp;"]"),MATCH(BD10,UsageQty[Sku],0))/IF(BE10="HR",$BH$1,1),"-")</f>
        <v>-</v>
      </c>
      <c r="BI10" s="373" t="str">
        <f t="shared" ca="1" si="1"/>
        <v>-</v>
      </c>
      <c r="BJ10" s="1">
        <f>IFERROR(VLOOKUP(UsageCost[[#This Row],[Sku]],'Cloud Price List'!$A$3:M1507,4,FALSE),"-")</f>
        <v>0</v>
      </c>
      <c r="BK10" s="413" t="str">
        <f t="shared" ca="1" si="3"/>
        <v>-</v>
      </c>
      <c r="BL10" s="409" t="str">
        <f t="shared" ca="1" si="2"/>
        <v>-</v>
      </c>
    </row>
    <row r="11" spans="1:81">
      <c r="B11" s="1" t="str">
        <f>VLOOKUP(UsageCost[[#This Row],[Sku]],'Cloud Price List'!$A$3:$M$1005,7,FALSE)</f>
        <v>Deprecated</v>
      </c>
      <c r="F11" s="372"/>
      <c r="G11" s="372"/>
      <c r="H11" s="372"/>
      <c r="I11" s="372"/>
      <c r="J11" s="372"/>
      <c r="K11" s="372"/>
      <c r="L11" s="372"/>
      <c r="M11" s="372"/>
      <c r="N11" s="372"/>
      <c r="O11" s="372"/>
      <c r="P11" s="372"/>
      <c r="Q11" s="372"/>
      <c r="R11" s="372"/>
      <c r="S11" s="372"/>
      <c r="T11" s="372"/>
      <c r="U11" s="372"/>
      <c r="V11" s="372"/>
      <c r="W11" s="372"/>
      <c r="X11" s="372"/>
      <c r="Y11" s="372"/>
      <c r="Z11" s="372"/>
      <c r="AA11" s="372"/>
      <c r="AB11" s="372"/>
      <c r="AC11" s="372"/>
      <c r="AD11" s="372"/>
      <c r="AE11" s="372"/>
      <c r="AF11" s="372"/>
      <c r="AG11" s="372"/>
      <c r="AH11" s="372"/>
      <c r="AI11" s="372"/>
      <c r="AJ11" s="372"/>
      <c r="AK11" s="372"/>
      <c r="AL11" s="372"/>
      <c r="AM11" s="372"/>
      <c r="AN11" s="372"/>
      <c r="AO11" s="372"/>
      <c r="AP11" s="372"/>
      <c r="AQ11" s="372"/>
      <c r="AR11" s="372"/>
      <c r="AS11" s="372"/>
      <c r="AT11" s="372"/>
      <c r="AU11" s="372"/>
      <c r="AV11" s="372"/>
      <c r="AW11" s="372"/>
      <c r="AX11" s="372"/>
      <c r="AY11" s="372"/>
      <c r="AZ11" s="372"/>
      <c r="BA11" s="372"/>
      <c r="BB11" s="372"/>
      <c r="BD11" s="1">
        <f>UsageCost[[#This Row],[Sku]]</f>
        <v>0</v>
      </c>
      <c r="BE11" s="1" t="str">
        <f>IFERROR(VLOOKUP(UsageCost[[#This Row],[Sku]],'Cloud Price List'!$A$3:M1508,8,FALSE),"-")</f>
        <v>UNIT</v>
      </c>
      <c r="BF11" s="306" t="str">
        <f ca="1">IFERROR(INDEX(INDIRECT("UsageCost["&amp;$BE$1&amp;"]"),MATCH(BD11,UsageCost[Sku],0)),"-")</f>
        <v>-</v>
      </c>
      <c r="BG11" s="373" t="str">
        <f ca="1">IFERROR(INDEX(INDIRECT("UsageQty["&amp;$BE$1&amp;"]"),MATCH(BD11,UsageQty[Sku],0)),"-")</f>
        <v>-</v>
      </c>
      <c r="BH11" s="373" t="str">
        <f ca="1">IFERROR(INDEX(INDIRECT("UsageQty["&amp;$BE$1&amp;"]"),MATCH(BD11,UsageQty[Sku],0))/IF(BE11="HR",$BH$1,1),"-")</f>
        <v>-</v>
      </c>
      <c r="BI11" s="373" t="str">
        <f t="shared" ca="1" si="1"/>
        <v>-</v>
      </c>
      <c r="BJ11" s="1">
        <f>IFERROR(VLOOKUP(UsageCost[[#This Row],[Sku]],'Cloud Price List'!$A$3:M1508,4,FALSE),"-")</f>
        <v>0</v>
      </c>
      <c r="BK11" s="413" t="str">
        <f t="shared" ca="1" si="3"/>
        <v>-</v>
      </c>
      <c r="BL11" s="409" t="str">
        <f t="shared" ca="1" si="2"/>
        <v>-</v>
      </c>
    </row>
    <row r="12" spans="1:81">
      <c r="B12" s="1" t="str">
        <f>VLOOKUP(UsageCost[[#This Row],[Sku]],'Cloud Price List'!$A$3:$M$1005,7,FALSE)</f>
        <v>Deprecated</v>
      </c>
      <c r="F12" s="372"/>
      <c r="G12" s="372"/>
      <c r="H12" s="372"/>
      <c r="I12" s="372"/>
      <c r="J12" s="372"/>
      <c r="K12" s="372"/>
      <c r="L12" s="372"/>
      <c r="M12" s="372"/>
      <c r="N12" s="372"/>
      <c r="O12" s="372"/>
      <c r="P12" s="372"/>
      <c r="Q12" s="372"/>
      <c r="R12" s="372"/>
      <c r="S12" s="372"/>
      <c r="T12" s="372"/>
      <c r="U12" s="372"/>
      <c r="V12" s="372"/>
      <c r="W12" s="372"/>
      <c r="X12" s="372"/>
      <c r="Y12" s="372"/>
      <c r="Z12" s="372"/>
      <c r="AA12" s="372"/>
      <c r="AB12" s="372"/>
      <c r="AC12" s="372"/>
      <c r="AD12" s="372"/>
      <c r="AE12" s="372"/>
      <c r="AF12" s="372"/>
      <c r="AG12" s="372"/>
      <c r="AH12" s="372"/>
      <c r="AI12" s="372"/>
      <c r="AJ12" s="372"/>
      <c r="AK12" s="372"/>
      <c r="AL12" s="372"/>
      <c r="AM12" s="372"/>
      <c r="AN12" s="372"/>
      <c r="AO12" s="372"/>
      <c r="AP12" s="372"/>
      <c r="AQ12" s="372"/>
      <c r="AR12" s="372"/>
      <c r="AS12" s="372"/>
      <c r="AT12" s="372"/>
      <c r="AU12" s="372"/>
      <c r="AV12" s="372"/>
      <c r="AW12" s="372"/>
      <c r="AX12" s="372"/>
      <c r="AY12" s="372"/>
      <c r="AZ12" s="372"/>
      <c r="BA12" s="372"/>
      <c r="BB12" s="372"/>
      <c r="BD12" s="1">
        <f>UsageCost[[#This Row],[Sku]]</f>
        <v>0</v>
      </c>
      <c r="BE12" s="1" t="str">
        <f>IFERROR(VLOOKUP(UsageCost[[#This Row],[Sku]],'Cloud Price List'!$A$3:M1509,8,FALSE),"-")</f>
        <v>UNIT</v>
      </c>
      <c r="BF12" s="306" t="str">
        <f ca="1">IFERROR(INDEX(INDIRECT("UsageCost["&amp;$BE$1&amp;"]"),MATCH(BD12,UsageCost[Sku],0)),"-")</f>
        <v>-</v>
      </c>
      <c r="BG12" s="373" t="str">
        <f ca="1">IFERROR(INDEX(INDIRECT("UsageQty["&amp;$BE$1&amp;"]"),MATCH(BD12,UsageQty[Sku],0)),"-")</f>
        <v>-</v>
      </c>
      <c r="BH12" s="373" t="str">
        <f ca="1">IFERROR(INDEX(INDIRECT("UsageQty["&amp;$BE$1&amp;"]"),MATCH(BD12,UsageQty[Sku],0))/IF(BE12="HR",$BH$1,1),"-")</f>
        <v>-</v>
      </c>
      <c r="BI12" s="373" t="str">
        <f t="shared" ca="1" si="1"/>
        <v>-</v>
      </c>
      <c r="BJ12" s="1">
        <f>IFERROR(VLOOKUP(UsageCost[[#This Row],[Sku]],'Cloud Price List'!$A$3:M1509,4,FALSE),"-")</f>
        <v>0</v>
      </c>
      <c r="BK12" s="413" t="str">
        <f t="shared" ca="1" si="3"/>
        <v>-</v>
      </c>
      <c r="BL12" s="409" t="str">
        <f t="shared" ca="1" si="2"/>
        <v>-</v>
      </c>
    </row>
    <row r="13" spans="1:81">
      <c r="B13" s="1" t="str">
        <f>VLOOKUP(UsageCost[[#This Row],[Sku]],'Cloud Price List'!$A$3:$M$1005,7,FALSE)</f>
        <v>Deprecated</v>
      </c>
      <c r="F13" s="372"/>
      <c r="G13" s="372"/>
      <c r="H13" s="372"/>
      <c r="I13" s="372"/>
      <c r="J13" s="372"/>
      <c r="K13" s="372"/>
      <c r="L13" s="372"/>
      <c r="M13" s="372"/>
      <c r="N13" s="372"/>
      <c r="O13" s="372"/>
      <c r="P13" s="372"/>
      <c r="Q13" s="372"/>
      <c r="R13" s="372"/>
      <c r="S13" s="372"/>
      <c r="T13" s="372"/>
      <c r="U13" s="372"/>
      <c r="V13" s="372"/>
      <c r="W13" s="372"/>
      <c r="X13" s="372"/>
      <c r="Y13" s="372"/>
      <c r="Z13" s="372"/>
      <c r="AA13" s="372"/>
      <c r="AB13" s="372"/>
      <c r="AC13" s="372"/>
      <c r="AD13" s="372"/>
      <c r="AE13" s="372"/>
      <c r="AF13" s="372"/>
      <c r="AG13" s="372"/>
      <c r="AH13" s="372"/>
      <c r="AI13" s="372"/>
      <c r="AJ13" s="372"/>
      <c r="AK13" s="372"/>
      <c r="AL13" s="372"/>
      <c r="AM13" s="372"/>
      <c r="AN13" s="372"/>
      <c r="AO13" s="372"/>
      <c r="AP13" s="372"/>
      <c r="AQ13" s="372"/>
      <c r="AR13" s="372"/>
      <c r="AS13" s="372"/>
      <c r="AT13" s="372"/>
      <c r="AU13" s="372"/>
      <c r="AV13" s="372"/>
      <c r="AW13" s="372"/>
      <c r="AX13" s="372"/>
      <c r="AY13" s="372"/>
      <c r="AZ13" s="372"/>
      <c r="BA13" s="372"/>
      <c r="BB13" s="372"/>
      <c r="BD13" s="1">
        <f>UsageCost[[#This Row],[Sku]]</f>
        <v>0</v>
      </c>
      <c r="BE13" s="1" t="str">
        <f>IFERROR(VLOOKUP(UsageCost[[#This Row],[Sku]],'Cloud Price List'!$A$3:M1510,8,FALSE),"-")</f>
        <v>UNIT</v>
      </c>
      <c r="BF13" s="306" t="str">
        <f ca="1">IFERROR(INDEX(INDIRECT("UsageCost["&amp;$BE$1&amp;"]"),MATCH(BD13,UsageCost[Sku],0)),"-")</f>
        <v>-</v>
      </c>
      <c r="BG13" s="373" t="str">
        <f ca="1">IFERROR(INDEX(INDIRECT("UsageQty["&amp;$BE$1&amp;"]"),MATCH(BD13,UsageQty[Sku],0)),"-")</f>
        <v>-</v>
      </c>
      <c r="BH13" s="373" t="str">
        <f ca="1">IFERROR(INDEX(INDIRECT("UsageQty["&amp;$BE$1&amp;"]"),MATCH(BD13,UsageQty[Sku],0))/IF(BE13="HR",$BH$1,1),"-")</f>
        <v>-</v>
      </c>
      <c r="BI13" s="373" t="str">
        <f t="shared" ca="1" si="1"/>
        <v>-</v>
      </c>
      <c r="BJ13" s="1">
        <f>IFERROR(VLOOKUP(UsageCost[[#This Row],[Sku]],'Cloud Price List'!$A$3:M1510,4,FALSE),"-")</f>
        <v>0</v>
      </c>
      <c r="BK13" s="413" t="str">
        <f t="shared" ca="1" si="3"/>
        <v>-</v>
      </c>
      <c r="BL13" s="409" t="str">
        <f t="shared" ca="1" si="2"/>
        <v>-</v>
      </c>
    </row>
    <row r="14" spans="1:81">
      <c r="B14" s="1" t="str">
        <f>VLOOKUP(UsageCost[[#This Row],[Sku]],'Cloud Price List'!$A$3:$M$1005,7,FALSE)</f>
        <v>Deprecated</v>
      </c>
      <c r="F14" s="372"/>
      <c r="G14" s="372"/>
      <c r="H14" s="372"/>
      <c r="I14" s="372"/>
      <c r="J14" s="372"/>
      <c r="K14" s="372"/>
      <c r="L14" s="372"/>
      <c r="M14" s="372"/>
      <c r="N14" s="372"/>
      <c r="O14" s="372"/>
      <c r="P14" s="372"/>
      <c r="Q14" s="372"/>
      <c r="R14" s="372"/>
      <c r="S14" s="372"/>
      <c r="T14" s="372"/>
      <c r="U14" s="372"/>
      <c r="V14" s="372"/>
      <c r="W14" s="372"/>
      <c r="X14" s="372"/>
      <c r="Y14" s="372"/>
      <c r="Z14" s="372"/>
      <c r="AA14" s="372"/>
      <c r="AB14" s="372"/>
      <c r="AC14" s="372"/>
      <c r="AD14" s="372"/>
      <c r="AE14" s="372"/>
      <c r="AF14" s="372"/>
      <c r="AG14" s="372"/>
      <c r="AH14" s="372"/>
      <c r="AI14" s="372"/>
      <c r="AJ14" s="372"/>
      <c r="AK14" s="372"/>
      <c r="AL14" s="372"/>
      <c r="AM14" s="372"/>
      <c r="AN14" s="372"/>
      <c r="AO14" s="372"/>
      <c r="AP14" s="372"/>
      <c r="AQ14" s="372"/>
      <c r="AR14" s="372"/>
      <c r="AS14" s="372"/>
      <c r="AT14" s="372"/>
      <c r="AU14" s="372"/>
      <c r="AV14" s="372"/>
      <c r="AW14" s="372"/>
      <c r="AX14" s="372"/>
      <c r="AY14" s="372"/>
      <c r="AZ14" s="372"/>
      <c r="BA14" s="372"/>
      <c r="BB14" s="372"/>
      <c r="BD14" s="1">
        <f>UsageCost[[#This Row],[Sku]]</f>
        <v>0</v>
      </c>
      <c r="BE14" s="1" t="str">
        <f>IFERROR(VLOOKUP(UsageCost[[#This Row],[Sku]],'Cloud Price List'!$A$3:M1511,8,FALSE),"-")</f>
        <v>UNIT</v>
      </c>
      <c r="BF14" s="306" t="str">
        <f ca="1">IFERROR(INDEX(INDIRECT("UsageCost["&amp;$BE$1&amp;"]"),MATCH(BD14,UsageCost[Sku],0)),"-")</f>
        <v>-</v>
      </c>
      <c r="BG14" s="373" t="str">
        <f ca="1">IFERROR(INDEX(INDIRECT("UsageQty["&amp;$BE$1&amp;"]"),MATCH(BD14,UsageQty[Sku],0)),"-")</f>
        <v>-</v>
      </c>
      <c r="BH14" s="373" t="str">
        <f ca="1">IFERROR(INDEX(INDIRECT("UsageQty["&amp;$BE$1&amp;"]"),MATCH(BD14,UsageQty[Sku],0))/IF(BE14="HR",$BH$1,1),"-")</f>
        <v>-</v>
      </c>
      <c r="BI14" s="373" t="str">
        <f t="shared" ca="1" si="1"/>
        <v>-</v>
      </c>
      <c r="BJ14" s="1">
        <f>IFERROR(VLOOKUP(UsageCost[[#This Row],[Sku]],'Cloud Price List'!$A$3:M1511,4,FALSE),"-")</f>
        <v>0</v>
      </c>
      <c r="BK14" s="413" t="str">
        <f t="shared" ca="1" si="3"/>
        <v>-</v>
      </c>
      <c r="BL14" s="409" t="str">
        <f t="shared" ca="1" si="2"/>
        <v>-</v>
      </c>
    </row>
    <row r="15" spans="1:81">
      <c r="B15" s="1" t="str">
        <f>VLOOKUP(UsageCost[[#This Row],[Sku]],'Cloud Price List'!$A$3:$M$1005,7,FALSE)</f>
        <v>Deprecated</v>
      </c>
      <c r="F15" s="372"/>
      <c r="G15" s="372"/>
      <c r="H15" s="372"/>
      <c r="I15" s="372"/>
      <c r="J15" s="372"/>
      <c r="K15" s="372"/>
      <c r="L15" s="372"/>
      <c r="M15" s="372"/>
      <c r="N15" s="372"/>
      <c r="O15" s="372"/>
      <c r="P15" s="372"/>
      <c r="Q15" s="372"/>
      <c r="R15" s="372"/>
      <c r="S15" s="372"/>
      <c r="T15" s="372"/>
      <c r="U15" s="372"/>
      <c r="V15" s="372"/>
      <c r="W15" s="372"/>
      <c r="X15" s="372"/>
      <c r="Y15" s="372"/>
      <c r="Z15" s="372"/>
      <c r="AA15" s="372"/>
      <c r="AB15" s="372"/>
      <c r="AC15" s="372"/>
      <c r="AD15" s="372"/>
      <c r="AE15" s="372"/>
      <c r="AF15" s="372"/>
      <c r="AG15" s="372"/>
      <c r="AH15" s="372"/>
      <c r="AI15" s="372"/>
      <c r="AJ15" s="372"/>
      <c r="AK15" s="372"/>
      <c r="AL15" s="372"/>
      <c r="AM15" s="372"/>
      <c r="AN15" s="372"/>
      <c r="AO15" s="372"/>
      <c r="AP15" s="372"/>
      <c r="AQ15" s="372"/>
      <c r="AR15" s="372"/>
      <c r="AS15" s="372"/>
      <c r="AT15" s="372"/>
      <c r="AU15" s="372"/>
      <c r="AV15" s="372"/>
      <c r="AW15" s="372"/>
      <c r="AX15" s="372"/>
      <c r="AY15" s="372"/>
      <c r="AZ15" s="372"/>
      <c r="BA15" s="372"/>
      <c r="BB15" s="372"/>
      <c r="BD15" s="1">
        <f>UsageCost[[#This Row],[Sku]]</f>
        <v>0</v>
      </c>
      <c r="BE15" s="1" t="str">
        <f>IFERROR(VLOOKUP(UsageCost[[#This Row],[Sku]],'Cloud Price List'!$A$3:M1512,8,FALSE),"-")</f>
        <v>UNIT</v>
      </c>
      <c r="BF15" s="306" t="str">
        <f ca="1">IFERROR(INDEX(INDIRECT("UsageCost["&amp;$BE$1&amp;"]"),MATCH(BD15,UsageCost[Sku],0)),"-")</f>
        <v>-</v>
      </c>
      <c r="BG15" s="373" t="str">
        <f ca="1">IFERROR(INDEX(INDIRECT("UsageQty["&amp;$BE$1&amp;"]"),MATCH(BD15,UsageQty[Sku],0)),"-")</f>
        <v>-</v>
      </c>
      <c r="BH15" s="373" t="str">
        <f ca="1">IFERROR(INDEX(INDIRECT("UsageQty["&amp;$BE$1&amp;"]"),MATCH(BD15,UsageQty[Sku],0))/IF(BE15="HR",$BH$1,1),"-")</f>
        <v>-</v>
      </c>
      <c r="BI15" s="373" t="str">
        <f t="shared" ca="1" si="1"/>
        <v>-</v>
      </c>
      <c r="BJ15" s="1">
        <f>IFERROR(VLOOKUP(UsageCost[[#This Row],[Sku]],'Cloud Price List'!$A$3:M1512,4,FALSE),"-")</f>
        <v>0</v>
      </c>
      <c r="BK15" s="413" t="str">
        <f t="shared" ca="1" si="3"/>
        <v>-</v>
      </c>
      <c r="BL15" s="409" t="str">
        <f t="shared" ca="1" si="2"/>
        <v>-</v>
      </c>
    </row>
    <row r="16" spans="1:81">
      <c r="B16" s="1" t="str">
        <f>VLOOKUP(UsageCost[[#This Row],[Sku]],'Cloud Price List'!$A$3:$M$1005,7,FALSE)</f>
        <v>Deprecated</v>
      </c>
      <c r="F16" s="372"/>
      <c r="G16" s="372"/>
      <c r="H16" s="372"/>
      <c r="I16" s="372"/>
      <c r="J16" s="372"/>
      <c r="K16" s="372"/>
      <c r="L16" s="372"/>
      <c r="M16" s="372"/>
      <c r="N16" s="372"/>
      <c r="O16" s="372"/>
      <c r="P16" s="372"/>
      <c r="Q16" s="372"/>
      <c r="R16" s="372"/>
      <c r="S16" s="372"/>
      <c r="T16" s="372"/>
      <c r="U16" s="372"/>
      <c r="V16" s="372"/>
      <c r="W16" s="372"/>
      <c r="X16" s="372"/>
      <c r="Y16" s="372"/>
      <c r="Z16" s="372"/>
      <c r="AA16" s="372"/>
      <c r="AB16" s="372"/>
      <c r="AC16" s="372"/>
      <c r="AD16" s="372"/>
      <c r="AE16" s="372"/>
      <c r="AF16" s="372"/>
      <c r="AG16" s="372"/>
      <c r="AH16" s="372"/>
      <c r="AI16" s="372"/>
      <c r="AJ16" s="372"/>
      <c r="AK16" s="372"/>
      <c r="AL16" s="372"/>
      <c r="AM16" s="372"/>
      <c r="AN16" s="372"/>
      <c r="AO16" s="372"/>
      <c r="AP16" s="372"/>
      <c r="AQ16" s="372"/>
      <c r="AR16" s="372"/>
      <c r="AS16" s="372"/>
      <c r="AT16" s="372"/>
      <c r="AU16" s="372"/>
      <c r="AV16" s="372"/>
      <c r="AW16" s="372"/>
      <c r="AX16" s="372"/>
      <c r="AY16" s="372"/>
      <c r="AZ16" s="372"/>
      <c r="BA16" s="372"/>
      <c r="BB16" s="372"/>
      <c r="BD16" s="1">
        <f>UsageCost[[#This Row],[Sku]]</f>
        <v>0</v>
      </c>
      <c r="BE16" s="1" t="str">
        <f>IFERROR(VLOOKUP(UsageCost[[#This Row],[Sku]],'Cloud Price List'!$A$3:M1513,8,FALSE),"-")</f>
        <v>UNIT</v>
      </c>
      <c r="BF16" s="306" t="str">
        <f ca="1">IFERROR(INDEX(INDIRECT("UsageCost["&amp;$BE$1&amp;"]"),MATCH(BD16,UsageCost[Sku],0)),"-")</f>
        <v>-</v>
      </c>
      <c r="BG16" s="373" t="str">
        <f ca="1">IFERROR(INDEX(INDIRECT("UsageQty["&amp;$BE$1&amp;"]"),MATCH(BD16,UsageQty[Sku],0)),"-")</f>
        <v>-</v>
      </c>
      <c r="BH16" s="373" t="str">
        <f ca="1">IFERROR(INDEX(INDIRECT("UsageQty["&amp;$BE$1&amp;"]"),MATCH(BD16,UsageQty[Sku],0))/IF(BE16="HR",$BH$1,1),"-")</f>
        <v>-</v>
      </c>
      <c r="BI16" s="373" t="str">
        <f t="shared" ca="1" si="1"/>
        <v>-</v>
      </c>
      <c r="BJ16" s="1">
        <f>IFERROR(VLOOKUP(UsageCost[[#This Row],[Sku]],'Cloud Price List'!$A$3:M1513,4,FALSE),"-")</f>
        <v>0</v>
      </c>
      <c r="BK16" s="413" t="str">
        <f t="shared" ca="1" si="3"/>
        <v>-</v>
      </c>
      <c r="BL16" s="409" t="str">
        <f t="shared" ca="1" si="2"/>
        <v>-</v>
      </c>
    </row>
    <row r="17" spans="2:64">
      <c r="B17" s="1" t="str">
        <f>VLOOKUP(UsageCost[[#This Row],[Sku]],'Cloud Price List'!$A$3:$M$1005,7,FALSE)</f>
        <v>Deprecated</v>
      </c>
      <c r="F17" s="372"/>
      <c r="G17" s="372"/>
      <c r="H17" s="372"/>
      <c r="I17" s="372"/>
      <c r="J17" s="372"/>
      <c r="K17" s="372"/>
      <c r="L17" s="372"/>
      <c r="M17" s="372"/>
      <c r="N17" s="372"/>
      <c r="O17" s="372"/>
      <c r="P17" s="372"/>
      <c r="Q17" s="372"/>
      <c r="R17" s="372"/>
      <c r="S17" s="372"/>
      <c r="T17" s="372"/>
      <c r="U17" s="372"/>
      <c r="V17" s="372"/>
      <c r="W17" s="372"/>
      <c r="X17" s="372"/>
      <c r="Y17" s="372"/>
      <c r="Z17" s="372"/>
      <c r="AA17" s="372"/>
      <c r="AB17" s="372"/>
      <c r="AC17" s="372"/>
      <c r="AD17" s="372"/>
      <c r="AE17" s="372"/>
      <c r="AF17" s="372"/>
      <c r="AG17" s="372"/>
      <c r="AH17" s="372"/>
      <c r="AI17" s="372"/>
      <c r="AJ17" s="372"/>
      <c r="AK17" s="372"/>
      <c r="AL17" s="372"/>
      <c r="AM17" s="372"/>
      <c r="AN17" s="372"/>
      <c r="AO17" s="372"/>
      <c r="AP17" s="372"/>
      <c r="AQ17" s="372"/>
      <c r="AR17" s="372"/>
      <c r="AS17" s="372"/>
      <c r="AT17" s="372"/>
      <c r="AU17" s="372"/>
      <c r="AV17" s="372"/>
      <c r="AW17" s="372"/>
      <c r="AX17" s="372"/>
      <c r="AY17" s="372"/>
      <c r="AZ17" s="372"/>
      <c r="BA17" s="372"/>
      <c r="BB17" s="372"/>
      <c r="BD17" s="1">
        <f>UsageCost[[#This Row],[Sku]]</f>
        <v>0</v>
      </c>
      <c r="BE17" s="1" t="str">
        <f>IFERROR(VLOOKUP(UsageCost[[#This Row],[Sku]],'Cloud Price List'!$A$3:M1514,8,FALSE),"-")</f>
        <v>UNIT</v>
      </c>
      <c r="BF17" s="306" t="str">
        <f ca="1">IFERROR(INDEX(INDIRECT("UsageCost["&amp;$BE$1&amp;"]"),MATCH(BD17,UsageCost[Sku],0)),"-")</f>
        <v>-</v>
      </c>
      <c r="BG17" s="373" t="str">
        <f ca="1">IFERROR(INDEX(INDIRECT("UsageQty["&amp;$BE$1&amp;"]"),MATCH(BD17,UsageQty[Sku],0)),"-")</f>
        <v>-</v>
      </c>
      <c r="BH17" s="373" t="str">
        <f ca="1">IFERROR(INDEX(INDIRECT("UsageQty["&amp;$BE$1&amp;"]"),MATCH(BD17,UsageQty[Sku],0))/IF(BE17="HR",$BH$1,1),"-")</f>
        <v>-</v>
      </c>
      <c r="BI17" s="373" t="str">
        <f t="shared" ca="1" si="1"/>
        <v>-</v>
      </c>
      <c r="BJ17" s="1">
        <f>IFERROR(VLOOKUP(UsageCost[[#This Row],[Sku]],'Cloud Price List'!$A$3:M1514,4,FALSE),"-")</f>
        <v>0</v>
      </c>
      <c r="BK17" s="413" t="str">
        <f t="shared" ca="1" si="3"/>
        <v>-</v>
      </c>
      <c r="BL17" s="409" t="str">
        <f t="shared" ca="1" si="2"/>
        <v>-</v>
      </c>
    </row>
    <row r="18" spans="2:64">
      <c r="B18" s="1" t="str">
        <f>VLOOKUP(UsageCost[[#This Row],[Sku]],'Cloud Price List'!$A$3:$M$1005,7,FALSE)</f>
        <v>Deprecated</v>
      </c>
      <c r="F18" s="372"/>
      <c r="G18" s="372"/>
      <c r="H18" s="372"/>
      <c r="I18" s="372"/>
      <c r="J18" s="372"/>
      <c r="K18" s="372"/>
      <c r="L18" s="372"/>
      <c r="M18" s="372"/>
      <c r="N18" s="372"/>
      <c r="O18" s="372"/>
      <c r="P18" s="372"/>
      <c r="Q18" s="372"/>
      <c r="R18" s="372"/>
      <c r="S18" s="372"/>
      <c r="T18" s="372"/>
      <c r="U18" s="372"/>
      <c r="V18" s="372"/>
      <c r="W18" s="372"/>
      <c r="X18" s="372"/>
      <c r="Y18" s="372"/>
      <c r="Z18" s="372"/>
      <c r="AA18" s="372"/>
      <c r="AB18" s="372"/>
      <c r="AC18" s="372"/>
      <c r="AD18" s="372"/>
      <c r="AE18" s="372"/>
      <c r="AF18" s="372"/>
      <c r="AG18" s="372"/>
      <c r="AH18" s="372"/>
      <c r="AI18" s="372"/>
      <c r="AJ18" s="372"/>
      <c r="AK18" s="372"/>
      <c r="AL18" s="372"/>
      <c r="AM18" s="372"/>
      <c r="AN18" s="372"/>
      <c r="AO18" s="372"/>
      <c r="AP18" s="372"/>
      <c r="AQ18" s="372"/>
      <c r="AR18" s="372"/>
      <c r="AS18" s="372"/>
      <c r="AT18" s="372"/>
      <c r="AU18" s="372"/>
      <c r="AV18" s="372"/>
      <c r="AW18" s="372"/>
      <c r="AX18" s="372"/>
      <c r="AY18" s="372"/>
      <c r="AZ18" s="372"/>
      <c r="BA18" s="372"/>
      <c r="BB18" s="372"/>
      <c r="BD18" s="1">
        <f>UsageCost[[#This Row],[Sku]]</f>
        <v>0</v>
      </c>
      <c r="BE18" s="1" t="str">
        <f>IFERROR(VLOOKUP(UsageCost[[#This Row],[Sku]],'Cloud Price List'!$A$3:M1515,8,FALSE),"-")</f>
        <v>UNIT</v>
      </c>
      <c r="BF18" s="306" t="str">
        <f ca="1">IFERROR(INDEX(INDIRECT("UsageCost["&amp;$BE$1&amp;"]"),MATCH(BD18,UsageCost[Sku],0)),"-")</f>
        <v>-</v>
      </c>
      <c r="BG18" s="373" t="str">
        <f ca="1">IFERROR(INDEX(INDIRECT("UsageQty["&amp;$BE$1&amp;"]"),MATCH(BD18,UsageQty[Sku],0)),"-")</f>
        <v>-</v>
      </c>
      <c r="BH18" s="373" t="str">
        <f ca="1">IFERROR(INDEX(INDIRECT("UsageQty["&amp;$BE$1&amp;"]"),MATCH(BD18,UsageQty[Sku],0))/IF(BE18="HR",$BH$1,1),"-")</f>
        <v>-</v>
      </c>
      <c r="BI18" s="373" t="str">
        <f t="shared" ca="1" si="1"/>
        <v>-</v>
      </c>
      <c r="BJ18" s="1">
        <f>IFERROR(VLOOKUP(UsageCost[[#This Row],[Sku]],'Cloud Price List'!$A$3:M1515,4,FALSE),"-")</f>
        <v>0</v>
      </c>
      <c r="BK18" s="413" t="str">
        <f t="shared" ca="1" si="3"/>
        <v>-</v>
      </c>
      <c r="BL18" s="409" t="str">
        <f t="shared" ca="1" si="2"/>
        <v>-</v>
      </c>
    </row>
    <row r="19" spans="2:64">
      <c r="B19" s="1" t="str">
        <f>VLOOKUP(UsageCost[[#This Row],[Sku]],'Cloud Price List'!$A$3:$M$1005,7,FALSE)</f>
        <v>Deprecated</v>
      </c>
      <c r="F19" s="372"/>
      <c r="G19" s="372"/>
      <c r="H19" s="372"/>
      <c r="I19" s="372"/>
      <c r="J19" s="372"/>
      <c r="K19" s="372"/>
      <c r="L19" s="372"/>
      <c r="M19" s="372"/>
      <c r="N19" s="372"/>
      <c r="O19" s="372"/>
      <c r="P19" s="372"/>
      <c r="Q19" s="372"/>
      <c r="R19" s="372"/>
      <c r="S19" s="372"/>
      <c r="T19" s="372"/>
      <c r="U19" s="372"/>
      <c r="V19" s="372"/>
      <c r="W19" s="372"/>
      <c r="X19" s="372"/>
      <c r="Y19" s="372"/>
      <c r="Z19" s="372"/>
      <c r="AA19" s="372"/>
      <c r="AB19" s="372"/>
      <c r="AC19" s="372"/>
      <c r="AD19" s="372"/>
      <c r="AE19" s="372"/>
      <c r="AF19" s="372"/>
      <c r="AG19" s="372"/>
      <c r="AH19" s="372"/>
      <c r="AI19" s="372"/>
      <c r="AJ19" s="372"/>
      <c r="AK19" s="372"/>
      <c r="AL19" s="372"/>
      <c r="AM19" s="372"/>
      <c r="AN19" s="372"/>
      <c r="AO19" s="372"/>
      <c r="AP19" s="372"/>
      <c r="AQ19" s="372"/>
      <c r="AR19" s="372"/>
      <c r="AS19" s="372"/>
      <c r="AT19" s="372"/>
      <c r="AU19" s="372"/>
      <c r="AV19" s="372"/>
      <c r="AW19" s="372"/>
      <c r="AX19" s="372"/>
      <c r="AY19" s="372"/>
      <c r="AZ19" s="372"/>
      <c r="BA19" s="372"/>
      <c r="BB19" s="372"/>
      <c r="BD19" s="1">
        <f>UsageCost[[#This Row],[Sku]]</f>
        <v>0</v>
      </c>
      <c r="BE19" s="1" t="str">
        <f>IFERROR(VLOOKUP(UsageCost[[#This Row],[Sku]],'Cloud Price List'!$A$3:M1516,8,FALSE),"-")</f>
        <v>UNIT</v>
      </c>
      <c r="BF19" s="306" t="str">
        <f ca="1">IFERROR(INDEX(INDIRECT("UsageCost["&amp;$BE$1&amp;"]"),MATCH(BD19,UsageCost[Sku],0)),"-")</f>
        <v>-</v>
      </c>
      <c r="BG19" s="373" t="str">
        <f ca="1">IFERROR(INDEX(INDIRECT("UsageQty["&amp;$BE$1&amp;"]"),MATCH(BD19,UsageQty[Sku],0)),"-")</f>
        <v>-</v>
      </c>
      <c r="BH19" s="373" t="str">
        <f ca="1">IFERROR(INDEX(INDIRECT("UsageQty["&amp;$BE$1&amp;"]"),MATCH(BD19,UsageQty[Sku],0))/IF(BE19="HR",$BH$1,1),"-")</f>
        <v>-</v>
      </c>
      <c r="BI19" s="373" t="str">
        <f t="shared" ca="1" si="1"/>
        <v>-</v>
      </c>
      <c r="BJ19" s="1">
        <f>IFERROR(VLOOKUP(UsageCost[[#This Row],[Sku]],'Cloud Price List'!$A$3:M1516,4,FALSE),"-")</f>
        <v>0</v>
      </c>
      <c r="BK19" s="413" t="str">
        <f t="shared" ca="1" si="3"/>
        <v>-</v>
      </c>
      <c r="BL19" s="409" t="str">
        <f t="shared" ca="1" si="2"/>
        <v>-</v>
      </c>
    </row>
    <row r="20" spans="2:64">
      <c r="B20" s="1" t="str">
        <f>VLOOKUP(UsageCost[[#This Row],[Sku]],'Cloud Price List'!$A$3:$M$1005,7,FALSE)</f>
        <v>Deprecated</v>
      </c>
      <c r="F20" s="372"/>
      <c r="G20" s="372"/>
      <c r="H20" s="372"/>
      <c r="I20" s="372"/>
      <c r="J20" s="372"/>
      <c r="K20" s="372"/>
      <c r="L20" s="372"/>
      <c r="M20" s="372"/>
      <c r="N20" s="372"/>
      <c r="O20" s="372"/>
      <c r="P20" s="372"/>
      <c r="Q20" s="372"/>
      <c r="R20" s="372"/>
      <c r="S20" s="372"/>
      <c r="T20" s="372"/>
      <c r="U20" s="372"/>
      <c r="V20" s="372"/>
      <c r="W20" s="372"/>
      <c r="X20" s="372"/>
      <c r="Y20" s="372"/>
      <c r="Z20" s="372"/>
      <c r="AA20" s="372"/>
      <c r="AB20" s="372"/>
      <c r="AC20" s="372"/>
      <c r="AD20" s="372"/>
      <c r="AE20" s="372"/>
      <c r="AF20" s="372"/>
      <c r="AG20" s="372"/>
      <c r="AH20" s="372"/>
      <c r="AI20" s="372"/>
      <c r="AJ20" s="372"/>
      <c r="AK20" s="372"/>
      <c r="AL20" s="372"/>
      <c r="AM20" s="372"/>
      <c r="AN20" s="372"/>
      <c r="AO20" s="372"/>
      <c r="AP20" s="372"/>
      <c r="AQ20" s="372"/>
      <c r="AR20" s="372"/>
      <c r="AS20" s="372"/>
      <c r="AT20" s="372"/>
      <c r="AU20" s="372"/>
      <c r="AV20" s="372"/>
      <c r="AW20" s="372"/>
      <c r="AX20" s="372"/>
      <c r="AY20" s="372"/>
      <c r="AZ20" s="372"/>
      <c r="BA20" s="372"/>
      <c r="BB20" s="372"/>
      <c r="BD20" s="1">
        <f>UsageCost[[#This Row],[Sku]]</f>
        <v>0</v>
      </c>
      <c r="BE20" s="1" t="str">
        <f>IFERROR(VLOOKUP(UsageCost[[#This Row],[Sku]],'Cloud Price List'!$A$3:M1517,8,FALSE),"-")</f>
        <v>UNIT</v>
      </c>
      <c r="BF20" s="306" t="str">
        <f ca="1">IFERROR(INDEX(INDIRECT("UsageCost["&amp;$BE$1&amp;"]"),MATCH(BD20,UsageCost[Sku],0)),"-")</f>
        <v>-</v>
      </c>
      <c r="BG20" s="373" t="str">
        <f ca="1">IFERROR(INDEX(INDIRECT("UsageQty["&amp;$BE$1&amp;"]"),MATCH(BD20,UsageQty[Sku],0)),"-")</f>
        <v>-</v>
      </c>
      <c r="BH20" s="373" t="str">
        <f ca="1">IFERROR(INDEX(INDIRECT("UsageQty["&amp;$BE$1&amp;"]"),MATCH(BD20,UsageQty[Sku],0))/IF(BE20="HR",$BH$1,1),"-")</f>
        <v>-</v>
      </c>
      <c r="BI20" s="373" t="str">
        <f t="shared" ca="1" si="1"/>
        <v>-</v>
      </c>
      <c r="BJ20" s="1">
        <f>IFERROR(VLOOKUP(UsageCost[[#This Row],[Sku]],'Cloud Price List'!$A$3:M1517,4,FALSE),"-")</f>
        <v>0</v>
      </c>
      <c r="BK20" s="413" t="str">
        <f t="shared" ca="1" si="3"/>
        <v>-</v>
      </c>
      <c r="BL20" s="409" t="str">
        <f t="shared" ca="1" si="2"/>
        <v>-</v>
      </c>
    </row>
    <row r="21" spans="2:64">
      <c r="B21" s="1" t="str">
        <f>VLOOKUP(UsageCost[[#This Row],[Sku]],'Cloud Price List'!$A$3:$M$1005,7,FALSE)</f>
        <v>Deprecated</v>
      </c>
      <c r="F21" s="372"/>
      <c r="G21" s="372"/>
      <c r="H21" s="372"/>
      <c r="I21" s="372"/>
      <c r="J21" s="372"/>
      <c r="K21" s="372"/>
      <c r="L21" s="372"/>
      <c r="M21" s="372"/>
      <c r="N21" s="372"/>
      <c r="O21" s="372"/>
      <c r="P21" s="372"/>
      <c r="Q21" s="372"/>
      <c r="R21" s="372"/>
      <c r="S21" s="372"/>
      <c r="T21" s="372"/>
      <c r="U21" s="372"/>
      <c r="V21" s="372"/>
      <c r="W21" s="372"/>
      <c r="X21" s="372"/>
      <c r="Y21" s="372"/>
      <c r="Z21" s="372"/>
      <c r="AA21" s="372"/>
      <c r="AB21" s="372"/>
      <c r="AC21" s="372"/>
      <c r="AD21" s="372"/>
      <c r="AE21" s="372"/>
      <c r="AF21" s="372"/>
      <c r="AG21" s="372"/>
      <c r="AH21" s="372"/>
      <c r="AI21" s="372"/>
      <c r="AJ21" s="372"/>
      <c r="AK21" s="372"/>
      <c r="AL21" s="372"/>
      <c r="AM21" s="372"/>
      <c r="AN21" s="372"/>
      <c r="AO21" s="372"/>
      <c r="AP21" s="372"/>
      <c r="AQ21" s="372"/>
      <c r="AR21" s="372"/>
      <c r="AS21" s="372"/>
      <c r="AT21" s="372"/>
      <c r="AU21" s="372"/>
      <c r="AV21" s="372"/>
      <c r="AW21" s="372"/>
      <c r="AX21" s="372"/>
      <c r="AY21" s="372"/>
      <c r="AZ21" s="372"/>
      <c r="BA21" s="372"/>
      <c r="BB21" s="372"/>
      <c r="BD21" s="1">
        <f>UsageCost[[#This Row],[Sku]]</f>
        <v>0</v>
      </c>
      <c r="BE21" s="1" t="str">
        <f>IFERROR(VLOOKUP(UsageCost[[#This Row],[Sku]],'Cloud Price List'!$A$3:M1518,8,FALSE),"-")</f>
        <v>UNIT</v>
      </c>
      <c r="BF21" s="306" t="str">
        <f ca="1">IFERROR(INDEX(INDIRECT("UsageCost["&amp;$BE$1&amp;"]"),MATCH(BD21,UsageCost[Sku],0)),"-")</f>
        <v>-</v>
      </c>
      <c r="BG21" s="373" t="str">
        <f ca="1">IFERROR(INDEX(INDIRECT("UsageQty["&amp;$BE$1&amp;"]"),MATCH(BD21,UsageQty[Sku],0)),"-")</f>
        <v>-</v>
      </c>
      <c r="BH21" s="373" t="str">
        <f ca="1">IFERROR(INDEX(INDIRECT("UsageQty["&amp;$BE$1&amp;"]"),MATCH(BD21,UsageQty[Sku],0))/IF(BE21="HR",$BH$1,1),"-")</f>
        <v>-</v>
      </c>
      <c r="BI21" s="373" t="str">
        <f t="shared" ca="1" si="1"/>
        <v>-</v>
      </c>
      <c r="BJ21" s="1">
        <f>IFERROR(VLOOKUP(UsageCost[[#This Row],[Sku]],'Cloud Price List'!$A$3:M1518,4,FALSE),"-")</f>
        <v>0</v>
      </c>
      <c r="BK21" s="413" t="str">
        <f t="shared" ca="1" si="3"/>
        <v>-</v>
      </c>
      <c r="BL21" s="409" t="str">
        <f t="shared" ca="1" si="2"/>
        <v>-</v>
      </c>
    </row>
    <row r="22" spans="2:64">
      <c r="B22" s="1" t="str">
        <f>VLOOKUP(UsageCost[[#This Row],[Sku]],'Cloud Price List'!$A$3:$M$1005,7,FALSE)</f>
        <v>Deprecated</v>
      </c>
      <c r="F22" s="372"/>
      <c r="G22" s="372"/>
      <c r="H22" s="372"/>
      <c r="I22" s="372"/>
      <c r="J22" s="372"/>
      <c r="K22" s="372"/>
      <c r="L22" s="372"/>
      <c r="M22" s="372"/>
      <c r="N22" s="372"/>
      <c r="O22" s="372"/>
      <c r="P22" s="372"/>
      <c r="Q22" s="372"/>
      <c r="R22" s="372"/>
      <c r="S22" s="372"/>
      <c r="T22" s="372"/>
      <c r="U22" s="372"/>
      <c r="V22" s="372"/>
      <c r="W22" s="372"/>
      <c r="X22" s="372"/>
      <c r="Y22" s="372"/>
      <c r="Z22" s="372"/>
      <c r="AA22" s="372"/>
      <c r="AB22" s="372"/>
      <c r="AC22" s="372"/>
      <c r="AD22" s="372"/>
      <c r="AE22" s="372"/>
      <c r="AF22" s="372"/>
      <c r="AG22" s="372"/>
      <c r="AH22" s="372"/>
      <c r="AI22" s="372"/>
      <c r="AJ22" s="372"/>
      <c r="AK22" s="372"/>
      <c r="AL22" s="372"/>
      <c r="AM22" s="372"/>
      <c r="AN22" s="372"/>
      <c r="AO22" s="372"/>
      <c r="AP22" s="372"/>
      <c r="AQ22" s="372"/>
      <c r="AR22" s="372"/>
      <c r="AS22" s="372"/>
      <c r="AT22" s="372"/>
      <c r="AU22" s="372"/>
      <c r="AV22" s="372"/>
      <c r="AW22" s="372"/>
      <c r="AX22" s="372"/>
      <c r="AY22" s="372"/>
      <c r="AZ22" s="372"/>
      <c r="BA22" s="372"/>
      <c r="BB22" s="372"/>
      <c r="BD22" s="1">
        <f>UsageCost[[#This Row],[Sku]]</f>
        <v>0</v>
      </c>
      <c r="BE22" s="1" t="str">
        <f>IFERROR(VLOOKUP(UsageCost[[#This Row],[Sku]],'Cloud Price List'!$A$3:M1519,8,FALSE),"-")</f>
        <v>UNIT</v>
      </c>
      <c r="BF22" s="306" t="str">
        <f ca="1">IFERROR(INDEX(INDIRECT("UsageCost["&amp;$BE$1&amp;"]"),MATCH(BD22,UsageCost[Sku],0)),"-")</f>
        <v>-</v>
      </c>
      <c r="BG22" s="373" t="str">
        <f ca="1">IFERROR(INDEX(INDIRECT("UsageQty["&amp;$BE$1&amp;"]"),MATCH(BD22,UsageQty[Sku],0)),"-")</f>
        <v>-</v>
      </c>
      <c r="BH22" s="373" t="str">
        <f ca="1">IFERROR(INDEX(INDIRECT("UsageQty["&amp;$BE$1&amp;"]"),MATCH(BD22,UsageQty[Sku],0))/IF(BE22="HR",$BH$1,1),"-")</f>
        <v>-</v>
      </c>
      <c r="BI22" s="373" t="str">
        <f t="shared" ca="1" si="1"/>
        <v>-</v>
      </c>
      <c r="BJ22" s="1">
        <f>IFERROR(VLOOKUP(UsageCost[[#This Row],[Sku]],'Cloud Price List'!$A$3:M1519,4,FALSE),"-")</f>
        <v>0</v>
      </c>
      <c r="BK22" s="413" t="str">
        <f t="shared" ca="1" si="3"/>
        <v>-</v>
      </c>
      <c r="BL22" s="409" t="str">
        <f t="shared" ca="1" si="2"/>
        <v>-</v>
      </c>
    </row>
    <row r="23" spans="2:64">
      <c r="B23" s="1" t="str">
        <f>VLOOKUP(UsageCost[[#This Row],[Sku]],'Cloud Price List'!$A$3:$M$1005,7,FALSE)</f>
        <v>Deprecated</v>
      </c>
      <c r="F23" s="372"/>
      <c r="G23" s="372"/>
      <c r="H23" s="372"/>
      <c r="I23" s="372"/>
      <c r="J23" s="372"/>
      <c r="K23" s="372"/>
      <c r="L23" s="372"/>
      <c r="M23" s="372"/>
      <c r="N23" s="372"/>
      <c r="O23" s="372"/>
      <c r="P23" s="372"/>
      <c r="Q23" s="372"/>
      <c r="R23" s="372"/>
      <c r="S23" s="372"/>
      <c r="T23" s="372"/>
      <c r="U23" s="372"/>
      <c r="V23" s="372"/>
      <c r="W23" s="372"/>
      <c r="X23" s="372"/>
      <c r="Y23" s="372"/>
      <c r="Z23" s="372"/>
      <c r="AA23" s="372"/>
      <c r="AB23" s="372"/>
      <c r="AC23" s="372"/>
      <c r="AD23" s="372"/>
      <c r="AE23" s="372"/>
      <c r="AF23" s="372"/>
      <c r="AG23" s="372"/>
      <c r="AH23" s="372"/>
      <c r="AI23" s="372"/>
      <c r="AJ23" s="372"/>
      <c r="AK23" s="372"/>
      <c r="AL23" s="372"/>
      <c r="AM23" s="372"/>
      <c r="AN23" s="372"/>
      <c r="AO23" s="372"/>
      <c r="AP23" s="372"/>
      <c r="AQ23" s="372"/>
      <c r="AR23" s="372"/>
      <c r="AS23" s="372"/>
      <c r="AT23" s="372"/>
      <c r="AU23" s="372"/>
      <c r="AV23" s="372"/>
      <c r="AW23" s="372"/>
      <c r="AX23" s="372"/>
      <c r="AY23" s="372"/>
      <c r="AZ23" s="372"/>
      <c r="BA23" s="372"/>
      <c r="BB23" s="372"/>
      <c r="BD23" s="1">
        <f>UsageCost[[#This Row],[Sku]]</f>
        <v>0</v>
      </c>
      <c r="BE23" s="1" t="str">
        <f>IFERROR(VLOOKUP(UsageCost[[#This Row],[Sku]],'Cloud Price List'!$A$3:M1520,8,FALSE),"-")</f>
        <v>UNIT</v>
      </c>
      <c r="BF23" s="306" t="str">
        <f ca="1">IFERROR(INDEX(INDIRECT("UsageCost["&amp;$BE$1&amp;"]"),MATCH(BD23,UsageCost[Sku],0)),"-")</f>
        <v>-</v>
      </c>
      <c r="BG23" s="373" t="str">
        <f ca="1">IFERROR(INDEX(INDIRECT("UsageQty["&amp;$BE$1&amp;"]"),MATCH(BD23,UsageQty[Sku],0)),"-")</f>
        <v>-</v>
      </c>
      <c r="BH23" s="373" t="str">
        <f ca="1">IFERROR(INDEX(INDIRECT("UsageQty["&amp;$BE$1&amp;"]"),MATCH(BD23,UsageQty[Sku],0))/IF(BE23="HR",$BH$1,1),"-")</f>
        <v>-</v>
      </c>
      <c r="BI23" s="373" t="str">
        <f t="shared" ca="1" si="1"/>
        <v>-</v>
      </c>
      <c r="BJ23" s="1">
        <f>IFERROR(VLOOKUP(UsageCost[[#This Row],[Sku]],'Cloud Price List'!$A$3:M1520,4,FALSE),"-")</f>
        <v>0</v>
      </c>
      <c r="BK23" s="413" t="str">
        <f t="shared" ca="1" si="3"/>
        <v>-</v>
      </c>
      <c r="BL23" s="409" t="str">
        <f t="shared" ca="1" si="2"/>
        <v>-</v>
      </c>
    </row>
    <row r="24" spans="2:64">
      <c r="B24" s="1" t="str">
        <f>VLOOKUP(UsageCost[[#This Row],[Sku]],'Cloud Price List'!$A$3:$M$1005,7,FALSE)</f>
        <v>Deprecated</v>
      </c>
      <c r="F24" s="372"/>
      <c r="G24" s="372"/>
      <c r="H24" s="372"/>
      <c r="I24" s="372"/>
      <c r="J24" s="372"/>
      <c r="K24" s="372"/>
      <c r="L24" s="372"/>
      <c r="M24" s="372"/>
      <c r="N24" s="372"/>
      <c r="O24" s="372"/>
      <c r="P24" s="372"/>
      <c r="Q24" s="372"/>
      <c r="R24" s="372"/>
      <c r="S24" s="372"/>
      <c r="T24" s="372"/>
      <c r="U24" s="372"/>
      <c r="V24" s="372"/>
      <c r="W24" s="372"/>
      <c r="X24" s="372"/>
      <c r="Y24" s="372"/>
      <c r="Z24" s="372"/>
      <c r="AA24" s="372"/>
      <c r="AB24" s="372"/>
      <c r="AC24" s="372"/>
      <c r="AD24" s="372"/>
      <c r="AE24" s="372"/>
      <c r="AF24" s="372"/>
      <c r="AG24" s="372"/>
      <c r="AH24" s="372"/>
      <c r="AI24" s="372"/>
      <c r="AJ24" s="372"/>
      <c r="AK24" s="372"/>
      <c r="AL24" s="372"/>
      <c r="AM24" s="372"/>
      <c r="AN24" s="372"/>
      <c r="AO24" s="372"/>
      <c r="AP24" s="372"/>
      <c r="AQ24" s="372"/>
      <c r="AR24" s="372"/>
      <c r="AS24" s="372"/>
      <c r="AT24" s="372"/>
      <c r="AU24" s="372"/>
      <c r="AV24" s="372"/>
      <c r="AW24" s="372"/>
      <c r="AX24" s="372"/>
      <c r="AY24" s="372"/>
      <c r="AZ24" s="372"/>
      <c r="BA24" s="372"/>
      <c r="BB24" s="372"/>
      <c r="BD24" s="1">
        <f>UsageCost[[#This Row],[Sku]]</f>
        <v>0</v>
      </c>
      <c r="BE24" s="1" t="str">
        <f>IFERROR(VLOOKUP(UsageCost[[#This Row],[Sku]],'Cloud Price List'!$A$3:M1521,8,FALSE),"-")</f>
        <v>UNIT</v>
      </c>
      <c r="BF24" s="306" t="str">
        <f ca="1">IFERROR(INDEX(INDIRECT("UsageCost["&amp;$BE$1&amp;"]"),MATCH(BD24,UsageCost[Sku],0)),"-")</f>
        <v>-</v>
      </c>
      <c r="BG24" s="373" t="str">
        <f ca="1">IFERROR(INDEX(INDIRECT("UsageQty["&amp;$BE$1&amp;"]"),MATCH(BD24,UsageQty[Sku],0)),"-")</f>
        <v>-</v>
      </c>
      <c r="BH24" s="373" t="str">
        <f ca="1">IFERROR(INDEX(INDIRECT("UsageQty["&amp;$BE$1&amp;"]"),MATCH(BD24,UsageQty[Sku],0))/IF(BE24="HR",$BH$1,1),"-")</f>
        <v>-</v>
      </c>
      <c r="BI24" s="373" t="str">
        <f t="shared" ca="1" si="1"/>
        <v>-</v>
      </c>
      <c r="BJ24" s="1">
        <f>IFERROR(VLOOKUP(UsageCost[[#This Row],[Sku]],'Cloud Price List'!$A$3:M1521,4,FALSE),"-")</f>
        <v>0</v>
      </c>
      <c r="BK24" s="413" t="str">
        <f t="shared" ca="1" si="3"/>
        <v>-</v>
      </c>
      <c r="BL24" s="409" t="str">
        <f t="shared" ca="1" si="2"/>
        <v>-</v>
      </c>
    </row>
    <row r="25" spans="2:64">
      <c r="B25" s="1" t="str">
        <f>VLOOKUP(UsageCost[[#This Row],[Sku]],'Cloud Price List'!$A$3:$M$1005,7,FALSE)</f>
        <v>Deprecated</v>
      </c>
      <c r="F25" s="372"/>
      <c r="G25" s="372"/>
      <c r="H25" s="372"/>
      <c r="I25" s="372"/>
      <c r="J25" s="372"/>
      <c r="K25" s="372"/>
      <c r="L25" s="372"/>
      <c r="M25" s="372"/>
      <c r="N25" s="372"/>
      <c r="O25" s="372"/>
      <c r="P25" s="372"/>
      <c r="Q25" s="372"/>
      <c r="R25" s="372"/>
      <c r="S25" s="372"/>
      <c r="T25" s="372"/>
      <c r="U25" s="372"/>
      <c r="V25" s="372"/>
      <c r="W25" s="372"/>
      <c r="X25" s="372"/>
      <c r="Y25" s="372"/>
      <c r="Z25" s="372"/>
      <c r="AA25" s="372"/>
      <c r="AB25" s="372"/>
      <c r="AC25" s="372"/>
      <c r="AD25" s="372"/>
      <c r="AE25" s="372"/>
      <c r="AF25" s="372"/>
      <c r="AG25" s="372"/>
      <c r="AH25" s="372"/>
      <c r="AI25" s="372"/>
      <c r="AJ25" s="372"/>
      <c r="AK25" s="372"/>
      <c r="AL25" s="372"/>
      <c r="AM25" s="372"/>
      <c r="AN25" s="372"/>
      <c r="AO25" s="372"/>
      <c r="AP25" s="372"/>
      <c r="AQ25" s="372"/>
      <c r="AR25" s="372"/>
      <c r="AS25" s="372"/>
      <c r="AT25" s="372"/>
      <c r="AU25" s="372"/>
      <c r="AV25" s="372"/>
      <c r="AW25" s="372"/>
      <c r="AX25" s="372"/>
      <c r="AY25" s="372"/>
      <c r="AZ25" s="372"/>
      <c r="BA25" s="372"/>
      <c r="BB25" s="372"/>
      <c r="BD25" s="1">
        <f>UsageCost[[#This Row],[Sku]]</f>
        <v>0</v>
      </c>
      <c r="BE25" s="1" t="str">
        <f>IFERROR(VLOOKUP(UsageCost[[#This Row],[Sku]],'Cloud Price List'!$A$3:M1522,8,FALSE),"-")</f>
        <v>UNIT</v>
      </c>
      <c r="BF25" s="306" t="str">
        <f ca="1">IFERROR(INDEX(INDIRECT("UsageCost["&amp;$BE$1&amp;"]"),MATCH(BD25,UsageCost[Sku],0)),"-")</f>
        <v>-</v>
      </c>
      <c r="BG25" s="373" t="str">
        <f ca="1">IFERROR(INDEX(INDIRECT("UsageQty["&amp;$BE$1&amp;"]"),MATCH(BD25,UsageQty[Sku],0)),"-")</f>
        <v>-</v>
      </c>
      <c r="BH25" s="373" t="str">
        <f ca="1">IFERROR(INDEX(INDIRECT("UsageQty["&amp;$BE$1&amp;"]"),MATCH(BD25,UsageQty[Sku],0))/IF(BE25="HR",$BH$1,1),"-")</f>
        <v>-</v>
      </c>
      <c r="BI25" s="373" t="str">
        <f t="shared" ca="1" si="1"/>
        <v>-</v>
      </c>
      <c r="BJ25" s="1">
        <f>IFERROR(VLOOKUP(UsageCost[[#This Row],[Sku]],'Cloud Price List'!$A$3:M1522,4,FALSE),"-")</f>
        <v>0</v>
      </c>
      <c r="BK25" s="413" t="str">
        <f t="shared" ca="1" si="3"/>
        <v>-</v>
      </c>
      <c r="BL25" s="409" t="str">
        <f t="shared" ca="1" si="2"/>
        <v>-</v>
      </c>
    </row>
    <row r="26" spans="2:64">
      <c r="B26" s="1" t="str">
        <f>VLOOKUP(UsageCost[[#This Row],[Sku]],'Cloud Price List'!$A$3:$M$1005,7,FALSE)</f>
        <v>Deprecated</v>
      </c>
      <c r="F26" s="372"/>
      <c r="G26" s="372"/>
      <c r="H26" s="372"/>
      <c r="I26" s="372"/>
      <c r="J26" s="372"/>
      <c r="K26" s="372"/>
      <c r="L26" s="372"/>
      <c r="M26" s="372"/>
      <c r="N26" s="372"/>
      <c r="O26" s="372"/>
      <c r="P26" s="372"/>
      <c r="Q26" s="372"/>
      <c r="R26" s="372"/>
      <c r="S26" s="372"/>
      <c r="T26" s="372"/>
      <c r="U26" s="372"/>
      <c r="V26" s="372"/>
      <c r="W26" s="372"/>
      <c r="X26" s="372"/>
      <c r="Y26" s="372"/>
      <c r="Z26" s="372"/>
      <c r="AA26" s="372"/>
      <c r="AB26" s="372"/>
      <c r="AC26" s="372"/>
      <c r="AD26" s="372"/>
      <c r="AE26" s="372"/>
      <c r="AF26" s="372"/>
      <c r="AG26" s="372"/>
      <c r="AH26" s="372"/>
      <c r="AI26" s="372"/>
      <c r="AJ26" s="372"/>
      <c r="AK26" s="372"/>
      <c r="AL26" s="372"/>
      <c r="AM26" s="372"/>
      <c r="AN26" s="372"/>
      <c r="AO26" s="372"/>
      <c r="AP26" s="372"/>
      <c r="AQ26" s="372"/>
      <c r="AR26" s="372"/>
      <c r="AS26" s="372"/>
      <c r="AT26" s="372"/>
      <c r="AU26" s="372"/>
      <c r="AV26" s="372"/>
      <c r="AW26" s="372"/>
      <c r="AX26" s="372"/>
      <c r="AY26" s="372"/>
      <c r="AZ26" s="372"/>
      <c r="BA26" s="372"/>
      <c r="BB26" s="372"/>
      <c r="BD26" s="1">
        <f>UsageCost[[#This Row],[Sku]]</f>
        <v>0</v>
      </c>
      <c r="BE26" s="1" t="str">
        <f>IFERROR(VLOOKUP(UsageCost[[#This Row],[Sku]],'Cloud Price List'!$A$3:M1523,8,FALSE),"-")</f>
        <v>UNIT</v>
      </c>
      <c r="BF26" s="306" t="str">
        <f ca="1">IFERROR(INDEX(INDIRECT("UsageCost["&amp;$BE$1&amp;"]"),MATCH(BD26,UsageCost[Sku],0)),"-")</f>
        <v>-</v>
      </c>
      <c r="BG26" s="373" t="str">
        <f ca="1">IFERROR(INDEX(INDIRECT("UsageQty["&amp;$BE$1&amp;"]"),MATCH(BD26,UsageQty[Sku],0)),"-")</f>
        <v>-</v>
      </c>
      <c r="BH26" s="373" t="str">
        <f ca="1">IFERROR(INDEX(INDIRECT("UsageQty["&amp;$BE$1&amp;"]"),MATCH(BD26,UsageQty[Sku],0))/IF(BE26="HR",$BH$1,1),"-")</f>
        <v>-</v>
      </c>
      <c r="BI26" s="373" t="str">
        <f t="shared" ca="1" si="1"/>
        <v>-</v>
      </c>
      <c r="BJ26" s="1">
        <f>IFERROR(VLOOKUP(UsageCost[[#This Row],[Sku]],'Cloud Price List'!$A$3:M1523,4,FALSE),"-")</f>
        <v>0</v>
      </c>
      <c r="BK26" s="413" t="str">
        <f t="shared" ca="1" si="3"/>
        <v>-</v>
      </c>
      <c r="BL26" s="409" t="str">
        <f t="shared" ca="1" si="2"/>
        <v>-</v>
      </c>
    </row>
    <row r="27" spans="2:64">
      <c r="B27" s="1" t="str">
        <f>VLOOKUP(UsageCost[[#This Row],[Sku]],'Cloud Price List'!$A$3:$M$1005,7,FALSE)</f>
        <v>Deprecated</v>
      </c>
      <c r="F27" s="372"/>
      <c r="G27" s="372"/>
      <c r="H27" s="372"/>
      <c r="I27" s="372"/>
      <c r="J27" s="372"/>
      <c r="K27" s="372"/>
      <c r="L27" s="372"/>
      <c r="M27" s="372"/>
      <c r="N27" s="372"/>
      <c r="O27" s="372"/>
      <c r="P27" s="372"/>
      <c r="Q27" s="372"/>
      <c r="R27" s="372"/>
      <c r="S27" s="372"/>
      <c r="T27" s="372"/>
      <c r="U27" s="372"/>
      <c r="V27" s="372"/>
      <c r="W27" s="372"/>
      <c r="X27" s="372"/>
      <c r="Y27" s="372"/>
      <c r="Z27" s="372"/>
      <c r="AA27" s="372"/>
      <c r="AB27" s="372"/>
      <c r="AC27" s="372"/>
      <c r="AD27" s="372"/>
      <c r="AE27" s="372"/>
      <c r="AF27" s="372"/>
      <c r="AG27" s="372"/>
      <c r="AH27" s="372"/>
      <c r="AI27" s="372"/>
      <c r="AJ27" s="372"/>
      <c r="AK27" s="372"/>
      <c r="AL27" s="372"/>
      <c r="AM27" s="372"/>
      <c r="AN27" s="372"/>
      <c r="AO27" s="372"/>
      <c r="AP27" s="372"/>
      <c r="AQ27" s="372"/>
      <c r="AR27" s="372"/>
      <c r="AS27" s="372"/>
      <c r="AT27" s="372"/>
      <c r="AU27" s="372"/>
      <c r="AV27" s="372"/>
      <c r="AW27" s="372"/>
      <c r="AX27" s="372"/>
      <c r="AY27" s="372"/>
      <c r="AZ27" s="372"/>
      <c r="BA27" s="372"/>
      <c r="BB27" s="372"/>
      <c r="BD27" s="1">
        <f>UsageCost[[#This Row],[Sku]]</f>
        <v>0</v>
      </c>
      <c r="BE27" s="1" t="str">
        <f>IFERROR(VLOOKUP(UsageCost[[#This Row],[Sku]],'Cloud Price List'!$A$3:M1524,8,FALSE),"-")</f>
        <v>UNIT</v>
      </c>
      <c r="BF27" s="306" t="str">
        <f ca="1">IFERROR(INDEX(INDIRECT("UsageCost["&amp;$BE$1&amp;"]"),MATCH(BD27,UsageCost[Sku],0)),"-")</f>
        <v>-</v>
      </c>
      <c r="BG27" s="373" t="str">
        <f ca="1">IFERROR(INDEX(INDIRECT("UsageQty["&amp;$BE$1&amp;"]"),MATCH(BD27,UsageQty[Sku],0)),"-")</f>
        <v>-</v>
      </c>
      <c r="BH27" s="373" t="str">
        <f ca="1">IFERROR(INDEX(INDIRECT("UsageQty["&amp;$BE$1&amp;"]"),MATCH(BD27,UsageQty[Sku],0))/IF(BE27="HR",$BH$1,1),"-")</f>
        <v>-</v>
      </c>
      <c r="BI27" s="373" t="str">
        <f t="shared" ca="1" si="1"/>
        <v>-</v>
      </c>
      <c r="BJ27" s="1">
        <f>IFERROR(VLOOKUP(UsageCost[[#This Row],[Sku]],'Cloud Price List'!$A$3:M1524,4,FALSE),"-")</f>
        <v>0</v>
      </c>
      <c r="BK27" s="413" t="str">
        <f t="shared" ca="1" si="3"/>
        <v>-</v>
      </c>
      <c r="BL27" s="409" t="str">
        <f t="shared" ca="1" si="2"/>
        <v>-</v>
      </c>
    </row>
    <row r="28" spans="2:64">
      <c r="B28" s="1" t="str">
        <f>VLOOKUP(UsageCost[[#This Row],[Sku]],'Cloud Price List'!$A$3:$M$1005,7,FALSE)</f>
        <v>Deprecated</v>
      </c>
      <c r="F28" s="372"/>
      <c r="G28" s="372"/>
      <c r="H28" s="372"/>
      <c r="I28" s="372"/>
      <c r="J28" s="372"/>
      <c r="K28" s="372"/>
      <c r="L28" s="372"/>
      <c r="M28" s="372"/>
      <c r="N28" s="372"/>
      <c r="O28" s="372"/>
      <c r="P28" s="372"/>
      <c r="Q28" s="372"/>
      <c r="R28" s="372"/>
      <c r="S28" s="372"/>
      <c r="T28" s="372"/>
      <c r="U28" s="372"/>
      <c r="V28" s="372"/>
      <c r="W28" s="372"/>
      <c r="X28" s="372"/>
      <c r="Y28" s="372"/>
      <c r="Z28" s="372"/>
      <c r="AA28" s="372"/>
      <c r="AB28" s="372"/>
      <c r="AC28" s="372"/>
      <c r="AD28" s="372"/>
      <c r="AE28" s="372"/>
      <c r="AF28" s="372"/>
      <c r="AG28" s="372"/>
      <c r="AH28" s="372"/>
      <c r="AI28" s="372"/>
      <c r="AJ28" s="372"/>
      <c r="AK28" s="372"/>
      <c r="AL28" s="372"/>
      <c r="AM28" s="372"/>
      <c r="AN28" s="372"/>
      <c r="AO28" s="372"/>
      <c r="AP28" s="372"/>
      <c r="AQ28" s="372"/>
      <c r="AR28" s="372"/>
      <c r="AS28" s="372"/>
      <c r="AT28" s="372"/>
      <c r="AU28" s="372"/>
      <c r="AV28" s="372"/>
      <c r="AW28" s="372"/>
      <c r="AX28" s="372"/>
      <c r="AY28" s="372"/>
      <c r="AZ28" s="372"/>
      <c r="BA28" s="372"/>
      <c r="BB28" s="372"/>
      <c r="BD28" s="1">
        <f>UsageCost[[#This Row],[Sku]]</f>
        <v>0</v>
      </c>
      <c r="BE28" s="1" t="str">
        <f>IFERROR(VLOOKUP(UsageCost[[#This Row],[Sku]],'Cloud Price List'!$A$3:M1525,8,FALSE),"-")</f>
        <v>UNIT</v>
      </c>
      <c r="BF28" s="306" t="str">
        <f ca="1">IFERROR(INDEX(INDIRECT("UsageCost["&amp;$BE$1&amp;"]"),MATCH(BD28,UsageCost[Sku],0)),"-")</f>
        <v>-</v>
      </c>
      <c r="BG28" s="373" t="str">
        <f ca="1">IFERROR(INDEX(INDIRECT("UsageQty["&amp;$BE$1&amp;"]"),MATCH(BD28,UsageQty[Sku],0)),"-")</f>
        <v>-</v>
      </c>
      <c r="BH28" s="373" t="str">
        <f ca="1">IFERROR(INDEX(INDIRECT("UsageQty["&amp;$BE$1&amp;"]"),MATCH(BD28,UsageQty[Sku],0))/IF(BE28="HR",$BH$1,1),"-")</f>
        <v>-</v>
      </c>
      <c r="BI28" s="373" t="str">
        <f t="shared" ca="1" si="1"/>
        <v>-</v>
      </c>
      <c r="BJ28" s="1">
        <f>IFERROR(VLOOKUP(UsageCost[[#This Row],[Sku]],'Cloud Price List'!$A$3:M1525,4,FALSE),"-")</f>
        <v>0</v>
      </c>
      <c r="BK28" s="413" t="str">
        <f t="shared" ca="1" si="3"/>
        <v>-</v>
      </c>
      <c r="BL28" s="409" t="str">
        <f t="shared" ca="1" si="2"/>
        <v>-</v>
      </c>
    </row>
    <row r="29" spans="2:64">
      <c r="B29" s="1" t="str">
        <f>VLOOKUP(UsageCost[[#This Row],[Sku]],'Cloud Price List'!$A$3:$M$1005,7,FALSE)</f>
        <v>Deprecated</v>
      </c>
      <c r="F29" s="372"/>
      <c r="G29" s="372"/>
      <c r="H29" s="372"/>
      <c r="I29" s="372"/>
      <c r="J29" s="372"/>
      <c r="K29" s="372"/>
      <c r="L29" s="372"/>
      <c r="M29" s="372"/>
      <c r="N29" s="372"/>
      <c r="O29" s="372"/>
      <c r="P29" s="372"/>
      <c r="Q29" s="372"/>
      <c r="R29" s="372"/>
      <c r="S29" s="372"/>
      <c r="T29" s="372"/>
      <c r="U29" s="372"/>
      <c r="V29" s="372"/>
      <c r="W29" s="372"/>
      <c r="X29" s="372"/>
      <c r="Y29" s="372"/>
      <c r="Z29" s="372"/>
      <c r="AA29" s="372"/>
      <c r="AB29" s="372"/>
      <c r="AC29" s="372"/>
      <c r="AD29" s="372"/>
      <c r="AE29" s="372"/>
      <c r="AF29" s="372"/>
      <c r="AG29" s="372"/>
      <c r="AH29" s="372"/>
      <c r="AI29" s="372"/>
      <c r="AJ29" s="372"/>
      <c r="AK29" s="372"/>
      <c r="AL29" s="372"/>
      <c r="AM29" s="372"/>
      <c r="AN29" s="372"/>
      <c r="AO29" s="372"/>
      <c r="AP29" s="372"/>
      <c r="AQ29" s="372"/>
      <c r="AR29" s="372"/>
      <c r="AS29" s="372"/>
      <c r="AT29" s="372"/>
      <c r="AU29" s="372"/>
      <c r="AV29" s="372"/>
      <c r="AW29" s="372"/>
      <c r="AX29" s="372"/>
      <c r="AY29" s="372"/>
      <c r="AZ29" s="372"/>
      <c r="BA29" s="372"/>
      <c r="BB29" s="372"/>
      <c r="BD29" s="1">
        <f>UsageCost[[#This Row],[Sku]]</f>
        <v>0</v>
      </c>
      <c r="BE29" s="1" t="str">
        <f>IFERROR(VLOOKUP(UsageCost[[#This Row],[Sku]],'Cloud Price List'!$A$3:M1526,8,FALSE),"-")</f>
        <v>UNIT</v>
      </c>
      <c r="BF29" s="306" t="str">
        <f ca="1">IFERROR(INDEX(INDIRECT("UsageCost["&amp;$BE$1&amp;"]"),MATCH(BD29,UsageCost[Sku],0)),"-")</f>
        <v>-</v>
      </c>
      <c r="BG29" s="373" t="str">
        <f ca="1">IFERROR(INDEX(INDIRECT("UsageQty["&amp;$BE$1&amp;"]"),MATCH(BD29,UsageQty[Sku],0)),"-")</f>
        <v>-</v>
      </c>
      <c r="BH29" s="373" t="str">
        <f ca="1">IFERROR(INDEX(INDIRECT("UsageQty["&amp;$BE$1&amp;"]"),MATCH(BD29,UsageQty[Sku],0))/IF(BE29="HR",$BH$1,1),"-")</f>
        <v>-</v>
      </c>
      <c r="BI29" s="373" t="str">
        <f t="shared" ca="1" si="1"/>
        <v>-</v>
      </c>
      <c r="BJ29" s="1">
        <f>IFERROR(VLOOKUP(UsageCost[[#This Row],[Sku]],'Cloud Price List'!$A$3:M1526,4,FALSE),"-")</f>
        <v>0</v>
      </c>
      <c r="BK29" s="413" t="str">
        <f t="shared" ca="1" si="3"/>
        <v>-</v>
      </c>
      <c r="BL29" s="409" t="str">
        <f t="shared" ca="1" si="2"/>
        <v>-</v>
      </c>
    </row>
    <row r="30" spans="2:64">
      <c r="B30" s="1" t="str">
        <f>VLOOKUP(UsageCost[[#This Row],[Sku]],'Cloud Price List'!$A$3:$M$1005,7,FALSE)</f>
        <v>Deprecated</v>
      </c>
      <c r="F30" s="372"/>
      <c r="G30" s="372"/>
      <c r="H30" s="372"/>
      <c r="I30" s="372"/>
      <c r="J30" s="372"/>
      <c r="K30" s="372"/>
      <c r="L30" s="372"/>
      <c r="M30" s="372"/>
      <c r="N30" s="372"/>
      <c r="O30" s="372"/>
      <c r="P30" s="372"/>
      <c r="Q30" s="372"/>
      <c r="R30" s="372"/>
      <c r="S30" s="372"/>
      <c r="T30" s="372"/>
      <c r="U30" s="372"/>
      <c r="V30" s="372"/>
      <c r="W30" s="372"/>
      <c r="X30" s="372"/>
      <c r="Y30" s="372"/>
      <c r="Z30" s="372"/>
      <c r="AA30" s="372"/>
      <c r="AB30" s="372"/>
      <c r="AC30" s="372"/>
      <c r="AD30" s="372"/>
      <c r="AE30" s="372"/>
      <c r="AF30" s="372"/>
      <c r="AG30" s="372"/>
      <c r="AH30" s="372"/>
      <c r="AI30" s="372"/>
      <c r="AJ30" s="372"/>
      <c r="AK30" s="372"/>
      <c r="AL30" s="372"/>
      <c r="AM30" s="372"/>
      <c r="AN30" s="372"/>
      <c r="AO30" s="372"/>
      <c r="AP30" s="372"/>
      <c r="AQ30" s="372"/>
      <c r="AR30" s="372"/>
      <c r="AS30" s="372"/>
      <c r="AT30" s="372"/>
      <c r="AU30" s="372"/>
      <c r="AV30" s="372"/>
      <c r="AW30" s="372"/>
      <c r="AX30" s="372"/>
      <c r="AY30" s="372"/>
      <c r="AZ30" s="372"/>
      <c r="BA30" s="372"/>
      <c r="BB30" s="372"/>
      <c r="BD30" s="1">
        <f>UsageCost[[#This Row],[Sku]]</f>
        <v>0</v>
      </c>
      <c r="BE30" s="1" t="str">
        <f>IFERROR(VLOOKUP(UsageCost[[#This Row],[Sku]],'Cloud Price List'!$A$3:M1527,8,FALSE),"-")</f>
        <v>UNIT</v>
      </c>
      <c r="BF30" s="306" t="str">
        <f ca="1">IFERROR(INDEX(INDIRECT("UsageCost["&amp;$BE$1&amp;"]"),MATCH(BD30,UsageCost[Sku],0)),"-")</f>
        <v>-</v>
      </c>
      <c r="BG30" s="373" t="str">
        <f ca="1">IFERROR(INDEX(INDIRECT("UsageQty["&amp;$BE$1&amp;"]"),MATCH(BD30,UsageQty[Sku],0)),"-")</f>
        <v>-</v>
      </c>
      <c r="BH30" s="373" t="str">
        <f ca="1">IFERROR(INDEX(INDIRECT("UsageQty["&amp;$BE$1&amp;"]"),MATCH(BD30,UsageQty[Sku],0))/IF(BE30="HR",$BH$1,1),"-")</f>
        <v>-</v>
      </c>
      <c r="BI30" s="373" t="str">
        <f t="shared" ca="1" si="1"/>
        <v>-</v>
      </c>
      <c r="BJ30" s="1">
        <f>IFERROR(VLOOKUP(UsageCost[[#This Row],[Sku]],'Cloud Price List'!$A$3:M1527,4,FALSE),"-")</f>
        <v>0</v>
      </c>
      <c r="BK30" s="413" t="str">
        <f t="shared" ca="1" si="3"/>
        <v>-</v>
      </c>
      <c r="BL30" s="409" t="str">
        <f t="shared" ca="1" si="2"/>
        <v>-</v>
      </c>
    </row>
    <row r="31" spans="2:64">
      <c r="B31" s="1" t="str">
        <f>VLOOKUP(UsageCost[[#This Row],[Sku]],'Cloud Price List'!$A$3:$M$1005,7,FALSE)</f>
        <v>Deprecated</v>
      </c>
      <c r="F31" s="372"/>
      <c r="G31" s="372"/>
      <c r="H31" s="372"/>
      <c r="I31" s="372"/>
      <c r="J31" s="372"/>
      <c r="K31" s="372"/>
      <c r="L31" s="372"/>
      <c r="M31" s="372"/>
      <c r="N31" s="372"/>
      <c r="O31" s="372"/>
      <c r="P31" s="372"/>
      <c r="Q31" s="372"/>
      <c r="R31" s="372"/>
      <c r="S31" s="372"/>
      <c r="T31" s="372"/>
      <c r="U31" s="372"/>
      <c r="V31" s="372"/>
      <c r="W31" s="372"/>
      <c r="X31" s="372"/>
      <c r="Y31" s="372"/>
      <c r="Z31" s="372"/>
      <c r="AA31" s="372"/>
      <c r="AB31" s="372"/>
      <c r="AC31" s="372"/>
      <c r="AD31" s="372"/>
      <c r="AE31" s="372"/>
      <c r="AF31" s="372"/>
      <c r="AG31" s="372"/>
      <c r="AH31" s="372"/>
      <c r="AI31" s="372"/>
      <c r="AJ31" s="372"/>
      <c r="AK31" s="372"/>
      <c r="AL31" s="372"/>
      <c r="AM31" s="372"/>
      <c r="AN31" s="372"/>
      <c r="AO31" s="372"/>
      <c r="AP31" s="372"/>
      <c r="AQ31" s="372"/>
      <c r="AR31" s="372"/>
      <c r="AS31" s="372"/>
      <c r="AT31" s="372"/>
      <c r="AU31" s="372"/>
      <c r="AV31" s="372"/>
      <c r="AW31" s="372"/>
      <c r="AX31" s="372"/>
      <c r="AY31" s="372"/>
      <c r="AZ31" s="372"/>
      <c r="BA31" s="372"/>
      <c r="BB31" s="372"/>
      <c r="BD31" s="1">
        <f>UsageCost[[#This Row],[Sku]]</f>
        <v>0</v>
      </c>
      <c r="BE31" s="1" t="str">
        <f>IFERROR(VLOOKUP(UsageCost[[#This Row],[Sku]],'Cloud Price List'!$A$3:M1528,8,FALSE),"-")</f>
        <v>UNIT</v>
      </c>
      <c r="BF31" s="306" t="str">
        <f ca="1">IFERROR(INDEX(INDIRECT("UsageCost["&amp;$BE$1&amp;"]"),MATCH(BD31,UsageCost[Sku],0)),"-")</f>
        <v>-</v>
      </c>
      <c r="BG31" s="373" t="str">
        <f ca="1">IFERROR(INDEX(INDIRECT("UsageQty["&amp;$BE$1&amp;"]"),MATCH(BD31,UsageQty[Sku],0)),"-")</f>
        <v>-</v>
      </c>
      <c r="BH31" s="373" t="str">
        <f ca="1">IFERROR(INDEX(INDIRECT("UsageQty["&amp;$BE$1&amp;"]"),MATCH(BD31,UsageQty[Sku],0))/IF(BE31="HR",$BH$1,1),"-")</f>
        <v>-</v>
      </c>
      <c r="BI31" s="373" t="str">
        <f t="shared" ca="1" si="1"/>
        <v>-</v>
      </c>
      <c r="BJ31" s="1">
        <f>IFERROR(VLOOKUP(UsageCost[[#This Row],[Sku]],'Cloud Price List'!$A$3:M1528,4,FALSE),"-")</f>
        <v>0</v>
      </c>
      <c r="BK31" s="413" t="str">
        <f t="shared" ca="1" si="3"/>
        <v>-</v>
      </c>
      <c r="BL31" s="409" t="str">
        <f t="shared" ca="1" si="2"/>
        <v>-</v>
      </c>
    </row>
    <row r="32" spans="2:64">
      <c r="B32" s="1" t="str">
        <f>VLOOKUP(UsageCost[[#This Row],[Sku]],'Cloud Price List'!$A$3:$M$1005,7,FALSE)</f>
        <v>Deprecated</v>
      </c>
      <c r="F32" s="372"/>
      <c r="G32" s="372"/>
      <c r="H32" s="372"/>
      <c r="I32" s="372"/>
      <c r="J32" s="372"/>
      <c r="K32" s="372"/>
      <c r="L32" s="372"/>
      <c r="M32" s="372"/>
      <c r="N32" s="372"/>
      <c r="O32" s="372"/>
      <c r="P32" s="372"/>
      <c r="Q32" s="372"/>
      <c r="R32" s="372"/>
      <c r="S32" s="372"/>
      <c r="T32" s="372"/>
      <c r="U32" s="372"/>
      <c r="V32" s="372"/>
      <c r="W32" s="372"/>
      <c r="X32" s="372"/>
      <c r="Y32" s="372"/>
      <c r="Z32" s="372"/>
      <c r="AA32" s="372"/>
      <c r="AB32" s="372"/>
      <c r="AC32" s="372"/>
      <c r="AD32" s="372"/>
      <c r="AE32" s="372"/>
      <c r="AF32" s="372"/>
      <c r="AG32" s="372"/>
      <c r="AH32" s="372"/>
      <c r="AI32" s="372"/>
      <c r="AJ32" s="372"/>
      <c r="AK32" s="372"/>
      <c r="AL32" s="372"/>
      <c r="AM32" s="372"/>
      <c r="AN32" s="372"/>
      <c r="AO32" s="372"/>
      <c r="AP32" s="372"/>
      <c r="AQ32" s="372"/>
      <c r="AR32" s="372"/>
      <c r="AS32" s="372"/>
      <c r="AT32" s="372"/>
      <c r="AU32" s="372"/>
      <c r="AV32" s="372"/>
      <c r="AW32" s="372"/>
      <c r="AX32" s="372"/>
      <c r="AY32" s="372"/>
      <c r="AZ32" s="372"/>
      <c r="BA32" s="372"/>
      <c r="BB32" s="372"/>
      <c r="BD32" s="1">
        <f>UsageCost[[#This Row],[Sku]]</f>
        <v>0</v>
      </c>
      <c r="BE32" s="1" t="str">
        <f>IFERROR(VLOOKUP(UsageCost[[#This Row],[Sku]],'Cloud Price List'!$A$3:M1529,8,FALSE),"-")</f>
        <v>UNIT</v>
      </c>
      <c r="BF32" s="306" t="str">
        <f ca="1">IFERROR(INDEX(INDIRECT("UsageCost["&amp;$BE$1&amp;"]"),MATCH(BD32,UsageCost[Sku],0)),"-")</f>
        <v>-</v>
      </c>
      <c r="BG32" s="373" t="str">
        <f ca="1">IFERROR(INDEX(INDIRECT("UsageQty["&amp;$BE$1&amp;"]"),MATCH(BD32,UsageQty[Sku],0)),"-")</f>
        <v>-</v>
      </c>
      <c r="BH32" s="373" t="str">
        <f ca="1">IFERROR(INDEX(INDIRECT("UsageQty["&amp;$BE$1&amp;"]"),MATCH(BD32,UsageQty[Sku],0))/IF(BE32="HR",$BH$1,1),"-")</f>
        <v>-</v>
      </c>
      <c r="BI32" s="373" t="str">
        <f t="shared" ca="1" si="1"/>
        <v>-</v>
      </c>
      <c r="BJ32" s="1">
        <f>IFERROR(VLOOKUP(UsageCost[[#This Row],[Sku]],'Cloud Price List'!$A$3:M1529,4,FALSE),"-")</f>
        <v>0</v>
      </c>
      <c r="BK32" s="413" t="str">
        <f t="shared" ca="1" si="3"/>
        <v>-</v>
      </c>
      <c r="BL32" s="409" t="str">
        <f t="shared" ca="1" si="2"/>
        <v>-</v>
      </c>
    </row>
    <row r="33" spans="2:81">
      <c r="B33" s="1" t="str">
        <f>VLOOKUP(UsageCost[[#This Row],[Sku]],'Cloud Price List'!$A$3:$M$1005,7,FALSE)</f>
        <v>Deprecated</v>
      </c>
      <c r="F33" s="372"/>
      <c r="G33" s="372"/>
      <c r="H33" s="372"/>
      <c r="I33" s="372"/>
      <c r="J33" s="372"/>
      <c r="K33" s="372"/>
      <c r="L33" s="372"/>
      <c r="M33" s="372"/>
      <c r="N33" s="372"/>
      <c r="O33" s="372"/>
      <c r="P33" s="372"/>
      <c r="Q33" s="372"/>
      <c r="R33" s="372"/>
      <c r="S33" s="372"/>
      <c r="T33" s="372"/>
      <c r="U33" s="372"/>
      <c r="V33" s="372"/>
      <c r="W33" s="372"/>
      <c r="X33" s="372"/>
      <c r="Y33" s="372"/>
      <c r="Z33" s="372"/>
      <c r="AA33" s="372"/>
      <c r="AB33" s="372"/>
      <c r="AC33" s="372"/>
      <c r="AD33" s="372"/>
      <c r="AE33" s="372"/>
      <c r="AF33" s="372"/>
      <c r="AG33" s="372"/>
      <c r="AH33" s="372"/>
      <c r="AI33" s="372"/>
      <c r="AJ33" s="372"/>
      <c r="AK33" s="372"/>
      <c r="AL33" s="372"/>
      <c r="AM33" s="372"/>
      <c r="AN33" s="372"/>
      <c r="AO33" s="372"/>
      <c r="AP33" s="372"/>
      <c r="AQ33" s="372"/>
      <c r="AR33" s="372"/>
      <c r="AS33" s="372"/>
      <c r="AT33" s="372"/>
      <c r="AU33" s="372"/>
      <c r="AV33" s="372"/>
      <c r="AW33" s="372"/>
      <c r="AX33" s="372"/>
      <c r="AY33" s="372"/>
      <c r="AZ33" s="372"/>
      <c r="BA33" s="372"/>
      <c r="BB33" s="372"/>
      <c r="BD33" s="1">
        <f>UsageCost[[#This Row],[Sku]]</f>
        <v>0</v>
      </c>
      <c r="BE33" s="1" t="str">
        <f>IFERROR(VLOOKUP(UsageCost[[#This Row],[Sku]],'Cloud Price List'!$A$3:M1530,8,FALSE),"-")</f>
        <v>UNIT</v>
      </c>
      <c r="BF33" s="306" t="str">
        <f ca="1">IFERROR(INDEX(INDIRECT("UsageCost["&amp;$BE$1&amp;"]"),MATCH(BD33,UsageCost[Sku],0)),"-")</f>
        <v>-</v>
      </c>
      <c r="BG33" s="373" t="str">
        <f ca="1">IFERROR(INDEX(INDIRECT("UsageQty["&amp;$BE$1&amp;"]"),MATCH(BD33,UsageQty[Sku],0)),"-")</f>
        <v>-</v>
      </c>
      <c r="BH33" s="373" t="str">
        <f ca="1">IFERROR(INDEX(INDIRECT("UsageQty["&amp;$BE$1&amp;"]"),MATCH(BD33,UsageQty[Sku],0))/IF(BE33="HR",$BH$1,1),"-")</f>
        <v>-</v>
      </c>
      <c r="BI33" s="373" t="str">
        <f t="shared" ca="1" si="1"/>
        <v>-</v>
      </c>
      <c r="BJ33" s="1">
        <f>IFERROR(VLOOKUP(UsageCost[[#This Row],[Sku]],'Cloud Price List'!$A$3:M1530,4,FALSE),"-")</f>
        <v>0</v>
      </c>
      <c r="BK33" s="413" t="str">
        <f t="shared" ca="1" si="3"/>
        <v>-</v>
      </c>
      <c r="BL33" s="409" t="str">
        <f t="shared" ca="1" si="2"/>
        <v>-</v>
      </c>
    </row>
    <row r="34" spans="2:81">
      <c r="B34" s="1" t="str">
        <f>VLOOKUP(UsageCost[[#This Row],[Sku]],'Cloud Price List'!$A$3:$M$1005,7,FALSE)</f>
        <v>Deprecated</v>
      </c>
      <c r="F34" s="372"/>
      <c r="G34" s="372"/>
      <c r="H34" s="372"/>
      <c r="I34" s="372"/>
      <c r="J34" s="372"/>
      <c r="K34" s="372"/>
      <c r="L34" s="372"/>
      <c r="M34" s="372"/>
      <c r="N34" s="372"/>
      <c r="O34" s="372"/>
      <c r="P34" s="372"/>
      <c r="Q34" s="372"/>
      <c r="R34" s="372"/>
      <c r="S34" s="372"/>
      <c r="T34" s="372"/>
      <c r="U34" s="372"/>
      <c r="V34" s="372"/>
      <c r="W34" s="372"/>
      <c r="X34" s="372"/>
      <c r="Y34" s="372"/>
      <c r="Z34" s="372"/>
      <c r="AA34" s="372"/>
      <c r="AB34" s="372"/>
      <c r="AC34" s="372"/>
      <c r="AD34" s="372"/>
      <c r="AE34" s="372"/>
      <c r="AF34" s="372"/>
      <c r="AG34" s="372"/>
      <c r="AH34" s="372"/>
      <c r="AI34" s="372"/>
      <c r="AJ34" s="372"/>
      <c r="AK34" s="372"/>
      <c r="AL34" s="372"/>
      <c r="AM34" s="372"/>
      <c r="AN34" s="372"/>
      <c r="AO34" s="372"/>
      <c r="AP34" s="372"/>
      <c r="AQ34" s="372"/>
      <c r="AR34" s="372"/>
      <c r="AS34" s="372"/>
      <c r="AT34" s="372"/>
      <c r="AU34" s="372"/>
      <c r="AV34" s="372"/>
      <c r="AW34" s="372"/>
      <c r="AX34" s="372"/>
      <c r="AY34" s="372"/>
      <c r="AZ34" s="372"/>
      <c r="BA34" s="372"/>
      <c r="BB34" s="372"/>
      <c r="BD34" s="1">
        <f>UsageCost[[#This Row],[Sku]]</f>
        <v>0</v>
      </c>
      <c r="BE34" s="1" t="str">
        <f>IFERROR(VLOOKUP(UsageCost[[#This Row],[Sku]],'Cloud Price List'!$A$3:M1531,8,FALSE),"-")</f>
        <v>UNIT</v>
      </c>
      <c r="BF34" s="306" t="str">
        <f ca="1">IFERROR(INDEX(INDIRECT("UsageCost["&amp;$BE$1&amp;"]"),MATCH(BD34,UsageCost[Sku],0)),"-")</f>
        <v>-</v>
      </c>
      <c r="BG34" s="373" t="str">
        <f ca="1">IFERROR(INDEX(INDIRECT("UsageQty["&amp;$BE$1&amp;"]"),MATCH(BD34,UsageQty[Sku],0)),"-")</f>
        <v>-</v>
      </c>
      <c r="BH34" s="373" t="str">
        <f ca="1">IFERROR(INDEX(INDIRECT("UsageQty["&amp;$BE$1&amp;"]"),MATCH(BD34,UsageQty[Sku],0))/IF(BE34="HR",$BH$1,1),"-")</f>
        <v>-</v>
      </c>
      <c r="BI34" s="373" t="str">
        <f t="shared" ca="1" si="1"/>
        <v>-</v>
      </c>
      <c r="BJ34" s="1">
        <f>IFERROR(VLOOKUP(UsageCost[[#This Row],[Sku]],'Cloud Price List'!$A$3:M1531,4,FALSE),"-")</f>
        <v>0</v>
      </c>
      <c r="BK34" s="413" t="str">
        <f t="shared" ca="1" si="3"/>
        <v>-</v>
      </c>
      <c r="BL34" s="409" t="str">
        <f t="shared" ca="1" si="2"/>
        <v>-</v>
      </c>
    </row>
    <row r="35" spans="2:81">
      <c r="B35" s="1" t="str">
        <f>VLOOKUP(UsageCost[[#This Row],[Sku]],'Cloud Price List'!$A$3:$M$1005,7,FALSE)</f>
        <v>Deprecated</v>
      </c>
      <c r="F35" s="372"/>
      <c r="G35" s="372"/>
      <c r="H35" s="372"/>
      <c r="I35" s="372"/>
      <c r="J35" s="372"/>
      <c r="K35" s="372"/>
      <c r="L35" s="372"/>
      <c r="M35" s="372"/>
      <c r="N35" s="372"/>
      <c r="O35" s="372"/>
      <c r="P35" s="372"/>
      <c r="Q35" s="372"/>
      <c r="R35" s="372"/>
      <c r="S35" s="372"/>
      <c r="T35" s="372"/>
      <c r="U35" s="372"/>
      <c r="V35" s="372"/>
      <c r="W35" s="372"/>
      <c r="X35" s="372"/>
      <c r="Y35" s="372"/>
      <c r="Z35" s="372"/>
      <c r="AA35" s="372"/>
      <c r="AB35" s="372"/>
      <c r="AC35" s="372"/>
      <c r="AD35" s="372"/>
      <c r="AE35" s="372"/>
      <c r="AF35" s="372"/>
      <c r="AG35" s="372"/>
      <c r="AH35" s="372"/>
      <c r="AI35" s="372"/>
      <c r="AJ35" s="372"/>
      <c r="AK35" s="372"/>
      <c r="AL35" s="372"/>
      <c r="AM35" s="372"/>
      <c r="AN35" s="372"/>
      <c r="AO35" s="372"/>
      <c r="AP35" s="372"/>
      <c r="AQ35" s="372"/>
      <c r="AR35" s="372"/>
      <c r="AS35" s="372"/>
      <c r="AT35" s="372"/>
      <c r="AU35" s="372"/>
      <c r="AV35" s="372"/>
      <c r="AW35" s="372"/>
      <c r="AX35" s="372"/>
      <c r="AY35" s="372"/>
      <c r="AZ35" s="372"/>
      <c r="BA35" s="372"/>
      <c r="BB35" s="372"/>
      <c r="BD35" s="1">
        <f>UsageCost[[#This Row],[Sku]]</f>
        <v>0</v>
      </c>
      <c r="BE35" s="1" t="str">
        <f>IFERROR(VLOOKUP(UsageCost[[#This Row],[Sku]],'Cloud Price List'!$A$3:M1532,8,FALSE),"-")</f>
        <v>UNIT</v>
      </c>
      <c r="BF35" s="306" t="str">
        <f ca="1">IFERROR(INDEX(INDIRECT("UsageCost["&amp;$BE$1&amp;"]"),MATCH(BD35,UsageCost[Sku],0)),"-")</f>
        <v>-</v>
      </c>
      <c r="BG35" s="373" t="str">
        <f ca="1">IFERROR(INDEX(INDIRECT("UsageQty["&amp;$BE$1&amp;"]"),MATCH(BD35,UsageQty[Sku],0)),"-")</f>
        <v>-</v>
      </c>
      <c r="BH35" s="373" t="str">
        <f ca="1">IFERROR(INDEX(INDIRECT("UsageQty["&amp;$BE$1&amp;"]"),MATCH(BD35,UsageQty[Sku],0))/IF(BE35="HR",$BH$1,1),"-")</f>
        <v>-</v>
      </c>
      <c r="BI35" s="373" t="str">
        <f t="shared" ca="1" si="1"/>
        <v>-</v>
      </c>
      <c r="BJ35" s="1">
        <f>IFERROR(VLOOKUP(UsageCost[[#This Row],[Sku]],'Cloud Price List'!$A$3:M1532,4,FALSE),"-")</f>
        <v>0</v>
      </c>
      <c r="BK35" s="413" t="str">
        <f t="shared" ca="1" si="3"/>
        <v>-</v>
      </c>
      <c r="BL35" s="409" t="str">
        <f t="shared" ca="1" si="2"/>
        <v>-</v>
      </c>
    </row>
    <row r="36" spans="2:81">
      <c r="B36" s="1" t="str">
        <f>VLOOKUP(UsageCost[[#This Row],[Sku]],'Cloud Price List'!$A$3:$M$1005,7,FALSE)</f>
        <v>Deprecated</v>
      </c>
      <c r="F36" s="372"/>
      <c r="G36" s="372"/>
      <c r="H36" s="372"/>
      <c r="I36" s="372"/>
      <c r="J36" s="372"/>
      <c r="K36" s="372"/>
      <c r="L36" s="372"/>
      <c r="M36" s="372"/>
      <c r="N36" s="372"/>
      <c r="O36" s="372"/>
      <c r="P36" s="372"/>
      <c r="Q36" s="372"/>
      <c r="R36" s="372"/>
      <c r="S36" s="372"/>
      <c r="T36" s="372"/>
      <c r="U36" s="372"/>
      <c r="V36" s="372"/>
      <c r="W36" s="372"/>
      <c r="X36" s="372"/>
      <c r="Y36" s="372"/>
      <c r="Z36" s="372"/>
      <c r="AA36" s="372"/>
      <c r="AB36" s="372"/>
      <c r="AC36" s="372"/>
      <c r="AD36" s="372"/>
      <c r="AE36" s="372"/>
      <c r="AF36" s="372"/>
      <c r="AG36" s="372"/>
      <c r="AH36" s="372"/>
      <c r="AI36" s="372"/>
      <c r="AJ36" s="372"/>
      <c r="AK36" s="372"/>
      <c r="AL36" s="372"/>
      <c r="AM36" s="372"/>
      <c r="AN36" s="372"/>
      <c r="AO36" s="372"/>
      <c r="AP36" s="372"/>
      <c r="AQ36" s="372"/>
      <c r="AR36" s="372"/>
      <c r="AS36" s="372"/>
      <c r="AT36" s="372"/>
      <c r="AU36" s="372"/>
      <c r="AV36" s="372"/>
      <c r="AW36" s="372"/>
      <c r="AX36" s="372"/>
      <c r="AY36" s="372"/>
      <c r="AZ36" s="372"/>
      <c r="BA36" s="372"/>
      <c r="BB36" s="372"/>
      <c r="BD36" s="1">
        <f>UsageCost[[#This Row],[Sku]]</f>
        <v>0</v>
      </c>
      <c r="BE36" s="1" t="str">
        <f>IFERROR(VLOOKUP(UsageCost[[#This Row],[Sku]],'Cloud Price List'!$A$3:M1533,8,FALSE),"-")</f>
        <v>UNIT</v>
      </c>
      <c r="BF36" s="306" t="str">
        <f ca="1">IFERROR(INDEX(INDIRECT("UsageCost["&amp;$BE$1&amp;"]"),MATCH(BD36,UsageCost[Sku],0)),"-")</f>
        <v>-</v>
      </c>
      <c r="BG36" s="373" t="str">
        <f ca="1">IFERROR(INDEX(INDIRECT("UsageQty["&amp;$BE$1&amp;"]"),MATCH(BD36,UsageQty[Sku],0)),"-")</f>
        <v>-</v>
      </c>
      <c r="BH36" s="373" t="str">
        <f ca="1">IFERROR(INDEX(INDIRECT("UsageQty["&amp;$BE$1&amp;"]"),MATCH(BD36,UsageQty[Sku],0))/IF(BE36="HR",$BH$1,1),"-")</f>
        <v>-</v>
      </c>
      <c r="BI36" s="373" t="str">
        <f t="shared" ca="1" si="1"/>
        <v>-</v>
      </c>
      <c r="BJ36" s="1">
        <f>IFERROR(VLOOKUP(UsageCost[[#This Row],[Sku]],'Cloud Price List'!$A$3:M1533,4,FALSE),"-")</f>
        <v>0</v>
      </c>
      <c r="BK36" s="413" t="str">
        <f t="shared" ca="1" si="3"/>
        <v>-</v>
      </c>
      <c r="BL36" s="409" t="str">
        <f t="shared" ca="1" si="2"/>
        <v>-</v>
      </c>
    </row>
    <row r="37" spans="2:81">
      <c r="B37" s="1" t="str">
        <f>VLOOKUP(UsageCost[[#This Row],[Sku]],'Cloud Price List'!$A$3:$M$1005,7,FALSE)</f>
        <v>Deprecated</v>
      </c>
      <c r="F37" s="372"/>
      <c r="G37" s="372"/>
      <c r="H37" s="372"/>
      <c r="I37" s="372"/>
      <c r="J37" s="372"/>
      <c r="K37" s="372"/>
      <c r="L37" s="372"/>
      <c r="M37" s="372"/>
      <c r="N37" s="372"/>
      <c r="O37" s="372"/>
      <c r="P37" s="372"/>
      <c r="Q37" s="372"/>
      <c r="R37" s="372"/>
      <c r="S37" s="372"/>
      <c r="T37" s="372"/>
      <c r="U37" s="372"/>
      <c r="V37" s="372"/>
      <c r="W37" s="372"/>
      <c r="X37" s="372"/>
      <c r="Y37" s="372"/>
      <c r="Z37" s="372"/>
      <c r="AA37" s="372"/>
      <c r="AB37" s="372"/>
      <c r="AC37" s="372"/>
      <c r="AD37" s="372"/>
      <c r="AE37" s="372"/>
      <c r="AF37" s="372"/>
      <c r="AG37" s="372"/>
      <c r="AH37" s="372"/>
      <c r="AI37" s="372"/>
      <c r="AJ37" s="372"/>
      <c r="AK37" s="372"/>
      <c r="AL37" s="372"/>
      <c r="AM37" s="372"/>
      <c r="AN37" s="372"/>
      <c r="AO37" s="372"/>
      <c r="AP37" s="372"/>
      <c r="AQ37" s="372"/>
      <c r="AR37" s="372"/>
      <c r="AS37" s="372"/>
      <c r="AT37" s="372"/>
      <c r="AU37" s="372"/>
      <c r="AV37" s="372"/>
      <c r="AW37" s="372"/>
      <c r="AX37" s="372"/>
      <c r="AY37" s="372"/>
      <c r="AZ37" s="372"/>
      <c r="BA37" s="372"/>
      <c r="BB37" s="372"/>
      <c r="BD37" s="1">
        <f>UsageCost[[#This Row],[Sku]]</f>
        <v>0</v>
      </c>
      <c r="BE37" s="1" t="str">
        <f>IFERROR(VLOOKUP(UsageCost[[#This Row],[Sku]],'Cloud Price List'!$A$3:M1534,8,FALSE),"-")</f>
        <v>UNIT</v>
      </c>
      <c r="BF37" s="306" t="str">
        <f ca="1">IFERROR(INDEX(INDIRECT("UsageCost["&amp;$BE$1&amp;"]"),MATCH(BD37,UsageCost[Sku],0)),"-")</f>
        <v>-</v>
      </c>
      <c r="BG37" s="373" t="str">
        <f ca="1">IFERROR(INDEX(INDIRECT("UsageQty["&amp;$BE$1&amp;"]"),MATCH(BD37,UsageQty[Sku],0)),"-")</f>
        <v>-</v>
      </c>
      <c r="BH37" s="373" t="str">
        <f ca="1">IFERROR(INDEX(INDIRECT("UsageQty["&amp;$BE$1&amp;"]"),MATCH(BD37,UsageQty[Sku],0))/IF(BE37="HR",$BH$1,1),"-")</f>
        <v>-</v>
      </c>
      <c r="BI37" s="373" t="str">
        <f t="shared" ca="1" si="1"/>
        <v>-</v>
      </c>
      <c r="BJ37" s="1">
        <f>IFERROR(VLOOKUP(UsageCost[[#This Row],[Sku]],'Cloud Price List'!$A$3:M1534,4,FALSE),"-")</f>
        <v>0</v>
      </c>
      <c r="BK37" s="413" t="str">
        <f t="shared" ca="1" si="3"/>
        <v>-</v>
      </c>
      <c r="BL37" s="409" t="str">
        <f t="shared" ca="1" si="2"/>
        <v>-</v>
      </c>
    </row>
    <row r="38" spans="2:81">
      <c r="B38" s="1" t="str">
        <f>VLOOKUP(UsageCost[[#This Row],[Sku]],'Cloud Price List'!$A$3:$M$1005,7,FALSE)</f>
        <v>Deprecated</v>
      </c>
      <c r="F38" s="372"/>
      <c r="G38" s="372"/>
      <c r="H38" s="372"/>
      <c r="I38" s="372"/>
      <c r="J38" s="372"/>
      <c r="K38" s="372"/>
      <c r="L38" s="372"/>
      <c r="M38" s="372"/>
      <c r="N38" s="372"/>
      <c r="O38" s="372"/>
      <c r="P38" s="372"/>
      <c r="Q38" s="372"/>
      <c r="R38" s="372"/>
      <c r="S38" s="372"/>
      <c r="T38" s="372"/>
      <c r="U38" s="372"/>
      <c r="V38" s="372"/>
      <c r="W38" s="372"/>
      <c r="X38" s="372"/>
      <c r="Y38" s="372"/>
      <c r="Z38" s="372"/>
      <c r="AA38" s="372"/>
      <c r="AB38" s="372"/>
      <c r="AC38" s="372"/>
      <c r="AD38" s="372"/>
      <c r="AE38" s="372"/>
      <c r="AF38" s="372"/>
      <c r="AG38" s="372"/>
      <c r="AH38" s="372"/>
      <c r="AI38" s="372"/>
      <c r="AJ38" s="372"/>
      <c r="AK38" s="372"/>
      <c r="AL38" s="372"/>
      <c r="AM38" s="372"/>
      <c r="AN38" s="372"/>
      <c r="AO38" s="372"/>
      <c r="AP38" s="372"/>
      <c r="AQ38" s="372"/>
      <c r="AR38" s="372"/>
      <c r="AS38" s="372"/>
      <c r="AT38" s="372"/>
      <c r="AU38" s="372"/>
      <c r="AV38" s="372"/>
      <c r="AW38" s="372"/>
      <c r="AX38" s="372"/>
      <c r="AY38" s="372"/>
      <c r="AZ38" s="372"/>
      <c r="BA38" s="372"/>
      <c r="BB38" s="372"/>
      <c r="BD38" s="1">
        <f>UsageCost[[#This Row],[Sku]]</f>
        <v>0</v>
      </c>
      <c r="BE38" s="1" t="str">
        <f>IFERROR(VLOOKUP(UsageCost[[#This Row],[Sku]],'Cloud Price List'!$A$3:M1535,8,FALSE),"-")</f>
        <v>UNIT</v>
      </c>
      <c r="BF38" s="306" t="str">
        <f ca="1">IFERROR(INDEX(INDIRECT("UsageCost["&amp;$BE$1&amp;"]"),MATCH(BD38,UsageCost[Sku],0)),"-")</f>
        <v>-</v>
      </c>
      <c r="BG38" s="373" t="str">
        <f ca="1">IFERROR(INDEX(INDIRECT("UsageQty["&amp;$BE$1&amp;"]"),MATCH(BD38,UsageQty[Sku],0)),"-")</f>
        <v>-</v>
      </c>
      <c r="BH38" s="373" t="str">
        <f ca="1">IFERROR(INDEX(INDIRECT("UsageQty["&amp;$BE$1&amp;"]"),MATCH(BD38,UsageQty[Sku],0))/IF(BE38="HR",$BH$1,1),"-")</f>
        <v>-</v>
      </c>
      <c r="BI38" s="373" t="str">
        <f t="shared" ca="1" si="1"/>
        <v>-</v>
      </c>
      <c r="BJ38" s="1">
        <f>IFERROR(VLOOKUP(UsageCost[[#This Row],[Sku]],'Cloud Price List'!$A$3:M1535,4,FALSE),"-")</f>
        <v>0</v>
      </c>
      <c r="BK38" s="413" t="str">
        <f t="shared" ca="1" si="3"/>
        <v>-</v>
      </c>
      <c r="BL38" s="409" t="str">
        <f t="shared" ca="1" si="2"/>
        <v>-</v>
      </c>
    </row>
    <row r="39" spans="2:81">
      <c r="B39" s="1" t="str">
        <f>VLOOKUP(UsageCost[[#This Row],[Sku]],'Cloud Price List'!$A$3:$M$1005,7,FALSE)</f>
        <v>Deprecated</v>
      </c>
      <c r="F39" s="372"/>
      <c r="G39" s="372"/>
      <c r="H39" s="372"/>
      <c r="I39" s="372"/>
      <c r="J39" s="372"/>
      <c r="K39" s="372"/>
      <c r="L39" s="372"/>
      <c r="M39" s="372"/>
      <c r="N39" s="372"/>
      <c r="O39" s="372"/>
      <c r="P39" s="372"/>
      <c r="Q39" s="372"/>
      <c r="R39" s="372"/>
      <c r="S39" s="372"/>
      <c r="T39" s="372"/>
      <c r="U39" s="372"/>
      <c r="V39" s="372"/>
      <c r="W39" s="372"/>
      <c r="X39" s="372"/>
      <c r="Y39" s="372"/>
      <c r="Z39" s="372"/>
      <c r="AA39" s="372"/>
      <c r="AB39" s="372"/>
      <c r="AC39" s="372"/>
      <c r="AD39" s="372"/>
      <c r="AE39" s="372"/>
      <c r="AF39" s="372"/>
      <c r="AG39" s="372"/>
      <c r="AH39" s="372"/>
      <c r="AI39" s="372"/>
      <c r="AJ39" s="372"/>
      <c r="AK39" s="372"/>
      <c r="AL39" s="372"/>
      <c r="AM39" s="372"/>
      <c r="AN39" s="372"/>
      <c r="AO39" s="372"/>
      <c r="AP39" s="372"/>
      <c r="AQ39" s="372"/>
      <c r="AR39" s="372"/>
      <c r="AS39" s="372"/>
      <c r="AT39" s="372"/>
      <c r="AU39" s="372"/>
      <c r="AV39" s="372"/>
      <c r="AW39" s="372"/>
      <c r="AX39" s="372"/>
      <c r="AY39" s="372"/>
      <c r="AZ39" s="372"/>
      <c r="BA39" s="372"/>
      <c r="BB39" s="372"/>
      <c r="BD39" s="1">
        <f>UsageCost[[#This Row],[Sku]]</f>
        <v>0</v>
      </c>
      <c r="BE39" s="1" t="str">
        <f>IFERROR(VLOOKUP(UsageCost[[#This Row],[Sku]],'Cloud Price List'!$A$3:M1536,8,FALSE),"-")</f>
        <v>UNIT</v>
      </c>
      <c r="BF39" s="306" t="str">
        <f ca="1">IFERROR(INDEX(INDIRECT("UsageCost["&amp;$BE$1&amp;"]"),MATCH(BD39,UsageCost[Sku],0)),"-")</f>
        <v>-</v>
      </c>
      <c r="BG39" s="373" t="str">
        <f ca="1">IFERROR(INDEX(INDIRECT("UsageQty["&amp;$BE$1&amp;"]"),MATCH(BD39,UsageQty[Sku],0)),"-")</f>
        <v>-</v>
      </c>
      <c r="BH39" s="373" t="str">
        <f ca="1">IFERROR(INDEX(INDIRECT("UsageQty["&amp;$BE$1&amp;"]"),MATCH(BD39,UsageQty[Sku],0))/IF(BE39="HR",$BH$1,1),"-")</f>
        <v>-</v>
      </c>
      <c r="BI39" s="373" t="str">
        <f t="shared" ca="1" si="1"/>
        <v>-</v>
      </c>
      <c r="BJ39" s="1">
        <f>IFERROR(VLOOKUP(UsageCost[[#This Row],[Sku]],'Cloud Price List'!$A$3:M1536,4,FALSE),"-")</f>
        <v>0</v>
      </c>
      <c r="BK39" s="413" t="str">
        <f t="shared" ca="1" si="3"/>
        <v>-</v>
      </c>
      <c r="BL39" s="409" t="str">
        <f t="shared" ca="1" si="2"/>
        <v>-</v>
      </c>
    </row>
    <row r="40" spans="2:81">
      <c r="B40" s="1" t="str">
        <f>VLOOKUP(UsageCost[[#This Row],[Sku]],'Cloud Price List'!$A$3:$M$1005,7,FALSE)</f>
        <v>Deprecated</v>
      </c>
      <c r="F40" s="372"/>
      <c r="G40" s="372"/>
      <c r="H40" s="372"/>
      <c r="I40" s="372"/>
      <c r="J40" s="372"/>
      <c r="K40" s="372"/>
      <c r="L40" s="372"/>
      <c r="M40" s="372"/>
      <c r="N40" s="372"/>
      <c r="O40" s="372"/>
      <c r="P40" s="372"/>
      <c r="Q40" s="372"/>
      <c r="R40" s="372"/>
      <c r="S40" s="372"/>
      <c r="T40" s="372"/>
      <c r="U40" s="372"/>
      <c r="V40" s="372"/>
      <c r="W40" s="372"/>
      <c r="X40" s="372"/>
      <c r="Y40" s="372"/>
      <c r="Z40" s="372"/>
      <c r="AA40" s="372"/>
      <c r="AB40" s="372"/>
      <c r="AC40" s="372"/>
      <c r="AD40" s="372"/>
      <c r="AE40" s="372"/>
      <c r="AF40" s="372"/>
      <c r="AG40" s="372"/>
      <c r="AH40" s="372"/>
      <c r="AI40" s="372"/>
      <c r="AJ40" s="372"/>
      <c r="AK40" s="372"/>
      <c r="AL40" s="372"/>
      <c r="AM40" s="372"/>
      <c r="AN40" s="372"/>
      <c r="AO40" s="372"/>
      <c r="AP40" s="372"/>
      <c r="AQ40" s="372"/>
      <c r="AR40" s="372"/>
      <c r="AS40" s="372"/>
      <c r="AT40" s="372"/>
      <c r="AU40" s="372"/>
      <c r="AV40" s="372"/>
      <c r="AW40" s="372"/>
      <c r="AX40" s="372"/>
      <c r="AY40" s="372"/>
      <c r="AZ40" s="372"/>
      <c r="BA40" s="372"/>
      <c r="BB40" s="372"/>
      <c r="BD40" s="1">
        <f>UsageCost[[#This Row],[Sku]]</f>
        <v>0</v>
      </c>
      <c r="BE40" s="1" t="str">
        <f>IFERROR(VLOOKUP(UsageCost[[#This Row],[Sku]],'Cloud Price List'!$A$3:M1537,8,FALSE),"-")</f>
        <v>UNIT</v>
      </c>
      <c r="BF40" s="306" t="str">
        <f ca="1">IFERROR(INDEX(INDIRECT("UsageCost["&amp;$BE$1&amp;"]"),MATCH(BD40,UsageCost[Sku],0)),"-")</f>
        <v>-</v>
      </c>
      <c r="BG40" s="373" t="str">
        <f ca="1">IFERROR(INDEX(INDIRECT("UsageQty["&amp;$BE$1&amp;"]"),MATCH(BD40,UsageQty[Sku],0)),"-")</f>
        <v>-</v>
      </c>
      <c r="BH40" s="373" t="str">
        <f ca="1">IFERROR(INDEX(INDIRECT("UsageQty["&amp;$BE$1&amp;"]"),MATCH(BD40,UsageQty[Sku],0))/IF(BE40="HR",$BH$1,1),"-")</f>
        <v>-</v>
      </c>
      <c r="BI40" s="373" t="str">
        <f t="shared" ca="1" si="1"/>
        <v>-</v>
      </c>
      <c r="BJ40" s="1">
        <f>IFERROR(VLOOKUP(UsageCost[[#This Row],[Sku]],'Cloud Price List'!$A$3:M1537,4,FALSE),"-")</f>
        <v>0</v>
      </c>
      <c r="BK40" s="413" t="str">
        <f t="shared" ca="1" si="3"/>
        <v>-</v>
      </c>
      <c r="BL40" s="409" t="str">
        <f t="shared" ca="1" si="2"/>
        <v>-</v>
      </c>
    </row>
    <row r="41" spans="2:81">
      <c r="B41" s="1" t="str">
        <f>VLOOKUP(UsageCost[[#This Row],[Sku]],'Cloud Price List'!$A$3:$M$1005,7,FALSE)</f>
        <v>Deprecated</v>
      </c>
      <c r="F41" s="372"/>
      <c r="G41" s="372"/>
      <c r="H41" s="372"/>
      <c r="I41" s="372"/>
      <c r="J41" s="372"/>
      <c r="K41" s="372"/>
      <c r="L41" s="372"/>
      <c r="M41" s="372"/>
      <c r="N41" s="372"/>
      <c r="O41" s="372"/>
      <c r="P41" s="372"/>
      <c r="Q41" s="372"/>
      <c r="R41" s="372"/>
      <c r="S41" s="372"/>
      <c r="T41" s="372"/>
      <c r="U41" s="372"/>
      <c r="V41" s="372"/>
      <c r="W41" s="372"/>
      <c r="X41" s="372"/>
      <c r="Y41" s="372"/>
      <c r="Z41" s="372"/>
      <c r="AA41" s="372"/>
      <c r="AB41" s="372"/>
      <c r="AC41" s="372"/>
      <c r="AD41" s="372"/>
      <c r="AE41" s="372"/>
      <c r="AF41" s="372"/>
      <c r="AG41" s="372"/>
      <c r="AH41" s="372"/>
      <c r="AI41" s="372"/>
      <c r="AJ41" s="372"/>
      <c r="AK41" s="372"/>
      <c r="AL41" s="372"/>
      <c r="AM41" s="372"/>
      <c r="AN41" s="372"/>
      <c r="AO41" s="372"/>
      <c r="AP41" s="372"/>
      <c r="AQ41" s="372"/>
      <c r="AR41" s="372"/>
      <c r="AS41" s="372"/>
      <c r="AT41" s="372"/>
      <c r="AU41" s="372"/>
      <c r="AV41" s="372"/>
      <c r="AW41" s="372"/>
      <c r="AX41" s="372"/>
      <c r="AY41" s="372"/>
      <c r="AZ41" s="372"/>
      <c r="BA41" s="372"/>
      <c r="BB41" s="372"/>
      <c r="BD41" s="1">
        <f>UsageCost[[#This Row],[Sku]]</f>
        <v>0</v>
      </c>
      <c r="BE41" s="1" t="str">
        <f>IFERROR(VLOOKUP(UsageCost[[#This Row],[Sku]],'Cloud Price List'!$A$3:M1538,8,FALSE),"-")</f>
        <v>UNIT</v>
      </c>
      <c r="BF41" s="306" t="str">
        <f ca="1">IFERROR(INDEX(INDIRECT("UsageCost["&amp;$BE$1&amp;"]"),MATCH(BD41,UsageCost[Sku],0)),"-")</f>
        <v>-</v>
      </c>
      <c r="BG41" s="373" t="str">
        <f ca="1">IFERROR(INDEX(INDIRECT("UsageQty["&amp;$BE$1&amp;"]"),MATCH(BD41,UsageQty[Sku],0)),"-")</f>
        <v>-</v>
      </c>
      <c r="BH41" s="373" t="str">
        <f ca="1">IFERROR(INDEX(INDIRECT("UsageQty["&amp;$BE$1&amp;"]"),MATCH(BD41,UsageQty[Sku],0))/IF(BE41="HR",$BH$1,1),"-")</f>
        <v>-</v>
      </c>
      <c r="BI41" s="373" t="str">
        <f t="shared" ca="1" si="1"/>
        <v>-</v>
      </c>
      <c r="BJ41" s="1">
        <f>IFERROR(VLOOKUP(UsageCost[[#This Row],[Sku]],'Cloud Price List'!$A$3:M1538,4,FALSE),"-")</f>
        <v>0</v>
      </c>
      <c r="BK41" s="413" t="str">
        <f t="shared" ca="1" si="3"/>
        <v>-</v>
      </c>
      <c r="BL41" s="409" t="str">
        <f t="shared" ca="1" si="2"/>
        <v>-</v>
      </c>
    </row>
    <row r="42" spans="2:81">
      <c r="B42" s="1" t="str">
        <f>VLOOKUP(UsageCost[[#This Row],[Sku]],'Cloud Price List'!$A$3:$M$1005,7,FALSE)</f>
        <v>Deprecated</v>
      </c>
      <c r="F42" s="372"/>
      <c r="G42" s="372"/>
      <c r="H42" s="372"/>
      <c r="I42" s="372"/>
      <c r="J42" s="372"/>
      <c r="K42" s="372"/>
      <c r="L42" s="372"/>
      <c r="M42" s="372"/>
      <c r="N42" s="372"/>
      <c r="O42" s="372"/>
      <c r="P42" s="372"/>
      <c r="Q42" s="372"/>
      <c r="R42" s="372"/>
      <c r="S42" s="372"/>
      <c r="T42" s="372"/>
      <c r="U42" s="372"/>
      <c r="V42" s="372"/>
      <c r="W42" s="372"/>
      <c r="X42" s="372"/>
      <c r="Y42" s="372"/>
      <c r="Z42" s="372"/>
      <c r="AA42" s="372"/>
      <c r="AB42" s="372"/>
      <c r="AC42" s="372"/>
      <c r="AD42" s="372"/>
      <c r="AE42" s="372"/>
      <c r="AF42" s="372"/>
      <c r="AG42" s="372"/>
      <c r="AH42" s="372"/>
      <c r="AI42" s="372"/>
      <c r="AJ42" s="372"/>
      <c r="AK42" s="372"/>
      <c r="AL42" s="372"/>
      <c r="AM42" s="372"/>
      <c r="AN42" s="372"/>
      <c r="AO42" s="372"/>
      <c r="AP42" s="372"/>
      <c r="AQ42" s="372"/>
      <c r="AR42" s="372"/>
      <c r="AS42" s="372"/>
      <c r="AT42" s="372"/>
      <c r="AU42" s="372"/>
      <c r="AV42" s="372"/>
      <c r="AW42" s="372"/>
      <c r="AX42" s="372"/>
      <c r="AY42" s="372"/>
      <c r="AZ42" s="372"/>
      <c r="BA42" s="372"/>
      <c r="BB42" s="372"/>
      <c r="BD42" s="1">
        <f>UsageCost[[#This Row],[Sku]]</f>
        <v>0</v>
      </c>
      <c r="BE42" s="1" t="str">
        <f>IFERROR(VLOOKUP(UsageCost[[#This Row],[Sku]],'Cloud Price List'!$A$3:M1539,8,FALSE),"-")</f>
        <v>UNIT</v>
      </c>
      <c r="BF42" s="306" t="str">
        <f ca="1">IFERROR(INDEX(INDIRECT("UsageCost["&amp;$BE$1&amp;"]"),MATCH(BD42,UsageCost[Sku],0)),"-")</f>
        <v>-</v>
      </c>
      <c r="BG42" s="373" t="str">
        <f ca="1">IFERROR(INDEX(INDIRECT("UsageQty["&amp;$BE$1&amp;"]"),MATCH(BD42,UsageQty[Sku],0)),"-")</f>
        <v>-</v>
      </c>
      <c r="BH42" s="373" t="str">
        <f ca="1">IFERROR(INDEX(INDIRECT("UsageQty["&amp;$BE$1&amp;"]"),MATCH(BD42,UsageQty[Sku],0))/IF(BE42="HR",$BH$1,1),"-")</f>
        <v>-</v>
      </c>
      <c r="BI42" s="373" t="str">
        <f t="shared" ca="1" si="1"/>
        <v>-</v>
      </c>
      <c r="BJ42" s="1">
        <f>IFERROR(VLOOKUP(UsageCost[[#This Row],[Sku]],'Cloud Price List'!$A$3:M1539,4,FALSE),"-")</f>
        <v>0</v>
      </c>
      <c r="BK42" s="413" t="str">
        <f t="shared" ca="1" si="3"/>
        <v>-</v>
      </c>
      <c r="BL42" s="409" t="str">
        <f t="shared" ca="1" si="2"/>
        <v>-</v>
      </c>
    </row>
    <row r="43" spans="2:81">
      <c r="B43" s="1" t="str">
        <f>VLOOKUP(UsageCost[[#This Row],[Sku]],'Cloud Price List'!$A$3:$M$1005,7,FALSE)</f>
        <v>Deprecated</v>
      </c>
      <c r="F43" s="372"/>
      <c r="G43" s="372"/>
      <c r="H43" s="372"/>
      <c r="I43" s="372"/>
      <c r="J43" s="372"/>
      <c r="K43" s="372"/>
      <c r="L43" s="372"/>
      <c r="M43" s="372"/>
      <c r="N43" s="372"/>
      <c r="O43" s="372"/>
      <c r="P43" s="372"/>
      <c r="Q43" s="372"/>
      <c r="R43" s="372"/>
      <c r="S43" s="372"/>
      <c r="T43" s="372"/>
      <c r="U43" s="372"/>
      <c r="V43" s="372"/>
      <c r="W43" s="372"/>
      <c r="X43" s="372"/>
      <c r="Y43" s="372"/>
      <c r="Z43" s="372"/>
      <c r="AA43" s="372"/>
      <c r="AB43" s="372"/>
      <c r="AC43" s="372"/>
      <c r="AD43" s="372"/>
      <c r="AE43" s="372"/>
      <c r="AF43" s="372"/>
      <c r="AG43" s="372"/>
      <c r="AH43" s="372"/>
      <c r="AI43" s="372"/>
      <c r="AJ43" s="372"/>
      <c r="AK43" s="372"/>
      <c r="AL43" s="372"/>
      <c r="AM43" s="372"/>
      <c r="AN43" s="372"/>
      <c r="AO43" s="372"/>
      <c r="AP43" s="372"/>
      <c r="AQ43" s="372"/>
      <c r="AR43" s="372"/>
      <c r="AS43" s="372"/>
      <c r="AT43" s="372"/>
      <c r="AU43" s="372"/>
      <c r="AV43" s="372"/>
      <c r="AW43" s="372"/>
      <c r="AX43" s="372"/>
      <c r="AY43" s="372"/>
      <c r="AZ43" s="372"/>
      <c r="BA43" s="372"/>
      <c r="BB43" s="372"/>
      <c r="BD43" s="1">
        <f>UsageCost[[#This Row],[Sku]]</f>
        <v>0</v>
      </c>
      <c r="BE43" s="1" t="str">
        <f>IFERROR(VLOOKUP(UsageCost[[#This Row],[Sku]],'Cloud Price List'!$A$3:M1540,8,FALSE),"-")</f>
        <v>UNIT</v>
      </c>
      <c r="BF43" s="306" t="str">
        <f ca="1">IFERROR(INDEX(INDIRECT("UsageCost["&amp;$BE$1&amp;"]"),MATCH(BD43,UsageCost[Sku],0)),"-")</f>
        <v>-</v>
      </c>
      <c r="BG43" s="373" t="str">
        <f ca="1">IFERROR(INDEX(INDIRECT("UsageQty["&amp;$BE$1&amp;"]"),MATCH(BD43,UsageQty[Sku],0)),"-")</f>
        <v>-</v>
      </c>
      <c r="BH43" s="373" t="str">
        <f ca="1">IFERROR(INDEX(INDIRECT("UsageQty["&amp;$BE$1&amp;"]"),MATCH(BD43,UsageQty[Sku],0))/IF(BE43="HR",$BH$1,1),"-")</f>
        <v>-</v>
      </c>
      <c r="BI43" s="373" t="str">
        <f t="shared" ca="1" si="1"/>
        <v>-</v>
      </c>
      <c r="BJ43" s="1">
        <f>IFERROR(VLOOKUP(UsageCost[[#This Row],[Sku]],'Cloud Price List'!$A$3:M1540,4,FALSE),"-")</f>
        <v>0</v>
      </c>
      <c r="BK43" s="413" t="str">
        <f t="shared" ca="1" si="3"/>
        <v>-</v>
      </c>
      <c r="BL43" s="409" t="str">
        <f t="shared" ca="1" si="2"/>
        <v>-</v>
      </c>
    </row>
    <row r="45" spans="2:81" s="12" customFormat="1">
      <c r="G45" s="404">
        <v>42887</v>
      </c>
      <c r="H45" s="404">
        <v>42917</v>
      </c>
      <c r="I45" s="404">
        <v>42948</v>
      </c>
      <c r="J45" s="404">
        <v>42979</v>
      </c>
      <c r="K45" s="404">
        <v>43009</v>
      </c>
      <c r="L45" s="404">
        <v>43040</v>
      </c>
      <c r="M45" s="404">
        <v>43070</v>
      </c>
      <c r="N45" s="404">
        <v>43101</v>
      </c>
      <c r="O45" s="404">
        <v>43132</v>
      </c>
      <c r="P45" s="404">
        <v>43160</v>
      </c>
      <c r="Q45" s="404">
        <v>43191</v>
      </c>
      <c r="R45" s="404">
        <v>43221</v>
      </c>
      <c r="S45" s="404">
        <v>43252</v>
      </c>
      <c r="T45" s="404">
        <v>43282</v>
      </c>
      <c r="U45" s="404">
        <v>43313</v>
      </c>
      <c r="V45" s="404">
        <v>43344</v>
      </c>
      <c r="W45" s="404">
        <v>43374</v>
      </c>
      <c r="X45" s="404">
        <v>43405</v>
      </c>
      <c r="Y45" s="404">
        <v>43435</v>
      </c>
      <c r="Z45" s="404">
        <v>43466</v>
      </c>
      <c r="AA45" s="404">
        <v>43497</v>
      </c>
      <c r="AB45" s="404">
        <v>43525</v>
      </c>
      <c r="AC45" s="404">
        <v>43556</v>
      </c>
      <c r="AD45" s="404">
        <v>43586</v>
      </c>
      <c r="AE45" s="404">
        <v>43617</v>
      </c>
      <c r="AF45" s="404">
        <v>43647</v>
      </c>
      <c r="AG45" s="404">
        <v>43678</v>
      </c>
      <c r="AH45" s="404">
        <v>43709</v>
      </c>
      <c r="AI45" s="404">
        <v>43739</v>
      </c>
      <c r="AJ45" s="404">
        <v>43770</v>
      </c>
      <c r="AK45" s="404">
        <v>43800</v>
      </c>
      <c r="AL45" s="404">
        <v>43831</v>
      </c>
      <c r="AM45" s="404">
        <v>43862</v>
      </c>
      <c r="AN45" s="404">
        <v>43891</v>
      </c>
      <c r="AO45" s="404">
        <v>43922</v>
      </c>
      <c r="AP45" s="404">
        <v>43952</v>
      </c>
      <c r="AQ45" s="404">
        <v>43983</v>
      </c>
      <c r="AR45" s="404">
        <v>44013</v>
      </c>
      <c r="AS45" s="404">
        <v>44044</v>
      </c>
      <c r="AT45" s="404">
        <v>44075</v>
      </c>
      <c r="AU45" s="404">
        <v>44105</v>
      </c>
      <c r="AV45" s="404">
        <v>44136</v>
      </c>
      <c r="AW45" s="404">
        <v>44166</v>
      </c>
      <c r="AX45" s="404">
        <v>44197</v>
      </c>
      <c r="AY45" s="404">
        <v>44228</v>
      </c>
      <c r="AZ45" s="404">
        <v>44256</v>
      </c>
      <c r="BA45" s="404">
        <v>44287</v>
      </c>
      <c r="BB45" s="404">
        <v>44317</v>
      </c>
      <c r="BC45" s="404"/>
      <c r="BD45" s="404"/>
      <c r="BE45" s="404"/>
      <c r="BF45" s="454"/>
      <c r="BG45" s="408"/>
      <c r="BH45" s="408"/>
      <c r="BI45" s="408"/>
      <c r="BJ45" s="404"/>
      <c r="BK45" s="414"/>
      <c r="BL45" s="410"/>
      <c r="BM45" s="404"/>
      <c r="BN45" s="404"/>
      <c r="BO45" s="404"/>
      <c r="BP45" s="404"/>
      <c r="BQ45" s="404"/>
      <c r="BR45" s="404"/>
      <c r="BS45" s="404"/>
      <c r="BT45" s="404"/>
      <c r="BU45" s="404"/>
      <c r="BV45" s="404"/>
      <c r="BW45" s="404"/>
      <c r="BX45" s="404"/>
      <c r="BY45" s="404"/>
      <c r="BZ45" s="404"/>
      <c r="CA45" s="404"/>
      <c r="CB45" s="404"/>
      <c r="CC45" s="404"/>
    </row>
    <row r="46" spans="2:81" s="12" customFormat="1">
      <c r="G46" s="404"/>
      <c r="H46" s="404"/>
      <c r="I46" s="404"/>
      <c r="J46" s="404"/>
      <c r="K46" s="404"/>
      <c r="L46" s="404"/>
      <c r="M46" s="404"/>
      <c r="N46" s="404"/>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c r="AV46" s="404"/>
      <c r="AW46" s="404"/>
      <c r="AX46" s="404"/>
      <c r="AY46" s="404"/>
      <c r="AZ46" s="404"/>
      <c r="BA46" s="404"/>
      <c r="BB46" s="404"/>
      <c r="BC46" s="404"/>
      <c r="BD46" s="404"/>
      <c r="BE46" s="404"/>
      <c r="BF46" s="454"/>
      <c r="BG46" s="408"/>
      <c r="BH46" s="408"/>
      <c r="BI46" s="408"/>
      <c r="BJ46" s="404"/>
      <c r="BK46" s="414"/>
      <c r="BL46" s="410"/>
      <c r="BM46" s="404"/>
      <c r="BN46" s="404"/>
      <c r="BO46" s="404"/>
      <c r="BP46" s="404"/>
      <c r="BQ46" s="404"/>
      <c r="BR46" s="404"/>
      <c r="BS46" s="404"/>
      <c r="BT46" s="404"/>
      <c r="BU46" s="404"/>
      <c r="BV46" s="404"/>
      <c r="BW46" s="404"/>
      <c r="BX46" s="404"/>
      <c r="BY46" s="404"/>
      <c r="BZ46" s="404"/>
      <c r="CA46" s="404"/>
      <c r="CB46" s="404"/>
      <c r="CC46" s="404"/>
    </row>
    <row r="47" spans="2:81" s="372" customFormat="1">
      <c r="D47" s="372" t="s">
        <v>2028</v>
      </c>
      <c r="G47" s="372">
        <f t="shared" ref="G47:AP47" si="4">SUM(G3:G44)</f>
        <v>0</v>
      </c>
      <c r="H47" s="372">
        <f t="shared" si="4"/>
        <v>0</v>
      </c>
      <c r="I47" s="372">
        <f t="shared" si="4"/>
        <v>0</v>
      </c>
      <c r="J47" s="372">
        <f t="shared" si="4"/>
        <v>0</v>
      </c>
      <c r="K47" s="372">
        <f t="shared" si="4"/>
        <v>0</v>
      </c>
      <c r="L47" s="372">
        <f t="shared" si="4"/>
        <v>0</v>
      </c>
      <c r="M47" s="372">
        <f t="shared" si="4"/>
        <v>0</v>
      </c>
      <c r="N47" s="372">
        <f t="shared" si="4"/>
        <v>0</v>
      </c>
      <c r="O47" s="372">
        <f t="shared" si="4"/>
        <v>0</v>
      </c>
      <c r="P47" s="372">
        <f t="shared" si="4"/>
        <v>0</v>
      </c>
      <c r="Q47" s="372">
        <f t="shared" si="4"/>
        <v>0</v>
      </c>
      <c r="R47" s="372">
        <f t="shared" si="4"/>
        <v>0</v>
      </c>
      <c r="S47" s="372">
        <f t="shared" si="4"/>
        <v>0</v>
      </c>
      <c r="T47" s="372">
        <f t="shared" si="4"/>
        <v>0</v>
      </c>
      <c r="U47" s="372">
        <f t="shared" si="4"/>
        <v>0</v>
      </c>
      <c r="V47" s="372">
        <f t="shared" si="4"/>
        <v>0</v>
      </c>
      <c r="W47" s="372">
        <f t="shared" si="4"/>
        <v>0</v>
      </c>
      <c r="X47" s="372">
        <f t="shared" si="4"/>
        <v>0</v>
      </c>
      <c r="Y47" s="372">
        <f t="shared" si="4"/>
        <v>0</v>
      </c>
      <c r="Z47" s="372">
        <f t="shared" si="4"/>
        <v>0</v>
      </c>
      <c r="AA47" s="372">
        <f t="shared" si="4"/>
        <v>0</v>
      </c>
      <c r="AB47" s="372">
        <f t="shared" si="4"/>
        <v>0</v>
      </c>
      <c r="AC47" s="372">
        <f t="shared" si="4"/>
        <v>0</v>
      </c>
      <c r="AD47" s="372">
        <f t="shared" si="4"/>
        <v>0</v>
      </c>
      <c r="AE47" s="372">
        <f t="shared" si="4"/>
        <v>0</v>
      </c>
      <c r="AF47" s="372">
        <f t="shared" si="4"/>
        <v>0</v>
      </c>
      <c r="AG47" s="372">
        <f t="shared" si="4"/>
        <v>0</v>
      </c>
      <c r="AH47" s="372">
        <f t="shared" si="4"/>
        <v>0</v>
      </c>
      <c r="AI47" s="372">
        <f t="shared" si="4"/>
        <v>0</v>
      </c>
      <c r="AJ47" s="372">
        <f t="shared" si="4"/>
        <v>0</v>
      </c>
      <c r="AK47" s="372">
        <f t="shared" si="4"/>
        <v>0</v>
      </c>
      <c r="AL47" s="372">
        <f t="shared" si="4"/>
        <v>0</v>
      </c>
      <c r="AM47" s="372">
        <f t="shared" si="4"/>
        <v>0</v>
      </c>
      <c r="AN47" s="372">
        <f t="shared" si="4"/>
        <v>0</v>
      </c>
      <c r="AO47" s="372">
        <f t="shared" si="4"/>
        <v>0</v>
      </c>
      <c r="AP47" s="372">
        <f t="shared" si="4"/>
        <v>0</v>
      </c>
      <c r="AQ47" s="372">
        <f t="shared" ref="AQ47:BB47" si="5">SUM(AQ3:AQ44)</f>
        <v>0</v>
      </c>
      <c r="AR47" s="372">
        <f t="shared" si="5"/>
        <v>0</v>
      </c>
      <c r="AS47" s="372">
        <f t="shared" si="5"/>
        <v>0</v>
      </c>
      <c r="AT47" s="372">
        <f t="shared" si="5"/>
        <v>0</v>
      </c>
      <c r="AU47" s="372">
        <f t="shared" si="5"/>
        <v>0</v>
      </c>
      <c r="AV47" s="372">
        <f t="shared" si="5"/>
        <v>0</v>
      </c>
      <c r="AW47" s="372">
        <f t="shared" si="5"/>
        <v>0</v>
      </c>
      <c r="AX47" s="372">
        <f t="shared" si="5"/>
        <v>0</v>
      </c>
      <c r="AY47" s="372">
        <f t="shared" si="5"/>
        <v>0</v>
      </c>
      <c r="AZ47" s="372">
        <f t="shared" si="5"/>
        <v>0</v>
      </c>
      <c r="BA47" s="372">
        <f t="shared" si="5"/>
        <v>0</v>
      </c>
      <c r="BB47" s="372">
        <f t="shared" si="5"/>
        <v>0</v>
      </c>
      <c r="BF47" s="306"/>
    </row>
    <row r="48" spans="2:81" s="372" customFormat="1">
      <c r="D48" s="372" t="s">
        <v>1132</v>
      </c>
      <c r="G48" s="372">
        <f>E48</f>
        <v>0</v>
      </c>
      <c r="H48" s="372">
        <f t="shared" ref="H48:AP48" si="6">G48</f>
        <v>0</v>
      </c>
      <c r="I48" s="372">
        <f t="shared" si="6"/>
        <v>0</v>
      </c>
      <c r="J48" s="372">
        <f t="shared" si="6"/>
        <v>0</v>
      </c>
      <c r="K48" s="372">
        <f t="shared" si="6"/>
        <v>0</v>
      </c>
      <c r="L48" s="372">
        <f t="shared" si="6"/>
        <v>0</v>
      </c>
      <c r="M48" s="372">
        <f t="shared" si="6"/>
        <v>0</v>
      </c>
      <c r="N48" s="372">
        <f t="shared" si="6"/>
        <v>0</v>
      </c>
      <c r="O48" s="372">
        <f t="shared" si="6"/>
        <v>0</v>
      </c>
      <c r="P48" s="372">
        <f t="shared" si="6"/>
        <v>0</v>
      </c>
      <c r="Q48" s="372">
        <f t="shared" si="6"/>
        <v>0</v>
      </c>
      <c r="R48" s="372">
        <f t="shared" si="6"/>
        <v>0</v>
      </c>
      <c r="S48" s="372">
        <f t="shared" si="6"/>
        <v>0</v>
      </c>
      <c r="T48" s="372">
        <f t="shared" si="6"/>
        <v>0</v>
      </c>
      <c r="U48" s="372">
        <f t="shared" si="6"/>
        <v>0</v>
      </c>
      <c r="V48" s="372">
        <f t="shared" si="6"/>
        <v>0</v>
      </c>
      <c r="W48" s="372">
        <f t="shared" si="6"/>
        <v>0</v>
      </c>
      <c r="X48" s="372">
        <f t="shared" si="6"/>
        <v>0</v>
      </c>
      <c r="Y48" s="372">
        <f t="shared" si="6"/>
        <v>0</v>
      </c>
      <c r="Z48" s="372">
        <f t="shared" si="6"/>
        <v>0</v>
      </c>
      <c r="AA48" s="372">
        <f t="shared" si="6"/>
        <v>0</v>
      </c>
      <c r="AB48" s="372">
        <f t="shared" si="6"/>
        <v>0</v>
      </c>
      <c r="AC48" s="372">
        <f t="shared" si="6"/>
        <v>0</v>
      </c>
      <c r="AD48" s="372">
        <f t="shared" si="6"/>
        <v>0</v>
      </c>
      <c r="AE48" s="372">
        <f t="shared" si="6"/>
        <v>0</v>
      </c>
      <c r="AF48" s="372">
        <f t="shared" si="6"/>
        <v>0</v>
      </c>
      <c r="AG48" s="372">
        <f t="shared" si="6"/>
        <v>0</v>
      </c>
      <c r="AH48" s="372">
        <f t="shared" si="6"/>
        <v>0</v>
      </c>
      <c r="AI48" s="372">
        <f t="shared" si="6"/>
        <v>0</v>
      </c>
      <c r="AJ48" s="372">
        <f t="shared" si="6"/>
        <v>0</v>
      </c>
      <c r="AK48" s="372">
        <f t="shared" si="6"/>
        <v>0</v>
      </c>
      <c r="AL48" s="372">
        <f t="shared" si="6"/>
        <v>0</v>
      </c>
      <c r="AM48" s="372">
        <f t="shared" si="6"/>
        <v>0</v>
      </c>
      <c r="AN48" s="372">
        <f t="shared" si="6"/>
        <v>0</v>
      </c>
      <c r="AO48" s="372">
        <f t="shared" si="6"/>
        <v>0</v>
      </c>
      <c r="AP48" s="372">
        <f t="shared" si="6"/>
        <v>0</v>
      </c>
      <c r="AQ48" s="372">
        <f t="shared" ref="AQ48" si="7">AP48</f>
        <v>0</v>
      </c>
      <c r="AR48" s="372">
        <f t="shared" ref="AR48" si="8">AQ48</f>
        <v>0</v>
      </c>
      <c r="AS48" s="372">
        <f t="shared" ref="AS48" si="9">AR48</f>
        <v>0</v>
      </c>
      <c r="AT48" s="372">
        <f t="shared" ref="AT48" si="10">AS48</f>
        <v>0</v>
      </c>
      <c r="AU48" s="372">
        <f t="shared" ref="AU48" si="11">AT48</f>
        <v>0</v>
      </c>
      <c r="AV48" s="372">
        <f t="shared" ref="AV48" si="12">AU48</f>
        <v>0</v>
      </c>
      <c r="AW48" s="372">
        <f t="shared" ref="AW48" si="13">AV48</f>
        <v>0</v>
      </c>
      <c r="AX48" s="372">
        <f t="shared" ref="AX48" si="14">AW48</f>
        <v>0</v>
      </c>
      <c r="AY48" s="372">
        <f t="shared" ref="AY48" si="15">AX48</f>
        <v>0</v>
      </c>
      <c r="AZ48" s="372">
        <f t="shared" ref="AZ48" si="16">AY48</f>
        <v>0</v>
      </c>
      <c r="BA48" s="372">
        <f t="shared" ref="BA48" si="17">AZ48</f>
        <v>0</v>
      </c>
      <c r="BB48" s="372">
        <f t="shared" ref="BB48" si="18">BA48</f>
        <v>0</v>
      </c>
      <c r="BF48" s="306"/>
    </row>
    <row r="49" spans="1:54">
      <c r="D49" s="1" t="s">
        <v>2029</v>
      </c>
      <c r="G49" s="372">
        <f>G47-G48</f>
        <v>0</v>
      </c>
      <c r="H49" s="372">
        <f t="shared" ref="H49:AP49" si="19">H47-H48</f>
        <v>0</v>
      </c>
      <c r="I49" s="372">
        <f t="shared" si="19"/>
        <v>0</v>
      </c>
      <c r="J49" s="372">
        <f t="shared" si="19"/>
        <v>0</v>
      </c>
      <c r="K49" s="372">
        <f t="shared" si="19"/>
        <v>0</v>
      </c>
      <c r="L49" s="372">
        <f t="shared" si="19"/>
        <v>0</v>
      </c>
      <c r="M49" s="372">
        <f t="shared" si="19"/>
        <v>0</v>
      </c>
      <c r="N49" s="372">
        <f t="shared" si="19"/>
        <v>0</v>
      </c>
      <c r="O49" s="372">
        <f t="shared" si="19"/>
        <v>0</v>
      </c>
      <c r="P49" s="372">
        <f t="shared" si="19"/>
        <v>0</v>
      </c>
      <c r="Q49" s="372">
        <f t="shared" si="19"/>
        <v>0</v>
      </c>
      <c r="R49" s="372">
        <f t="shared" si="19"/>
        <v>0</v>
      </c>
      <c r="S49" s="372">
        <f t="shared" si="19"/>
        <v>0</v>
      </c>
      <c r="T49" s="372">
        <f t="shared" si="19"/>
        <v>0</v>
      </c>
      <c r="U49" s="372">
        <f t="shared" si="19"/>
        <v>0</v>
      </c>
      <c r="V49" s="372">
        <f t="shared" si="19"/>
        <v>0</v>
      </c>
      <c r="W49" s="372">
        <f t="shared" si="19"/>
        <v>0</v>
      </c>
      <c r="X49" s="372">
        <f t="shared" si="19"/>
        <v>0</v>
      </c>
      <c r="Y49" s="372">
        <f t="shared" si="19"/>
        <v>0</v>
      </c>
      <c r="Z49" s="372">
        <f t="shared" si="19"/>
        <v>0</v>
      </c>
      <c r="AA49" s="372">
        <f t="shared" si="19"/>
        <v>0</v>
      </c>
      <c r="AB49" s="372">
        <f t="shared" si="19"/>
        <v>0</v>
      </c>
      <c r="AC49" s="372">
        <f t="shared" si="19"/>
        <v>0</v>
      </c>
      <c r="AD49" s="372">
        <f t="shared" si="19"/>
        <v>0</v>
      </c>
      <c r="AE49" s="372">
        <f t="shared" si="19"/>
        <v>0</v>
      </c>
      <c r="AF49" s="372">
        <f t="shared" si="19"/>
        <v>0</v>
      </c>
      <c r="AG49" s="372">
        <f t="shared" si="19"/>
        <v>0</v>
      </c>
      <c r="AH49" s="372">
        <f t="shared" si="19"/>
        <v>0</v>
      </c>
      <c r="AI49" s="372">
        <f t="shared" si="19"/>
        <v>0</v>
      </c>
      <c r="AJ49" s="372">
        <f t="shared" si="19"/>
        <v>0</v>
      </c>
      <c r="AK49" s="372">
        <f t="shared" si="19"/>
        <v>0</v>
      </c>
      <c r="AL49" s="372">
        <f t="shared" si="19"/>
        <v>0</v>
      </c>
      <c r="AM49" s="372">
        <f t="shared" si="19"/>
        <v>0</v>
      </c>
      <c r="AN49" s="372">
        <f t="shared" si="19"/>
        <v>0</v>
      </c>
      <c r="AO49" s="372">
        <f t="shared" si="19"/>
        <v>0</v>
      </c>
      <c r="AP49" s="372">
        <f t="shared" si="19"/>
        <v>0</v>
      </c>
      <c r="AQ49" s="372">
        <f t="shared" ref="AQ49:BB49" si="20">AQ47-AQ48</f>
        <v>0</v>
      </c>
      <c r="AR49" s="372">
        <f t="shared" si="20"/>
        <v>0</v>
      </c>
      <c r="AS49" s="372">
        <f t="shared" si="20"/>
        <v>0</v>
      </c>
      <c r="AT49" s="372">
        <f t="shared" si="20"/>
        <v>0</v>
      </c>
      <c r="AU49" s="372">
        <f t="shared" si="20"/>
        <v>0</v>
      </c>
      <c r="AV49" s="372">
        <f t="shared" si="20"/>
        <v>0</v>
      </c>
      <c r="AW49" s="372">
        <f t="shared" si="20"/>
        <v>0</v>
      </c>
      <c r="AX49" s="372">
        <f t="shared" si="20"/>
        <v>0</v>
      </c>
      <c r="AY49" s="372">
        <f t="shared" si="20"/>
        <v>0</v>
      </c>
      <c r="AZ49" s="372">
        <f t="shared" si="20"/>
        <v>0</v>
      </c>
      <c r="BA49" s="372">
        <f t="shared" si="20"/>
        <v>0</v>
      </c>
      <c r="BB49" s="372">
        <f t="shared" si="20"/>
        <v>0</v>
      </c>
    </row>
    <row r="51" spans="1:54">
      <c r="D51" s="1" t="s">
        <v>485</v>
      </c>
      <c r="AE51" s="372">
        <f>AE47*12</f>
        <v>0</v>
      </c>
      <c r="AF51" s="372">
        <f t="shared" ref="AF51:AP51" si="21">AF47*12</f>
        <v>0</v>
      </c>
      <c r="AG51" s="372">
        <f t="shared" si="21"/>
        <v>0</v>
      </c>
      <c r="AH51" s="372">
        <f t="shared" si="21"/>
        <v>0</v>
      </c>
      <c r="AI51" s="372">
        <f t="shared" si="21"/>
        <v>0</v>
      </c>
      <c r="AJ51" s="372">
        <f t="shared" si="21"/>
        <v>0</v>
      </c>
      <c r="AK51" s="372">
        <f t="shared" si="21"/>
        <v>0</v>
      </c>
      <c r="AL51" s="372">
        <f t="shared" si="21"/>
        <v>0</v>
      </c>
      <c r="AM51" s="372">
        <f t="shared" si="21"/>
        <v>0</v>
      </c>
      <c r="AN51" s="372">
        <f t="shared" si="21"/>
        <v>0</v>
      </c>
      <c r="AO51" s="372">
        <f t="shared" si="21"/>
        <v>0</v>
      </c>
      <c r="AP51" s="372">
        <f t="shared" si="21"/>
        <v>0</v>
      </c>
      <c r="AQ51" s="372">
        <f>AQ47*12</f>
        <v>0</v>
      </c>
      <c r="AR51" s="372">
        <f t="shared" ref="AR51:BB51" si="22">AR47*12</f>
        <v>0</v>
      </c>
      <c r="AS51" s="372">
        <f t="shared" si="22"/>
        <v>0</v>
      </c>
      <c r="AT51" s="372">
        <f t="shared" si="22"/>
        <v>0</v>
      </c>
      <c r="AU51" s="372">
        <f t="shared" si="22"/>
        <v>0</v>
      </c>
      <c r="AV51" s="372">
        <f t="shared" si="22"/>
        <v>0</v>
      </c>
      <c r="AW51" s="372">
        <f t="shared" si="22"/>
        <v>0</v>
      </c>
      <c r="AX51" s="372">
        <f t="shared" si="22"/>
        <v>0</v>
      </c>
      <c r="AY51" s="372">
        <f t="shared" si="22"/>
        <v>0</v>
      </c>
      <c r="AZ51" s="372">
        <f t="shared" si="22"/>
        <v>0</v>
      </c>
      <c r="BA51" s="372">
        <f t="shared" si="22"/>
        <v>0</v>
      </c>
      <c r="BB51" s="372">
        <f t="shared" si="22"/>
        <v>0</v>
      </c>
    </row>
    <row r="54" spans="1:54">
      <c r="A54" s="411"/>
    </row>
    <row r="55" spans="1:54">
      <c r="C55" s="411"/>
    </row>
    <row r="56" spans="1:54">
      <c r="C56" s="411"/>
    </row>
    <row r="57" spans="1:54">
      <c r="C57" s="411"/>
    </row>
    <row r="58" spans="1:54">
      <c r="C58" s="411"/>
    </row>
    <row r="59" spans="1:54">
      <c r="C59" s="411"/>
    </row>
  </sheetData>
  <autoFilter ref="BD2:BL43" xr:uid="{94D2DCC0-EEA5-4BA3-B5D7-1896FAB4781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5</vt:i4>
      </vt:variant>
    </vt:vector>
  </HeadingPairs>
  <TitlesOfParts>
    <vt:vector size="33" baseType="lpstr">
      <vt:lpstr>BOM</vt:lpstr>
      <vt:lpstr>Cust Facing BOM</vt:lpstr>
      <vt:lpstr>Ramp Env</vt:lpstr>
      <vt:lpstr>Ramp OCPU</vt:lpstr>
      <vt:lpstr>Discount Compare</vt:lpstr>
      <vt:lpstr>TCO</vt:lpstr>
      <vt:lpstr>Summary</vt:lpstr>
      <vt:lpstr>Usage Quantity</vt:lpstr>
      <vt:lpstr>Usage Cost</vt:lpstr>
      <vt:lpstr>Usage Chart</vt:lpstr>
      <vt:lpstr>TCO Labor</vt:lpstr>
      <vt:lpstr>TCO Software</vt:lpstr>
      <vt:lpstr>Industry Metrics</vt:lpstr>
      <vt:lpstr>License BOM</vt:lpstr>
      <vt:lpstr>Exadata BOM</vt:lpstr>
      <vt:lpstr>Rate Card</vt:lpstr>
      <vt:lpstr>Server Inventory</vt:lpstr>
      <vt:lpstr>TCO Metrics</vt:lpstr>
      <vt:lpstr>Shapes</vt:lpstr>
      <vt:lpstr>IaaS-PaaS Specs</vt:lpstr>
      <vt:lpstr>Exa Specs</vt:lpstr>
      <vt:lpstr>Discounts</vt:lpstr>
      <vt:lpstr>CAM</vt:lpstr>
      <vt:lpstr>CPL 200630</vt:lpstr>
      <vt:lpstr>Exchange</vt:lpstr>
      <vt:lpstr>Exadata Price List</vt:lpstr>
      <vt:lpstr>License Price List</vt:lpstr>
      <vt:lpstr>Cloud Price List</vt:lpstr>
      <vt:lpstr>Shapes!_FilterDatabase</vt:lpstr>
      <vt:lpstr>Full_Rack_DB_Server</vt:lpstr>
      <vt:lpstr>Full_Rack_Storage_Server</vt:lpstr>
      <vt:lpstr>Half_Rack_DB_Server</vt:lpstr>
      <vt:lpstr>Half_Rack_Storage_Server</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drew.mazeitis@oracle.com;drew.mazeitis@oracle.com</dc:creator>
  <cp:lastModifiedBy>Microsoft Office User</cp:lastModifiedBy>
  <cp:lastPrinted>2017-11-02T15:40:28Z</cp:lastPrinted>
  <dcterms:created xsi:type="dcterms:W3CDTF">2016-06-01T16:01:28Z</dcterms:created>
  <dcterms:modified xsi:type="dcterms:W3CDTF">2022-03-10T20:17:49Z</dcterms:modified>
</cp:coreProperties>
</file>