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91\OneDrive\Desktop\跑步\漢森\"/>
    </mc:Choice>
  </mc:AlternateContent>
  <xr:revisionPtr revIDLastSave="0" documentId="13_ncr:1_{82E380BC-636C-42CC-A753-6992ECDF1EBE}" xr6:coauthVersionLast="47" xr6:coauthVersionMax="47" xr10:uidLastSave="{00000000-0000-0000-0000-000000000000}"/>
  <bookViews>
    <workbookView xWindow="-108" yWindow="-108" windowWidth="23256" windowHeight="13176" xr2:uid="{814FC37C-24C9-440F-9889-8DBC637CD8ED}"/>
  </bookViews>
  <sheets>
    <sheet name="基本設定總表" sheetId="12" r:id="rId1"/>
    <sheet name="課表總表" sheetId="1" r:id="rId2"/>
    <sheet name="間歇跑" sheetId="2" r:id="rId3"/>
    <sheet name="強化跑" sheetId="8" r:id="rId4"/>
    <sheet name="節奏跑" sheetId="9" r:id="rId5"/>
    <sheet name="長跑" sheetId="11" r:id="rId6"/>
    <sheet name="輕鬆跑" sheetId="10" r:id="rId7"/>
    <sheet name="暖身、收操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K20" i="1"/>
  <c r="K19" i="1"/>
  <c r="K18" i="1"/>
  <c r="K17" i="1"/>
  <c r="K13" i="1"/>
  <c r="K12" i="1"/>
  <c r="K11" i="1"/>
  <c r="K10" i="1"/>
  <c r="I75" i="12"/>
  <c r="E8" i="12"/>
  <c r="F8" i="12" s="1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10" i="8"/>
  <c r="E13" i="12"/>
  <c r="O5" i="1" s="1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8" i="12"/>
  <c r="K10" i="12"/>
  <c r="M10" i="12" s="1"/>
  <c r="K11" i="12"/>
  <c r="M11" i="12" s="1"/>
  <c r="K12" i="12"/>
  <c r="N12" i="12" s="1"/>
  <c r="K13" i="12"/>
  <c r="N13" i="12" s="1"/>
  <c r="K14" i="12"/>
  <c r="N14" i="12" s="1"/>
  <c r="K15" i="12"/>
  <c r="O15" i="12" s="1"/>
  <c r="K16" i="12"/>
  <c r="O16" i="12" s="1"/>
  <c r="K17" i="12"/>
  <c r="O17" i="12" s="1"/>
  <c r="K18" i="12"/>
  <c r="L18" i="12" s="1"/>
  <c r="K19" i="12"/>
  <c r="L19" i="12" s="1"/>
  <c r="K20" i="12"/>
  <c r="L20" i="12" s="1"/>
  <c r="K21" i="12"/>
  <c r="M21" i="12" s="1"/>
  <c r="K22" i="12"/>
  <c r="M22" i="12" s="1"/>
  <c r="K23" i="12"/>
  <c r="M23" i="12" s="1"/>
  <c r="K24" i="12"/>
  <c r="N24" i="12" s="1"/>
  <c r="K25" i="12"/>
  <c r="N25" i="12" s="1"/>
  <c r="K26" i="12"/>
  <c r="N26" i="12" s="1"/>
  <c r="K27" i="12"/>
  <c r="O27" i="12" s="1"/>
  <c r="K28" i="12"/>
  <c r="O28" i="12" s="1"/>
  <c r="K29" i="12"/>
  <c r="O29" i="12" s="1"/>
  <c r="K30" i="12"/>
  <c r="L30" i="12" s="1"/>
  <c r="K31" i="12"/>
  <c r="L31" i="12" s="1"/>
  <c r="K32" i="12"/>
  <c r="L32" i="12" s="1"/>
  <c r="K33" i="12"/>
  <c r="M33" i="12" s="1"/>
  <c r="K34" i="12"/>
  <c r="M34" i="12" s="1"/>
  <c r="K9" i="12"/>
  <c r="M9" i="12" s="1"/>
  <c r="K8" i="12"/>
  <c r="M8" i="12" s="1"/>
  <c r="J34" i="12"/>
  <c r="I34" i="12"/>
  <c r="J33" i="12"/>
  <c r="I33" i="12"/>
  <c r="J32" i="12"/>
  <c r="I32" i="12"/>
  <c r="J31" i="12"/>
  <c r="I31" i="12"/>
  <c r="J30" i="12"/>
  <c r="I30" i="12"/>
  <c r="J29" i="12"/>
  <c r="I29" i="12"/>
  <c r="J28" i="12"/>
  <c r="I28" i="12"/>
  <c r="J27" i="12"/>
  <c r="I27" i="12"/>
  <c r="J26" i="12"/>
  <c r="I26" i="12"/>
  <c r="J25" i="12"/>
  <c r="I25" i="12"/>
  <c r="J24" i="12"/>
  <c r="I24" i="12"/>
  <c r="J23" i="12"/>
  <c r="I23" i="12"/>
  <c r="J22" i="12"/>
  <c r="I22" i="12"/>
  <c r="J21" i="12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V63" i="12"/>
  <c r="U63" i="12"/>
  <c r="T63" i="12"/>
  <c r="S63" i="12"/>
  <c r="R63" i="12"/>
  <c r="Q63" i="12"/>
  <c r="V62" i="12"/>
  <c r="U62" i="12"/>
  <c r="T62" i="12"/>
  <c r="S62" i="12"/>
  <c r="R62" i="12"/>
  <c r="Q62" i="12"/>
  <c r="V61" i="12"/>
  <c r="U61" i="12"/>
  <c r="T61" i="12"/>
  <c r="S61" i="12"/>
  <c r="R61" i="12"/>
  <c r="Q61" i="12"/>
  <c r="V60" i="12"/>
  <c r="U60" i="12"/>
  <c r="T60" i="12"/>
  <c r="S60" i="12"/>
  <c r="R60" i="12"/>
  <c r="Q60" i="12"/>
  <c r="V59" i="12"/>
  <c r="U59" i="12"/>
  <c r="T59" i="12"/>
  <c r="S59" i="12"/>
  <c r="R59" i="12"/>
  <c r="Q59" i="12"/>
  <c r="V58" i="12"/>
  <c r="U58" i="12"/>
  <c r="T58" i="12"/>
  <c r="S58" i="12"/>
  <c r="R58" i="12"/>
  <c r="Q58" i="12"/>
  <c r="V57" i="12"/>
  <c r="U57" i="12"/>
  <c r="T57" i="12"/>
  <c r="S57" i="12"/>
  <c r="R57" i="12"/>
  <c r="Q57" i="12"/>
  <c r="V56" i="12"/>
  <c r="U56" i="12"/>
  <c r="T56" i="12"/>
  <c r="S56" i="12"/>
  <c r="R56" i="12"/>
  <c r="Q56" i="12"/>
  <c r="V55" i="12"/>
  <c r="U55" i="12"/>
  <c r="T55" i="12"/>
  <c r="S55" i="12"/>
  <c r="R55" i="12"/>
  <c r="Q55" i="12"/>
  <c r="V54" i="12"/>
  <c r="U54" i="12"/>
  <c r="T54" i="12"/>
  <c r="S54" i="12"/>
  <c r="R54" i="12"/>
  <c r="Q54" i="12"/>
  <c r="V53" i="12"/>
  <c r="U53" i="12"/>
  <c r="T53" i="12"/>
  <c r="S53" i="12"/>
  <c r="R53" i="12"/>
  <c r="Q53" i="12"/>
  <c r="V52" i="12"/>
  <c r="U52" i="12"/>
  <c r="T52" i="12"/>
  <c r="S52" i="12"/>
  <c r="R52" i="12"/>
  <c r="Q52" i="12"/>
  <c r="V51" i="12"/>
  <c r="U51" i="12"/>
  <c r="T51" i="12"/>
  <c r="S51" i="12"/>
  <c r="R51" i="12"/>
  <c r="Q51" i="12"/>
  <c r="V50" i="12"/>
  <c r="U50" i="12"/>
  <c r="T50" i="12"/>
  <c r="S50" i="12"/>
  <c r="R50" i="12"/>
  <c r="Q50" i="12"/>
  <c r="V49" i="12"/>
  <c r="U49" i="12"/>
  <c r="T49" i="12"/>
  <c r="S49" i="12"/>
  <c r="R49" i="12"/>
  <c r="Q49" i="12"/>
  <c r="V48" i="12"/>
  <c r="U48" i="12"/>
  <c r="T48" i="12"/>
  <c r="S48" i="12"/>
  <c r="R48" i="12"/>
  <c r="Q48" i="12"/>
  <c r="V47" i="12"/>
  <c r="U47" i="12"/>
  <c r="T47" i="12"/>
  <c r="S47" i="12"/>
  <c r="R47" i="12"/>
  <c r="Q47" i="12"/>
  <c r="V46" i="12"/>
  <c r="U46" i="12"/>
  <c r="T46" i="12"/>
  <c r="S46" i="12"/>
  <c r="R46" i="12"/>
  <c r="Q46" i="12"/>
  <c r="V45" i="12"/>
  <c r="U45" i="12"/>
  <c r="T45" i="12"/>
  <c r="S45" i="12"/>
  <c r="R45" i="12"/>
  <c r="Q45" i="12"/>
  <c r="V44" i="12"/>
  <c r="U44" i="12"/>
  <c r="T44" i="12"/>
  <c r="S44" i="12"/>
  <c r="R44" i="12"/>
  <c r="Q44" i="12"/>
  <c r="V43" i="12"/>
  <c r="U43" i="12"/>
  <c r="T43" i="12"/>
  <c r="S43" i="12"/>
  <c r="R43" i="12"/>
  <c r="Q43" i="12"/>
  <c r="V42" i="12"/>
  <c r="U42" i="12"/>
  <c r="T42" i="12"/>
  <c r="S42" i="12"/>
  <c r="R42" i="12"/>
  <c r="Q42" i="12"/>
  <c r="V41" i="12"/>
  <c r="U41" i="12"/>
  <c r="T41" i="12"/>
  <c r="S41" i="12"/>
  <c r="R41" i="12"/>
  <c r="Q41" i="12"/>
  <c r="V40" i="12"/>
  <c r="U40" i="12"/>
  <c r="T40" i="12"/>
  <c r="S40" i="12"/>
  <c r="R40" i="12"/>
  <c r="Q40" i="12"/>
  <c r="V39" i="12"/>
  <c r="U39" i="12"/>
  <c r="T39" i="12"/>
  <c r="S39" i="12"/>
  <c r="R39" i="12"/>
  <c r="Q39" i="12"/>
  <c r="V38" i="12"/>
  <c r="U38" i="12"/>
  <c r="T38" i="12"/>
  <c r="S38" i="12"/>
  <c r="R38" i="12"/>
  <c r="Q38" i="1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12" i="2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11" i="11"/>
  <c r="B10" i="11"/>
  <c r="B9" i="11"/>
  <c r="B8" i="11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8" i="10"/>
  <c r="B8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9" i="10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8" i="9"/>
  <c r="J17" i="8"/>
  <c r="J19" i="8"/>
  <c r="J20" i="8"/>
  <c r="J21" i="8"/>
  <c r="J22" i="8"/>
  <c r="J29" i="8"/>
  <c r="J32" i="8"/>
  <c r="J33" i="8"/>
  <c r="J34" i="8"/>
  <c r="I17" i="8"/>
  <c r="I18" i="8"/>
  <c r="I19" i="8"/>
  <c r="I29" i="8"/>
  <c r="I30" i="8"/>
  <c r="I31" i="8"/>
  <c r="H11" i="8"/>
  <c r="I11" i="8" s="1"/>
  <c r="H12" i="8"/>
  <c r="J12" i="8" s="1"/>
  <c r="H13" i="8"/>
  <c r="J13" i="8" s="1"/>
  <c r="H14" i="8"/>
  <c r="J14" i="8" s="1"/>
  <c r="H15" i="8"/>
  <c r="J15" i="8" s="1"/>
  <c r="H16" i="8"/>
  <c r="J16" i="8" s="1"/>
  <c r="H17" i="8"/>
  <c r="H18" i="8"/>
  <c r="J18" i="8" s="1"/>
  <c r="H19" i="8"/>
  <c r="H20" i="8"/>
  <c r="I20" i="8" s="1"/>
  <c r="H21" i="8"/>
  <c r="I21" i="8" s="1"/>
  <c r="H22" i="8"/>
  <c r="I22" i="8" s="1"/>
  <c r="H23" i="8"/>
  <c r="I23" i="8" s="1"/>
  <c r="H24" i="8"/>
  <c r="J24" i="8" s="1"/>
  <c r="H25" i="8"/>
  <c r="J25" i="8" s="1"/>
  <c r="H26" i="8"/>
  <c r="J26" i="8" s="1"/>
  <c r="H27" i="8"/>
  <c r="J27" i="8" s="1"/>
  <c r="H28" i="8"/>
  <c r="J28" i="8" s="1"/>
  <c r="H29" i="8"/>
  <c r="H30" i="8"/>
  <c r="J30" i="8" s="1"/>
  <c r="H31" i="8"/>
  <c r="J31" i="8" s="1"/>
  <c r="H32" i="8"/>
  <c r="I32" i="8" s="1"/>
  <c r="H33" i="8"/>
  <c r="I33" i="8" s="1"/>
  <c r="H34" i="8"/>
  <c r="I34" i="8" s="1"/>
  <c r="H35" i="8"/>
  <c r="I35" i="8" s="1"/>
  <c r="H36" i="8"/>
  <c r="J36" i="8" s="1"/>
  <c r="H10" i="8"/>
  <c r="J10" i="8" s="1"/>
  <c r="B10" i="8"/>
  <c r="B1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15" i="8"/>
  <c r="B12" i="8"/>
  <c r="B13" i="8"/>
  <c r="B14" i="8"/>
  <c r="B16" i="8"/>
  <c r="B17" i="8"/>
  <c r="B18" i="8"/>
  <c r="B19" i="8"/>
  <c r="B20" i="8"/>
  <c r="B21" i="8"/>
  <c r="O76" i="12" l="1" a="1"/>
  <c r="O76" i="12" s="1"/>
  <c r="U5" i="1" s="1"/>
  <c r="Q76" i="12" a="1"/>
  <c r="Q76" i="12" s="1"/>
  <c r="W5" i="1" s="1"/>
  <c r="E9" i="1" s="1"/>
  <c r="U76" i="12" a="1"/>
  <c r="U76" i="12" s="1"/>
  <c r="N76" i="12" a="1"/>
  <c r="N76" i="12" s="1"/>
  <c r="T5" i="1" s="1"/>
  <c r="S76" i="12" a="1"/>
  <c r="S76" i="12" s="1"/>
  <c r="Y5" i="1" s="1"/>
  <c r="E11" i="1" s="1"/>
  <c r="M76" i="12" a="1"/>
  <c r="M76" i="12" s="1"/>
  <c r="S5" i="1" s="1"/>
  <c r="T76" i="12" a="1"/>
  <c r="T76" i="12" s="1"/>
  <c r="Z5" i="1" s="1"/>
  <c r="E12" i="1" s="1"/>
  <c r="J76" i="12" a="1"/>
  <c r="J76" i="12" s="1"/>
  <c r="P5" i="1" s="1"/>
  <c r="R76" i="12" a="1"/>
  <c r="R76" i="12" s="1"/>
  <c r="X5" i="1" s="1"/>
  <c r="E10" i="1" s="1"/>
  <c r="L76" i="12" a="1"/>
  <c r="L76" i="12" s="1"/>
  <c r="R5" i="1" s="1"/>
  <c r="V76" i="12" a="1"/>
  <c r="V76" i="12" s="1"/>
  <c r="AB5" i="1" s="1"/>
  <c r="K76" i="12" a="1"/>
  <c r="K76" i="12" s="1"/>
  <c r="Q5" i="1" s="1"/>
  <c r="I76" i="12"/>
  <c r="H65" i="12" a="1"/>
  <c r="H65" i="12" s="1"/>
  <c r="H66" i="12" a="1"/>
  <c r="H66" i="12" s="1"/>
  <c r="AA5" i="1"/>
  <c r="E13" i="1" s="1"/>
  <c r="N5" i="1"/>
  <c r="L29" i="12"/>
  <c r="L17" i="12"/>
  <c r="M32" i="12"/>
  <c r="M20" i="12"/>
  <c r="N8" i="12"/>
  <c r="N23" i="12"/>
  <c r="N11" i="12"/>
  <c r="O26" i="12"/>
  <c r="O14" i="12"/>
  <c r="L28" i="12"/>
  <c r="L16" i="12"/>
  <c r="M31" i="12"/>
  <c r="M19" i="12"/>
  <c r="N34" i="12"/>
  <c r="N22" i="12"/>
  <c r="N10" i="12"/>
  <c r="O25" i="12"/>
  <c r="O13" i="12"/>
  <c r="L27" i="12"/>
  <c r="L15" i="12"/>
  <c r="M30" i="12"/>
  <c r="M18" i="12"/>
  <c r="N33" i="12"/>
  <c r="N21" i="12"/>
  <c r="N9" i="12"/>
  <c r="O24" i="12"/>
  <c r="O12" i="12"/>
  <c r="L26" i="12"/>
  <c r="L14" i="12"/>
  <c r="M29" i="12"/>
  <c r="M17" i="12"/>
  <c r="N32" i="12"/>
  <c r="N20" i="12"/>
  <c r="O8" i="12"/>
  <c r="O23" i="12"/>
  <c r="O11" i="12"/>
  <c r="L25" i="12"/>
  <c r="L13" i="12"/>
  <c r="M28" i="12"/>
  <c r="M16" i="12"/>
  <c r="N31" i="12"/>
  <c r="N19" i="12"/>
  <c r="O34" i="12"/>
  <c r="O22" i="12"/>
  <c r="O10" i="12"/>
  <c r="L24" i="12"/>
  <c r="L12" i="12"/>
  <c r="M27" i="12"/>
  <c r="M15" i="12"/>
  <c r="N30" i="12"/>
  <c r="N18" i="12"/>
  <c r="O33" i="12"/>
  <c r="O21" i="12"/>
  <c r="O9" i="12"/>
  <c r="L8" i="12"/>
  <c r="L23" i="12"/>
  <c r="L11" i="12"/>
  <c r="M26" i="12"/>
  <c r="M14" i="12"/>
  <c r="N29" i="12"/>
  <c r="N17" i="12"/>
  <c r="O32" i="12"/>
  <c r="O20" i="12"/>
  <c r="L34" i="12"/>
  <c r="L22" i="12"/>
  <c r="L10" i="12"/>
  <c r="M25" i="12"/>
  <c r="M13" i="12"/>
  <c r="N28" i="12"/>
  <c r="N16" i="12"/>
  <c r="O31" i="12"/>
  <c r="O19" i="12"/>
  <c r="L33" i="12"/>
  <c r="L21" i="12"/>
  <c r="L9" i="12"/>
  <c r="M24" i="12"/>
  <c r="M12" i="12"/>
  <c r="N27" i="12"/>
  <c r="N15" i="12"/>
  <c r="O30" i="12"/>
  <c r="O18" i="12"/>
  <c r="O9" i="1"/>
  <c r="F13" i="12"/>
  <c r="J35" i="8"/>
  <c r="J23" i="8"/>
  <c r="J11" i="8"/>
  <c r="I28" i="8"/>
  <c r="I16" i="8"/>
  <c r="I27" i="8"/>
  <c r="I15" i="8"/>
  <c r="I26" i="8"/>
  <c r="I10" i="8"/>
  <c r="I25" i="8"/>
  <c r="I13" i="8"/>
  <c r="I36" i="8"/>
  <c r="I14" i="8"/>
  <c r="I12" i="8"/>
  <c r="I24" i="8"/>
  <c r="I71" i="12" l="1"/>
  <c r="P9" i="1" s="1"/>
  <c r="J13" i="1" s="1"/>
  <c r="N71" i="12"/>
  <c r="U9" i="1" s="1"/>
  <c r="Q71" i="12"/>
  <c r="X9" i="1" s="1"/>
  <c r="P71" i="12"/>
  <c r="W9" i="1" s="1"/>
  <c r="H8" i="1" s="1"/>
  <c r="H71" i="12"/>
  <c r="K71" i="12"/>
  <c r="R9" i="1" s="1"/>
  <c r="L71" i="12"/>
  <c r="S9" i="1" s="1"/>
  <c r="O71" i="12"/>
  <c r="V9" i="1" s="1"/>
  <c r="J71" i="12"/>
  <c r="Q9" i="1" s="1"/>
  <c r="M71" i="12"/>
  <c r="T9" i="1" s="1"/>
  <c r="J36" i="1" l="1"/>
  <c r="J18" i="1"/>
  <c r="D39" i="1"/>
  <c r="K37" i="1"/>
  <c r="D35" i="1"/>
  <c r="K4" i="1"/>
  <c r="G52" i="1"/>
  <c r="G35" i="1"/>
  <c r="J22" i="1"/>
  <c r="G41" i="1"/>
  <c r="G6" i="1"/>
  <c r="D36" i="1"/>
  <c r="G47" i="1"/>
  <c r="J24" i="1"/>
  <c r="J20" i="1"/>
  <c r="D6" i="1"/>
  <c r="D24" i="1"/>
  <c r="K34" i="1"/>
  <c r="J52" i="1"/>
  <c r="J9" i="1"/>
  <c r="K38" i="1"/>
  <c r="K9" i="1"/>
  <c r="J5" i="1"/>
  <c r="K35" i="1"/>
  <c r="K47" i="1"/>
  <c r="D48" i="1"/>
  <c r="G33" i="1"/>
  <c r="J37" i="1"/>
  <c r="J51" i="1"/>
  <c r="J8" i="1"/>
  <c r="G48" i="1"/>
  <c r="K51" i="1"/>
  <c r="G37" i="1"/>
  <c r="J32" i="1"/>
  <c r="K32" i="1"/>
  <c r="J47" i="1"/>
  <c r="J40" i="1"/>
  <c r="J12" i="1"/>
  <c r="D45" i="1"/>
  <c r="G34" i="1"/>
  <c r="J23" i="1"/>
  <c r="J11" i="1"/>
  <c r="J19" i="1"/>
  <c r="J35" i="1"/>
  <c r="D40" i="1"/>
  <c r="J48" i="1"/>
  <c r="J33" i="1"/>
  <c r="J7" i="1"/>
  <c r="G5" i="1"/>
  <c r="D7" i="1"/>
  <c r="D51" i="1"/>
  <c r="G45" i="1"/>
  <c r="G51" i="1"/>
  <c r="G39" i="1"/>
  <c r="D34" i="1"/>
  <c r="K49" i="1"/>
  <c r="D49" i="1"/>
  <c r="J41" i="1"/>
  <c r="K6" i="1"/>
  <c r="G7" i="1"/>
  <c r="J4" i="1"/>
  <c r="D37" i="1"/>
  <c r="J45" i="1"/>
  <c r="K45" i="1"/>
  <c r="D46" i="1"/>
  <c r="J38" i="1"/>
  <c r="D41" i="1"/>
  <c r="J10" i="1"/>
  <c r="G49" i="1"/>
  <c r="D50" i="1"/>
  <c r="G4" i="1"/>
  <c r="J6" i="1"/>
  <c r="D5" i="1"/>
  <c r="J21" i="1"/>
  <c r="K33" i="1"/>
  <c r="G36" i="1"/>
  <c r="J34" i="1"/>
  <c r="G46" i="1"/>
  <c r="K36" i="1"/>
  <c r="G40" i="1"/>
  <c r="D33" i="1"/>
  <c r="J49" i="1"/>
  <c r="G50" i="1"/>
  <c r="K5" i="1"/>
  <c r="G24" i="1"/>
  <c r="K8" i="1"/>
  <c r="G38" i="1"/>
  <c r="D38" i="1"/>
  <c r="K40" i="1"/>
  <c r="D52" i="1"/>
  <c r="J46" i="1"/>
  <c r="D47" i="1"/>
  <c r="J39" i="1"/>
  <c r="G32" i="1"/>
  <c r="D8" i="1"/>
  <c r="J50" i="1"/>
  <c r="J17" i="1"/>
  <c r="K7" i="1"/>
  <c r="H19" i="1"/>
  <c r="K39" i="1"/>
  <c r="H11" i="1"/>
  <c r="K50" i="1"/>
  <c r="H10" i="1"/>
  <c r="H23" i="1"/>
  <c r="H9" i="1"/>
  <c r="K48" i="1"/>
  <c r="H22" i="1"/>
  <c r="K46" i="1"/>
  <c r="K41" i="1"/>
  <c r="H21" i="1"/>
  <c r="H20" i="1"/>
  <c r="H13" i="1"/>
  <c r="H12" i="1"/>
  <c r="H18" i="1"/>
  <c r="H17" i="1"/>
  <c r="I19" i="1"/>
  <c r="I50" i="1"/>
  <c r="C50" i="1"/>
  <c r="I35" i="1"/>
  <c r="C24" i="1"/>
  <c r="C13" i="1"/>
  <c r="I21" i="1"/>
  <c r="I49" i="1"/>
  <c r="C49" i="1"/>
  <c r="C23" i="1"/>
  <c r="C12" i="1"/>
  <c r="I20" i="1"/>
  <c r="I48" i="1"/>
  <c r="C48" i="1"/>
  <c r="I41" i="1"/>
  <c r="C22" i="1"/>
  <c r="C11" i="1"/>
  <c r="I47" i="1"/>
  <c r="C47" i="1"/>
  <c r="I40" i="1"/>
  <c r="C41" i="1"/>
  <c r="C21" i="1"/>
  <c r="C10" i="1"/>
  <c r="I46" i="1"/>
  <c r="C45" i="1"/>
  <c r="C39" i="1"/>
  <c r="I9" i="1"/>
  <c r="C37" i="1"/>
  <c r="I6" i="1"/>
  <c r="C38" i="1"/>
  <c r="I8" i="1"/>
  <c r="I39" i="1"/>
  <c r="C20" i="1"/>
  <c r="I7" i="1"/>
  <c r="I52" i="1"/>
  <c r="I38" i="1"/>
  <c r="C19" i="1"/>
  <c r="I51" i="1"/>
  <c r="C52" i="1"/>
  <c r="I37" i="1"/>
  <c r="C18" i="1"/>
  <c r="I23" i="1"/>
  <c r="I45" i="1"/>
  <c r="C51" i="1"/>
  <c r="I36" i="1"/>
  <c r="C17" i="1"/>
  <c r="I22" i="1"/>
  <c r="C46" i="1"/>
  <c r="C40" i="1"/>
  <c r="C9" i="1"/>
  <c r="I24" i="1"/>
  <c r="I13" i="1"/>
  <c r="I10" i="1"/>
  <c r="I5" i="1"/>
  <c r="I18" i="1"/>
  <c r="I11" i="1"/>
  <c r="I17" i="1"/>
  <c r="I12" i="1"/>
  <c r="E19" i="1"/>
  <c r="E21" i="1"/>
  <c r="E20" i="1"/>
  <c r="E22" i="1"/>
  <c r="E23" i="1"/>
  <c r="E17" i="1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<sst xmlns="http://schemas.openxmlformats.org/spreadsheetml/2006/main" count="306" uniqueCount="122">
  <si>
    <t>漢森輕鬆跑定義：比目標半馬配速慢56s/km、90s/km</t>
    <phoneticPr fontId="2" type="noConversion"/>
  </si>
  <si>
    <t>理想的速度間歇訓練時間為2~8min (or 2~6min)</t>
    <phoneticPr fontId="2" type="noConversion"/>
  </si>
  <si>
    <t>若單趟練超過6min臨界時長，應調整距離，使其控制在6min以內</t>
    <phoneticPr fontId="2" type="noConversion"/>
  </si>
  <si>
    <t>趟間恢復為"恢復跑"，以舒服的速度緩跑50~100%的每趟時長(距離約為每趟距離的一半 ex: 800m*6 =&gt; 恢復跑約 400m)</t>
    <phoneticPr fontId="2" type="noConversion"/>
  </si>
  <si>
    <t>10公里目標時間</t>
    <phoneticPr fontId="2" type="noConversion"/>
  </si>
  <si>
    <t>5公里目標時間</t>
    <phoneticPr fontId="2" type="noConversion"/>
  </si>
  <si>
    <t>400公尺配速</t>
    <phoneticPr fontId="2" type="noConversion"/>
  </si>
  <si>
    <t>600公尺配速</t>
    <phoneticPr fontId="2" type="noConversion"/>
  </si>
  <si>
    <t>1600公尺配速</t>
    <phoneticPr fontId="2" type="noConversion"/>
  </si>
  <si>
    <t>間歇跑速度總表</t>
    <phoneticPr fontId="2" type="noConversion"/>
  </si>
  <si>
    <t>強度為95~98%最大攝氧量</t>
    <phoneticPr fontId="2" type="noConversion"/>
  </si>
  <si>
    <r>
      <t>以參加的5km、10km的比賽目標配速為基準</t>
    </r>
    <r>
      <rPr>
        <b/>
        <sz val="24"/>
        <color theme="1"/>
        <rFont val="新細明體"/>
        <family val="1"/>
        <charset val="136"/>
        <scheme val="minor"/>
      </rPr>
      <t>(非半馬目標配速)</t>
    </r>
    <phoneticPr fontId="2" type="noConversion"/>
  </si>
  <si>
    <t>強度為60~80%最大攝氧量 (比較快的跑者可上調至85%~90%)</t>
    <phoneticPr fontId="2" type="noConversion"/>
  </si>
  <si>
    <t>間歇跑日總跑量約為 : 暖身1.5~3km + 單趟距離*趟數 + (趟數-1)*(單趟距離 / 2) + 緩跑1.5~3km</t>
    <phoneticPr fontId="2" type="noConversion"/>
  </si>
  <si>
    <t>相較間歇跑速度較慢、跑量加倍、恢復時間較短</t>
    <phoneticPr fontId="2" type="noConversion"/>
  </si>
  <si>
    <t>趟間恢復為"恢復跑"，以舒服的速度緩跑低於50%的每趟時長(距離約為每趟距離的四分之一 ex: 800m*6 =&gt; 恢復跑約 200m)</t>
    <phoneticPr fontId="2" type="noConversion"/>
  </si>
  <si>
    <t>半馬目標時間</t>
    <phoneticPr fontId="2" type="noConversion"/>
  </si>
  <si>
    <r>
      <t>*</t>
    </r>
    <r>
      <rPr>
        <sz val="12"/>
        <color rgb="FFC00000"/>
        <rFont val="新細明體"/>
        <family val="1"/>
        <charset val="136"/>
        <scheme val="minor"/>
      </rPr>
      <t>紅字為勘誤評估值</t>
    </r>
    <phoneticPr fontId="2" type="noConversion"/>
  </si>
  <si>
    <t>(書上單位檢查表)</t>
    <phoneticPr fontId="2" type="noConversion"/>
  </si>
  <si>
    <t>書上強化跑表格上的配速實際上是整趟總時長</t>
    <phoneticPr fontId="2" type="noConversion"/>
  </si>
  <si>
    <t>1mile配速(mile/s)</t>
    <phoneticPr fontId="2" type="noConversion"/>
  </si>
  <si>
    <t>2mile時長(s)</t>
    <phoneticPr fontId="2" type="noConversion"/>
  </si>
  <si>
    <t>間歇跑日總跑量約為 : 暖身1.5~3km + 單趟距離*趟數 + (趟數-1)*(單趟距離 / 4) + 緩跑1.5~3km</t>
    <phoneticPr fontId="2" type="noConversion"/>
  </si>
  <si>
    <t>半馬目標配速</t>
    <phoneticPr fontId="2" type="noConversion"/>
  </si>
  <si>
    <t>間歇跑日總跑量約為 : 暖身1.5~3km + 節奏跑距離 + 緩跑1.5~3km</t>
    <phoneticPr fontId="2" type="noConversion"/>
  </si>
  <si>
    <t>節奏跑後緩跑兩天需接"長跑"累積疲勞</t>
    <phoneticPr fontId="2" type="noConversion"/>
  </si>
  <si>
    <t>公里配速</t>
    <phoneticPr fontId="2" type="noConversion"/>
  </si>
  <si>
    <t>強化跑速度總表</t>
    <phoneticPr fontId="2" type="noConversion"/>
  </si>
  <si>
    <t>節奏跑速度總表</t>
    <phoneticPr fontId="2" type="noConversion"/>
  </si>
  <si>
    <t>半馬目標配速-56s/km、90s/km</t>
    <phoneticPr fontId="2" type="noConversion"/>
  </si>
  <si>
    <t>強度為55~75最大攝氧量(持續20min~2hr30min)</t>
    <phoneticPr fontId="2" type="noConversion"/>
  </si>
  <si>
    <t>慢輕鬆跑公里配速</t>
    <phoneticPr fontId="2" type="noConversion"/>
  </si>
  <si>
    <t>快輕鬆跑公里配速</t>
    <phoneticPr fontId="2" type="noConversion"/>
  </si>
  <si>
    <t>輕鬆跑速度總表</t>
    <phoneticPr fontId="2" type="noConversion"/>
  </si>
  <si>
    <t>長跑速度總表</t>
    <phoneticPr fontId="2" type="noConversion"/>
  </si>
  <si>
    <t>長跑強度介於輕鬆與中度之間 自行評估(配速快)</t>
    <phoneticPr fontId="2" type="noConversion"/>
  </si>
  <si>
    <t>約為快的輕鬆跑-13秒(tempo+43)</t>
    <phoneticPr fontId="2" type="noConversion"/>
  </si>
  <si>
    <t>沒寫 應該快的輕鬆跑即可</t>
    <phoneticPr fontId="2" type="noConversion"/>
  </si>
  <si>
    <r>
      <t>輕鬆跑站約50%的總跑量、</t>
    </r>
    <r>
      <rPr>
        <sz val="12"/>
        <color rgb="FFFF0000"/>
        <rFont val="新細明體"/>
        <family val="1"/>
        <charset val="136"/>
        <scheme val="minor"/>
      </rPr>
      <t>分為快慢兩種輕鬆跑</t>
    </r>
    <r>
      <rPr>
        <sz val="12"/>
        <color theme="1"/>
        <rFont val="新細明體"/>
        <family val="2"/>
        <charset val="136"/>
        <scheme val="minor"/>
      </rPr>
      <t>，</t>
    </r>
    <r>
      <rPr>
        <sz val="12"/>
        <color rgb="FFFF0000"/>
        <rFont val="新細明體"/>
        <family val="1"/>
        <charset val="136"/>
        <scheme val="minor"/>
      </rPr>
      <t>素質訓練隔天()跑慢的輕鬆跑、其餘(Fri)快的</t>
    </r>
    <phoneticPr fontId="2" type="noConversion"/>
  </si>
  <si>
    <t>*若輸入兩數之間之時間則用線性插值法近似</t>
    <phoneticPr fontId="2" type="noConversion"/>
  </si>
  <si>
    <t>400公尺時長</t>
    <phoneticPr fontId="2" type="noConversion"/>
  </si>
  <si>
    <t>600公尺時長</t>
    <phoneticPr fontId="2" type="noConversion"/>
  </si>
  <si>
    <t>800公尺時長</t>
    <phoneticPr fontId="2" type="noConversion"/>
  </si>
  <si>
    <t>1000公尺時長</t>
    <phoneticPr fontId="2" type="noConversion"/>
  </si>
  <si>
    <t>1200公尺時長</t>
    <phoneticPr fontId="2" type="noConversion"/>
  </si>
  <si>
    <t>1600公尺時長</t>
    <phoneticPr fontId="2" type="noConversion"/>
  </si>
  <si>
    <t>800公尺配速</t>
    <phoneticPr fontId="2" type="noConversion"/>
  </si>
  <si>
    <t>1000公尺配速</t>
    <phoneticPr fontId="2" type="noConversion"/>
  </si>
  <si>
    <t>1200公尺配速</t>
    <phoneticPr fontId="2" type="noConversion"/>
  </si>
  <si>
    <r>
      <t>比半馬目標配速快6.25s/km</t>
    </r>
    <r>
      <rPr>
        <b/>
        <sz val="24"/>
        <color theme="1"/>
        <rFont val="新細明體"/>
        <family val="1"/>
        <charset val="136"/>
        <scheme val="minor"/>
      </rPr>
      <t xml:space="preserve"> (每英里快10秒)</t>
    </r>
    <phoneticPr fontId="2" type="noConversion"/>
  </si>
  <si>
    <t>週一</t>
    <phoneticPr fontId="2" type="noConversion"/>
  </si>
  <si>
    <t>週二</t>
    <phoneticPr fontId="2" type="noConversion"/>
  </si>
  <si>
    <t>週三</t>
  </si>
  <si>
    <t>週四</t>
  </si>
  <si>
    <t>週五</t>
  </si>
  <si>
    <t>週六</t>
  </si>
  <si>
    <t>週日</t>
  </si>
  <si>
    <t>休息</t>
    <phoneticPr fontId="2" type="noConversion"/>
  </si>
  <si>
    <t>節奏跑</t>
    <phoneticPr fontId="2" type="noConversion"/>
  </si>
  <si>
    <t>週跑量</t>
    <phoneticPr fontId="2" type="noConversion"/>
  </si>
  <si>
    <t>間歇跑</t>
    <phoneticPr fontId="2" type="noConversion"/>
  </si>
  <si>
    <t>16公里</t>
    <phoneticPr fontId="2" type="noConversion"/>
  </si>
  <si>
    <t>24公里</t>
    <phoneticPr fontId="2" type="noConversion"/>
  </si>
  <si>
    <t>35公里</t>
    <phoneticPr fontId="2" type="noConversion"/>
  </si>
  <si>
    <t>45公里</t>
    <phoneticPr fontId="2" type="noConversion"/>
  </si>
  <si>
    <t>33公里</t>
    <phoneticPr fontId="2" type="noConversion"/>
  </si>
  <si>
    <t>59公里</t>
    <phoneticPr fontId="2" type="noConversion"/>
  </si>
  <si>
    <t>64公里</t>
    <phoneticPr fontId="2" type="noConversion"/>
  </si>
  <si>
    <t>67公里</t>
    <phoneticPr fontId="2" type="noConversion"/>
  </si>
  <si>
    <t>間歇跑用目標配速選項</t>
    <phoneticPr fontId="2" type="noConversion"/>
  </si>
  <si>
    <t>把下面的表格選一選就可以顯示你的課表了</t>
    <phoneticPr fontId="2" type="noConversion"/>
  </si>
  <si>
    <t>間歇跑用目標配速選項(下一格有下拉式選單)</t>
    <phoneticPr fontId="2" type="noConversion"/>
  </si>
  <si>
    <t>小時</t>
    <phoneticPr fontId="2" type="noConversion"/>
  </si>
  <si>
    <t>分鐘</t>
    <phoneticPr fontId="2" type="noConversion"/>
  </si>
  <si>
    <t>秒</t>
    <phoneticPr fontId="2" type="noConversion"/>
  </si>
  <si>
    <t>總時間</t>
    <phoneticPr fontId="2" type="noConversion"/>
  </si>
  <si>
    <t>半馬目標時間</t>
  </si>
  <si>
    <t>半馬配速</t>
    <phoneticPr fontId="2" type="noConversion"/>
  </si>
  <si>
    <t>1.5mile時長(s)</t>
    <phoneticPr fontId="2" type="noConversion"/>
  </si>
  <si>
    <t>公里配速</t>
  </si>
  <si>
    <t>輕鬆跑</t>
  </si>
  <si>
    <t>輕鬆跑</t>
    <phoneticPr fontId="2" type="noConversion"/>
  </si>
  <si>
    <t>強化跑</t>
  </si>
  <si>
    <t>強化跑</t>
    <phoneticPr fontId="2" type="noConversion"/>
  </si>
  <si>
    <t>節奏跑</t>
  </si>
  <si>
    <t>長跑</t>
  </si>
  <si>
    <t>長跑</t>
    <phoneticPr fontId="2" type="noConversion"/>
  </si>
  <si>
    <t>半馬</t>
  </si>
  <si>
    <t>半馬</t>
    <phoneticPr fontId="2" type="noConversion"/>
  </si>
  <si>
    <t>目標配速</t>
    <phoneticPr fontId="2" type="noConversion"/>
  </si>
  <si>
    <t>快輕鬆跑公里配速</t>
  </si>
  <si>
    <t>慢輕鬆跑公里配速</t>
  </si>
  <si>
    <t>1600m時長(s)</t>
    <phoneticPr fontId="2" type="noConversion"/>
  </si>
  <si>
    <t>2400m時長(s)</t>
    <phoneticPr fontId="2" type="noConversion"/>
  </si>
  <si>
    <t>3200m時長(s)</t>
    <phoneticPr fontId="2" type="noConversion"/>
  </si>
  <si>
    <t>4800m時長(s)</t>
    <phoneticPr fontId="2" type="noConversion"/>
  </si>
  <si>
    <t>強化跑公里配速</t>
    <phoneticPr fontId="2" type="noConversion"/>
  </si>
  <si>
    <t>X</t>
    <phoneticPr fontId="2" type="noConversion"/>
  </si>
  <si>
    <t>新手課表</t>
    <phoneticPr fontId="2" type="noConversion"/>
  </si>
  <si>
    <t>週</t>
    <phoneticPr fontId="2" type="noConversion"/>
  </si>
  <si>
    <t>內插後個人表格</t>
    <phoneticPr fontId="2" type="noConversion"/>
  </si>
  <si>
    <t>比賽</t>
    <phoneticPr fontId="2" type="noConversion"/>
  </si>
  <si>
    <t>71公里</t>
    <phoneticPr fontId="2" type="noConversion"/>
  </si>
  <si>
    <t>75公里</t>
    <phoneticPr fontId="2" type="noConversion"/>
  </si>
  <si>
    <t>72公里</t>
    <phoneticPr fontId="2" type="noConversion"/>
  </si>
  <si>
    <t>77公里</t>
    <phoneticPr fontId="2" type="noConversion"/>
  </si>
  <si>
    <t>只求完賽課表課表</t>
    <phoneticPr fontId="2" type="noConversion"/>
  </si>
  <si>
    <t>11公里</t>
    <phoneticPr fontId="2" type="noConversion"/>
  </si>
  <si>
    <t>14公里</t>
    <phoneticPr fontId="2" type="noConversion"/>
  </si>
  <si>
    <t>21公里</t>
    <phoneticPr fontId="2" type="noConversion"/>
  </si>
  <si>
    <t>25公里</t>
    <phoneticPr fontId="2" type="noConversion"/>
  </si>
  <si>
    <t>29公里</t>
    <phoneticPr fontId="2" type="noConversion"/>
  </si>
  <si>
    <t>32公里</t>
    <phoneticPr fontId="2" type="noConversion"/>
  </si>
  <si>
    <t>37公里</t>
    <phoneticPr fontId="2" type="noConversion"/>
  </si>
  <si>
    <t>40公里</t>
    <phoneticPr fontId="2" type="noConversion"/>
  </si>
  <si>
    <t>42公里</t>
    <phoneticPr fontId="2" type="noConversion"/>
  </si>
  <si>
    <t>51公里</t>
    <phoneticPr fontId="2" type="noConversion"/>
  </si>
  <si>
    <t>50公里</t>
    <phoneticPr fontId="2" type="noConversion"/>
  </si>
  <si>
    <t>38公里</t>
    <phoneticPr fontId="2" type="noConversion"/>
  </si>
  <si>
    <t>46公里</t>
    <phoneticPr fontId="2" type="noConversion"/>
  </si>
  <si>
    <t>5公里目標時間</t>
  </si>
  <si>
    <r>
      <t xml:space="preserve">使用說明 : </t>
    </r>
    <r>
      <rPr>
        <b/>
        <sz val="12"/>
        <color rgb="FFC00000"/>
        <rFont val="新細明體"/>
        <family val="1"/>
        <charset val="136"/>
        <scheme val="minor"/>
      </rPr>
      <t>紅字為下拉式表格(但數字可以用輸入的)，</t>
    </r>
    <r>
      <rPr>
        <b/>
        <sz val="12"/>
        <rFont val="新細明體"/>
        <family val="1"/>
        <charset val="136"/>
        <scheme val="minor"/>
      </rPr>
      <t>請填入自己的目標半馬完成時間 and 目標 5k or 10k 完成時間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2"/>
        <color rgb="FF00B050"/>
        <rFont val="新細明體"/>
        <family val="1"/>
        <charset val="136"/>
        <scheme val="minor"/>
      </rPr>
      <t>綠字是依照你填的資料所計算出的對應時間及配速</t>
    </r>
    <r>
      <rPr>
        <b/>
        <sz val="12"/>
        <color theme="1"/>
        <rFont val="新細明體"/>
        <family val="1"/>
        <charset val="136"/>
        <scheme val="minor"/>
      </rPr>
      <t>，不要直接輸入想要的配速
輸入完資料點一下總時間，可以標示出目前所選配速欄位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</si>
</sst>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[m]:ss"/>
    <numFmt numFmtId="177" formatCode="&quot;「&quot;mm:ss&quot;」&quot;"/>
    <numFmt numFmtId="178" formatCode="h:mm:ss"/>
    <numFmt numFmtId="179" formatCode="0.00_);[Red]\(0.00\)"/>
  </numFmts>
  <fonts count="1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8"/>
      <color rgb="FFE3E3E3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b/>
      <sz val="24"/>
      <color rgb="FFFF0000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252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21" fontId="7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21" fontId="4" fillId="0" borderId="20" xfId="0" applyNumberFormat="1" applyFont="1" applyBorder="1">
      <alignment vertical="center"/>
    </xf>
    <xf numFmtId="21" fontId="0" fillId="0" borderId="20" xfId="0" applyNumberFormat="1" applyBorder="1">
      <alignment vertical="center"/>
    </xf>
    <xf numFmtId="21" fontId="0" fillId="0" borderId="21" xfId="0" applyNumberFormat="1" applyBorder="1">
      <alignment vertical="center"/>
    </xf>
    <xf numFmtId="176" fontId="5" fillId="0" borderId="24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6" fontId="5" fillId="0" borderId="17" xfId="0" applyNumberFormat="1" applyFont="1" applyBorder="1">
      <alignment vertical="center"/>
    </xf>
    <xf numFmtId="176" fontId="5" fillId="0" borderId="25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6" fontId="5" fillId="0" borderId="26" xfId="0" applyNumberFormat="1" applyFont="1" applyBorder="1">
      <alignment vertical="center"/>
    </xf>
    <xf numFmtId="177" fontId="0" fillId="0" borderId="18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76" fontId="5" fillId="0" borderId="22" xfId="0" applyNumberFormat="1" applyFont="1" applyBorder="1">
      <alignment vertical="center"/>
    </xf>
    <xf numFmtId="176" fontId="0" fillId="0" borderId="12" xfId="0" applyNumberFormat="1" applyBorder="1">
      <alignment vertical="center"/>
    </xf>
    <xf numFmtId="176" fontId="4" fillId="0" borderId="23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4" fillId="0" borderId="17" xfId="0" applyNumberFormat="1" applyFont="1" applyBorder="1">
      <alignment vertical="center"/>
    </xf>
    <xf numFmtId="176" fontId="3" fillId="0" borderId="24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4" fillId="0" borderId="26" xfId="0" applyNumberFormat="1" applyFont="1" applyBorder="1">
      <alignment vertical="center"/>
    </xf>
    <xf numFmtId="176" fontId="0" fillId="0" borderId="24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0" xfId="0" applyNumberFormat="1" applyFont="1" applyBorder="1">
      <alignment vertical="center"/>
    </xf>
    <xf numFmtId="177" fontId="0" fillId="0" borderId="27" xfId="0" applyNumberFormat="1" applyBorder="1">
      <alignment vertical="center"/>
    </xf>
    <xf numFmtId="21" fontId="4" fillId="0" borderId="19" xfId="0" applyNumberFormat="1" applyFont="1" applyBorder="1">
      <alignment vertical="center"/>
    </xf>
    <xf numFmtId="176" fontId="5" fillId="0" borderId="19" xfId="0" applyNumberFormat="1" applyFont="1" applyBorder="1">
      <alignment vertical="center"/>
    </xf>
    <xf numFmtId="176" fontId="5" fillId="0" borderId="20" xfId="0" applyNumberFormat="1" applyFont="1" applyBorder="1">
      <alignment vertical="center"/>
    </xf>
    <xf numFmtId="176" fontId="5" fillId="0" borderId="21" xfId="0" applyNumberFormat="1" applyFont="1" applyBorder="1">
      <alignment vertical="center"/>
    </xf>
    <xf numFmtId="0" fontId="0" fillId="0" borderId="18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21" fontId="4" fillId="0" borderId="22" xfId="0" applyNumberFormat="1" applyFont="1" applyBorder="1">
      <alignment vertical="center"/>
    </xf>
    <xf numFmtId="21" fontId="0" fillId="0" borderId="24" xfId="0" applyNumberFormat="1" applyBorder="1">
      <alignment vertical="center"/>
    </xf>
    <xf numFmtId="21" fontId="0" fillId="0" borderId="25" xfId="0" applyNumberFormat="1" applyBorder="1">
      <alignment vertical="center"/>
    </xf>
    <xf numFmtId="21" fontId="4" fillId="0" borderId="24" xfId="0" applyNumberFormat="1" applyFont="1" applyBorder="1">
      <alignment vertical="center"/>
    </xf>
    <xf numFmtId="0" fontId="0" fillId="0" borderId="19" xfId="0" applyBorder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177" fontId="0" fillId="0" borderId="30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34" xfId="0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176" fontId="14" fillId="0" borderId="9" xfId="0" applyNumberFormat="1" applyFont="1" applyBorder="1">
      <alignment vertical="center"/>
    </xf>
    <xf numFmtId="176" fontId="14" fillId="0" borderId="8" xfId="0" applyNumberFormat="1" applyFont="1" applyBorder="1">
      <alignment vertical="center"/>
    </xf>
    <xf numFmtId="0" fontId="0" fillId="0" borderId="29" xfId="0" applyBorder="1">
      <alignment vertical="center"/>
    </xf>
    <xf numFmtId="177" fontId="0" fillId="0" borderId="29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43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6" xfId="0" applyFill="1" applyBorder="1">
      <alignment vertical="center"/>
    </xf>
    <xf numFmtId="176" fontId="0" fillId="0" borderId="5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6" fontId="0" fillId="0" borderId="24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176" fontId="5" fillId="0" borderId="17" xfId="0" applyNumberFormat="1" applyFont="1" applyFill="1" applyBorder="1">
      <alignment vertical="center"/>
    </xf>
    <xf numFmtId="21" fontId="7" fillId="0" borderId="0" xfId="0" applyNumberFormat="1" applyFont="1" applyFill="1" applyBorder="1">
      <alignment vertical="center"/>
    </xf>
    <xf numFmtId="176" fontId="5" fillId="0" borderId="6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35" xfId="0" applyNumberFormat="1" applyFill="1" applyBorder="1">
      <alignment vertical="center"/>
    </xf>
    <xf numFmtId="176" fontId="0" fillId="0" borderId="36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5" fillId="0" borderId="35" xfId="0" applyNumberFormat="1" applyFont="1" applyFill="1" applyBorder="1">
      <alignment vertical="center"/>
    </xf>
    <xf numFmtId="0" fontId="0" fillId="0" borderId="8" xfId="0" applyFill="1" applyBorder="1">
      <alignment vertical="center"/>
    </xf>
    <xf numFmtId="176" fontId="5" fillId="0" borderId="8" xfId="0" applyNumberFormat="1" applyFont="1" applyFill="1" applyBorder="1">
      <alignment vertical="center"/>
    </xf>
    <xf numFmtId="176" fontId="5" fillId="0" borderId="9" xfId="0" applyNumberFormat="1" applyFont="1" applyFill="1" applyBorder="1">
      <alignment vertical="center"/>
    </xf>
    <xf numFmtId="0" fontId="0" fillId="0" borderId="0" xfId="0" applyFill="1">
      <alignment vertical="center"/>
    </xf>
    <xf numFmtId="21" fontId="0" fillId="0" borderId="41" xfId="0" applyNumberFormat="1" applyFill="1" applyBorder="1">
      <alignment vertical="center"/>
    </xf>
    <xf numFmtId="176" fontId="5" fillId="0" borderId="5" xfId="0" applyNumberFormat="1" applyFont="1" applyFill="1" applyBorder="1">
      <alignment vertical="center"/>
    </xf>
    <xf numFmtId="176" fontId="5" fillId="0" borderId="24" xfId="0" applyNumberFormat="1" applyFont="1" applyFill="1" applyBorder="1">
      <alignment vertical="center"/>
    </xf>
    <xf numFmtId="176" fontId="5" fillId="0" borderId="20" xfId="0" applyNumberFormat="1" applyFont="1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4" xfId="0" applyFill="1" applyBorder="1">
      <alignment vertical="center"/>
    </xf>
    <xf numFmtId="21" fontId="4" fillId="0" borderId="40" xfId="0" applyNumberFormat="1" applyFont="1" applyFill="1" applyBorder="1">
      <alignment vertical="center"/>
    </xf>
    <xf numFmtId="21" fontId="0" fillId="0" borderId="42" xfId="0" applyNumberFormat="1" applyFill="1" applyBorder="1">
      <alignment vertical="center"/>
    </xf>
    <xf numFmtId="176" fontId="5" fillId="0" borderId="7" xfId="0" applyNumberFormat="1" applyFont="1" applyFill="1" applyBorder="1">
      <alignment vertical="center"/>
    </xf>
    <xf numFmtId="176" fontId="5" fillId="0" borderId="36" xfId="0" applyNumberFormat="1" applyFont="1" applyFill="1" applyBorder="1">
      <alignment vertical="center"/>
    </xf>
    <xf numFmtId="176" fontId="5" fillId="0" borderId="44" xfId="0" applyNumberFormat="1" applyFont="1" applyFill="1" applyBorder="1">
      <alignment vertical="center"/>
    </xf>
    <xf numFmtId="176" fontId="5" fillId="0" borderId="45" xfId="0" applyNumberFormat="1" applyFont="1" applyFill="1" applyBorder="1">
      <alignment vertical="center"/>
    </xf>
    <xf numFmtId="178" fontId="14" fillId="0" borderId="8" xfId="0" applyNumberFormat="1" applyFont="1" applyBorder="1">
      <alignment vertical="center"/>
    </xf>
    <xf numFmtId="178" fontId="8" fillId="0" borderId="29" xfId="0" applyNumberFormat="1" applyFont="1" applyBorder="1" applyAlignment="1">
      <alignment horizontal="center" vertical="center"/>
    </xf>
    <xf numFmtId="178" fontId="8" fillId="0" borderId="0" xfId="0" applyNumberFormat="1" applyFont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77" fontId="16" fillId="0" borderId="42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7" fontId="0" fillId="0" borderId="40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47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176" fontId="8" fillId="0" borderId="37" xfId="0" applyNumberFormat="1" applyFont="1" applyFill="1" applyBorder="1" applyAlignment="1">
      <alignment horizontal="center" vertical="center"/>
    </xf>
    <xf numFmtId="176" fontId="8" fillId="0" borderId="38" xfId="0" applyNumberFormat="1" applyFont="1" applyFill="1" applyBorder="1" applyAlignment="1">
      <alignment horizontal="center" vertical="center"/>
    </xf>
    <xf numFmtId="176" fontId="8" fillId="0" borderId="48" xfId="0" applyNumberFormat="1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76" fontId="8" fillId="0" borderId="29" xfId="0" applyNumberFormat="1" applyFont="1" applyBorder="1" applyAlignment="1">
      <alignment horizontal="center" vertical="center"/>
    </xf>
    <xf numFmtId="176" fontId="8" fillId="0" borderId="3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textRotation="255" wrapText="1"/>
    </xf>
    <xf numFmtId="0" fontId="0" fillId="2" borderId="8" xfId="0" applyFill="1" applyBorder="1" applyAlignment="1">
      <alignment horizontal="center" vertical="center" textRotation="255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一般" xfId="0" builtinId="0"/>
    <cellStyle name="一般 2" xfId="2" xr:uid="{80D5A60A-6D77-47AE-9280-0DFD8CD0724A}"/>
    <cellStyle name="千分位" xfId="1" builtinId="3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6"/>
        </patternFill>
      </fill>
      <alignment horizontal="general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82ED40-8284-4380-81C1-0A8D22960296}" name="表格4" displayName="表格4" ref="AA7:AA9" totalsRowShown="0" headerRowDxfId="2" dataDxfId="1">
  <autoFilter ref="AA7:AA9" xr:uid="{FE82ED40-8284-4380-81C1-0A8D22960296}"/>
  <tableColumns count="1">
    <tableColumn id="1" xr3:uid="{7B4C7603-E4F4-4008-825C-4A55A86D5256}" name="間歇跑用目標配速選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A5460-0F24-4E4B-956E-D47D0A0E4258}" name="表格1" displayName="表格1" ref="X7:X13" totalsRowShown="0">
  <autoFilter ref="X7:X13" xr:uid="{CA3A5460-0F24-4E4B-956E-D47D0A0E4258}"/>
  <tableColumns count="1">
    <tableColumn id="1" xr3:uid="{FB68FEF0-DC12-43E7-A54F-C893FFF29E43}" name="小時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A3CF3D-1692-4EEA-BEA9-17E6F2443DFC}" name="表格2" displayName="表格2" ref="Y7:Y70" totalsRowShown="0">
  <autoFilter ref="Y7:Y70" xr:uid="{89A3CF3D-1692-4EEA-BEA9-17E6F2443DFC}"/>
  <tableColumns count="1">
    <tableColumn id="1" xr3:uid="{4CC22C6D-7D73-4112-AFA9-B554BE718BC7}" name="分鐘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A2685-587B-4105-9A68-AC30B50457FF}" name="表格3" displayName="表格3" ref="Z7:Z70" totalsRowShown="0">
  <autoFilter ref="Z7:Z70" xr:uid="{D98A2685-587B-4105-9A68-AC30B50457FF}"/>
  <tableColumns count="1">
    <tableColumn id="1" xr3:uid="{92778AD8-BA8F-4A2D-9065-4E3F14EC2C51}" name="秒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2D8D-BF0C-44B3-B4DA-F5218EFFCEE0}">
  <sheetPr codeName="工作表1"/>
  <dimension ref="A1:BI177"/>
  <sheetViews>
    <sheetView tabSelected="1" zoomScale="71" zoomScaleNormal="52" workbookViewId="0">
      <selection activeCell="F17" sqref="F17"/>
    </sheetView>
  </sheetViews>
  <sheetFormatPr defaultRowHeight="16.2" x14ac:dyDescent="0.3"/>
  <cols>
    <col min="5" max="5" width="10.21875" bestFit="1" customWidth="1"/>
    <col min="6" max="6" width="10.44140625" bestFit="1" customWidth="1"/>
    <col min="7" max="7" width="8.77734375" customWidth="1"/>
    <col min="8" max="8" width="16.6640625" bestFit="1" customWidth="1"/>
    <col min="9" max="10" width="20.44140625" bestFit="1" customWidth="1"/>
    <col min="11" max="12" width="14" bestFit="1" customWidth="1"/>
    <col min="13" max="15" width="15" bestFit="1" customWidth="1"/>
    <col min="16" max="16" width="10.5546875" bestFit="1" customWidth="1"/>
    <col min="17" max="19" width="14" bestFit="1" customWidth="1"/>
    <col min="20" max="22" width="15" bestFit="1" customWidth="1"/>
    <col min="24" max="24" width="15.33203125" hidden="1" customWidth="1"/>
    <col min="25" max="26" width="20.21875" hidden="1" customWidth="1"/>
    <col min="27" max="27" width="19" hidden="1" customWidth="1"/>
    <col min="28" max="28" width="19.44140625" bestFit="1" customWidth="1"/>
    <col min="29" max="29" width="23.33203125" bestFit="1" customWidth="1"/>
    <col min="30" max="31" width="21.33203125" bestFit="1" customWidth="1"/>
    <col min="32" max="32" width="12.77734375" bestFit="1" customWidth="1"/>
    <col min="33" max="33" width="10.44140625" bestFit="1" customWidth="1"/>
  </cols>
  <sheetData>
    <row r="1" spans="1:27" s="116" customFormat="1" ht="16.8" thickBot="1" x14ac:dyDescent="0.35">
      <c r="A1" s="189" t="s">
        <v>70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1"/>
    </row>
    <row r="2" spans="1:27" s="117" customFormat="1" ht="16.2" customHeight="1" x14ac:dyDescent="0.3">
      <c r="A2" s="180" t="s">
        <v>121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2"/>
    </row>
    <row r="3" spans="1:27" s="117" customFormat="1" x14ac:dyDescent="0.3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5"/>
    </row>
    <row r="4" spans="1:27" s="117" customFormat="1" ht="16.8" thickBot="1" x14ac:dyDescent="0.35">
      <c r="A4" s="186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8"/>
    </row>
    <row r="5" spans="1:27" s="69" customFormat="1" ht="16.8" thickBot="1" x14ac:dyDescent="0.35"/>
    <row r="6" spans="1:27" ht="16.8" thickBot="1" x14ac:dyDescent="0.35">
      <c r="A6" s="200" t="s">
        <v>16</v>
      </c>
      <c r="B6" s="201"/>
      <c r="C6" s="201"/>
      <c r="D6" s="201"/>
      <c r="E6" s="201"/>
      <c r="F6" s="202"/>
      <c r="H6" s="64" t="s">
        <v>88</v>
      </c>
      <c r="I6" s="192" t="s">
        <v>81</v>
      </c>
      <c r="J6" s="193"/>
      <c r="K6" s="194" t="s">
        <v>83</v>
      </c>
      <c r="L6" s="195"/>
      <c r="M6" s="195"/>
      <c r="N6" s="195"/>
      <c r="O6" s="196"/>
      <c r="P6" s="64" t="s">
        <v>58</v>
      </c>
      <c r="Q6" s="64" t="s">
        <v>86</v>
      </c>
      <c r="R6" s="149"/>
      <c r="S6" s="149"/>
      <c r="T6" s="149"/>
      <c r="U6" s="149"/>
      <c r="V6" s="149"/>
    </row>
    <row r="7" spans="1:27" ht="16.8" thickBot="1" x14ac:dyDescent="0.35">
      <c r="A7" s="54" t="s">
        <v>72</v>
      </c>
      <c r="B7" s="55" t="s">
        <v>73</v>
      </c>
      <c r="C7" s="55" t="s">
        <v>74</v>
      </c>
      <c r="D7" s="55"/>
      <c r="E7" s="55" t="s">
        <v>75</v>
      </c>
      <c r="F7" s="56" t="s">
        <v>77</v>
      </c>
      <c r="H7" s="65" t="s">
        <v>16</v>
      </c>
      <c r="I7" s="66" t="s">
        <v>32</v>
      </c>
      <c r="J7" s="58" t="s">
        <v>31</v>
      </c>
      <c r="K7" s="20" t="s">
        <v>96</v>
      </c>
      <c r="L7" s="9" t="s">
        <v>92</v>
      </c>
      <c r="M7" s="9" t="s">
        <v>93</v>
      </c>
      <c r="N7" s="9" t="s">
        <v>94</v>
      </c>
      <c r="O7" s="21" t="s">
        <v>95</v>
      </c>
      <c r="P7" s="67" t="s">
        <v>26</v>
      </c>
      <c r="Q7" s="59" t="s">
        <v>26</v>
      </c>
      <c r="R7" s="149"/>
      <c r="S7" s="149"/>
      <c r="T7" s="149"/>
      <c r="U7" s="149"/>
      <c r="V7" s="149"/>
      <c r="X7" t="s">
        <v>72</v>
      </c>
      <c r="Y7" t="s">
        <v>73</v>
      </c>
      <c r="Z7" s="51" t="s">
        <v>74</v>
      </c>
      <c r="AA7" s="49" t="s">
        <v>69</v>
      </c>
    </row>
    <row r="8" spans="1:27" ht="16.8" thickBot="1" x14ac:dyDescent="0.35">
      <c r="A8" s="60">
        <v>2</v>
      </c>
      <c r="B8" s="61">
        <v>14</v>
      </c>
      <c r="C8" s="61">
        <v>0</v>
      </c>
      <c r="D8" s="53"/>
      <c r="E8" s="104">
        <f>TIME(A8,B8,C8)</f>
        <v>9.3055555555555558E-2</v>
      </c>
      <c r="F8" s="62">
        <f>E8/21.0975</f>
        <v>4.4107385024555303E-3</v>
      </c>
      <c r="H8" s="98">
        <v>4.3402777777777776E-2</v>
      </c>
      <c r="I8" s="90">
        <f>(H8/ 13.1094) / 1.609+ TIME(0,0,56)</f>
        <v>2.7058320792510289E-3</v>
      </c>
      <c r="J8" s="75">
        <f>(H8/ 13.1094) / 1.609+ TIME(0,0,90)</f>
        <v>3.0993505977695473E-3</v>
      </c>
      <c r="K8" s="91">
        <f t="shared" ref="K8:K34" si="0">(H8/ 13.1094- TIME(0,0,10)) / 1.609</f>
        <v>1.9857505931658139E-3</v>
      </c>
      <c r="L8" s="74">
        <f>K8*1.609</f>
        <v>3.1950727044037946E-3</v>
      </c>
      <c r="M8" s="74">
        <f>K8*1.5*1.609</f>
        <v>4.7926090566056921E-3</v>
      </c>
      <c r="N8" s="74">
        <f>K8 *2*1.609</f>
        <v>6.3901454088075892E-3</v>
      </c>
      <c r="O8" s="74">
        <f>K8*3*1.609</f>
        <v>9.5852181132113842E-3</v>
      </c>
      <c r="P8" s="92">
        <f>(H8/ 13.1094) / 1.609</f>
        <v>2.0576839311028808E-3</v>
      </c>
      <c r="Q8" s="77">
        <f>(H8/ 13.1094) / 1.609 + TIME(0,0,43)</f>
        <v>2.555369116288066E-3</v>
      </c>
      <c r="R8" s="149"/>
      <c r="S8" s="149"/>
      <c r="T8" s="149"/>
      <c r="U8" s="149"/>
      <c r="V8" s="149"/>
      <c r="X8">
        <v>0</v>
      </c>
      <c r="Y8">
        <v>0</v>
      </c>
      <c r="Z8" s="51">
        <v>0</v>
      </c>
      <c r="AA8" s="50" t="s">
        <v>5</v>
      </c>
    </row>
    <row r="9" spans="1:27" ht="16.8" thickBot="1" x14ac:dyDescent="0.35">
      <c r="H9" s="89">
        <v>4.4965277777777778E-2</v>
      </c>
      <c r="I9" s="90">
        <f>(H9/ 13.1094) / 1.609+ TIME(0,0,56)</f>
        <v>2.7799087007707329E-3</v>
      </c>
      <c r="J9" s="75">
        <f t="shared" ref="J9:J34" si="1">(H9/ 13.1094) / 1.609+ TIME(0,0,90)</f>
        <v>3.1734272192892512E-3</v>
      </c>
      <c r="K9" s="91">
        <f t="shared" si="0"/>
        <v>2.0598272146855178E-3</v>
      </c>
      <c r="L9" s="74">
        <f t="shared" ref="L9:L34" si="2">K9*1.609</f>
        <v>3.3142619884289981E-3</v>
      </c>
      <c r="M9" s="74">
        <f t="shared" ref="M9:M34" si="3">K9*1.5*1.609</f>
        <v>4.9713929826434968E-3</v>
      </c>
      <c r="N9" s="74">
        <f t="shared" ref="N9:N34" si="4">K9 *2*1.609</f>
        <v>6.6285239768579963E-3</v>
      </c>
      <c r="O9" s="74">
        <f t="shared" ref="O9:O34" si="5">K9*3*1.609</f>
        <v>9.9427859652869936E-3</v>
      </c>
      <c r="P9" s="92">
        <f t="shared" ref="P9:P34" si="6">(H9/ 13.1094) / 1.609</f>
        <v>2.1317605526225848E-3</v>
      </c>
      <c r="Q9" s="77">
        <f t="shared" ref="Q9:Q34" si="7">(H9/ 13.1094) / 1.609 + TIME(0,0,43)</f>
        <v>2.62944573780777E-3</v>
      </c>
      <c r="R9" s="149"/>
      <c r="S9" s="149"/>
      <c r="T9" s="149"/>
      <c r="U9" s="149"/>
      <c r="V9" s="149"/>
      <c r="X9">
        <v>1</v>
      </c>
      <c r="Y9">
        <v>1</v>
      </c>
      <c r="Z9" s="51">
        <v>1</v>
      </c>
      <c r="AA9" s="50" t="s">
        <v>4</v>
      </c>
    </row>
    <row r="10" spans="1:27" ht="16.8" thickBot="1" x14ac:dyDescent="0.35">
      <c r="A10" s="197" t="s">
        <v>71</v>
      </c>
      <c r="B10" s="198"/>
      <c r="C10" s="198"/>
      <c r="D10" s="198"/>
      <c r="E10" s="198"/>
      <c r="F10" s="199"/>
      <c r="H10" s="89">
        <v>4.6527777777777779E-2</v>
      </c>
      <c r="I10" s="90">
        <f t="shared" ref="I10:I34" si="8">(H10/ 13.1094) / 1.609+ TIME(0,0,56)</f>
        <v>2.8539853222904368E-3</v>
      </c>
      <c r="J10" s="75">
        <f t="shared" si="1"/>
        <v>3.2475038408089551E-3</v>
      </c>
      <c r="K10" s="91">
        <f t="shared" si="0"/>
        <v>2.1339038362052213E-3</v>
      </c>
      <c r="L10" s="74">
        <f t="shared" si="2"/>
        <v>3.4334512724542013E-3</v>
      </c>
      <c r="M10" s="74">
        <f t="shared" si="3"/>
        <v>5.1501769086813023E-3</v>
      </c>
      <c r="N10" s="74">
        <f t="shared" si="4"/>
        <v>6.8669025449084025E-3</v>
      </c>
      <c r="O10" s="74">
        <f t="shared" si="5"/>
        <v>1.0300353817362605E-2</v>
      </c>
      <c r="P10" s="92">
        <f t="shared" si="6"/>
        <v>2.2058371741422887E-3</v>
      </c>
      <c r="Q10" s="77">
        <f t="shared" si="7"/>
        <v>2.7035223593274739E-3</v>
      </c>
      <c r="R10" s="149"/>
      <c r="S10" s="149"/>
      <c r="T10" s="149"/>
      <c r="U10" s="149"/>
      <c r="V10" s="149"/>
      <c r="X10" s="51">
        <v>2</v>
      </c>
      <c r="Y10" s="51">
        <v>2</v>
      </c>
      <c r="Z10" s="51">
        <v>2</v>
      </c>
    </row>
    <row r="11" spans="1:27" ht="16.8" thickBot="1" x14ac:dyDescent="0.35">
      <c r="A11" s="203" t="s">
        <v>120</v>
      </c>
      <c r="B11" s="204"/>
      <c r="C11" s="204"/>
      <c r="D11" s="204"/>
      <c r="E11" s="204"/>
      <c r="F11" s="205"/>
      <c r="H11" s="89">
        <v>4.8263888888888891E-2</v>
      </c>
      <c r="I11" s="90">
        <f t="shared" si="8"/>
        <v>2.936292679534552E-3</v>
      </c>
      <c r="J11" s="75">
        <f t="shared" si="1"/>
        <v>3.3298111980530707E-3</v>
      </c>
      <c r="K11" s="91">
        <f t="shared" si="0"/>
        <v>2.2162111934493369E-3</v>
      </c>
      <c r="L11" s="74">
        <f t="shared" si="2"/>
        <v>3.565883810259983E-3</v>
      </c>
      <c r="M11" s="74">
        <f t="shared" si="3"/>
        <v>5.3488257153899745E-3</v>
      </c>
      <c r="N11" s="74">
        <f t="shared" si="4"/>
        <v>7.1317676205199659E-3</v>
      </c>
      <c r="O11" s="74">
        <f t="shared" si="5"/>
        <v>1.0697651430779949E-2</v>
      </c>
      <c r="P11" s="92">
        <f t="shared" si="6"/>
        <v>2.2881445313864038E-3</v>
      </c>
      <c r="Q11" s="77">
        <f t="shared" si="7"/>
        <v>2.785829716571589E-3</v>
      </c>
      <c r="R11" s="149"/>
      <c r="S11" s="149"/>
      <c r="T11" s="149"/>
      <c r="U11" s="149"/>
      <c r="V11" s="149"/>
      <c r="X11" s="51">
        <v>3</v>
      </c>
      <c r="Y11" s="51">
        <v>3</v>
      </c>
      <c r="Z11" s="51">
        <v>3</v>
      </c>
    </row>
    <row r="12" spans="1:27" x14ac:dyDescent="0.3">
      <c r="A12" s="54" t="s">
        <v>72</v>
      </c>
      <c r="B12" s="55" t="s">
        <v>73</v>
      </c>
      <c r="C12" s="55" t="s">
        <v>74</v>
      </c>
      <c r="D12" s="55"/>
      <c r="E12" s="55" t="s">
        <v>75</v>
      </c>
      <c r="F12" s="70" t="s">
        <v>89</v>
      </c>
      <c r="H12" s="89">
        <v>0.05</v>
      </c>
      <c r="I12" s="90">
        <f t="shared" si="8"/>
        <v>3.0186000367786671E-3</v>
      </c>
      <c r="J12" s="75">
        <f t="shared" si="1"/>
        <v>3.4121185552971854E-3</v>
      </c>
      <c r="K12" s="91">
        <f t="shared" si="0"/>
        <v>2.298518550693452E-3</v>
      </c>
      <c r="L12" s="74">
        <f t="shared" si="2"/>
        <v>3.6983163480657642E-3</v>
      </c>
      <c r="M12" s="74">
        <f t="shared" si="3"/>
        <v>5.5474745220986466E-3</v>
      </c>
      <c r="N12" s="74">
        <f t="shared" si="4"/>
        <v>7.3966326961315285E-3</v>
      </c>
      <c r="O12" s="74">
        <f t="shared" si="5"/>
        <v>1.1094949044197293E-2</v>
      </c>
      <c r="P12" s="92">
        <f t="shared" si="6"/>
        <v>2.370451888630519E-3</v>
      </c>
      <c r="Q12" s="77">
        <f t="shared" si="7"/>
        <v>2.8681370738157042E-3</v>
      </c>
      <c r="R12" s="149"/>
      <c r="S12" s="149"/>
      <c r="T12" s="149"/>
      <c r="U12" s="149"/>
      <c r="V12" s="149"/>
      <c r="W12" s="88"/>
      <c r="X12" s="51">
        <v>4</v>
      </c>
      <c r="Y12" s="51">
        <v>4</v>
      </c>
      <c r="Z12" s="51">
        <v>4</v>
      </c>
    </row>
    <row r="13" spans="1:27" ht="16.8" thickBot="1" x14ac:dyDescent="0.35">
      <c r="A13" s="60">
        <v>0</v>
      </c>
      <c r="B13" s="61">
        <v>25</v>
      </c>
      <c r="C13" s="61">
        <v>0</v>
      </c>
      <c r="D13" s="53"/>
      <c r="E13" s="63">
        <f>TIME(A13,B13,C13)</f>
        <v>1.7361111111111112E-2</v>
      </c>
      <c r="F13" s="62">
        <f>IF(A11="5公里目標時間",E13/5,E13/10)</f>
        <v>3.4722222222222225E-3</v>
      </c>
      <c r="H13" s="89">
        <v>5.1388888888888887E-2</v>
      </c>
      <c r="I13" s="90">
        <f t="shared" si="8"/>
        <v>3.0844459225739594E-3</v>
      </c>
      <c r="J13" s="75">
        <f t="shared" si="1"/>
        <v>3.4779644410924777E-3</v>
      </c>
      <c r="K13" s="91">
        <f t="shared" si="0"/>
        <v>2.3643644364887439E-3</v>
      </c>
      <c r="L13" s="74">
        <f t="shared" si="2"/>
        <v>3.8042623783103888E-3</v>
      </c>
      <c r="M13" s="74">
        <f t="shared" si="3"/>
        <v>5.7063935674655838E-3</v>
      </c>
      <c r="N13" s="74">
        <f t="shared" si="4"/>
        <v>7.6085247566207775E-3</v>
      </c>
      <c r="O13" s="74">
        <f t="shared" si="5"/>
        <v>1.1412787134931168E-2</v>
      </c>
      <c r="P13" s="92">
        <f t="shared" si="6"/>
        <v>2.4362977744258113E-3</v>
      </c>
      <c r="Q13" s="77">
        <f t="shared" si="7"/>
        <v>2.9339829596109965E-3</v>
      </c>
      <c r="R13" s="149"/>
      <c r="S13" s="149"/>
      <c r="T13" s="149"/>
      <c r="U13" s="149"/>
      <c r="V13" s="149"/>
      <c r="X13" s="51">
        <v>5</v>
      </c>
      <c r="Y13" s="51">
        <v>5</v>
      </c>
      <c r="Z13" s="51">
        <v>5</v>
      </c>
    </row>
    <row r="14" spans="1:27" x14ac:dyDescent="0.3">
      <c r="H14" s="89">
        <v>5.347222222222222E-2</v>
      </c>
      <c r="I14" s="90">
        <f t="shared" si="8"/>
        <v>3.1832147512668974E-3</v>
      </c>
      <c r="J14" s="75">
        <f t="shared" si="1"/>
        <v>3.5767332697854157E-3</v>
      </c>
      <c r="K14" s="91">
        <f t="shared" si="0"/>
        <v>2.4631332651816819E-3</v>
      </c>
      <c r="L14" s="74">
        <f t="shared" si="2"/>
        <v>3.9631814236773264E-3</v>
      </c>
      <c r="M14" s="74">
        <f t="shared" si="3"/>
        <v>5.9447721355159891E-3</v>
      </c>
      <c r="N14" s="74">
        <f t="shared" si="4"/>
        <v>7.9263628473546528E-3</v>
      </c>
      <c r="O14" s="74">
        <f t="shared" si="5"/>
        <v>1.1889544271031978E-2</v>
      </c>
      <c r="P14" s="92">
        <f t="shared" si="6"/>
        <v>2.5350666031187493E-3</v>
      </c>
      <c r="Q14" s="77">
        <f t="shared" si="7"/>
        <v>3.0327517883039345E-3</v>
      </c>
      <c r="R14" s="149"/>
      <c r="S14" s="149"/>
      <c r="T14" s="149"/>
      <c r="U14" s="149"/>
      <c r="V14" s="149"/>
      <c r="Y14" s="51">
        <v>6</v>
      </c>
      <c r="Z14" s="51">
        <v>6</v>
      </c>
    </row>
    <row r="15" spans="1:27" x14ac:dyDescent="0.3">
      <c r="H15" s="89">
        <v>5.486111111111111E-2</v>
      </c>
      <c r="I15" s="90">
        <f t="shared" si="8"/>
        <v>3.2490606370621897E-3</v>
      </c>
      <c r="J15" s="75">
        <f t="shared" si="1"/>
        <v>3.642579155580708E-3</v>
      </c>
      <c r="K15" s="91">
        <f t="shared" si="0"/>
        <v>2.5289791509769742E-3</v>
      </c>
      <c r="L15" s="74">
        <f t="shared" si="2"/>
        <v>4.0691274539219517E-3</v>
      </c>
      <c r="M15" s="74">
        <f t="shared" si="3"/>
        <v>6.1036911808829272E-3</v>
      </c>
      <c r="N15" s="74">
        <f t="shared" si="4"/>
        <v>8.1382549078439035E-3</v>
      </c>
      <c r="O15" s="74">
        <f t="shared" si="5"/>
        <v>1.2207382361765854E-2</v>
      </c>
      <c r="P15" s="92">
        <f t="shared" si="6"/>
        <v>2.6009124889140416E-3</v>
      </c>
      <c r="Q15" s="77">
        <f t="shared" si="7"/>
        <v>3.0985976740992268E-3</v>
      </c>
      <c r="R15" s="149"/>
      <c r="S15" s="149"/>
      <c r="T15" s="149"/>
      <c r="U15" s="149"/>
      <c r="V15" s="149"/>
      <c r="Y15" s="51">
        <v>7</v>
      </c>
      <c r="Z15" s="51">
        <v>7</v>
      </c>
    </row>
    <row r="16" spans="1:27" x14ac:dyDescent="0.3">
      <c r="E16" s="2"/>
      <c r="H16" s="89">
        <v>5.6597222222222222E-2</v>
      </c>
      <c r="I16" s="90">
        <f t="shared" si="8"/>
        <v>3.3313679943063048E-3</v>
      </c>
      <c r="J16" s="75">
        <f t="shared" si="1"/>
        <v>3.7248865128248236E-3</v>
      </c>
      <c r="K16" s="91">
        <f t="shared" si="0"/>
        <v>2.6112865082210898E-3</v>
      </c>
      <c r="L16" s="74">
        <f t="shared" si="2"/>
        <v>4.2015599917277335E-3</v>
      </c>
      <c r="M16" s="74">
        <f t="shared" si="3"/>
        <v>6.3023399875916002E-3</v>
      </c>
      <c r="N16" s="74">
        <f t="shared" si="4"/>
        <v>8.4031199834554669E-3</v>
      </c>
      <c r="O16" s="74">
        <f t="shared" si="5"/>
        <v>1.26046799751832E-2</v>
      </c>
      <c r="P16" s="92">
        <f t="shared" si="6"/>
        <v>2.6832198461581567E-3</v>
      </c>
      <c r="Q16" s="77">
        <f t="shared" si="7"/>
        <v>3.1809050313433419E-3</v>
      </c>
      <c r="R16" s="149"/>
      <c r="S16" s="149"/>
      <c r="T16" s="149"/>
      <c r="U16" s="149"/>
      <c r="V16" s="149"/>
      <c r="Y16" s="51">
        <v>8</v>
      </c>
      <c r="Z16" s="51">
        <v>8</v>
      </c>
    </row>
    <row r="17" spans="3:27" x14ac:dyDescent="0.3">
      <c r="H17" s="89">
        <v>5.8333333333333334E-2</v>
      </c>
      <c r="I17" s="90">
        <f t="shared" si="8"/>
        <v>3.4136753515504204E-3</v>
      </c>
      <c r="J17" s="75">
        <f t="shared" si="1"/>
        <v>3.8071938700689392E-3</v>
      </c>
      <c r="K17" s="91">
        <f t="shared" si="0"/>
        <v>2.6935938654652053E-3</v>
      </c>
      <c r="L17" s="74">
        <f t="shared" si="2"/>
        <v>4.3339925295335152E-3</v>
      </c>
      <c r="M17" s="74">
        <f t="shared" si="3"/>
        <v>6.5009887943002723E-3</v>
      </c>
      <c r="N17" s="74">
        <f t="shared" si="4"/>
        <v>8.6679850590670304E-3</v>
      </c>
      <c r="O17" s="74">
        <f t="shared" si="5"/>
        <v>1.3001977588600545E-2</v>
      </c>
      <c r="P17" s="92">
        <f t="shared" si="6"/>
        <v>2.7655272034022723E-3</v>
      </c>
      <c r="Q17" s="77">
        <f t="shared" si="7"/>
        <v>3.2632123885874575E-3</v>
      </c>
      <c r="R17" s="149"/>
      <c r="S17" s="149"/>
      <c r="T17" s="149"/>
      <c r="U17" s="149"/>
      <c r="V17" s="149"/>
      <c r="Y17" s="51">
        <v>9</v>
      </c>
      <c r="Z17" s="51">
        <v>9</v>
      </c>
    </row>
    <row r="18" spans="3:27" x14ac:dyDescent="0.3">
      <c r="H18" s="89">
        <v>5.9722222222222225E-2</v>
      </c>
      <c r="I18" s="90">
        <f t="shared" si="8"/>
        <v>3.4795212373457127E-3</v>
      </c>
      <c r="J18" s="75">
        <f t="shared" si="1"/>
        <v>3.8730397558642314E-3</v>
      </c>
      <c r="K18" s="91">
        <f t="shared" si="0"/>
        <v>2.7594397512604976E-3</v>
      </c>
      <c r="L18" s="74">
        <f t="shared" si="2"/>
        <v>4.4399385597781406E-3</v>
      </c>
      <c r="M18" s="74">
        <f t="shared" si="3"/>
        <v>6.6599078396672113E-3</v>
      </c>
      <c r="N18" s="74">
        <f t="shared" si="4"/>
        <v>8.8798771195562811E-3</v>
      </c>
      <c r="O18" s="74">
        <f t="shared" si="5"/>
        <v>1.3319815679334423E-2</v>
      </c>
      <c r="P18" s="92">
        <f t="shared" si="6"/>
        <v>2.8313730891975646E-3</v>
      </c>
      <c r="Q18" s="77">
        <f t="shared" si="7"/>
        <v>3.3290582743827498E-3</v>
      </c>
      <c r="R18" s="149"/>
      <c r="S18" s="149"/>
      <c r="T18" s="149"/>
      <c r="U18" s="149"/>
      <c r="V18" s="149"/>
      <c r="Y18" s="51">
        <v>10</v>
      </c>
      <c r="Z18" s="51">
        <v>10</v>
      </c>
    </row>
    <row r="19" spans="3:27" x14ac:dyDescent="0.3">
      <c r="H19" s="89">
        <v>6.1805555555555558E-2</v>
      </c>
      <c r="I19" s="90">
        <f t="shared" si="8"/>
        <v>3.5782900660386507E-3</v>
      </c>
      <c r="J19" s="75">
        <f t="shared" si="1"/>
        <v>3.9718085845571694E-3</v>
      </c>
      <c r="K19" s="91">
        <f t="shared" si="0"/>
        <v>2.8582085799534356E-3</v>
      </c>
      <c r="L19" s="74">
        <f t="shared" si="2"/>
        <v>4.5988576051450777E-3</v>
      </c>
      <c r="M19" s="74">
        <f t="shared" si="3"/>
        <v>6.8982864077176175E-3</v>
      </c>
      <c r="N19" s="74">
        <f t="shared" si="4"/>
        <v>9.1977152102901555E-3</v>
      </c>
      <c r="O19" s="74">
        <f t="shared" si="5"/>
        <v>1.3796572815435235E-2</v>
      </c>
      <c r="P19" s="92">
        <f t="shared" si="6"/>
        <v>2.9301419178905026E-3</v>
      </c>
      <c r="Q19" s="77">
        <f t="shared" si="7"/>
        <v>3.4278271030756878E-3</v>
      </c>
      <c r="R19" s="149"/>
      <c r="S19" s="149"/>
      <c r="T19" s="149"/>
      <c r="U19" s="149"/>
      <c r="V19" s="149"/>
      <c r="Y19" s="51">
        <v>11</v>
      </c>
      <c r="Z19" s="51">
        <v>11</v>
      </c>
    </row>
    <row r="20" spans="3:27" x14ac:dyDescent="0.3">
      <c r="C20" s="88"/>
      <c r="D20" s="88"/>
      <c r="E20" s="88"/>
      <c r="F20" s="88"/>
      <c r="H20" s="89">
        <v>6.3194444444444442E-2</v>
      </c>
      <c r="I20" s="90">
        <f t="shared" si="8"/>
        <v>3.644135951833943E-3</v>
      </c>
      <c r="J20" s="75">
        <f t="shared" si="1"/>
        <v>4.0376544703524617E-3</v>
      </c>
      <c r="K20" s="91">
        <f t="shared" si="0"/>
        <v>2.9240544657487279E-3</v>
      </c>
      <c r="L20" s="74">
        <f t="shared" si="2"/>
        <v>4.7048036353897031E-3</v>
      </c>
      <c r="M20" s="74">
        <f t="shared" si="3"/>
        <v>7.0572054530845547E-3</v>
      </c>
      <c r="N20" s="74">
        <f t="shared" si="4"/>
        <v>9.4096072707794062E-3</v>
      </c>
      <c r="O20" s="74">
        <f t="shared" si="5"/>
        <v>1.4114410906169109E-2</v>
      </c>
      <c r="P20" s="92">
        <f t="shared" si="6"/>
        <v>2.9959878036857949E-3</v>
      </c>
      <c r="Q20" s="77">
        <f t="shared" si="7"/>
        <v>3.4936729888709801E-3</v>
      </c>
      <c r="R20" s="149"/>
      <c r="S20" s="149"/>
      <c r="T20" s="149"/>
      <c r="U20" s="149"/>
      <c r="V20" s="149"/>
      <c r="Y20" s="51">
        <v>12</v>
      </c>
      <c r="Z20" s="51">
        <v>12</v>
      </c>
    </row>
    <row r="21" spans="3:27" s="88" customFormat="1" x14ac:dyDescent="0.3">
      <c r="H21" s="89">
        <v>6.4930555555555561E-2</v>
      </c>
      <c r="I21" s="90">
        <f t="shared" si="8"/>
        <v>3.7264433090780586E-3</v>
      </c>
      <c r="J21" s="75">
        <f t="shared" si="1"/>
        <v>4.1199618275965773E-3</v>
      </c>
      <c r="K21" s="91">
        <f t="shared" si="0"/>
        <v>3.0063618229928435E-3</v>
      </c>
      <c r="L21" s="74">
        <f t="shared" si="2"/>
        <v>4.8372361731954848E-3</v>
      </c>
      <c r="M21" s="74">
        <f t="shared" si="3"/>
        <v>7.2558542597932277E-3</v>
      </c>
      <c r="N21" s="74">
        <f t="shared" si="4"/>
        <v>9.6744723463909697E-3</v>
      </c>
      <c r="O21" s="74">
        <f t="shared" si="5"/>
        <v>1.4511708519586455E-2</v>
      </c>
      <c r="P21" s="92">
        <f t="shared" si="6"/>
        <v>3.0782951609299104E-3</v>
      </c>
      <c r="Q21" s="77">
        <f t="shared" si="7"/>
        <v>3.5759803461150957E-3</v>
      </c>
      <c r="Y21" s="88">
        <v>13</v>
      </c>
      <c r="Z21" s="88">
        <v>13</v>
      </c>
    </row>
    <row r="22" spans="3:27" x14ac:dyDescent="0.3">
      <c r="C22" s="88"/>
      <c r="D22" s="88"/>
      <c r="E22" s="88"/>
      <c r="F22" s="88"/>
      <c r="H22" s="89">
        <v>6.6666666666666666E-2</v>
      </c>
      <c r="I22" s="90">
        <f t="shared" si="8"/>
        <v>3.8087506663221733E-3</v>
      </c>
      <c r="J22" s="75">
        <f t="shared" si="1"/>
        <v>4.202269184840692E-3</v>
      </c>
      <c r="K22" s="91">
        <f t="shared" si="0"/>
        <v>3.0886691802369582E-3</v>
      </c>
      <c r="L22" s="74">
        <f t="shared" si="2"/>
        <v>4.9696687110012657E-3</v>
      </c>
      <c r="M22" s="74">
        <f t="shared" si="3"/>
        <v>7.454503066501899E-3</v>
      </c>
      <c r="N22" s="74">
        <f t="shared" si="4"/>
        <v>9.9393374220025314E-3</v>
      </c>
      <c r="O22" s="74">
        <f t="shared" si="5"/>
        <v>1.4909006133003798E-2</v>
      </c>
      <c r="P22" s="92">
        <f t="shared" si="6"/>
        <v>3.1606025181740252E-3</v>
      </c>
      <c r="Q22" s="77">
        <f t="shared" si="7"/>
        <v>3.6582877033592104E-3</v>
      </c>
      <c r="R22" s="149"/>
      <c r="S22" s="149"/>
      <c r="T22" s="149"/>
      <c r="U22" s="149"/>
      <c r="V22" s="149"/>
      <c r="X22" s="88"/>
      <c r="Y22" s="88">
        <v>14</v>
      </c>
      <c r="Z22" s="88">
        <v>14</v>
      </c>
      <c r="AA22" s="88"/>
    </row>
    <row r="23" spans="3:27" s="88" customFormat="1" x14ac:dyDescent="0.3">
      <c r="H23" s="89">
        <v>6.805555555555555E-2</v>
      </c>
      <c r="I23" s="90">
        <f t="shared" si="8"/>
        <v>3.8745965521174651E-3</v>
      </c>
      <c r="J23" s="75">
        <f t="shared" si="1"/>
        <v>4.2681150706359835E-3</v>
      </c>
      <c r="K23" s="91">
        <f t="shared" si="0"/>
        <v>3.1545150660322501E-3</v>
      </c>
      <c r="L23" s="74">
        <f t="shared" si="2"/>
        <v>5.0756147412458902E-3</v>
      </c>
      <c r="M23" s="74">
        <f t="shared" si="3"/>
        <v>7.6134221118688361E-3</v>
      </c>
      <c r="N23" s="74">
        <f t="shared" si="4"/>
        <v>1.015122948249178E-2</v>
      </c>
      <c r="O23" s="74">
        <f t="shared" si="5"/>
        <v>1.5226844223737672E-2</v>
      </c>
      <c r="P23" s="92">
        <f t="shared" si="6"/>
        <v>3.226448403969317E-3</v>
      </c>
      <c r="Q23" s="77">
        <f t="shared" si="7"/>
        <v>3.7241335891545022E-3</v>
      </c>
      <c r="Y23" s="88">
        <v>15</v>
      </c>
      <c r="Z23" s="88">
        <v>15</v>
      </c>
    </row>
    <row r="24" spans="3:27" s="88" customFormat="1" x14ac:dyDescent="0.3">
      <c r="H24" s="89">
        <v>7.013888888888889E-2</v>
      </c>
      <c r="I24" s="90">
        <f t="shared" si="8"/>
        <v>3.9733653808104036E-3</v>
      </c>
      <c r="J24" s="75">
        <f t="shared" si="1"/>
        <v>4.3668838993289223E-3</v>
      </c>
      <c r="K24" s="91">
        <f t="shared" si="0"/>
        <v>3.2532838947251885E-3</v>
      </c>
      <c r="L24" s="74">
        <f t="shared" si="2"/>
        <v>5.2345337866128282E-3</v>
      </c>
      <c r="M24" s="74">
        <f t="shared" si="3"/>
        <v>7.8518006799192415E-3</v>
      </c>
      <c r="N24" s="74">
        <f t="shared" si="4"/>
        <v>1.0469067573225656E-2</v>
      </c>
      <c r="O24" s="74">
        <f t="shared" si="5"/>
        <v>1.5703601359838483E-2</v>
      </c>
      <c r="P24" s="92">
        <f t="shared" si="6"/>
        <v>3.3252172326622555E-3</v>
      </c>
      <c r="Q24" s="77">
        <f t="shared" si="7"/>
        <v>3.8229024178474407E-3</v>
      </c>
      <c r="Y24" s="88">
        <v>16</v>
      </c>
      <c r="Z24" s="88">
        <v>16</v>
      </c>
    </row>
    <row r="25" spans="3:27" x14ac:dyDescent="0.3">
      <c r="H25" s="89">
        <v>7.1527777777777773E-2</v>
      </c>
      <c r="I25" s="90">
        <f t="shared" si="8"/>
        <v>4.0392112666056959E-3</v>
      </c>
      <c r="J25" s="75">
        <f t="shared" si="1"/>
        <v>4.4327297851242146E-3</v>
      </c>
      <c r="K25" s="91">
        <f t="shared" si="0"/>
        <v>3.3191297805204808E-3</v>
      </c>
      <c r="L25" s="74">
        <f t="shared" si="2"/>
        <v>5.3404798168574536E-3</v>
      </c>
      <c r="M25" s="74">
        <f t="shared" si="3"/>
        <v>8.0107197252861813E-3</v>
      </c>
      <c r="N25" s="74">
        <f t="shared" si="4"/>
        <v>1.0680959633714907E-2</v>
      </c>
      <c r="O25" s="74">
        <f t="shared" si="5"/>
        <v>1.6021439450572363E-2</v>
      </c>
      <c r="P25" s="92">
        <f t="shared" si="6"/>
        <v>3.3910631184575477E-3</v>
      </c>
      <c r="Q25" s="77">
        <f t="shared" si="7"/>
        <v>3.888748303642733E-3</v>
      </c>
      <c r="R25" s="149"/>
      <c r="S25" s="149"/>
      <c r="T25" s="149"/>
      <c r="U25" s="149"/>
      <c r="V25" s="149"/>
      <c r="X25" s="88"/>
      <c r="Y25" s="88">
        <v>17</v>
      </c>
      <c r="Z25" s="88">
        <v>17</v>
      </c>
      <c r="AA25" s="88"/>
    </row>
    <row r="26" spans="3:27" x14ac:dyDescent="0.3">
      <c r="H26" s="89">
        <v>7.2916666666666671E-2</v>
      </c>
      <c r="I26" s="90">
        <f t="shared" si="8"/>
        <v>4.1050571524009882E-3</v>
      </c>
      <c r="J26" s="75">
        <f t="shared" si="1"/>
        <v>4.4985756709195069E-3</v>
      </c>
      <c r="K26" s="91">
        <f t="shared" si="0"/>
        <v>3.3849756663157731E-3</v>
      </c>
      <c r="L26" s="74">
        <f t="shared" si="2"/>
        <v>5.446425847102079E-3</v>
      </c>
      <c r="M26" s="74">
        <f t="shared" si="3"/>
        <v>8.1696387706531176E-3</v>
      </c>
      <c r="N26" s="74">
        <f t="shared" si="4"/>
        <v>1.0892851694204158E-2</v>
      </c>
      <c r="O26" s="74">
        <f t="shared" si="5"/>
        <v>1.6339277541306235E-2</v>
      </c>
      <c r="P26" s="92">
        <f t="shared" si="6"/>
        <v>3.45690900425284E-3</v>
      </c>
      <c r="Q26" s="77">
        <f t="shared" si="7"/>
        <v>3.9545941894380248E-3</v>
      </c>
      <c r="R26" s="149"/>
      <c r="S26" s="149"/>
      <c r="T26" s="149"/>
      <c r="U26" s="149"/>
      <c r="V26" s="149"/>
      <c r="W26" s="88"/>
      <c r="Y26" s="51">
        <v>18</v>
      </c>
      <c r="Z26" s="51">
        <v>18</v>
      </c>
    </row>
    <row r="27" spans="3:27" x14ac:dyDescent="0.3">
      <c r="H27" s="89">
        <v>7.4999999999999997E-2</v>
      </c>
      <c r="I27" s="90">
        <f t="shared" si="8"/>
        <v>4.2038259810939262E-3</v>
      </c>
      <c r="J27" s="75">
        <f t="shared" si="1"/>
        <v>4.5973444996124449E-3</v>
      </c>
      <c r="K27" s="91">
        <f t="shared" si="0"/>
        <v>3.4837444950087111E-3</v>
      </c>
      <c r="L27" s="74">
        <f t="shared" si="2"/>
        <v>5.6053448924690162E-3</v>
      </c>
      <c r="M27" s="74">
        <f t="shared" si="3"/>
        <v>8.4080173387035238E-3</v>
      </c>
      <c r="N27" s="74">
        <f t="shared" si="4"/>
        <v>1.1210689784938032E-2</v>
      </c>
      <c r="O27" s="74">
        <f t="shared" si="5"/>
        <v>1.6816034677407048E-2</v>
      </c>
      <c r="P27" s="92">
        <f t="shared" si="6"/>
        <v>3.555677832945778E-3</v>
      </c>
      <c r="Q27" s="77">
        <f t="shared" si="7"/>
        <v>4.0533630181309628E-3</v>
      </c>
      <c r="R27" s="149"/>
      <c r="S27" s="149"/>
      <c r="T27" s="149"/>
      <c r="U27" s="149"/>
      <c r="V27" s="149"/>
      <c r="W27" s="88"/>
      <c r="Y27" s="51">
        <v>19</v>
      </c>
      <c r="Z27" s="51">
        <v>19</v>
      </c>
    </row>
    <row r="28" spans="3:27" x14ac:dyDescent="0.3">
      <c r="H28" s="89">
        <v>7.6388888888888895E-2</v>
      </c>
      <c r="I28" s="90">
        <f t="shared" si="8"/>
        <v>4.2696718668892193E-3</v>
      </c>
      <c r="J28" s="75">
        <f t="shared" si="1"/>
        <v>4.6631903854077381E-3</v>
      </c>
      <c r="K28" s="91">
        <f t="shared" si="0"/>
        <v>3.5495903808040038E-3</v>
      </c>
      <c r="L28" s="74">
        <f t="shared" si="2"/>
        <v>5.7112909227136424E-3</v>
      </c>
      <c r="M28" s="74">
        <f t="shared" si="3"/>
        <v>8.5669363840704619E-3</v>
      </c>
      <c r="N28" s="74">
        <f t="shared" si="4"/>
        <v>1.1422581845427285E-2</v>
      </c>
      <c r="O28" s="74">
        <f t="shared" si="5"/>
        <v>1.7133872768140924E-2</v>
      </c>
      <c r="P28" s="92">
        <f t="shared" si="6"/>
        <v>3.6215237187410712E-3</v>
      </c>
      <c r="Q28" s="77">
        <f t="shared" si="7"/>
        <v>4.119208903926256E-3</v>
      </c>
      <c r="R28" s="149"/>
      <c r="S28" s="149"/>
      <c r="T28" s="149"/>
      <c r="U28" s="149"/>
      <c r="V28" s="149"/>
      <c r="Y28" s="51">
        <v>20</v>
      </c>
      <c r="Z28" s="51">
        <v>20</v>
      </c>
    </row>
    <row r="29" spans="3:27" x14ac:dyDescent="0.3">
      <c r="H29" s="89">
        <v>7.8472222222222221E-2</v>
      </c>
      <c r="I29" s="90">
        <f t="shared" si="8"/>
        <v>4.3684406955821573E-3</v>
      </c>
      <c r="J29" s="75">
        <f t="shared" si="1"/>
        <v>4.7619592141006761E-3</v>
      </c>
      <c r="K29" s="91">
        <f t="shared" si="0"/>
        <v>3.6483592094969418E-3</v>
      </c>
      <c r="L29" s="74">
        <f t="shared" si="2"/>
        <v>5.8702099680805796E-3</v>
      </c>
      <c r="M29" s="74">
        <f t="shared" si="3"/>
        <v>8.8053149521208698E-3</v>
      </c>
      <c r="N29" s="74">
        <f t="shared" si="4"/>
        <v>1.1740419936161159E-2</v>
      </c>
      <c r="O29" s="74">
        <f t="shared" si="5"/>
        <v>1.761062990424174E-2</v>
      </c>
      <c r="P29" s="92">
        <f t="shared" si="6"/>
        <v>3.7202925474340092E-3</v>
      </c>
      <c r="Q29" s="77">
        <f t="shared" si="7"/>
        <v>4.217977732619194E-3</v>
      </c>
      <c r="R29" s="149"/>
      <c r="S29" s="149"/>
      <c r="T29" s="149"/>
      <c r="U29" s="149"/>
      <c r="V29" s="149"/>
      <c r="Y29" s="51">
        <v>21</v>
      </c>
      <c r="Z29" s="51">
        <v>21</v>
      </c>
    </row>
    <row r="30" spans="3:27" x14ac:dyDescent="0.3">
      <c r="H30" s="89">
        <v>7.9861111111111105E-2</v>
      </c>
      <c r="I30" s="90">
        <f t="shared" si="8"/>
        <v>4.4342865813774487E-3</v>
      </c>
      <c r="J30" s="75">
        <f t="shared" si="1"/>
        <v>4.8278050998959675E-3</v>
      </c>
      <c r="K30" s="91">
        <f t="shared" si="0"/>
        <v>3.7142050952922337E-3</v>
      </c>
      <c r="L30" s="74">
        <f t="shared" si="2"/>
        <v>5.9761559983252041E-3</v>
      </c>
      <c r="M30" s="74">
        <f t="shared" si="3"/>
        <v>8.9642339974878062E-3</v>
      </c>
      <c r="N30" s="74">
        <f t="shared" si="4"/>
        <v>1.1952311996650408E-2</v>
      </c>
      <c r="O30" s="74">
        <f t="shared" si="5"/>
        <v>1.7928467994975612E-2</v>
      </c>
      <c r="P30" s="92">
        <f t="shared" si="6"/>
        <v>3.786138433229301E-3</v>
      </c>
      <c r="Q30" s="77">
        <f t="shared" si="7"/>
        <v>4.2838236184144863E-3</v>
      </c>
      <c r="R30" s="149"/>
      <c r="S30" s="149"/>
      <c r="T30" s="149"/>
      <c r="U30" s="149"/>
      <c r="V30" s="149"/>
      <c r="Y30" s="51">
        <v>22</v>
      </c>
      <c r="Z30" s="51">
        <v>22</v>
      </c>
    </row>
    <row r="31" spans="3:27" x14ac:dyDescent="0.3">
      <c r="H31" s="89">
        <v>8.4722222222222227E-2</v>
      </c>
      <c r="I31" s="90">
        <f t="shared" si="8"/>
        <v>4.6647471816609713E-3</v>
      </c>
      <c r="J31" s="75">
        <f t="shared" si="1"/>
        <v>5.0582657001794901E-3</v>
      </c>
      <c r="K31" s="91">
        <f t="shared" si="0"/>
        <v>3.9446656955757567E-3</v>
      </c>
      <c r="L31" s="74">
        <f t="shared" si="2"/>
        <v>6.346967104181392E-3</v>
      </c>
      <c r="M31" s="74">
        <f t="shared" si="3"/>
        <v>9.5204506562720885E-3</v>
      </c>
      <c r="N31" s="74">
        <f t="shared" si="4"/>
        <v>1.2693934208362784E-2</v>
      </c>
      <c r="O31" s="74">
        <f t="shared" si="5"/>
        <v>1.9040901312544177E-2</v>
      </c>
      <c r="P31" s="92">
        <f t="shared" si="6"/>
        <v>4.0165990335128236E-3</v>
      </c>
      <c r="Q31" s="77">
        <f t="shared" si="7"/>
        <v>4.5142842186980088E-3</v>
      </c>
      <c r="R31" s="149"/>
      <c r="S31" s="149"/>
      <c r="T31" s="149"/>
      <c r="U31" s="149"/>
      <c r="V31" s="149"/>
      <c r="Y31" s="51">
        <v>23</v>
      </c>
      <c r="Z31" s="51">
        <v>23</v>
      </c>
    </row>
    <row r="32" spans="3:27" x14ac:dyDescent="0.3">
      <c r="H32" s="89">
        <v>9.0277777777777776E-2</v>
      </c>
      <c r="I32" s="90">
        <f t="shared" si="8"/>
        <v>4.9281307248421405E-3</v>
      </c>
      <c r="J32" s="75">
        <f t="shared" si="1"/>
        <v>5.3216492433606584E-3</v>
      </c>
      <c r="K32" s="91">
        <f t="shared" si="0"/>
        <v>4.208049238756925E-3</v>
      </c>
      <c r="L32" s="74">
        <f t="shared" si="2"/>
        <v>6.7707512251598927E-3</v>
      </c>
      <c r="M32" s="74">
        <f t="shared" si="3"/>
        <v>1.0156126837739837E-2</v>
      </c>
      <c r="N32" s="74">
        <f t="shared" si="4"/>
        <v>1.3541502450319785E-2</v>
      </c>
      <c r="O32" s="74">
        <f t="shared" si="5"/>
        <v>2.0312253675479675E-2</v>
      </c>
      <c r="P32" s="92">
        <f t="shared" si="6"/>
        <v>4.2799825766939919E-3</v>
      </c>
      <c r="Q32" s="77">
        <f t="shared" si="7"/>
        <v>4.7776677618791771E-3</v>
      </c>
      <c r="R32" s="149"/>
      <c r="S32" s="149"/>
      <c r="T32" s="149"/>
      <c r="U32" s="149"/>
      <c r="V32" s="149"/>
      <c r="Y32" s="51">
        <v>24</v>
      </c>
      <c r="Z32" s="51">
        <v>24</v>
      </c>
    </row>
    <row r="33" spans="8:26" x14ac:dyDescent="0.3">
      <c r="H33" s="89">
        <v>9.5138888888888884E-2</v>
      </c>
      <c r="I33" s="90">
        <f t="shared" si="8"/>
        <v>5.1585913251256631E-3</v>
      </c>
      <c r="J33" s="75">
        <f t="shared" si="1"/>
        <v>5.5521098436441818E-3</v>
      </c>
      <c r="K33" s="91">
        <f t="shared" si="0"/>
        <v>4.4385098390404476E-3</v>
      </c>
      <c r="L33" s="74">
        <f t="shared" si="2"/>
        <v>7.1415623310160797E-3</v>
      </c>
      <c r="M33" s="74">
        <f t="shared" si="3"/>
        <v>1.071234349652412E-2</v>
      </c>
      <c r="N33" s="74">
        <f t="shared" si="4"/>
        <v>1.4283124662032159E-2</v>
      </c>
      <c r="O33" s="74">
        <f t="shared" si="5"/>
        <v>2.1424686993048239E-2</v>
      </c>
      <c r="P33" s="92">
        <f t="shared" si="6"/>
        <v>4.5104431769775154E-3</v>
      </c>
      <c r="Q33" s="77">
        <f t="shared" si="7"/>
        <v>5.0081283621627006E-3</v>
      </c>
      <c r="R33" s="149"/>
      <c r="S33" s="149"/>
      <c r="T33" s="149"/>
      <c r="U33" s="149"/>
      <c r="V33" s="149"/>
      <c r="Y33" s="51">
        <v>25</v>
      </c>
      <c r="Z33" s="51">
        <v>25</v>
      </c>
    </row>
    <row r="34" spans="8:26" ht="16.8" thickBot="1" x14ac:dyDescent="0.35">
      <c r="H34" s="99">
        <v>0.1</v>
      </c>
      <c r="I34" s="100">
        <f t="shared" si="8"/>
        <v>5.3890519254091857E-3</v>
      </c>
      <c r="J34" s="84">
        <f t="shared" si="1"/>
        <v>5.7825704439277044E-3</v>
      </c>
      <c r="K34" s="101">
        <f t="shared" si="0"/>
        <v>4.668970439323971E-3</v>
      </c>
      <c r="L34" s="86">
        <f t="shared" si="2"/>
        <v>7.5123734368722694E-3</v>
      </c>
      <c r="M34" s="86">
        <f t="shared" si="3"/>
        <v>1.1268560155308404E-2</v>
      </c>
      <c r="N34" s="86">
        <f t="shared" si="4"/>
        <v>1.5024746873744539E-2</v>
      </c>
      <c r="O34" s="86">
        <f t="shared" si="5"/>
        <v>2.2537120310616807E-2</v>
      </c>
      <c r="P34" s="102">
        <f t="shared" si="6"/>
        <v>4.740903777261038E-3</v>
      </c>
      <c r="Q34" s="103">
        <f t="shared" si="7"/>
        <v>5.2385889624462232E-3</v>
      </c>
      <c r="R34" s="149"/>
      <c r="S34" s="149"/>
      <c r="T34" s="149"/>
      <c r="U34" s="149"/>
      <c r="V34" s="149"/>
      <c r="Y34" s="51">
        <v>26</v>
      </c>
      <c r="Z34" s="51">
        <v>26</v>
      </c>
    </row>
    <row r="35" spans="8:26" ht="16.8" thickBot="1" x14ac:dyDescent="0.35"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Y35" s="51">
        <v>27</v>
      </c>
      <c r="Z35" s="51">
        <v>27</v>
      </c>
    </row>
    <row r="36" spans="8:26" ht="16.8" thickBot="1" x14ac:dyDescent="0.35">
      <c r="H36" s="197" t="s">
        <v>9</v>
      </c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9"/>
      <c r="Y36" s="51">
        <v>28</v>
      </c>
      <c r="Z36" s="51">
        <v>28</v>
      </c>
    </row>
    <row r="37" spans="8:26" x14ac:dyDescent="0.3">
      <c r="H37" s="57" t="s">
        <v>5</v>
      </c>
      <c r="I37" s="93" t="s">
        <v>4</v>
      </c>
      <c r="J37" s="94" t="s">
        <v>40</v>
      </c>
      <c r="K37" s="95" t="s">
        <v>41</v>
      </c>
      <c r="L37" s="95" t="s">
        <v>42</v>
      </c>
      <c r="M37" s="95" t="s">
        <v>43</v>
      </c>
      <c r="N37" s="95" t="s">
        <v>44</v>
      </c>
      <c r="O37" s="93" t="s">
        <v>45</v>
      </c>
      <c r="P37" s="96"/>
      <c r="Q37" s="94" t="s">
        <v>6</v>
      </c>
      <c r="R37" s="95" t="s">
        <v>7</v>
      </c>
      <c r="S37" s="95" t="s">
        <v>46</v>
      </c>
      <c r="T37" s="95" t="s">
        <v>47</v>
      </c>
      <c r="U37" s="95" t="s">
        <v>48</v>
      </c>
      <c r="V37" s="97" t="s">
        <v>8</v>
      </c>
      <c r="Y37" s="51">
        <v>29</v>
      </c>
      <c r="Z37" s="51">
        <v>29</v>
      </c>
    </row>
    <row r="38" spans="8:26" x14ac:dyDescent="0.3">
      <c r="H38" s="71">
        <v>1.0763888888888889E-2</v>
      </c>
      <c r="I38" s="72">
        <v>2.2569444444444444E-2</v>
      </c>
      <c r="J38" s="73">
        <v>8.6805555555555551E-4</v>
      </c>
      <c r="K38" s="74">
        <v>1.2962962962962963E-3</v>
      </c>
      <c r="L38" s="74">
        <v>1.736111111111111E-3</v>
      </c>
      <c r="M38" s="74">
        <v>2.1527777777777778E-3</v>
      </c>
      <c r="N38" s="74">
        <v>2.5694444444444445E-3</v>
      </c>
      <c r="O38" s="75">
        <v>3.472222222222222E-3</v>
      </c>
      <c r="P38" s="76"/>
      <c r="Q38" s="73">
        <f>J38/0.4</f>
        <v>2.1701388888888886E-3</v>
      </c>
      <c r="R38" s="74">
        <f>K38/0.6</f>
        <v>2.1604938271604941E-3</v>
      </c>
      <c r="S38" s="74">
        <f>L38/0.8</f>
        <v>2.1701388888888886E-3</v>
      </c>
      <c r="T38" s="74">
        <f>M38</f>
        <v>2.1527777777777778E-3</v>
      </c>
      <c r="U38" s="74">
        <f>N38/1.2</f>
        <v>2.1412037037037038E-3</v>
      </c>
      <c r="V38" s="77">
        <f>O38/1.6</f>
        <v>2.1701388888888886E-3</v>
      </c>
      <c r="Y38" s="51">
        <v>30</v>
      </c>
      <c r="Z38" s="51">
        <v>30</v>
      </c>
    </row>
    <row r="39" spans="8:26" x14ac:dyDescent="0.3">
      <c r="H39" s="71">
        <v>1.1111111111111112E-2</v>
      </c>
      <c r="I39" s="72">
        <v>2.3321759259259261E-2</v>
      </c>
      <c r="J39" s="73">
        <v>9.0277777777777774E-4</v>
      </c>
      <c r="K39" s="74">
        <v>1.3310185185185185E-3</v>
      </c>
      <c r="L39" s="74">
        <v>1.7939814814814815E-3</v>
      </c>
      <c r="M39" s="74">
        <v>2.2222222222222222E-3</v>
      </c>
      <c r="N39" s="74">
        <v>2.662037037037037E-3</v>
      </c>
      <c r="O39" s="75">
        <v>3.5879629629629629E-3</v>
      </c>
      <c r="P39" s="68"/>
      <c r="Q39" s="73">
        <f t="shared" ref="Q39:Q63" si="9">J39/0.4</f>
        <v>2.2569444444444442E-3</v>
      </c>
      <c r="R39" s="74">
        <f t="shared" ref="R39:R63" si="10">K39/0.6</f>
        <v>2.2183641975308641E-3</v>
      </c>
      <c r="S39" s="74">
        <f t="shared" ref="S39:S63" si="11">L39/0.8</f>
        <v>2.2424768518518518E-3</v>
      </c>
      <c r="T39" s="74">
        <f t="shared" ref="T39:T63" si="12">M39</f>
        <v>2.2222222222222222E-3</v>
      </c>
      <c r="U39" s="74">
        <f t="shared" ref="U39:U63" si="13">N39/1.2</f>
        <v>2.2183641975308641E-3</v>
      </c>
      <c r="V39" s="77">
        <f t="shared" ref="V39:V63" si="14">O39/1.6</f>
        <v>2.2424768518518518E-3</v>
      </c>
      <c r="Y39" s="51">
        <v>31</v>
      </c>
      <c r="Z39" s="51">
        <v>31</v>
      </c>
    </row>
    <row r="40" spans="8:26" x14ac:dyDescent="0.3">
      <c r="H40" s="71">
        <v>1.14583333333333E-2</v>
      </c>
      <c r="I40" s="72">
        <v>2.4074074074074098E-2</v>
      </c>
      <c r="J40" s="73">
        <v>9.2592592592592596E-4</v>
      </c>
      <c r="K40" s="78">
        <v>1.3773148148148147E-3</v>
      </c>
      <c r="L40" s="78">
        <v>1.8518518518518519E-3</v>
      </c>
      <c r="M40" s="78">
        <v>2.2916666666666667E-3</v>
      </c>
      <c r="N40" s="78">
        <v>2.7430555555555554E-3</v>
      </c>
      <c r="O40" s="75">
        <v>3.7037037037037038E-3</v>
      </c>
      <c r="P40" s="68"/>
      <c r="Q40" s="73">
        <f t="shared" si="9"/>
        <v>2.3148148148148147E-3</v>
      </c>
      <c r="R40" s="74">
        <f t="shared" si="10"/>
        <v>2.2955246913580248E-3</v>
      </c>
      <c r="S40" s="74">
        <f t="shared" si="11"/>
        <v>2.3148148148148147E-3</v>
      </c>
      <c r="T40" s="74">
        <f t="shared" si="12"/>
        <v>2.2916666666666667E-3</v>
      </c>
      <c r="U40" s="74">
        <f t="shared" si="13"/>
        <v>2.2858796296296295E-3</v>
      </c>
      <c r="V40" s="77">
        <f t="shared" si="14"/>
        <v>2.3148148148148147E-3</v>
      </c>
      <c r="Y40" s="51">
        <v>32</v>
      </c>
      <c r="Z40" s="51">
        <v>32</v>
      </c>
    </row>
    <row r="41" spans="8:26" x14ac:dyDescent="0.3">
      <c r="H41" s="71">
        <v>1.18055555555556E-2</v>
      </c>
      <c r="I41" s="72">
        <v>2.4826388888888901E-2</v>
      </c>
      <c r="J41" s="73">
        <v>9.6064814814814819E-4</v>
      </c>
      <c r="K41" s="78">
        <v>1.4236111111111112E-3</v>
      </c>
      <c r="L41" s="78">
        <v>1.9097222222222222E-3</v>
      </c>
      <c r="M41" s="78">
        <v>2.3611111111111111E-3</v>
      </c>
      <c r="N41" s="78">
        <v>2.8356481481481483E-3</v>
      </c>
      <c r="O41" s="75">
        <v>3.8194444444444443E-3</v>
      </c>
      <c r="P41" s="68"/>
      <c r="Q41" s="73">
        <f t="shared" si="9"/>
        <v>2.4016203703703704E-3</v>
      </c>
      <c r="R41" s="74">
        <f t="shared" si="10"/>
        <v>2.3726851851851856E-3</v>
      </c>
      <c r="S41" s="74">
        <f t="shared" si="11"/>
        <v>2.3871527777777775E-3</v>
      </c>
      <c r="T41" s="74">
        <f t="shared" si="12"/>
        <v>2.3611111111111111E-3</v>
      </c>
      <c r="U41" s="74">
        <f t="shared" si="13"/>
        <v>2.3630401234567902E-3</v>
      </c>
      <c r="V41" s="77">
        <f t="shared" si="14"/>
        <v>2.3871527777777775E-3</v>
      </c>
      <c r="Y41" s="51">
        <v>33</v>
      </c>
      <c r="Z41" s="51">
        <v>33</v>
      </c>
    </row>
    <row r="42" spans="8:26" x14ac:dyDescent="0.3">
      <c r="H42" s="71">
        <v>1.2152777777777801E-2</v>
      </c>
      <c r="I42" s="72">
        <v>2.5578703703703701E-2</v>
      </c>
      <c r="J42" s="73">
        <v>9.837962962962962E-4</v>
      </c>
      <c r="K42" s="78">
        <v>1.4583333333333334E-3</v>
      </c>
      <c r="L42" s="78">
        <v>1.9675925925925924E-3</v>
      </c>
      <c r="M42" s="78">
        <v>2.4305555555555556E-3</v>
      </c>
      <c r="N42" s="78">
        <v>2.9166666666666668E-3</v>
      </c>
      <c r="O42" s="75">
        <v>3.9351851851851848E-3</v>
      </c>
      <c r="P42" s="68"/>
      <c r="Q42" s="73">
        <f t="shared" si="9"/>
        <v>2.4594907407407404E-3</v>
      </c>
      <c r="R42" s="74">
        <f t="shared" si="10"/>
        <v>2.4305555555555556E-3</v>
      </c>
      <c r="S42" s="74">
        <f t="shared" si="11"/>
        <v>2.4594907407407404E-3</v>
      </c>
      <c r="T42" s="74">
        <f t="shared" si="12"/>
        <v>2.4305555555555556E-3</v>
      </c>
      <c r="U42" s="74">
        <f t="shared" si="13"/>
        <v>2.4305555555555556E-3</v>
      </c>
      <c r="V42" s="77">
        <f t="shared" si="14"/>
        <v>2.4594907407407404E-3</v>
      </c>
      <c r="Y42" s="51">
        <v>34</v>
      </c>
      <c r="Z42" s="51">
        <v>34</v>
      </c>
    </row>
    <row r="43" spans="8:26" x14ac:dyDescent="0.3">
      <c r="H43" s="71">
        <v>1.2500000000000001E-2</v>
      </c>
      <c r="I43" s="72">
        <v>2.63310185185185E-2</v>
      </c>
      <c r="J43" s="73">
        <v>1.0185185185185184E-3</v>
      </c>
      <c r="K43" s="78">
        <v>1.5046296296296296E-3</v>
      </c>
      <c r="L43" s="78">
        <v>2.0254629629629629E-3</v>
      </c>
      <c r="M43" s="78">
        <v>2.5000000000000001E-3</v>
      </c>
      <c r="N43" s="78">
        <v>3.0092592592592593E-3</v>
      </c>
      <c r="O43" s="75">
        <v>4.0509259259259257E-3</v>
      </c>
      <c r="P43" s="68"/>
      <c r="Q43" s="73">
        <f t="shared" si="9"/>
        <v>2.5462962962962961E-3</v>
      </c>
      <c r="R43" s="74">
        <f t="shared" si="10"/>
        <v>2.5077160493827163E-3</v>
      </c>
      <c r="S43" s="74">
        <f t="shared" si="11"/>
        <v>2.5318287037037032E-3</v>
      </c>
      <c r="T43" s="74">
        <f t="shared" si="12"/>
        <v>2.5000000000000001E-3</v>
      </c>
      <c r="U43" s="74">
        <f t="shared" si="13"/>
        <v>2.5077160493827163E-3</v>
      </c>
      <c r="V43" s="77">
        <f t="shared" si="14"/>
        <v>2.5318287037037032E-3</v>
      </c>
      <c r="Y43" s="51">
        <v>35</v>
      </c>
      <c r="Z43" s="51">
        <v>35</v>
      </c>
    </row>
    <row r="44" spans="8:26" x14ac:dyDescent="0.3">
      <c r="H44" s="71">
        <v>1.2847222222222201E-2</v>
      </c>
      <c r="I44" s="72">
        <v>2.70833333333333E-2</v>
      </c>
      <c r="J44" s="73">
        <v>1.0416666666666667E-3</v>
      </c>
      <c r="K44" s="78">
        <v>1.5509259259259259E-3</v>
      </c>
      <c r="L44" s="78">
        <v>2.0833333333333333E-3</v>
      </c>
      <c r="M44" s="78">
        <v>2.5694444444444445E-3</v>
      </c>
      <c r="N44" s="78">
        <v>3.0902777777777777E-3</v>
      </c>
      <c r="O44" s="75">
        <v>4.1666666666666666E-3</v>
      </c>
      <c r="P44" s="68"/>
      <c r="Q44" s="73">
        <f t="shared" si="9"/>
        <v>2.6041666666666665E-3</v>
      </c>
      <c r="R44" s="74">
        <f t="shared" si="10"/>
        <v>2.5848765432098767E-3</v>
      </c>
      <c r="S44" s="74">
        <f t="shared" si="11"/>
        <v>2.6041666666666665E-3</v>
      </c>
      <c r="T44" s="74">
        <f t="shared" si="12"/>
        <v>2.5694444444444445E-3</v>
      </c>
      <c r="U44" s="74">
        <f t="shared" si="13"/>
        <v>2.5752314814814817E-3</v>
      </c>
      <c r="V44" s="77">
        <f t="shared" si="14"/>
        <v>2.6041666666666665E-3</v>
      </c>
      <c r="Y44" s="51">
        <v>36</v>
      </c>
      <c r="Z44" s="51">
        <v>36</v>
      </c>
    </row>
    <row r="45" spans="8:26" x14ac:dyDescent="0.3">
      <c r="H45" s="71">
        <v>1.3194444444444399E-2</v>
      </c>
      <c r="I45" s="72">
        <v>2.78356481481482E-2</v>
      </c>
      <c r="J45" s="73">
        <v>1.0763888888888889E-3</v>
      </c>
      <c r="K45" s="78">
        <v>1.5972222222222223E-3</v>
      </c>
      <c r="L45" s="78">
        <v>2.1412037037037038E-3</v>
      </c>
      <c r="M45" s="78">
        <v>2.638888888888889E-3</v>
      </c>
      <c r="N45" s="78">
        <v>3.1828703703703702E-3</v>
      </c>
      <c r="O45" s="75">
        <v>4.2824074074074075E-3</v>
      </c>
      <c r="P45" s="68"/>
      <c r="Q45" s="73">
        <f t="shared" si="9"/>
        <v>2.6909722222222222E-3</v>
      </c>
      <c r="R45" s="74">
        <f t="shared" si="10"/>
        <v>2.6620370370370374E-3</v>
      </c>
      <c r="S45" s="74">
        <f t="shared" si="11"/>
        <v>2.6765046296296294E-3</v>
      </c>
      <c r="T45" s="74">
        <f t="shared" si="12"/>
        <v>2.638888888888889E-3</v>
      </c>
      <c r="U45" s="74">
        <f t="shared" si="13"/>
        <v>2.652391975308642E-3</v>
      </c>
      <c r="V45" s="77">
        <f t="shared" si="14"/>
        <v>2.6765046296296294E-3</v>
      </c>
      <c r="Y45" s="51">
        <v>37</v>
      </c>
      <c r="Z45" s="51">
        <v>37</v>
      </c>
    </row>
    <row r="46" spans="8:26" x14ac:dyDescent="0.3">
      <c r="H46" s="71">
        <v>1.35416666666667E-2</v>
      </c>
      <c r="I46" s="72">
        <v>2.8587962962962999E-2</v>
      </c>
      <c r="J46" s="73">
        <v>1.0995370370370371E-3</v>
      </c>
      <c r="K46" s="78">
        <v>1.6319444444444445E-3</v>
      </c>
      <c r="L46" s="78">
        <v>2.1990740740740742E-3</v>
      </c>
      <c r="M46" s="78">
        <v>2.7083333333333334E-3</v>
      </c>
      <c r="N46" s="78">
        <v>3.2638888888888891E-3</v>
      </c>
      <c r="O46" s="75">
        <v>4.3981481481481484E-3</v>
      </c>
      <c r="P46" s="68"/>
      <c r="Q46" s="73">
        <f t="shared" si="9"/>
        <v>2.7488425925925927E-3</v>
      </c>
      <c r="R46" s="74">
        <f t="shared" si="10"/>
        <v>2.7199074074074079E-3</v>
      </c>
      <c r="S46" s="74">
        <f t="shared" si="11"/>
        <v>2.7488425925925927E-3</v>
      </c>
      <c r="T46" s="74">
        <f t="shared" si="12"/>
        <v>2.7083333333333334E-3</v>
      </c>
      <c r="U46" s="74">
        <f t="shared" si="13"/>
        <v>2.7199074074074079E-3</v>
      </c>
      <c r="V46" s="77">
        <f t="shared" si="14"/>
        <v>2.7488425925925927E-3</v>
      </c>
      <c r="Y46" s="51">
        <v>38</v>
      </c>
      <c r="Z46" s="51">
        <v>38</v>
      </c>
    </row>
    <row r="47" spans="8:26" x14ac:dyDescent="0.3">
      <c r="H47" s="71">
        <v>1.38888888888889E-2</v>
      </c>
      <c r="I47" s="72">
        <v>2.9340277777777798E-2</v>
      </c>
      <c r="J47" s="73">
        <v>1.1342592592592593E-3</v>
      </c>
      <c r="K47" s="78">
        <v>1.6782407407407408E-3</v>
      </c>
      <c r="L47" s="78">
        <v>2.2569444444444442E-3</v>
      </c>
      <c r="M47" s="78">
        <v>2.7777777777777779E-3</v>
      </c>
      <c r="N47" s="78">
        <v>3.3564814814814816E-3</v>
      </c>
      <c r="O47" s="75">
        <v>4.5138888888888885E-3</v>
      </c>
      <c r="P47" s="68"/>
      <c r="Q47" s="73">
        <f t="shared" si="9"/>
        <v>2.8356481481481483E-3</v>
      </c>
      <c r="R47" s="74">
        <f t="shared" si="10"/>
        <v>2.7970679012345682E-3</v>
      </c>
      <c r="S47" s="74">
        <f t="shared" si="11"/>
        <v>2.8211805555555551E-3</v>
      </c>
      <c r="T47" s="74">
        <f t="shared" si="12"/>
        <v>2.7777777777777779E-3</v>
      </c>
      <c r="U47" s="74">
        <f t="shared" si="13"/>
        <v>2.7970679012345682E-3</v>
      </c>
      <c r="V47" s="77">
        <f t="shared" si="14"/>
        <v>2.8211805555555551E-3</v>
      </c>
      <c r="Y47" s="51">
        <v>39</v>
      </c>
      <c r="Z47" s="51">
        <v>39</v>
      </c>
    </row>
    <row r="48" spans="8:26" x14ac:dyDescent="0.3">
      <c r="H48" s="71">
        <v>1.42361111111111E-2</v>
      </c>
      <c r="I48" s="72">
        <v>3.0092592592592601E-2</v>
      </c>
      <c r="J48" s="73">
        <v>1.1574074074074073E-3</v>
      </c>
      <c r="K48" s="78">
        <v>1.724537037037037E-3</v>
      </c>
      <c r="L48" s="78">
        <v>2.3148148148148147E-3</v>
      </c>
      <c r="M48" s="78">
        <v>2.8472222222222223E-3</v>
      </c>
      <c r="N48" s="78">
        <v>3.4375E-3</v>
      </c>
      <c r="O48" s="75">
        <v>4.6296296296296294E-3</v>
      </c>
      <c r="P48" s="68"/>
      <c r="Q48" s="73">
        <f t="shared" si="9"/>
        <v>2.8935185185185184E-3</v>
      </c>
      <c r="R48" s="74">
        <f t="shared" si="10"/>
        <v>2.8742283950617285E-3</v>
      </c>
      <c r="S48" s="74">
        <f t="shared" si="11"/>
        <v>2.8935185185185184E-3</v>
      </c>
      <c r="T48" s="74">
        <f t="shared" si="12"/>
        <v>2.8472222222222223E-3</v>
      </c>
      <c r="U48" s="74">
        <f t="shared" si="13"/>
        <v>2.8645833333333336E-3</v>
      </c>
      <c r="V48" s="77">
        <f t="shared" si="14"/>
        <v>2.8935185185185184E-3</v>
      </c>
      <c r="Y48" s="51">
        <v>40</v>
      </c>
      <c r="Z48" s="51">
        <v>40</v>
      </c>
    </row>
    <row r="49" spans="8:26" x14ac:dyDescent="0.3">
      <c r="H49" s="71">
        <v>1.4583333333333301E-2</v>
      </c>
      <c r="I49" s="72">
        <v>3.0844907407407401E-2</v>
      </c>
      <c r="J49" s="73">
        <v>1.1921296296296296E-3</v>
      </c>
      <c r="K49" s="78">
        <v>1.7708333333333332E-3</v>
      </c>
      <c r="L49" s="78">
        <v>2.3726851851851851E-3</v>
      </c>
      <c r="M49" s="78">
        <v>2.9166666666666668E-3</v>
      </c>
      <c r="N49" s="78">
        <v>3.5300925925925925E-3</v>
      </c>
      <c r="O49" s="75">
        <v>4.7453703703703703E-3</v>
      </c>
      <c r="P49" s="68"/>
      <c r="Q49" s="73">
        <f t="shared" si="9"/>
        <v>2.9803240740740736E-3</v>
      </c>
      <c r="R49" s="74">
        <f t="shared" si="10"/>
        <v>2.9513888888888888E-3</v>
      </c>
      <c r="S49" s="74">
        <f t="shared" si="11"/>
        <v>2.9658564814814812E-3</v>
      </c>
      <c r="T49" s="74">
        <f t="shared" si="12"/>
        <v>2.9166666666666668E-3</v>
      </c>
      <c r="U49" s="74">
        <f t="shared" si="13"/>
        <v>2.9417438271604939E-3</v>
      </c>
      <c r="V49" s="77">
        <f t="shared" si="14"/>
        <v>2.9658564814814812E-3</v>
      </c>
      <c r="Y49" s="51">
        <v>41</v>
      </c>
      <c r="Z49" s="51">
        <v>41</v>
      </c>
    </row>
    <row r="50" spans="8:26" x14ac:dyDescent="0.3">
      <c r="H50" s="71">
        <v>1.49305555555556E-2</v>
      </c>
      <c r="I50" s="72">
        <v>3.15972222222222E-2</v>
      </c>
      <c r="J50" s="73">
        <v>1.2152777777777778E-3</v>
      </c>
      <c r="K50" s="78">
        <v>1.8055555555555555E-3</v>
      </c>
      <c r="L50" s="78">
        <v>2.4305555555555556E-3</v>
      </c>
      <c r="M50" s="78">
        <v>2.9861111111111113E-3</v>
      </c>
      <c r="N50" s="78">
        <v>3.6111111111111109E-3</v>
      </c>
      <c r="O50" s="75">
        <v>4.8611111111111112E-3</v>
      </c>
      <c r="P50" s="68"/>
      <c r="Q50" s="73">
        <f t="shared" si="9"/>
        <v>3.0381944444444445E-3</v>
      </c>
      <c r="R50" s="74">
        <f t="shared" si="10"/>
        <v>3.0092592592592593E-3</v>
      </c>
      <c r="S50" s="74">
        <f t="shared" si="11"/>
        <v>3.0381944444444445E-3</v>
      </c>
      <c r="T50" s="74">
        <f t="shared" si="12"/>
        <v>2.9861111111111113E-3</v>
      </c>
      <c r="U50" s="74">
        <f t="shared" si="13"/>
        <v>3.0092592592592593E-3</v>
      </c>
      <c r="V50" s="77">
        <f t="shared" si="14"/>
        <v>3.0381944444444445E-3</v>
      </c>
      <c r="Y50" s="51">
        <v>42</v>
      </c>
      <c r="Z50" s="51">
        <v>42</v>
      </c>
    </row>
    <row r="51" spans="8:26" x14ac:dyDescent="0.3">
      <c r="H51" s="71">
        <v>1.52777777777778E-2</v>
      </c>
      <c r="I51" s="72">
        <v>3.23495370370371E-2</v>
      </c>
      <c r="J51" s="73">
        <v>1.25E-3</v>
      </c>
      <c r="K51" s="79">
        <v>1.8518518518518519E-3</v>
      </c>
      <c r="L51" s="79">
        <v>2.488425925925926E-3</v>
      </c>
      <c r="M51" s="79">
        <v>3.0787037037037037E-3</v>
      </c>
      <c r="N51" s="79">
        <v>3.7037037037037038E-3</v>
      </c>
      <c r="O51" s="75">
        <v>4.9768518518518521E-3</v>
      </c>
      <c r="P51" s="68"/>
      <c r="Q51" s="73">
        <f t="shared" si="9"/>
        <v>3.1249999999999997E-3</v>
      </c>
      <c r="R51" s="74">
        <f t="shared" si="10"/>
        <v>3.08641975308642E-3</v>
      </c>
      <c r="S51" s="74">
        <f t="shared" si="11"/>
        <v>3.1105324074074073E-3</v>
      </c>
      <c r="T51" s="74">
        <f t="shared" si="12"/>
        <v>3.0787037037037037E-3</v>
      </c>
      <c r="U51" s="74">
        <f t="shared" si="13"/>
        <v>3.08641975308642E-3</v>
      </c>
      <c r="V51" s="77">
        <f t="shared" si="14"/>
        <v>3.1105324074074073E-3</v>
      </c>
      <c r="Y51" s="51">
        <v>43</v>
      </c>
      <c r="Z51" s="51">
        <v>43</v>
      </c>
    </row>
    <row r="52" spans="8:26" x14ac:dyDescent="0.3">
      <c r="H52" s="71">
        <v>1.5625E-2</v>
      </c>
      <c r="I52" s="72">
        <v>3.3101851851851799E-2</v>
      </c>
      <c r="J52" s="73">
        <v>1.2731481481481483E-3</v>
      </c>
      <c r="K52" s="79">
        <v>1.8981481481481482E-3</v>
      </c>
      <c r="L52" s="79">
        <v>2.5462962962962965E-3</v>
      </c>
      <c r="M52" s="79">
        <v>3.1250000000000002E-3</v>
      </c>
      <c r="N52" s="79">
        <v>3.7847222222222223E-3</v>
      </c>
      <c r="O52" s="75">
        <v>5.092592592592593E-3</v>
      </c>
      <c r="P52" s="68"/>
      <c r="Q52" s="73">
        <f t="shared" si="9"/>
        <v>3.1828703703703706E-3</v>
      </c>
      <c r="R52" s="74">
        <f t="shared" si="10"/>
        <v>3.1635802469135803E-3</v>
      </c>
      <c r="S52" s="74">
        <f t="shared" si="11"/>
        <v>3.1828703703703706E-3</v>
      </c>
      <c r="T52" s="74">
        <f t="shared" si="12"/>
        <v>3.1250000000000002E-3</v>
      </c>
      <c r="U52" s="74">
        <f t="shared" si="13"/>
        <v>3.1539351851851854E-3</v>
      </c>
      <c r="V52" s="77">
        <f t="shared" si="14"/>
        <v>3.1828703703703706E-3</v>
      </c>
      <c r="Y52" s="51">
        <v>44</v>
      </c>
      <c r="Z52" s="51">
        <v>44</v>
      </c>
    </row>
    <row r="53" spans="8:26" x14ac:dyDescent="0.3">
      <c r="H53" s="71">
        <v>1.5972222222222221E-2</v>
      </c>
      <c r="I53" s="72">
        <v>3.3854166666666699E-2</v>
      </c>
      <c r="J53" s="73">
        <v>1.3078703703703703E-3</v>
      </c>
      <c r="K53" s="79">
        <v>1.9444444444444444E-3</v>
      </c>
      <c r="L53" s="79">
        <v>2.6041666666666665E-3</v>
      </c>
      <c r="M53" s="79">
        <v>3.1944444444444446E-3</v>
      </c>
      <c r="N53" s="79">
        <v>3.8773148148148148E-3</v>
      </c>
      <c r="O53" s="75">
        <v>5.208333333333333E-3</v>
      </c>
      <c r="P53" s="68"/>
      <c r="Q53" s="73">
        <f t="shared" si="9"/>
        <v>3.2696759259259254E-3</v>
      </c>
      <c r="R53" s="74">
        <f t="shared" si="10"/>
        <v>3.2407407407407406E-3</v>
      </c>
      <c r="S53" s="74">
        <f t="shared" si="11"/>
        <v>3.255208333333333E-3</v>
      </c>
      <c r="T53" s="74">
        <f t="shared" si="12"/>
        <v>3.1944444444444446E-3</v>
      </c>
      <c r="U53" s="74">
        <f t="shared" si="13"/>
        <v>3.2310956790123457E-3</v>
      </c>
      <c r="V53" s="77">
        <f t="shared" si="14"/>
        <v>3.255208333333333E-3</v>
      </c>
      <c r="Y53" s="51">
        <v>45</v>
      </c>
      <c r="Z53" s="51">
        <v>45</v>
      </c>
    </row>
    <row r="54" spans="8:26" x14ac:dyDescent="0.3">
      <c r="H54" s="71">
        <v>1.63194444444444E-2</v>
      </c>
      <c r="I54" s="72">
        <v>3.4606481481481502E-2</v>
      </c>
      <c r="J54" s="73">
        <v>1.3310185185185185E-3</v>
      </c>
      <c r="K54" s="79">
        <v>1.9791666666666668E-3</v>
      </c>
      <c r="L54" s="79">
        <v>2.662037037037037E-3</v>
      </c>
      <c r="M54" s="79">
        <v>3.2638888888888891E-3</v>
      </c>
      <c r="N54" s="79">
        <v>3.9583333333333337E-3</v>
      </c>
      <c r="O54" s="75">
        <v>5.324074074074074E-3</v>
      </c>
      <c r="P54" s="68"/>
      <c r="Q54" s="73">
        <f t="shared" si="9"/>
        <v>3.3275462962962959E-3</v>
      </c>
      <c r="R54" s="74">
        <f t="shared" si="10"/>
        <v>3.2986111111111115E-3</v>
      </c>
      <c r="S54" s="74">
        <f t="shared" si="11"/>
        <v>3.3275462962962959E-3</v>
      </c>
      <c r="T54" s="74">
        <f t="shared" si="12"/>
        <v>3.2638888888888891E-3</v>
      </c>
      <c r="U54" s="74">
        <f t="shared" si="13"/>
        <v>3.2986111111111115E-3</v>
      </c>
      <c r="V54" s="77">
        <f t="shared" si="14"/>
        <v>3.3275462962962959E-3</v>
      </c>
      <c r="Y54" s="51">
        <v>46</v>
      </c>
      <c r="Z54" s="51">
        <v>46</v>
      </c>
    </row>
    <row r="55" spans="8:26" x14ac:dyDescent="0.3">
      <c r="H55" s="71">
        <v>1.6666666666666701E-2</v>
      </c>
      <c r="I55" s="72">
        <v>3.5358796296296298E-2</v>
      </c>
      <c r="J55" s="73">
        <v>1.3657407407407407E-3</v>
      </c>
      <c r="K55" s="79">
        <v>2.0254629629629629E-3</v>
      </c>
      <c r="L55" s="79">
        <v>2.7199074074074074E-3</v>
      </c>
      <c r="M55" s="79">
        <v>3.3333333333333335E-3</v>
      </c>
      <c r="N55" s="79">
        <v>4.0509259259259257E-3</v>
      </c>
      <c r="O55" s="75">
        <v>5.4398148148148149E-3</v>
      </c>
      <c r="P55" s="68"/>
      <c r="Q55" s="73">
        <f t="shared" si="9"/>
        <v>3.4143518518518516E-3</v>
      </c>
      <c r="R55" s="74">
        <f t="shared" si="10"/>
        <v>3.3757716049382714E-3</v>
      </c>
      <c r="S55" s="74">
        <f t="shared" si="11"/>
        <v>3.3998842592592592E-3</v>
      </c>
      <c r="T55" s="74">
        <f t="shared" si="12"/>
        <v>3.3333333333333335E-3</v>
      </c>
      <c r="U55" s="74">
        <f t="shared" si="13"/>
        <v>3.3757716049382714E-3</v>
      </c>
      <c r="V55" s="77">
        <f t="shared" si="14"/>
        <v>3.3998842592592592E-3</v>
      </c>
      <c r="Y55" s="51">
        <v>47</v>
      </c>
      <c r="Z55" s="51">
        <v>47</v>
      </c>
    </row>
    <row r="56" spans="8:26" x14ac:dyDescent="0.3">
      <c r="H56" s="71">
        <v>1.7013888888888901E-2</v>
      </c>
      <c r="I56" s="72">
        <v>3.6111111111111101E-2</v>
      </c>
      <c r="J56" s="73">
        <v>1.4004629629629629E-3</v>
      </c>
      <c r="K56" s="79">
        <v>2.0717592592592593E-3</v>
      </c>
      <c r="L56" s="79">
        <v>2.7777777777777779E-3</v>
      </c>
      <c r="M56" s="79">
        <v>3.4027777777777776E-3</v>
      </c>
      <c r="N56" s="79">
        <v>4.1319444444444442E-3</v>
      </c>
      <c r="O56" s="75">
        <v>5.5555555555555558E-3</v>
      </c>
      <c r="P56" s="68"/>
      <c r="Q56" s="73">
        <f t="shared" si="9"/>
        <v>3.5011574074074073E-3</v>
      </c>
      <c r="R56" s="74">
        <f t="shared" si="10"/>
        <v>3.4529320987654322E-3</v>
      </c>
      <c r="S56" s="74">
        <f t="shared" si="11"/>
        <v>3.472222222222222E-3</v>
      </c>
      <c r="T56" s="74">
        <f t="shared" si="12"/>
        <v>3.4027777777777776E-3</v>
      </c>
      <c r="U56" s="74">
        <f t="shared" si="13"/>
        <v>3.4432870370370368E-3</v>
      </c>
      <c r="V56" s="77">
        <f t="shared" si="14"/>
        <v>3.472222222222222E-3</v>
      </c>
      <c r="Y56" s="51">
        <v>48</v>
      </c>
      <c r="Z56" s="51">
        <v>48</v>
      </c>
    </row>
    <row r="57" spans="8:26" x14ac:dyDescent="0.3">
      <c r="H57" s="71">
        <v>1.7361111111111101E-2</v>
      </c>
      <c r="I57" s="72">
        <v>3.6863425925925897E-2</v>
      </c>
      <c r="J57" s="73">
        <v>1.4236111111111112E-3</v>
      </c>
      <c r="K57" s="79">
        <v>2.1180555555555558E-3</v>
      </c>
      <c r="L57" s="79">
        <v>2.8356481481481483E-3</v>
      </c>
      <c r="M57" s="79">
        <v>3.472222222222222E-3</v>
      </c>
      <c r="N57" s="79">
        <v>4.2245370370370371E-3</v>
      </c>
      <c r="O57" s="75">
        <v>5.6712962962962967E-3</v>
      </c>
      <c r="P57" s="68"/>
      <c r="Q57" s="73">
        <f t="shared" si="9"/>
        <v>3.5590277777777777E-3</v>
      </c>
      <c r="R57" s="74">
        <f t="shared" si="10"/>
        <v>3.5300925925925929E-3</v>
      </c>
      <c r="S57" s="74">
        <f t="shared" si="11"/>
        <v>3.5445601851851853E-3</v>
      </c>
      <c r="T57" s="74">
        <f t="shared" si="12"/>
        <v>3.472222222222222E-3</v>
      </c>
      <c r="U57" s="74">
        <f t="shared" si="13"/>
        <v>3.5204475308641976E-3</v>
      </c>
      <c r="V57" s="77">
        <f t="shared" si="14"/>
        <v>3.5445601851851853E-3</v>
      </c>
      <c r="Y57" s="51">
        <v>49</v>
      </c>
      <c r="Z57" s="51">
        <v>49</v>
      </c>
    </row>
    <row r="58" spans="8:26" x14ac:dyDescent="0.3">
      <c r="H58" s="71">
        <v>1.7708333333333302E-2</v>
      </c>
      <c r="I58" s="72">
        <v>3.76157407407407E-2</v>
      </c>
      <c r="J58" s="73">
        <v>1.4583333333333334E-3</v>
      </c>
      <c r="K58" s="79">
        <v>2.1527777777777778E-3</v>
      </c>
      <c r="L58" s="79">
        <v>2.8935185185185184E-3</v>
      </c>
      <c r="M58" s="79">
        <v>3.5416666666666665E-3</v>
      </c>
      <c r="N58" s="79">
        <v>4.3055555555555555E-3</v>
      </c>
      <c r="O58" s="75">
        <v>5.7870370370370367E-3</v>
      </c>
      <c r="P58" s="68"/>
      <c r="Q58" s="73">
        <f t="shared" si="9"/>
        <v>3.6458333333333334E-3</v>
      </c>
      <c r="R58" s="74">
        <f t="shared" si="10"/>
        <v>3.5879629629629629E-3</v>
      </c>
      <c r="S58" s="74">
        <f t="shared" si="11"/>
        <v>3.6168981481481477E-3</v>
      </c>
      <c r="T58" s="74">
        <f t="shared" si="12"/>
        <v>3.5416666666666665E-3</v>
      </c>
      <c r="U58" s="74">
        <f t="shared" si="13"/>
        <v>3.5879629629629629E-3</v>
      </c>
      <c r="V58" s="77">
        <f t="shared" si="14"/>
        <v>3.6168981481481477E-3</v>
      </c>
      <c r="Y58" s="51">
        <v>50</v>
      </c>
      <c r="Z58" s="51">
        <v>50</v>
      </c>
    </row>
    <row r="59" spans="8:26" x14ac:dyDescent="0.3">
      <c r="H59" s="71">
        <v>1.8055555555555599E-2</v>
      </c>
      <c r="I59" s="72">
        <v>3.83680555555556E-2</v>
      </c>
      <c r="J59" s="73">
        <v>1.4814814814814814E-3</v>
      </c>
      <c r="K59" s="79">
        <v>2.1990740740740742E-3</v>
      </c>
      <c r="L59" s="79">
        <v>2.9513888888888888E-3</v>
      </c>
      <c r="M59" s="79">
        <v>3.6111111111111109E-3</v>
      </c>
      <c r="N59" s="79">
        <v>4.3981481481481484E-3</v>
      </c>
      <c r="O59" s="75">
        <v>5.9027777777777776E-3</v>
      </c>
      <c r="P59" s="68"/>
      <c r="Q59" s="73">
        <f t="shared" si="9"/>
        <v>3.7037037037037034E-3</v>
      </c>
      <c r="R59" s="74">
        <f t="shared" si="10"/>
        <v>3.6651234567901237E-3</v>
      </c>
      <c r="S59" s="74">
        <f t="shared" si="11"/>
        <v>3.689236111111111E-3</v>
      </c>
      <c r="T59" s="74">
        <f t="shared" si="12"/>
        <v>3.6111111111111109E-3</v>
      </c>
      <c r="U59" s="74">
        <f t="shared" si="13"/>
        <v>3.6651234567901237E-3</v>
      </c>
      <c r="V59" s="77">
        <f t="shared" si="14"/>
        <v>3.689236111111111E-3</v>
      </c>
      <c r="Y59" s="51">
        <v>51</v>
      </c>
      <c r="Z59" s="51">
        <v>51</v>
      </c>
    </row>
    <row r="60" spans="8:26" x14ac:dyDescent="0.3">
      <c r="H60" s="71">
        <v>1.8749999999999999E-2</v>
      </c>
      <c r="I60" s="72">
        <v>3.9872685185185185E-2</v>
      </c>
      <c r="J60" s="73">
        <v>1.5393518518518519E-3</v>
      </c>
      <c r="K60" s="79">
        <v>2.2800925925925927E-3</v>
      </c>
      <c r="L60" s="79">
        <v>3.0671296296296297E-3</v>
      </c>
      <c r="M60" s="79">
        <v>3.7499999999999999E-3</v>
      </c>
      <c r="N60" s="79">
        <v>4.5833333333333334E-3</v>
      </c>
      <c r="O60" s="75">
        <v>6.1342592592592594E-3</v>
      </c>
      <c r="P60" s="68"/>
      <c r="Q60" s="73">
        <f t="shared" si="9"/>
        <v>3.8483796296296295E-3</v>
      </c>
      <c r="R60" s="74">
        <f t="shared" si="10"/>
        <v>3.8001543209876545E-3</v>
      </c>
      <c r="S60" s="74">
        <f t="shared" si="11"/>
        <v>3.8339120370370371E-3</v>
      </c>
      <c r="T60" s="74">
        <f t="shared" si="12"/>
        <v>3.7499999999999999E-3</v>
      </c>
      <c r="U60" s="74">
        <f t="shared" si="13"/>
        <v>3.8194444444444448E-3</v>
      </c>
      <c r="V60" s="77">
        <f t="shared" si="14"/>
        <v>3.8339120370370371E-3</v>
      </c>
      <c r="Y60" s="51">
        <v>52</v>
      </c>
      <c r="Z60" s="51">
        <v>52</v>
      </c>
    </row>
    <row r="61" spans="8:26" x14ac:dyDescent="0.3">
      <c r="H61" s="71">
        <v>1.9444444444444445E-2</v>
      </c>
      <c r="I61" s="72">
        <v>4.1493055555555554E-2</v>
      </c>
      <c r="J61" s="73">
        <v>1.5972222222222223E-3</v>
      </c>
      <c r="K61" s="79">
        <v>2.3495370370370371E-3</v>
      </c>
      <c r="L61" s="79">
        <v>3.1828703703703702E-3</v>
      </c>
      <c r="M61" s="79">
        <v>3.8888888888888888E-3</v>
      </c>
      <c r="N61" s="79">
        <v>4.7569444444444447E-3</v>
      </c>
      <c r="O61" s="75">
        <v>6.3657407407407404E-3</v>
      </c>
      <c r="P61" s="68"/>
      <c r="Q61" s="73">
        <f t="shared" si="9"/>
        <v>3.9930555555555552E-3</v>
      </c>
      <c r="R61" s="74">
        <f t="shared" si="10"/>
        <v>3.9158950617283958E-3</v>
      </c>
      <c r="S61" s="74">
        <f t="shared" si="11"/>
        <v>3.9785879629629624E-3</v>
      </c>
      <c r="T61" s="74">
        <f t="shared" si="12"/>
        <v>3.8888888888888888E-3</v>
      </c>
      <c r="U61" s="74">
        <f t="shared" si="13"/>
        <v>3.9641203703703705E-3</v>
      </c>
      <c r="V61" s="77">
        <f t="shared" si="14"/>
        <v>3.9785879629629624E-3</v>
      </c>
      <c r="Y61" s="51">
        <v>53</v>
      </c>
      <c r="Z61" s="51">
        <v>53</v>
      </c>
    </row>
    <row r="62" spans="8:26" x14ac:dyDescent="0.3">
      <c r="H62" s="71">
        <v>2.013888888888889E-2</v>
      </c>
      <c r="I62" s="72">
        <v>4.3113425925925923E-2</v>
      </c>
      <c r="J62" s="73">
        <v>1.6550925925925926E-3</v>
      </c>
      <c r="K62" s="79">
        <v>2.4305555555555556E-3</v>
      </c>
      <c r="L62" s="79">
        <v>3.2986111111111111E-3</v>
      </c>
      <c r="M62" s="79">
        <v>4.0277777777777777E-3</v>
      </c>
      <c r="N62" s="79">
        <v>4.9421296296296297E-3</v>
      </c>
      <c r="O62" s="75">
        <v>6.5972222222222222E-3</v>
      </c>
      <c r="P62" s="68"/>
      <c r="Q62" s="73">
        <f t="shared" si="9"/>
        <v>4.1377314814814809E-3</v>
      </c>
      <c r="R62" s="74">
        <f t="shared" si="10"/>
        <v>4.0509259259259266E-3</v>
      </c>
      <c r="S62" s="74">
        <f t="shared" si="11"/>
        <v>4.123263888888889E-3</v>
      </c>
      <c r="T62" s="74">
        <f t="shared" si="12"/>
        <v>4.0277777777777777E-3</v>
      </c>
      <c r="U62" s="74">
        <f t="shared" si="13"/>
        <v>4.118441358024692E-3</v>
      </c>
      <c r="V62" s="77">
        <f t="shared" si="14"/>
        <v>4.123263888888889E-3</v>
      </c>
      <c r="Y62" s="51">
        <v>54</v>
      </c>
      <c r="Z62" s="51">
        <v>54</v>
      </c>
    </row>
    <row r="63" spans="8:26" ht="16.8" thickBot="1" x14ac:dyDescent="0.35">
      <c r="H63" s="80">
        <v>2.0833333333333301E-2</v>
      </c>
      <c r="I63" s="81">
        <v>4.4733796296296299E-2</v>
      </c>
      <c r="J63" s="82">
        <v>1.712962962962963E-3</v>
      </c>
      <c r="K63" s="83">
        <v>2.5000000000000001E-3</v>
      </c>
      <c r="L63" s="83">
        <v>3.414351851851852E-3</v>
      </c>
      <c r="M63" s="83">
        <v>4.1666666666666666E-3</v>
      </c>
      <c r="N63" s="83">
        <v>5.1273148148148146E-3</v>
      </c>
      <c r="O63" s="84">
        <v>6.828703703703704E-3</v>
      </c>
      <c r="P63" s="85"/>
      <c r="Q63" s="82">
        <f t="shared" si="9"/>
        <v>4.2824074074074075E-3</v>
      </c>
      <c r="R63" s="86">
        <f t="shared" si="10"/>
        <v>4.1666666666666666E-3</v>
      </c>
      <c r="S63" s="86">
        <f t="shared" si="11"/>
        <v>4.2679398148148147E-3</v>
      </c>
      <c r="T63" s="86">
        <f t="shared" si="12"/>
        <v>4.1666666666666666E-3</v>
      </c>
      <c r="U63" s="86">
        <f t="shared" si="13"/>
        <v>4.2727623456790126E-3</v>
      </c>
      <c r="V63" s="87">
        <f t="shared" si="14"/>
        <v>4.2679398148148147E-3</v>
      </c>
      <c r="Y63" s="51">
        <v>55</v>
      </c>
      <c r="Z63" s="51">
        <v>55</v>
      </c>
    </row>
    <row r="64" spans="8:26" x14ac:dyDescent="0.3"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Y64" s="51">
        <v>56</v>
      </c>
      <c r="Z64" s="51">
        <v>56</v>
      </c>
    </row>
    <row r="65" spans="8:26" ht="16.95" hidden="1" customHeight="1" x14ac:dyDescent="0.3">
      <c r="H65" s="1" cm="1">
        <f t="array" ref="H65">MAX(IF($H$8:$H$34 &lt;= $E$8, $H$8:$H$34))</f>
        <v>9.0277777777777776E-2</v>
      </c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Y65" s="51">
        <v>57</v>
      </c>
      <c r="Z65" s="51">
        <v>57</v>
      </c>
    </row>
    <row r="66" spans="8:26" ht="16.95" hidden="1" customHeight="1" x14ac:dyDescent="0.3">
      <c r="H66" s="1" cm="1">
        <f t="array" ref="H66">MIN(IF($H$8:$H$34 &gt; $E$8, $H$8:$H$34))</f>
        <v>9.5138888888888884E-2</v>
      </c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Y66" s="149">
        <v>58</v>
      </c>
      <c r="Z66" s="149">
        <v>58</v>
      </c>
    </row>
    <row r="67" spans="8:26" ht="16.95" hidden="1" customHeight="1" x14ac:dyDescent="0.3"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Y67" s="149">
        <v>59</v>
      </c>
      <c r="Z67" s="149">
        <v>59</v>
      </c>
    </row>
    <row r="68" spans="8:26" ht="16.8" thickBot="1" x14ac:dyDescent="0.35"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Y68" s="149">
        <v>60</v>
      </c>
      <c r="Z68" s="149">
        <v>60</v>
      </c>
    </row>
    <row r="69" spans="8:26" ht="16.8" thickBot="1" x14ac:dyDescent="0.35">
      <c r="H69" s="64" t="s">
        <v>100</v>
      </c>
      <c r="I69" s="192" t="s">
        <v>81</v>
      </c>
      <c r="J69" s="193"/>
      <c r="K69" s="194" t="s">
        <v>83</v>
      </c>
      <c r="L69" s="195"/>
      <c r="M69" s="195"/>
      <c r="N69" s="195"/>
      <c r="O69" s="196"/>
      <c r="P69" s="64" t="s">
        <v>58</v>
      </c>
      <c r="Q69" s="64" t="s">
        <v>86</v>
      </c>
      <c r="R69" s="149"/>
      <c r="S69" s="149"/>
      <c r="T69" s="149"/>
      <c r="U69" s="149"/>
      <c r="V69" s="149"/>
      <c r="Y69" s="149">
        <v>58</v>
      </c>
      <c r="Z69" s="149">
        <v>58</v>
      </c>
    </row>
    <row r="70" spans="8:26" ht="16.8" thickBot="1" x14ac:dyDescent="0.35">
      <c r="H70" s="118" t="s">
        <v>16</v>
      </c>
      <c r="I70" s="126" t="s">
        <v>32</v>
      </c>
      <c r="J70" s="127" t="s">
        <v>31</v>
      </c>
      <c r="K70" s="119" t="s">
        <v>96</v>
      </c>
      <c r="L70" s="119" t="s">
        <v>92</v>
      </c>
      <c r="M70" s="119" t="s">
        <v>93</v>
      </c>
      <c r="N70" s="119" t="s">
        <v>94</v>
      </c>
      <c r="O70" s="120" t="s">
        <v>95</v>
      </c>
      <c r="P70" s="121" t="s">
        <v>26</v>
      </c>
      <c r="Q70" s="150" t="s">
        <v>26</v>
      </c>
      <c r="R70" s="149"/>
      <c r="S70" s="149"/>
      <c r="T70" s="149"/>
      <c r="U70" s="149"/>
      <c r="V70" s="149"/>
      <c r="Y70" s="149">
        <v>59</v>
      </c>
      <c r="Z70" s="149">
        <v>59</v>
      </c>
    </row>
    <row r="71" spans="8:26" ht="16.8" thickBot="1" x14ac:dyDescent="0.35">
      <c r="H71" s="125">
        <f t="shared" ref="H71:Q71" si="15">IF(COUNTIF($H$8:$H$34, $E$8)&gt;0, INDEX(H$8:H$34, MATCH($E$8, $H$8:$H$34, 0)),(($E$8-$H$65)/($H$66-$H$65))*(INDEX(H$8:H$34, MATCH($H$66, $H$8:$H$34, 0))-INDEX(H$8:H$34, MATCH($H$65, $H$8:$H$34, 0)))+INDEX(H$8:H$34, MATCH($H$65, $H$8:$H$34, 0)))</f>
        <v>9.3055555555555558E-2</v>
      </c>
      <c r="I71" s="122">
        <f t="shared" si="15"/>
        <v>5.0598224964327251E-3</v>
      </c>
      <c r="J71" s="124">
        <f t="shared" si="15"/>
        <v>5.4533410149512438E-3</v>
      </c>
      <c r="K71" s="122">
        <f t="shared" si="15"/>
        <v>4.3397410103475096E-3</v>
      </c>
      <c r="L71" s="123">
        <f t="shared" si="15"/>
        <v>6.9826432856491425E-3</v>
      </c>
      <c r="M71" s="123">
        <f t="shared" si="15"/>
        <v>1.0473964928473713E-2</v>
      </c>
      <c r="N71" s="123">
        <f t="shared" si="15"/>
        <v>1.3965286571298285E-2</v>
      </c>
      <c r="O71" s="124">
        <f t="shared" si="15"/>
        <v>2.0947929856947427E-2</v>
      </c>
      <c r="P71" s="125">
        <f t="shared" si="15"/>
        <v>4.4116743482845774E-3</v>
      </c>
      <c r="Q71" s="124">
        <f t="shared" si="15"/>
        <v>4.9093595334697626E-3</v>
      </c>
      <c r="R71" s="149"/>
      <c r="S71" s="149"/>
      <c r="T71" s="149"/>
      <c r="U71" s="149"/>
      <c r="V71" s="149"/>
    </row>
    <row r="73" spans="8:26" ht="16.8" thickBot="1" x14ac:dyDescent="0.35"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</row>
    <row r="74" spans="8:26" ht="16.8" thickBot="1" x14ac:dyDescent="0.35">
      <c r="H74" s="149"/>
      <c r="I74" s="197" t="s">
        <v>9</v>
      </c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9"/>
    </row>
    <row r="75" spans="8:26" x14ac:dyDescent="0.3">
      <c r="H75" s="149"/>
      <c r="I75" s="57" t="str">
        <f>A11</f>
        <v>5公里目標時間</v>
      </c>
      <c r="J75" s="94" t="s">
        <v>40</v>
      </c>
      <c r="K75" s="95" t="s">
        <v>41</v>
      </c>
      <c r="L75" s="95" t="s">
        <v>42</v>
      </c>
      <c r="M75" s="95" t="s">
        <v>43</v>
      </c>
      <c r="N75" s="95" t="s">
        <v>44</v>
      </c>
      <c r="O75" s="93" t="s">
        <v>45</v>
      </c>
      <c r="P75" s="96"/>
      <c r="Q75" s="94" t="s">
        <v>6</v>
      </c>
      <c r="R75" s="95" t="s">
        <v>7</v>
      </c>
      <c r="S75" s="95" t="s">
        <v>46</v>
      </c>
      <c r="T75" s="95" t="s">
        <v>47</v>
      </c>
      <c r="U75" s="95" t="s">
        <v>48</v>
      </c>
      <c r="V75" s="97" t="s">
        <v>8</v>
      </c>
    </row>
    <row r="76" spans="8:26" ht="16.8" thickBot="1" x14ac:dyDescent="0.35">
      <c r="H76" s="149"/>
      <c r="I76" s="80">
        <f>E13</f>
        <v>1.7361111111111112E-2</v>
      </c>
      <c r="J76" s="82" cm="1">
        <f t="array" ref="J76">IF($A$11="10公里目標時間",
    IF(COUNTIF($I$38:$I$63, $E$13)&gt;0,
        INDEX(J$38:J$63, MATCH(TRIM($E$13), TRIM($I$38:$I$63), 0)),
        ( ($E$13 - MAX(IF($I$38:$I$63&lt;=$E$13, $I$38:$I$63))) /
          (MIN(IF($I$38:$I$63&gt;$E$13, $I$38:$I$63)) - MAX(IF($I$38:$I$63&lt;=$E$13, $I$38:$I$63))) *
          (INDEX(J$38:J$63, MATCH(MIN(IF($I$38:$I$63&gt;$E$13, $I$38:$I$63)), $I$38:$I$63, 0)) -
           INDEX(J$38:J$63, MATCH(MAX(IF($I$38:$I$63&lt;=$E$13, $I$38:$I$63)), $I$38:$I$63, 0))) +
           INDEX(J$38:J$63, MATCH(MAX(IF($I$38:$I$63&lt;=$E$13, $I$38:$I$63)), $I$38:$I$63, 0)))
    ),
    IF(COUNTIF($H$38:$H$63, $E$13)&gt;0,
        INDEX(J$38:J$63, MATCH(TRIM($E$13), TRIM($H$38:$H$63), 0)),
        ( ($E$13 - MAX(IF($H$38:$H$63&lt;=$E$13, $H$38:$H$63))) /
          (MIN(IF($H$38:$H$63&gt;$E$13, $H$38:$H$63)) - MAX(IF($H$38:$H$63&lt;=$E$13, $H$38:$H$63))) *
          (INDEX(J$38:J$63, MATCH(MIN(IF($H$38:$H$63&gt;$E$13, $H$38:$H$63)), $H$38:$H$63, 0)) -
           INDEX(J$38:J$63, MATCH(MAX(IF($H$38:$H$63&lt;=$E$13, $H$38:$H$63)), $H$38:$H$63, 0))) +
           INDEX(J$38:J$63, MATCH(MAX(IF($H$38:$H$63&lt;=$E$13, $H$38:$H$63)), $H$38:$H$63, 0)))
    )
)</f>
        <v>1.4236111111111112E-3</v>
      </c>
      <c r="K76" s="82" cm="1">
        <f t="array" ref="K76">IF($A$11="10公里目標時間",
    IF(COUNTIF($I$38:$I$63, $E$13)&gt;0,
        INDEX(K$38:K$63, MATCH(TRIM($E$13), TRIM($I$38:$I$63), 0)),
        ( ($E$13 - MAX(IF($I$38:$I$63&lt;=$E$13, $I$38:$I$63))) /
          (MIN(IF($I$38:$I$63&gt;$E$13, $I$38:$I$63)) - MAX(IF($I$38:$I$63&lt;=$E$13, $I$38:$I$63))) *
          (INDEX(K$38:K$63, MATCH(MIN(IF($I$38:$I$63&gt;$E$13, $I$38:$I$63)), $I$38:$I$63, 0)) -
           INDEX(K$38:K$63, MATCH(MAX(IF($I$38:$I$63&lt;=$E$13, $I$38:$I$63)), $I$38:$I$63, 0))) +
           INDEX(K$38:K$63, MATCH(MAX(IF($I$38:$I$63&lt;=$E$13, $I$38:$I$63)), $I$38:$I$63, 0)))
    ),
    IF(COUNTIF($H$38:$H$63, $E$13)&gt;0,
        INDEX(K$38:K$63, MATCH(TRIM($E$13), TRIM($H$38:$H$63), 0)),
        ( ($E$13 - MAX(IF($H$38:$H$63&lt;=$E$13, $H$38:$H$63))) /
          (MIN(IF($H$38:$H$63&gt;$E$13, $H$38:$H$63)) - MAX(IF($H$38:$H$63&lt;=$E$13, $H$38:$H$63))) *
          (INDEX(K$38:K$63, MATCH(MIN(IF($H$38:$H$63&gt;$E$13, $H$38:$H$63)), $H$38:$H$63, 0)) -
           INDEX(K$38:K$63, MATCH(MAX(IF($H$38:$H$63&lt;=$E$13, $H$38:$H$63)), $H$38:$H$63, 0))) +
           INDEX(K$38:K$63, MATCH(MAX(IF($H$38:$H$63&lt;=$E$13, $H$38:$H$63)), $H$38:$H$63, 0)))
    )
)</f>
        <v>2.1180555555555558E-3</v>
      </c>
      <c r="L76" s="82" cm="1">
        <f t="array" ref="L76">IF($A$11="10公里目標時間",
    IF(COUNTIF($I$38:$I$63, $E$13)&gt;0,
        INDEX(L$38:L$63, MATCH(TRIM($E$13), TRIM($I$38:$I$63), 0)),
        ( ($E$13 - MAX(IF($I$38:$I$63&lt;=$E$13, $I$38:$I$63))) /
          (MIN(IF($I$38:$I$63&gt;$E$13, $I$38:$I$63)) - MAX(IF($I$38:$I$63&lt;=$E$13, $I$38:$I$63))) *
          (INDEX(L$38:L$63, MATCH(MIN(IF($I$38:$I$63&gt;$E$13, $I$38:$I$63)), $I$38:$I$63, 0)) -
           INDEX(L$38:L$63, MATCH(MAX(IF($I$38:$I$63&lt;=$E$13, $I$38:$I$63)), $I$38:$I$63, 0))) +
           INDEX(L$38:L$63, MATCH(MAX(IF($I$38:$I$63&lt;=$E$13, $I$38:$I$63)), $I$38:$I$63, 0)))
    ),
    IF(COUNTIF($H$38:$H$63, $E$13)&gt;0,
        INDEX(L$38:L$63, MATCH(TRIM($E$13), TRIM($H$38:$H$63), 0)),
        ( ($E$13 - MAX(IF($H$38:$H$63&lt;=$E$13, $H$38:$H$63))) /
          (MIN(IF($H$38:$H$63&gt;$E$13, $H$38:$H$63)) - MAX(IF($H$38:$H$63&lt;=$E$13, $H$38:$H$63))) *
          (INDEX(L$38:L$63, MATCH(MIN(IF($H$38:$H$63&gt;$E$13, $H$38:$H$63)), $H$38:$H$63, 0)) -
           INDEX(L$38:L$63, MATCH(MAX(IF($H$38:$H$63&lt;=$E$13, $H$38:$H$63)), $H$38:$H$63, 0))) +
           INDEX(L$38:L$63, MATCH(MAX(IF($H$38:$H$63&lt;=$E$13, $H$38:$H$63)), $H$38:$H$63, 0)))
    )
)</f>
        <v>2.8356481481481483E-3</v>
      </c>
      <c r="M76" s="82" cm="1">
        <f t="array" ref="M76">IF($A$11="10公里目標時間",
    IF(COUNTIF($I$38:$I$63, $E$13)&gt;0,
        INDEX(M$38:M$63, MATCH(TRIM($E$13), TRIM($I$38:$I$63), 0)),
        ( ($E$13 - MAX(IF($I$38:$I$63&lt;=$E$13, $I$38:$I$63))) /
          (MIN(IF($I$38:$I$63&gt;$E$13, $I$38:$I$63)) - MAX(IF($I$38:$I$63&lt;=$E$13, $I$38:$I$63))) *
          (INDEX(M$38:M$63, MATCH(MIN(IF($I$38:$I$63&gt;$E$13, $I$38:$I$63)), $I$38:$I$63, 0)) -
           INDEX(M$38:M$63, MATCH(MAX(IF($I$38:$I$63&lt;=$E$13, $I$38:$I$63)), $I$38:$I$63, 0))) +
           INDEX(M$38:M$63, MATCH(MAX(IF($I$38:$I$63&lt;=$E$13, $I$38:$I$63)), $I$38:$I$63, 0)))
    ),
    IF(COUNTIF($H$38:$H$63, $E$13)&gt;0,
        INDEX(M$38:M$63, MATCH(TRIM($E$13), TRIM($H$38:$H$63), 0)),
        ( ($E$13 - MAX(IF($H$38:$H$63&lt;=$E$13, $H$38:$H$63))) /
          (MIN(IF($H$38:$H$63&gt;$E$13, $H$38:$H$63)) - MAX(IF($H$38:$H$63&lt;=$E$13, $H$38:$H$63))) *
          (INDEX(M$38:M$63, MATCH(MIN(IF($H$38:$H$63&gt;$E$13, $H$38:$H$63)), $H$38:$H$63, 0)) -
           INDEX(M$38:M$63, MATCH(MAX(IF($H$38:$H$63&lt;=$E$13, $H$38:$H$63)), $H$38:$H$63, 0))) +
           INDEX(M$38:M$63, MATCH(MAX(IF($H$38:$H$63&lt;=$E$13, $H$38:$H$63)), $H$38:$H$63, 0)))
    )
)</f>
        <v>3.472222222222222E-3</v>
      </c>
      <c r="N76" s="82" cm="1">
        <f t="array" ref="N76">IF($A$11="10公里目標時間",
    IF(COUNTIF($I$38:$I$63, $E$13)&gt;0,
        INDEX(N$38:N$63, MATCH(TRIM($E$13), TRIM($I$38:$I$63), 0)),
        ( ($E$13 - MAX(IF($I$38:$I$63&lt;=$E$13, $I$38:$I$63))) /
          (MIN(IF($I$38:$I$63&gt;$E$13, $I$38:$I$63)) - MAX(IF($I$38:$I$63&lt;=$E$13, $I$38:$I$63))) *
          (INDEX(N$38:N$63, MATCH(MIN(IF($I$38:$I$63&gt;$E$13, $I$38:$I$63)), $I$38:$I$63, 0)) -
           INDEX(N$38:N$63, MATCH(MAX(IF($I$38:$I$63&lt;=$E$13, $I$38:$I$63)), $I$38:$I$63, 0))) +
           INDEX(N$38:N$63, MATCH(MAX(IF($I$38:$I$63&lt;=$E$13, $I$38:$I$63)), $I$38:$I$63, 0)))
    ),
    IF(COUNTIF($H$38:$H$63, $E$13)&gt;0,
        INDEX(N$38:N$63, MATCH(TRIM($E$13), TRIM($H$38:$H$63), 0)),
        ( ($E$13 - MAX(IF($H$38:$H$63&lt;=$E$13, $H$38:$H$63))) /
          (MIN(IF($H$38:$H$63&gt;$E$13, $H$38:$H$63)) - MAX(IF($H$38:$H$63&lt;=$E$13, $H$38:$H$63))) *
          (INDEX(N$38:N$63, MATCH(MIN(IF($H$38:$H$63&gt;$E$13, $H$38:$H$63)), $H$38:$H$63, 0)) -
           INDEX(N$38:N$63, MATCH(MAX(IF($H$38:$H$63&lt;=$E$13, $H$38:$H$63)), $H$38:$H$63, 0))) +
           INDEX(N$38:N$63, MATCH(MAX(IF($H$38:$H$63&lt;=$E$13, $H$38:$H$63)), $H$38:$H$63, 0)))
    )
)</f>
        <v>4.2245370370370371E-3</v>
      </c>
      <c r="O76" s="82" cm="1">
        <f t="array" ref="O76">IF($A$11="10公里目標時間",
    IF(COUNTIF($I$38:$I$63, $E$13)&gt;0,
        INDEX(O$38:O$63, MATCH(TRIM($E$13), TRIM($I$38:$I$63), 0)),
        ( ($E$13 - MAX(IF($I$38:$I$63&lt;=$E$13, $I$38:$I$63))) /
          (MIN(IF($I$38:$I$63&gt;$E$13, $I$38:$I$63)) - MAX(IF($I$38:$I$63&lt;=$E$13, $I$38:$I$63))) *
          (INDEX(O$38:O$63, MATCH(MIN(IF($I$38:$I$63&gt;$E$13, $I$38:$I$63)), $I$38:$I$63, 0)) -
           INDEX(O$38:O$63, MATCH(MAX(IF($I$38:$I$63&lt;=$E$13, $I$38:$I$63)), $I$38:$I$63, 0))) +
           INDEX(O$38:O$63, MATCH(MAX(IF($I$38:$I$63&lt;=$E$13, $I$38:$I$63)), $I$38:$I$63, 0)))
    ),
    IF(COUNTIF($H$38:$H$63, $E$13)&gt;0,
        INDEX(O$38:O$63, MATCH(TRIM($E$13), TRIM($H$38:$H$63), 0)),
        ( ($E$13 - MAX(IF($H$38:$H$63&lt;=$E$13, $H$38:$H$63))) /
          (MIN(IF($H$38:$H$63&gt;$E$13, $H$38:$H$63)) - MAX(IF($H$38:$H$63&lt;=$E$13, $H$38:$H$63))) *
          (INDEX(O$38:O$63, MATCH(MIN(IF($H$38:$H$63&gt;$E$13, $H$38:$H$63)), $H$38:$H$63, 0)) -
           INDEX(O$38:O$63, MATCH(MAX(IF($H$38:$H$63&lt;=$E$13, $H$38:$H$63)), $H$38:$H$63, 0))) +
           INDEX(O$38:O$63, MATCH(MAX(IF($H$38:$H$63&lt;=$E$13, $H$38:$H$63)), $H$38:$H$63, 0)))
    )
)</f>
        <v>5.6712962962962967E-3</v>
      </c>
      <c r="P76" s="82"/>
      <c r="Q76" s="82" cm="1">
        <f t="array" ref="Q76">IF($A$11="10公里目標時間",
    IF(COUNTIF($I$38:$I$63, $E$13)&gt;0,
        INDEX(Q$38:Q$63, MATCH(TRIM($E$13), TRIM($I$38:$I$63), 0)),
        ( ($E$13 - MAX(IF($I$38:$I$63&lt;=$E$13, $I$38:$I$63))) /
          (MIN(IF($I$38:$I$63&gt;$E$13, $I$38:$I$63)) - MAX(IF($I$38:$I$63&lt;=$E$13, $I$38:$I$63))) *
          (INDEX(Q$38:Q$63, MATCH(MIN(IF($I$38:$I$63&gt;$E$13, $I$38:$I$63)), $I$38:$I$63, 0)) -
           INDEX(Q$38:Q$63, MATCH(MAX(IF($I$38:$I$63&lt;=$E$13, $I$38:$I$63)), $I$38:$I$63, 0))) +
           INDEX(Q$38:Q$63, MATCH(MAX(IF($I$38:$I$63&lt;=$E$13, $I$38:$I$63)), $I$38:$I$63, 0)))
    ),
    IF(COUNTIF($H$38:$H$63, $E$13)&gt;0,
        INDEX(Q$38:Q$63, MATCH(TRIM($E$13), TRIM($H$38:$H$63), 0)),
        ( ($E$13 - MAX(IF($H$38:$H$63&lt;=$E$13, $H$38:$H$63))) /
          (MIN(IF($H$38:$H$63&gt;$E$13, $H$38:$H$63)) - MAX(IF($H$38:$H$63&lt;=$E$13, $H$38:$H$63))) *
          (INDEX(Q$38:Q$63, MATCH(MIN(IF($H$38:$H$63&gt;$E$13, $H$38:$H$63)), $H$38:$H$63, 0)) -
           INDEX(Q$38:Q$63, MATCH(MAX(IF($H$38:$H$63&lt;=$E$13, $H$38:$H$63)), $H$38:$H$63, 0))) +
           INDEX(Q$38:Q$63, MATCH(MAX(IF($H$38:$H$63&lt;=$E$13, $H$38:$H$63)), $H$38:$H$63, 0)))
    )
)</f>
        <v>3.5590277777777777E-3</v>
      </c>
      <c r="R76" s="82" cm="1">
        <f t="array" ref="R76">IF($A$11="10公里目標時間",
    IF(COUNTIF($I$38:$I$63, $E$13)&gt;0,
        INDEX(R$38:R$63, MATCH(TRIM($E$13), TRIM($I$38:$I$63), 0)),
        ( ($E$13 - MAX(IF($I$38:$I$63&lt;=$E$13, $I$38:$I$63))) /
          (MIN(IF($I$38:$I$63&gt;$E$13, $I$38:$I$63)) - MAX(IF($I$38:$I$63&lt;=$E$13, $I$38:$I$63))) *
          (INDEX(R$38:R$63, MATCH(MIN(IF($I$38:$I$63&gt;$E$13, $I$38:$I$63)), $I$38:$I$63, 0)) -
           INDEX(R$38:R$63, MATCH(MAX(IF($I$38:$I$63&lt;=$E$13, $I$38:$I$63)), $I$38:$I$63, 0))) +
           INDEX(R$38:R$63, MATCH(MAX(IF($I$38:$I$63&lt;=$E$13, $I$38:$I$63)), $I$38:$I$63, 0)))
    ),
    IF(COUNTIF($H$38:$H$63, $E$13)&gt;0,
        INDEX(R$38:R$63, MATCH(TRIM($E$13), TRIM($H$38:$H$63), 0)),
        ( ($E$13 - MAX(IF($H$38:$H$63&lt;=$E$13, $H$38:$H$63))) /
          (MIN(IF($H$38:$H$63&gt;$E$13, $H$38:$H$63)) - MAX(IF($H$38:$H$63&lt;=$E$13, $H$38:$H$63))) *
          (INDEX(R$38:R$63, MATCH(MIN(IF($H$38:$H$63&gt;$E$13, $H$38:$H$63)), $H$38:$H$63, 0)) -
           INDEX(R$38:R$63, MATCH(MAX(IF($H$38:$H$63&lt;=$E$13, $H$38:$H$63)), $H$38:$H$63, 0))) +
           INDEX(R$38:R$63, MATCH(MAX(IF($H$38:$H$63&lt;=$E$13, $H$38:$H$63)), $H$38:$H$63, 0)))
    )
)</f>
        <v>3.5300925925925929E-3</v>
      </c>
      <c r="S76" s="82" cm="1">
        <f t="array" ref="S76">IF($A$11="10公里目標時間",
    IF(COUNTIF($I$38:$I$63, $E$13)&gt;0,
        INDEX(S$38:S$63, MATCH(TRIM($E$13), TRIM($I$38:$I$63), 0)),
        ( ($E$13 - MAX(IF($I$38:$I$63&lt;=$E$13, $I$38:$I$63))) /
          (MIN(IF($I$38:$I$63&gt;$E$13, $I$38:$I$63)) - MAX(IF($I$38:$I$63&lt;=$E$13, $I$38:$I$63))) *
          (INDEX(S$38:S$63, MATCH(MIN(IF($I$38:$I$63&gt;$E$13, $I$38:$I$63)), $I$38:$I$63, 0)) -
           INDEX(S$38:S$63, MATCH(MAX(IF($I$38:$I$63&lt;=$E$13, $I$38:$I$63)), $I$38:$I$63, 0))) +
           INDEX(S$38:S$63, MATCH(MAX(IF($I$38:$I$63&lt;=$E$13, $I$38:$I$63)), $I$38:$I$63, 0)))
    ),
    IF(COUNTIF($H$38:$H$63, $E$13)&gt;0,
        INDEX(S$38:S$63, MATCH(TRIM($E$13), TRIM($H$38:$H$63), 0)),
        ( ($E$13 - MAX(IF($H$38:$H$63&lt;=$E$13, $H$38:$H$63))) /
          (MIN(IF($H$38:$H$63&gt;$E$13, $H$38:$H$63)) - MAX(IF($H$38:$H$63&lt;=$E$13, $H$38:$H$63))) *
          (INDEX(S$38:S$63, MATCH(MIN(IF($H$38:$H$63&gt;$E$13, $H$38:$H$63)), $H$38:$H$63, 0)) -
           INDEX(S$38:S$63, MATCH(MAX(IF($H$38:$H$63&lt;=$E$13, $H$38:$H$63)), $H$38:$H$63, 0))) +
           INDEX(S$38:S$63, MATCH(MAX(IF($H$38:$H$63&lt;=$E$13, $H$38:$H$63)), $H$38:$H$63, 0)))
    )
)</f>
        <v>3.5445601851851853E-3</v>
      </c>
      <c r="T76" s="82" cm="1">
        <f t="array" ref="T76">IF($A$11="10公里目標時間",
    IF(COUNTIF($I$38:$I$63, $E$13)&gt;0,
        INDEX(T$38:T$63, MATCH(TRIM($E$13), TRIM($I$38:$I$63), 0)),
        ( ($E$13 - MAX(IF($I$38:$I$63&lt;=$E$13, $I$38:$I$63))) /
          (MIN(IF($I$38:$I$63&gt;$E$13, $I$38:$I$63)) - MAX(IF($I$38:$I$63&lt;=$E$13, $I$38:$I$63))) *
          (INDEX(T$38:T$63, MATCH(MIN(IF($I$38:$I$63&gt;$E$13, $I$38:$I$63)), $I$38:$I$63, 0)) -
           INDEX(T$38:T$63, MATCH(MAX(IF($I$38:$I$63&lt;=$E$13, $I$38:$I$63)), $I$38:$I$63, 0))) +
           INDEX(T$38:T$63, MATCH(MAX(IF($I$38:$I$63&lt;=$E$13, $I$38:$I$63)), $I$38:$I$63, 0)))
    ),
    IF(COUNTIF($H$38:$H$63, $E$13)&gt;0,
        INDEX(T$38:T$63, MATCH(TRIM($E$13), TRIM($H$38:$H$63), 0)),
        ( ($E$13 - MAX(IF($H$38:$H$63&lt;=$E$13, $H$38:$H$63))) /
          (MIN(IF($H$38:$H$63&gt;$E$13, $H$38:$H$63)) - MAX(IF($H$38:$H$63&lt;=$E$13, $H$38:$H$63))) *
          (INDEX(T$38:T$63, MATCH(MIN(IF($H$38:$H$63&gt;$E$13, $H$38:$H$63)), $H$38:$H$63, 0)) -
           INDEX(T$38:T$63, MATCH(MAX(IF($H$38:$H$63&lt;=$E$13, $H$38:$H$63)), $H$38:$H$63, 0))) +
           INDEX(T$38:T$63, MATCH(MAX(IF($H$38:$H$63&lt;=$E$13, $H$38:$H$63)), $H$38:$H$63, 0)))
    )
)</f>
        <v>3.472222222222222E-3</v>
      </c>
      <c r="U76" s="82" cm="1">
        <f t="array" ref="U76">IF($A$11="10公里目標時間",
    IF(COUNTIF($I$38:$I$63, $E$13)&gt;0,
        INDEX(U$38:U$63, MATCH(TRIM($E$13), TRIM($I$38:$I$63), 0)),
        ( ($E$13 - MAX(IF($I$38:$I$63&lt;=$E$13, $I$38:$I$63))) /
          (MIN(IF($I$38:$I$63&gt;$E$13, $I$38:$I$63)) - MAX(IF($I$38:$I$63&lt;=$E$13, $I$38:$I$63))) *
          (INDEX(U$38:U$63, MATCH(MIN(IF($I$38:$I$63&gt;$E$13, $I$38:$I$63)), $I$38:$I$63, 0)) -
           INDEX(U$38:U$63, MATCH(MAX(IF($I$38:$I$63&lt;=$E$13, $I$38:$I$63)), $I$38:$I$63, 0))) +
           INDEX(U$38:U$63, MATCH(MAX(IF($I$38:$I$63&lt;=$E$13, $I$38:$I$63)), $I$38:$I$63, 0)))
    ),
    IF(COUNTIF($H$38:$H$63, $E$13)&gt;0,
        INDEX(U$38:U$63, MATCH(TRIM($E$13), TRIM($H$38:$H$63), 0)),
        ( ($E$13 - MAX(IF($H$38:$H$63&lt;=$E$13, $H$38:$H$63))) /
          (MIN(IF($H$38:$H$63&gt;$E$13, $H$38:$H$63)) - MAX(IF($H$38:$H$63&lt;=$E$13, $H$38:$H$63))) *
          (INDEX(U$38:U$63, MATCH(MIN(IF($H$38:$H$63&gt;$E$13, $H$38:$H$63)), $H$38:$H$63, 0)) -
           INDEX(U$38:U$63, MATCH(MAX(IF($H$38:$H$63&lt;=$E$13, $H$38:$H$63)), $H$38:$H$63, 0))) +
           INDEX(U$38:U$63, MATCH(MAX(IF($H$38:$H$63&lt;=$E$13, $H$38:$H$63)), $H$38:$H$63, 0)))
    )
)</f>
        <v>3.5204475308641976E-3</v>
      </c>
      <c r="V76" s="82" cm="1">
        <f t="array" ref="V76">IF($A$11="10公里目標時間",
    IF(COUNTIF($I$38:$I$63, $E$13)&gt;0,
        INDEX(V$38:V$63, MATCH(TRIM($E$13), TRIM($I$38:$I$63), 0)),
        ( ($E$13 - MAX(IF($I$38:$I$63&lt;=$E$13, $I$38:$I$63))) /
          (MIN(IF($I$38:$I$63&gt;$E$13, $I$38:$I$63)) - MAX(IF($I$38:$I$63&lt;=$E$13, $I$38:$I$63))) *
          (INDEX(V$38:V$63, MATCH(MIN(IF($I$38:$I$63&gt;$E$13, $I$38:$I$63)), $I$38:$I$63, 0)) -
           INDEX(V$38:V$63, MATCH(MAX(IF($I$38:$I$63&lt;=$E$13, $I$38:$I$63)), $I$38:$I$63, 0))) +
           INDEX(V$38:V$63, MATCH(MAX(IF($I$38:$I$63&lt;=$E$13, $I$38:$I$63)), $I$38:$I$63, 0)))
    ),
    IF(COUNTIF($H$38:$H$63, $E$13)&gt;0,
        INDEX(V$38:V$63, MATCH(TRIM($E$13), TRIM($H$38:$H$63), 0)),
        ( ($E$13 - MAX(IF($H$38:$H$63&lt;=$E$13, $H$38:$H$63))) /
          (MIN(IF($H$38:$H$63&gt;$E$13, $H$38:$H$63)) - MAX(IF($H$38:$H$63&lt;=$E$13, $H$38:$H$63))) *
          (INDEX(V$38:V$63, MATCH(MIN(IF($H$38:$H$63&gt;$E$13, $H$38:$H$63)), $H$38:$H$63, 0)) -
           INDEX(V$38:V$63, MATCH(MAX(IF($H$38:$H$63&lt;=$E$13, $H$38:$H$63)), $H$38:$H$63, 0))) +
           INDEX(V$38:V$63, MATCH(MAX(IF($H$38:$H$63&lt;=$E$13, $H$38:$H$63)), $H$38:$H$63, 0)))
    )
)</f>
        <v>3.5445601851851853E-3</v>
      </c>
    </row>
    <row r="78" spans="8:26" x14ac:dyDescent="0.3">
      <c r="I78" s="1"/>
    </row>
    <row r="177" spans="61:61" x14ac:dyDescent="0.3">
      <c r="BI177" s="173"/>
    </row>
  </sheetData>
  <mergeCells count="11">
    <mergeCell ref="A2:V4"/>
    <mergeCell ref="A1:V1"/>
    <mergeCell ref="I69:J69"/>
    <mergeCell ref="K69:O69"/>
    <mergeCell ref="I74:V74"/>
    <mergeCell ref="H36:V36"/>
    <mergeCell ref="A6:F6"/>
    <mergeCell ref="A11:F11"/>
    <mergeCell ref="I6:J6"/>
    <mergeCell ref="K6:O6"/>
    <mergeCell ref="A10:F10"/>
  </mergeCells>
  <phoneticPr fontId="2" type="noConversion"/>
  <conditionalFormatting sqref="H8:Q34">
    <cfRule type="expression" dxfId="6" priority="23">
      <formula>AND($E$8&gt;$H7, $E$8&lt;$H8)</formula>
    </cfRule>
    <cfRule type="expression" dxfId="5" priority="24">
      <formula>AND($E$8&gt;$H8, $E$8&lt;$H9)</formula>
    </cfRule>
    <cfRule type="expression" dxfId="4" priority="25">
      <formula>$E$8=$H8</formula>
    </cfRule>
  </conditionalFormatting>
  <conditionalFormatting sqref="H38:V63">
    <cfRule type="expression" dxfId="3" priority="26">
      <formula>OR(     AND($A$11="10公里目標時間", OR($E$13=$I38, AND($E$13&gt;$I38, $E$13&lt;$I39), AND($E$13&lt;$I38, $E$13&gt;$I37))),     AND($A$11="5公里目標時間", OR($E$13=$H38, AND($E$13&gt;$H38, $E$13&lt;$H39), AND($E$13&lt;$H38, $E$13&gt;$H37))),     AND($E$13=$I38, $A$11="10公里目標時間"),     AND($E$13=$H38, $A$11="5公里目標時間") )</formula>
    </cfRule>
  </conditionalFormatting>
  <dataValidations count="4">
    <dataValidation type="list" allowBlank="1" showInputMessage="1" showErrorMessage="1" sqref="A11" xr:uid="{5EBC62A6-2A62-4042-9446-8DB5DB6D8DFD}">
      <formula1>$AA$8:$AA$9</formula1>
    </dataValidation>
    <dataValidation type="list" allowBlank="1" showInputMessage="1" showErrorMessage="1" sqref="A13 A8" xr:uid="{E34C30CC-5F6A-43B8-8857-E31FBCEE7C24}">
      <formula1>$X$8:$X$13</formula1>
    </dataValidation>
    <dataValidation type="list" allowBlank="1" showInputMessage="1" showErrorMessage="1" sqref="B13 B8" xr:uid="{C59E0E10-4F16-4D32-91CB-77C8FA51F72C}">
      <formula1>$Y$8:$Y$70</formula1>
    </dataValidation>
    <dataValidation type="list" allowBlank="1" showInputMessage="1" showErrorMessage="1" sqref="C13 C8" xr:uid="{5E59DEB9-1E76-4E7B-A606-220965DA0633}">
      <formula1>$Z$8:$Z$70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5F49-EFE2-45EE-AC23-95E21D2EEE0E}">
  <sheetPr codeName="工作表2"/>
  <dimension ref="A1:AC52"/>
  <sheetViews>
    <sheetView topLeftCell="A10" zoomScale="75" zoomScaleNormal="50" workbookViewId="0">
      <selection activeCell="N23" sqref="N23"/>
    </sheetView>
  </sheetViews>
  <sheetFormatPr defaultRowHeight="16.2" x14ac:dyDescent="0.3"/>
  <cols>
    <col min="1" max="1" width="8.77734375" style="151"/>
    <col min="2" max="2" width="4.21875" style="174" bestFit="1" customWidth="1"/>
    <col min="4" max="4" width="3.6640625" customWidth="1"/>
    <col min="5" max="5" width="8.33203125" customWidth="1"/>
    <col min="7" max="7" width="3.33203125" customWidth="1"/>
    <col min="8" max="8" width="8.44140625" customWidth="1"/>
    <col min="9" max="9" width="9.88671875" customWidth="1"/>
    <col min="11" max="11" width="9.21875" customWidth="1"/>
    <col min="14" max="14" width="16.44140625" bestFit="1" customWidth="1"/>
    <col min="15" max="15" width="17.6640625" bestFit="1" customWidth="1"/>
    <col min="16" max="17" width="20.21875" bestFit="1" customWidth="1"/>
    <col min="18" max="18" width="17.77734375" bestFit="1" customWidth="1"/>
    <col min="19" max="21" width="15.21875" bestFit="1" customWidth="1"/>
    <col min="22" max="22" width="14.33203125" bestFit="1" customWidth="1"/>
    <col min="23" max="25" width="14" bestFit="1" customWidth="1"/>
    <col min="26" max="28" width="15.21875" bestFit="1" customWidth="1"/>
    <col min="30" max="30" width="15.33203125" bestFit="1" customWidth="1"/>
    <col min="31" max="32" width="20.21875" bestFit="1" customWidth="1"/>
    <col min="33" max="33" width="19" bestFit="1" customWidth="1"/>
    <col min="34" max="34" width="19.44140625" bestFit="1" customWidth="1"/>
    <col min="35" max="35" width="23.33203125" bestFit="1" customWidth="1"/>
    <col min="36" max="37" width="21.33203125" bestFit="1" customWidth="1"/>
    <col min="38" max="39" width="10.44140625" bestFit="1" customWidth="1"/>
  </cols>
  <sheetData>
    <row r="1" spans="1:29" ht="16.8" thickBot="1" x14ac:dyDescent="0.35"/>
    <row r="2" spans="1:29" ht="16.8" thickBot="1" x14ac:dyDescent="0.35">
      <c r="B2" s="192" t="s">
        <v>98</v>
      </c>
      <c r="C2" s="195"/>
      <c r="D2" s="195"/>
      <c r="E2" s="195"/>
      <c r="F2" s="195"/>
      <c r="G2" s="195"/>
      <c r="H2" s="195"/>
      <c r="I2" s="195"/>
      <c r="J2" s="195"/>
      <c r="K2" s="195"/>
      <c r="L2" s="196"/>
    </row>
    <row r="3" spans="1:29" ht="16.8" thickBot="1" x14ac:dyDescent="0.35">
      <c r="B3" s="175" t="s">
        <v>99</v>
      </c>
      <c r="C3" s="144" t="s">
        <v>50</v>
      </c>
      <c r="D3" s="195" t="s">
        <v>51</v>
      </c>
      <c r="E3" s="195"/>
      <c r="F3" s="144" t="s">
        <v>52</v>
      </c>
      <c r="G3" s="195" t="s">
        <v>53</v>
      </c>
      <c r="H3" s="195"/>
      <c r="I3" s="144" t="s">
        <v>54</v>
      </c>
      <c r="J3" s="144" t="s">
        <v>55</v>
      </c>
      <c r="K3" s="144" t="s">
        <v>56</v>
      </c>
      <c r="L3" s="147" t="s">
        <v>59</v>
      </c>
      <c r="N3" s="210" t="s">
        <v>9</v>
      </c>
      <c r="O3" s="211"/>
      <c r="P3" s="211"/>
      <c r="Q3" s="211"/>
      <c r="R3" s="211"/>
      <c r="S3" s="211"/>
      <c r="T3" s="211"/>
      <c r="U3" s="211"/>
      <c r="V3" s="198"/>
      <c r="W3" s="198"/>
      <c r="X3" s="198"/>
      <c r="Y3" s="198"/>
      <c r="Z3" s="198"/>
      <c r="AA3" s="198"/>
      <c r="AB3" s="199"/>
      <c r="AC3" s="51"/>
    </row>
    <row r="4" spans="1:29" ht="34.200000000000003" customHeight="1" thickBot="1" x14ac:dyDescent="0.35">
      <c r="B4" s="176">
        <v>1</v>
      </c>
      <c r="C4" s="152" t="s">
        <v>97</v>
      </c>
      <c r="D4" s="218" t="s">
        <v>97</v>
      </c>
      <c r="E4" s="218"/>
      <c r="F4" s="152" t="s">
        <v>97</v>
      </c>
      <c r="G4" s="223" t="str">
        <f>"輕鬆跑"&amp;"4.8k"&amp;MINUTE($P$9)&amp;"'"&amp;SECOND($P$9)</f>
        <v>輕鬆跑4.8k7'17</v>
      </c>
      <c r="H4" s="223"/>
      <c r="I4" s="152" t="s">
        <v>57</v>
      </c>
      <c r="J4" s="152" t="str">
        <f>"輕鬆跑"&amp;"4.8k"&amp;MINUTE($P$9)&amp;"'"&amp;SECOND($P$9)</f>
        <v>輕鬆跑4.8k7'17</v>
      </c>
      <c r="K4" s="152" t="str">
        <f>"輕鬆跑"&amp;"6.4k"&amp;MINUTE($P$9)&amp;"'"&amp;SECOND($P$9)</f>
        <v>輕鬆跑6.4k7'17</v>
      </c>
      <c r="L4" s="153" t="s">
        <v>61</v>
      </c>
      <c r="N4" s="131" t="s">
        <v>5</v>
      </c>
      <c r="O4" s="113" t="s">
        <v>4</v>
      </c>
      <c r="P4" s="112" t="s">
        <v>40</v>
      </c>
      <c r="Q4" s="111" t="s">
        <v>41</v>
      </c>
      <c r="R4" s="111" t="s">
        <v>42</v>
      </c>
      <c r="S4" s="111" t="s">
        <v>43</v>
      </c>
      <c r="T4" s="111" t="s">
        <v>44</v>
      </c>
      <c r="U4" s="113" t="s">
        <v>45</v>
      </c>
      <c r="V4" s="111"/>
      <c r="W4" s="112" t="s">
        <v>6</v>
      </c>
      <c r="X4" s="111" t="s">
        <v>7</v>
      </c>
      <c r="Y4" s="111" t="s">
        <v>46</v>
      </c>
      <c r="Z4" s="111" t="s">
        <v>47</v>
      </c>
      <c r="AA4" s="111" t="s">
        <v>48</v>
      </c>
      <c r="AB4" s="113" t="s">
        <v>8</v>
      </c>
      <c r="AC4" s="51"/>
    </row>
    <row r="5" spans="1:29" ht="37.799999999999997" customHeight="1" thickBot="1" x14ac:dyDescent="0.35">
      <c r="B5" s="176">
        <v>2</v>
      </c>
      <c r="C5" s="159" t="s">
        <v>57</v>
      </c>
      <c r="D5" s="214" t="str">
        <f>"輕鬆跑"&amp;"3.2k"&amp;MINUTE($P$9)&amp;"'"&amp;SECOND($P$9)</f>
        <v>輕鬆跑3.2k7'17</v>
      </c>
      <c r="E5" s="214"/>
      <c r="F5" s="162" t="s">
        <v>57</v>
      </c>
      <c r="G5" s="214" t="str">
        <f>"輕鬆跑"&amp;"4.8k"&amp;MINUTE($P$9)&amp;"'"&amp;SECOND($P$9)</f>
        <v>輕鬆跑4.8k7'17</v>
      </c>
      <c r="H5" s="214"/>
      <c r="I5" s="162" t="str">
        <f>"輕鬆跑"&amp;"4.8k"&amp;MINUTE($Q$9)&amp;"'"&amp;SECOND($Q$9)</f>
        <v>輕鬆跑4.8k7'51</v>
      </c>
      <c r="J5" s="162" t="str">
        <f>"輕鬆跑"&amp;"4.8k"&amp;MINUTE($P$9)&amp;"'"&amp;SECOND($P$9)</f>
        <v>輕鬆跑4.8k7'17</v>
      </c>
      <c r="K5" s="162" t="str">
        <f>"輕鬆跑"&amp;"6.4k"&amp;MINUTE($P$9)&amp;"'"&amp;SECOND($P$9)</f>
        <v>輕鬆跑6.4k7'17</v>
      </c>
      <c r="L5" s="164" t="s">
        <v>62</v>
      </c>
      <c r="N5" s="132">
        <f>IF(基本設定總表!A11 = "5公里目標時間", 基本設定總表!E13,"X")</f>
        <v>1.7361111111111112E-2</v>
      </c>
      <c r="O5" s="134" t="str">
        <f>IF(基本設定總表!A11 = "10公里目標時間", 基本設定總表!E13,"X")</f>
        <v>X</v>
      </c>
      <c r="P5" s="128">
        <f>基本設定總表!J76</f>
        <v>1.4236111111111112E-3</v>
      </c>
      <c r="Q5" s="129">
        <f>基本設定總表!K76</f>
        <v>2.1180555555555558E-3</v>
      </c>
      <c r="R5" s="129">
        <f>基本設定總表!L76</f>
        <v>2.8356481481481483E-3</v>
      </c>
      <c r="S5" s="129">
        <f>基本設定總表!M76</f>
        <v>3.472222222222222E-3</v>
      </c>
      <c r="T5" s="129">
        <f>基本設定總表!N76</f>
        <v>4.2245370370370371E-3</v>
      </c>
      <c r="U5" s="130">
        <f>基本設定總表!O76</f>
        <v>5.6712962962962967E-3</v>
      </c>
      <c r="V5" s="107"/>
      <c r="W5" s="128">
        <f>基本設定總表!Q76</f>
        <v>3.5590277777777777E-3</v>
      </c>
      <c r="X5" s="129">
        <f>基本設定總表!R76</f>
        <v>3.5300925925925929E-3</v>
      </c>
      <c r="Y5" s="129">
        <f>基本設定總表!S76</f>
        <v>3.5445601851851853E-3</v>
      </c>
      <c r="Z5" s="129">
        <f>基本設定總表!T76</f>
        <v>3.472222222222222E-3</v>
      </c>
      <c r="AA5" s="129">
        <f>基本設定總表!U76</f>
        <v>3.5204475308641976E-3</v>
      </c>
      <c r="AB5" s="130">
        <f>基本設定總表!V76</f>
        <v>3.5445601851851853E-3</v>
      </c>
    </row>
    <row r="6" spans="1:29" ht="33.6" customHeight="1" thickBot="1" x14ac:dyDescent="0.35">
      <c r="B6" s="176">
        <v>3</v>
      </c>
      <c r="C6" s="152" t="s">
        <v>57</v>
      </c>
      <c r="D6" s="218" t="str">
        <f>"輕鬆跑"&amp;"6.4k"&amp;MINUTE($P$9)&amp;"'"&amp;SECOND($P$9)</f>
        <v>輕鬆跑6.4k7'17</v>
      </c>
      <c r="E6" s="218"/>
      <c r="F6" s="152" t="s">
        <v>57</v>
      </c>
      <c r="G6" s="218" t="str">
        <f>"輕鬆跑"&amp;"6.4k"&amp;MINUTE($P$9)&amp;"'"&amp;SECOND($P$9)</f>
        <v>輕鬆跑6.4k7'17</v>
      </c>
      <c r="H6" s="218"/>
      <c r="I6" s="152" t="str">
        <f>"輕鬆跑"&amp;"6.4k"&amp;MINUTE($Q$9)&amp;"'"&amp;SECOND($Q$9)</f>
        <v>輕鬆跑6.4k7'51</v>
      </c>
      <c r="J6" s="152" t="str">
        <f>"輕鬆跑"&amp;"6.4k"&amp;MINUTE($P$9)&amp;"'"&amp;SECOND($P$9)</f>
        <v>輕鬆跑6.4k7'17</v>
      </c>
      <c r="K6" s="152" t="str">
        <f>"輕鬆跑"&amp;"8k"&amp;MINUTE($P$9)&amp;"'"&amp;SECOND($P$9)</f>
        <v>輕鬆跑8k7'17</v>
      </c>
      <c r="L6" s="153" t="s">
        <v>65</v>
      </c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 spans="1:29" ht="32.549999999999997" customHeight="1" thickBot="1" x14ac:dyDescent="0.35">
      <c r="B7" s="176">
        <v>4</v>
      </c>
      <c r="C7" s="159" t="s">
        <v>57</v>
      </c>
      <c r="D7" s="214" t="str">
        <f>"輕鬆跑"&amp;CHAR(10)&amp;"8k"&amp;MINUTE($P$9)&amp;"'"&amp;SECOND($P$9)</f>
        <v>輕鬆跑
8k7'17</v>
      </c>
      <c r="E7" s="214"/>
      <c r="F7" s="162" t="s">
        <v>57</v>
      </c>
      <c r="G7" s="214" t="str">
        <f>"輕鬆跑"&amp;"4.8k"&amp;MINUTE($P$9)&amp;"'"&amp;SECOND($P$9)</f>
        <v>輕鬆跑4.8k7'17</v>
      </c>
      <c r="H7" s="214"/>
      <c r="I7" s="162" t="str">
        <f>"輕鬆跑"&amp;"4.8k"&amp;MINUTE($Q$9)&amp;"'"&amp;SECOND($Q$9)</f>
        <v>輕鬆跑4.8k7'51</v>
      </c>
      <c r="J7" s="162" t="str">
        <f>"輕鬆跑"&amp;"8k"&amp;MINUTE($P$9)&amp;"'"&amp;SECOND($P$9)</f>
        <v>輕鬆跑8k7'17</v>
      </c>
      <c r="K7" s="162" t="str">
        <f>"輕鬆跑"&amp;"9.6k"&amp;MINUTE($P$9)&amp;"'"&amp;SECOND($P$9)</f>
        <v>輕鬆跑9.6k7'17</v>
      </c>
      <c r="L7" s="164" t="s">
        <v>63</v>
      </c>
      <c r="O7" s="108" t="s">
        <v>87</v>
      </c>
      <c r="P7" s="212" t="s">
        <v>80</v>
      </c>
      <c r="Q7" s="213"/>
      <c r="R7" s="206" t="s">
        <v>82</v>
      </c>
      <c r="S7" s="207"/>
      <c r="T7" s="207"/>
      <c r="U7" s="207"/>
      <c r="V7" s="208"/>
      <c r="W7" s="108" t="s">
        <v>84</v>
      </c>
      <c r="X7" s="109" t="s">
        <v>85</v>
      </c>
      <c r="Y7" s="68"/>
      <c r="Z7" s="68"/>
      <c r="AA7" s="68"/>
      <c r="AB7" s="68"/>
    </row>
    <row r="8" spans="1:29" ht="33.6" customHeight="1" thickBot="1" x14ac:dyDescent="0.35">
      <c r="B8" s="176">
        <v>5</v>
      </c>
      <c r="C8" s="160" t="s">
        <v>57</v>
      </c>
      <c r="D8" s="215" t="str">
        <f>"輕鬆跑"&amp;CHAR(10)&amp;"8k"&amp;MINUTE($P$9)&amp;"'"&amp;SECOND($P$9)</f>
        <v>輕鬆跑
8k7'17</v>
      </c>
      <c r="E8" s="215"/>
      <c r="F8" s="161" t="s">
        <v>57</v>
      </c>
      <c r="G8" s="216" t="s">
        <v>58</v>
      </c>
      <c r="H8" s="152" t="str">
        <f>"4.8k"&amp;MINUTE($W$9)&amp;"'"&amp;SECOND($W$9)</f>
        <v>4.8k6'21</v>
      </c>
      <c r="I8" s="152" t="str">
        <f>"輕鬆跑"&amp;"8k"&amp;MINUTE($Q$9)&amp;"'"&amp;SECOND($Q$9)</f>
        <v>輕鬆跑8k7'51</v>
      </c>
      <c r="J8" s="152" t="str">
        <f>"輕鬆跑"&amp;"6.4k"&amp;MINUTE($P$9)&amp;"'"&amp;SECOND($P$9)</f>
        <v>輕鬆跑6.4k7'17</v>
      </c>
      <c r="K8" s="152" t="str">
        <f>"輕鬆跑"&amp;"12.8k"&amp;MINUTE($P$9)&amp;"'"&amp;SECOND($P$9)</f>
        <v>輕鬆跑12.8k7'17</v>
      </c>
      <c r="L8" s="153" t="s">
        <v>64</v>
      </c>
      <c r="O8" s="110" t="s">
        <v>76</v>
      </c>
      <c r="P8" s="135" t="s">
        <v>90</v>
      </c>
      <c r="Q8" s="136" t="s">
        <v>91</v>
      </c>
      <c r="R8" s="139" t="s">
        <v>96</v>
      </c>
      <c r="S8" s="140" t="s">
        <v>92</v>
      </c>
      <c r="T8" s="140" t="s">
        <v>93</v>
      </c>
      <c r="U8" s="140" t="s">
        <v>94</v>
      </c>
      <c r="V8" s="141" t="s">
        <v>95</v>
      </c>
      <c r="W8" s="142" t="s">
        <v>79</v>
      </c>
      <c r="X8" s="143" t="s">
        <v>79</v>
      </c>
    </row>
    <row r="9" spans="1:29" ht="32.549999999999997" customHeight="1" thickBot="1" x14ac:dyDescent="0.35">
      <c r="B9" s="176">
        <v>6</v>
      </c>
      <c r="C9" s="152" t="str">
        <f>"輕鬆跑"&amp;"6.4k"&amp;MINUTE($Q$9)&amp;"'"&amp;SECOND($Q$9)</f>
        <v>輕鬆跑6.4k7'51</v>
      </c>
      <c r="D9" s="216" t="s">
        <v>60</v>
      </c>
      <c r="E9" s="152" t="str">
        <f>"400*12"&amp;CHAR(10)&amp;MINUTE($W$5)&amp;"'"&amp;SECOND($W$5)</f>
        <v>400*12
5'7</v>
      </c>
      <c r="F9" s="152" t="s">
        <v>57</v>
      </c>
      <c r="G9" s="216"/>
      <c r="H9" s="162" t="str">
        <f>"4.8k"&amp;MINUTE($W$9)&amp;"'"&amp;SECOND($W$9)</f>
        <v>4.8k6'21</v>
      </c>
      <c r="I9" s="162" t="str">
        <f>"輕鬆跑"&amp;"6.4k"&amp;MINUTE($Q$9)&amp;"'"&amp;SECOND($Q$9)</f>
        <v>輕鬆跑6.4k7'51</v>
      </c>
      <c r="J9" s="162" t="str">
        <f>"輕鬆跑"&amp;"8k"&amp;MINUTE($P$9)&amp;"'"&amp;SECOND($P$9)</f>
        <v>輕鬆跑8k7'17</v>
      </c>
      <c r="K9" s="162" t="str">
        <f>"輕鬆跑"&amp;"14.4k"&amp;MINUTE($P$9)&amp;"'"&amp;SECOND($P$9)</f>
        <v>輕鬆跑14.4k7'17</v>
      </c>
      <c r="L9" s="164" t="s">
        <v>66</v>
      </c>
      <c r="O9" s="105">
        <f>基本設定總表!E8</f>
        <v>9.3055555555555558E-2</v>
      </c>
      <c r="P9" s="138">
        <f>基本設定總表!I71</f>
        <v>5.0598224964327251E-3</v>
      </c>
      <c r="Q9" s="133">
        <f>基本設定總表!J71</f>
        <v>5.4533410149512438E-3</v>
      </c>
      <c r="R9" s="132">
        <f>基本設定總表!K71</f>
        <v>4.3397410103475096E-3</v>
      </c>
      <c r="S9" s="132">
        <f>基本設定總表!L71</f>
        <v>6.9826432856491425E-3</v>
      </c>
      <c r="T9" s="132">
        <f>基本設定總表!M71</f>
        <v>1.0473964928473713E-2</v>
      </c>
      <c r="U9" s="132">
        <f>基本設定總表!N71</f>
        <v>1.3965286571298285E-2</v>
      </c>
      <c r="V9" s="132">
        <f>基本設定總表!O71</f>
        <v>2.0947929856947427E-2</v>
      </c>
      <c r="W9" s="132">
        <f>基本設定總表!P71</f>
        <v>4.4116743482845774E-3</v>
      </c>
      <c r="X9" s="137">
        <f>基本設定總表!Q71</f>
        <v>4.9093595334697626E-3</v>
      </c>
    </row>
    <row r="10" spans="1:29" ht="31.8" customHeight="1" x14ac:dyDescent="0.3">
      <c r="B10" s="176">
        <v>7</v>
      </c>
      <c r="C10" s="159" t="str">
        <f>"輕鬆跑"&amp;"6.4k"&amp;MINUTE($Q$9)&amp;"'"&amp;SECOND($Q$9)</f>
        <v>輕鬆跑6.4k7'51</v>
      </c>
      <c r="D10" s="216"/>
      <c r="E10" s="162" t="str">
        <f>"600*8"&amp;CHAR(10)&amp;MINUTE($X$5)&amp;"'"&amp;SECOND($X$5)</f>
        <v>600*8
5'5</v>
      </c>
      <c r="F10" s="162" t="s">
        <v>57</v>
      </c>
      <c r="G10" s="216"/>
      <c r="H10" s="152" t="str">
        <f>"4.8k"&amp;MINUTE($W$9)&amp;"'"&amp;SECOND($W$9)</f>
        <v>4.8k6'21</v>
      </c>
      <c r="I10" s="152" t="str">
        <f>"輕鬆跑"&amp;"6.4k"&amp;MINUTE($Q$9)&amp;"'"&amp;SECOND($Q$9)</f>
        <v>輕鬆跑6.4k7'51</v>
      </c>
      <c r="J10" s="152" t="str">
        <f>"輕鬆跑"&amp;"9.6k"&amp;MINUTE($P$9)&amp;"'"&amp;SECOND($P$9)</f>
        <v>輕鬆跑9.6k7'17</v>
      </c>
      <c r="K10" s="152" t="str">
        <f>"長跑"&amp;"16k"&amp;MINUTE($X$9)&amp;"'"&amp;SECOND($X$9)</f>
        <v>長跑16k7'4</v>
      </c>
      <c r="L10" s="153" t="s">
        <v>66</v>
      </c>
    </row>
    <row r="11" spans="1:29" ht="31.8" customHeight="1" x14ac:dyDescent="0.3">
      <c r="B11" s="176">
        <v>8</v>
      </c>
      <c r="C11" s="152" t="str">
        <f>"輕鬆跑"&amp;"9.6k"&amp;MINUTE($Q$9)&amp;"'"&amp;SECOND($Q$9)</f>
        <v>輕鬆跑9.6k7'51</v>
      </c>
      <c r="D11" s="216"/>
      <c r="E11" s="152" t="str">
        <f>"800*6"&amp;CHAR(10)&amp;MINUTE($Y$5)&amp;"'"&amp;SECOND($Y$5)</f>
        <v>800*6
5'6</v>
      </c>
      <c r="F11" s="152" t="s">
        <v>57</v>
      </c>
      <c r="G11" s="216"/>
      <c r="H11" s="162" t="str">
        <f>"6.4k"&amp;MINUTE($W$9)&amp;"'"&amp;SECOND($W$9)</f>
        <v>6.4k6'21</v>
      </c>
      <c r="I11" s="162" t="str">
        <f>"輕鬆跑"&amp;"8k"&amp;MINUTE($Q$9)&amp;"'"&amp;SECOND($Q$9)</f>
        <v>輕鬆跑8k7'51</v>
      </c>
      <c r="J11" s="162" t="str">
        <f>"輕鬆跑"&amp;"9.6k"&amp;MINUTE($P$9)&amp;"'"&amp;SECOND($P$9)</f>
        <v>輕鬆跑9.6k7'17</v>
      </c>
      <c r="K11" s="162" t="str">
        <f>"長跑"&amp;"16k"&amp;MINUTE($X$9)&amp;"'"&amp;SECOND($X$9)</f>
        <v>長跑16k7'4</v>
      </c>
      <c r="L11" s="164" t="s">
        <v>67</v>
      </c>
      <c r="O11" s="106"/>
    </row>
    <row r="12" spans="1:29" ht="33" customHeight="1" x14ac:dyDescent="0.3">
      <c r="B12" s="176">
        <v>9</v>
      </c>
      <c r="C12" s="159" t="str">
        <f>"輕鬆跑"&amp;"8k"&amp;MINUTE($Q$9)&amp;"'"&amp;SECOND($Q$9)</f>
        <v>輕鬆跑8k7'51</v>
      </c>
      <c r="D12" s="216"/>
      <c r="E12" s="162" t="str">
        <f>"1000*5"&amp;CHAR(10)&amp;MINUTE($Z$5)&amp;"'"&amp;SECOND($Z$5)</f>
        <v>1000*5
5'0</v>
      </c>
      <c r="F12" s="162" t="s">
        <v>57</v>
      </c>
      <c r="G12" s="216"/>
      <c r="H12" s="161" t="str">
        <f>"6.4k"&amp;MINUTE($W$9)&amp;"'"&amp;SECOND($W$9)</f>
        <v>6.4k6'21</v>
      </c>
      <c r="I12" s="161" t="str">
        <f>"輕鬆跑"&amp;"9.6k"&amp;MINUTE($Q$9)&amp;"'"&amp;SECOND($Q$9)</f>
        <v>輕鬆跑9.6k7'51</v>
      </c>
      <c r="J12" s="161" t="str">
        <f>"輕鬆跑"&amp;"8k"&amp;MINUTE($P$9)&amp;"'"&amp;SECOND($P$9)</f>
        <v>輕鬆跑8k7'17</v>
      </c>
      <c r="K12" s="161" t="str">
        <f>"長跑"&amp;"16k"&amp;MINUTE($X$9)&amp;"'"&amp;SECOND($X$9)</f>
        <v>長跑16k7'4</v>
      </c>
      <c r="L12" s="163" t="s">
        <v>67</v>
      </c>
    </row>
    <row r="13" spans="1:29" ht="32.549999999999997" customHeight="1" thickBot="1" x14ac:dyDescent="0.35">
      <c r="B13" s="177">
        <v>10</v>
      </c>
      <c r="C13" s="154" t="str">
        <f>"輕鬆跑"&amp;"9.6k"&amp;MINUTE($Q$9)&amp;"'"&amp;SECOND($Q$9)</f>
        <v>輕鬆跑9.6k7'51</v>
      </c>
      <c r="D13" s="217"/>
      <c r="E13" s="154" t="str">
        <f>"1200*4"&amp;CHAR(10)&amp;MINUTE($AA$5)&amp;"'"&amp;SECOND($AA$5)</f>
        <v>1200*4
5'4</v>
      </c>
      <c r="F13" s="154" t="s">
        <v>57</v>
      </c>
      <c r="G13" s="217"/>
      <c r="H13" s="154" t="str">
        <f>"6.4k"&amp;MINUTE($W$9)&amp;"'"&amp;SECOND($W$9)</f>
        <v>6.4k6'21</v>
      </c>
      <c r="I13" s="154" t="str">
        <f>"輕鬆跑"&amp;"8k"&amp;MINUTE($Q$9)&amp;"'"&amp;SECOND($Q$9)</f>
        <v>輕鬆跑8k7'51</v>
      </c>
      <c r="J13" s="154" t="str">
        <f>"輕鬆跑"&amp;"8k"&amp;MINUTE($P$9)&amp;"'"&amp;SECOND($P$9)</f>
        <v>輕鬆跑8k7'17</v>
      </c>
      <c r="K13" s="154" t="str">
        <f>"長跑"&amp;"19.2k"&amp;MINUTE($X$9)&amp;"'"&amp;SECOND($X$9)</f>
        <v>長跑19.2k7'4</v>
      </c>
      <c r="L13" s="155" t="s">
        <v>68</v>
      </c>
    </row>
    <row r="14" spans="1:29" s="51" customFormat="1" x14ac:dyDescent="0.3">
      <c r="A14" s="151"/>
      <c r="B14" s="178"/>
      <c r="C14" s="52"/>
      <c r="D14" s="114"/>
      <c r="E14" s="52"/>
      <c r="F14" s="52"/>
      <c r="G14" s="114"/>
      <c r="H14" s="52"/>
      <c r="I14" s="52"/>
      <c r="J14" s="52"/>
      <c r="K14" s="52"/>
      <c r="L14" s="52"/>
    </row>
    <row r="15" spans="1:29" s="51" customFormat="1" ht="16.8" thickBot="1" x14ac:dyDescent="0.35">
      <c r="A15" s="151"/>
      <c r="B15" s="178"/>
      <c r="C15" s="52"/>
      <c r="D15" s="114"/>
      <c r="E15" s="52"/>
      <c r="F15" s="52"/>
      <c r="G15" s="114"/>
      <c r="H15" s="52"/>
      <c r="I15" s="52"/>
      <c r="J15" s="52"/>
      <c r="K15" s="52"/>
      <c r="L15" s="52"/>
    </row>
    <row r="16" spans="1:29" ht="16.8" thickBot="1" x14ac:dyDescent="0.35">
      <c r="B16" s="175" t="s">
        <v>99</v>
      </c>
      <c r="C16" s="148" t="s">
        <v>50</v>
      </c>
      <c r="D16" s="209" t="s">
        <v>51</v>
      </c>
      <c r="E16" s="209"/>
      <c r="F16" s="148" t="s">
        <v>52</v>
      </c>
      <c r="G16" s="209" t="s">
        <v>53</v>
      </c>
      <c r="H16" s="209"/>
      <c r="I16" s="148" t="s">
        <v>54</v>
      </c>
      <c r="J16" s="148" t="s">
        <v>55</v>
      </c>
      <c r="K16" s="148" t="s">
        <v>56</v>
      </c>
      <c r="L16" s="115" t="s">
        <v>59</v>
      </c>
    </row>
    <row r="17" spans="2:12" ht="32.4" x14ac:dyDescent="0.3">
      <c r="B17" s="179">
        <v>11</v>
      </c>
      <c r="C17" s="158" t="str">
        <f>"輕鬆跑"&amp;"8k"&amp;MINUTE($Q$9)&amp;"'"&amp;SECOND($Q$9)</f>
        <v>輕鬆跑8k7'51</v>
      </c>
      <c r="D17" s="220" t="s">
        <v>83</v>
      </c>
      <c r="E17" s="156" t="str">
        <f>"1.6k*6"&amp;CHAR(10)&amp;MINUTE($R$9)&amp;"'"&amp;SECOND($R$9)</f>
        <v>1.6k*6
6'15</v>
      </c>
      <c r="F17" s="156" t="s">
        <v>57</v>
      </c>
      <c r="G17" s="220" t="s">
        <v>58</v>
      </c>
      <c r="H17" s="156" t="str">
        <f>"8k"&amp;MINUTE($W$9)&amp;"'"&amp;SECOND($W$9)</f>
        <v>8k6'21</v>
      </c>
      <c r="I17" s="156" t="str">
        <f>"輕鬆跑"&amp;"9.6k"&amp;MINUTE($Q$9)&amp;"'"&amp;SECOND($Q$9)</f>
        <v>輕鬆跑9.6k7'51</v>
      </c>
      <c r="J17" s="156" t="str">
        <f>"輕鬆跑"&amp;"8k"&amp;MINUTE($P$9)&amp;"'"&amp;SECOND($P$9)</f>
        <v>輕鬆跑8k7'17</v>
      </c>
      <c r="K17" s="156" t="str">
        <f>"長跑"&amp;"16k"&amp;MINUTE($X$9)&amp;"'"&amp;SECOND($X$9)</f>
        <v>長跑16k7'4</v>
      </c>
      <c r="L17" s="157" t="s">
        <v>102</v>
      </c>
    </row>
    <row r="18" spans="2:12" ht="32.4" x14ac:dyDescent="0.3">
      <c r="B18" s="176">
        <v>12</v>
      </c>
      <c r="C18" s="159" t="str">
        <f>"輕鬆跑"&amp;"8k"&amp;MINUTE($Q$9)&amp;"'"&amp;SECOND($Q$9)</f>
        <v>輕鬆跑8k7'51</v>
      </c>
      <c r="D18" s="221"/>
      <c r="E18" s="162" t="str">
        <f>"2.4k*4"&amp;CHAR(10)&amp;MINUTE($R$9)&amp;"'"&amp;SECOND($R$9)</f>
        <v>2.4k*4
6'15</v>
      </c>
      <c r="F18" s="162" t="s">
        <v>57</v>
      </c>
      <c r="G18" s="221"/>
      <c r="H18" s="162" t="str">
        <f>"8k"&amp;MINUTE($W$9)&amp;"'"&amp;SECOND($W$9)</f>
        <v>8k6'21</v>
      </c>
      <c r="I18" s="162" t="str">
        <f>"輕鬆跑"&amp;"8k"&amp;MINUTE($Q$9)&amp;"'"&amp;SECOND($Q$9)</f>
        <v>輕鬆跑8k7'51</v>
      </c>
      <c r="J18" s="162" t="str">
        <f>"輕鬆跑"&amp;"9.6k"&amp;MINUTE($P$9)&amp;"'"&amp;SECOND($P$9)</f>
        <v>輕鬆跑9.6k7'17</v>
      </c>
      <c r="K18" s="162" t="str">
        <f>"長跑"&amp;"19.2k"&amp;MINUTE($X$9)&amp;"'"&amp;SECOND($X$9)</f>
        <v>長跑19.2k7'4</v>
      </c>
      <c r="L18" s="164" t="s">
        <v>103</v>
      </c>
    </row>
    <row r="19" spans="2:12" ht="32.4" x14ac:dyDescent="0.3">
      <c r="B19" s="176">
        <v>13</v>
      </c>
      <c r="C19" s="159" t="str">
        <f>"輕鬆跑"&amp;"9.6k"&amp;MINUTE($Q$9)&amp;"'"&amp;SECOND($Q$9)</f>
        <v>輕鬆跑9.6k7'51</v>
      </c>
      <c r="D19" s="221"/>
      <c r="E19" s="161" t="str">
        <f>"3.2k*3"&amp;CHAR(10)&amp;MINUTE($R$9)&amp;"'"&amp;SECOND($R$9)</f>
        <v>3.2k*3
6'15</v>
      </c>
      <c r="F19" s="162" t="s">
        <v>57</v>
      </c>
      <c r="G19" s="221"/>
      <c r="H19" s="161" t="str">
        <f>"8k"&amp;MINUTE($W$9)&amp;"'"&amp;SECOND($W$9)</f>
        <v>8k6'21</v>
      </c>
      <c r="I19" s="161" t="str">
        <f>"輕鬆跑"&amp;"9.6k"&amp;MINUTE($Q$9)&amp;"'"&amp;SECOND($Q$9)</f>
        <v>輕鬆跑9.6k7'51</v>
      </c>
      <c r="J19" s="161" t="str">
        <f>"輕鬆跑"&amp;"8k"&amp;MINUTE($P$9)&amp;"'"&amp;SECOND($P$9)</f>
        <v>輕鬆跑8k7'17</v>
      </c>
      <c r="K19" s="161" t="str">
        <f>"長跑"&amp;"16k"&amp;MINUTE($X$9)&amp;"'"&amp;SECOND($X$9)</f>
        <v>長跑16k7'4</v>
      </c>
      <c r="L19" s="163" t="s">
        <v>104</v>
      </c>
    </row>
    <row r="20" spans="2:12" ht="32.4" x14ac:dyDescent="0.3">
      <c r="B20" s="176">
        <v>14</v>
      </c>
      <c r="C20" s="159" t="str">
        <f>"輕鬆跑"&amp;"8k"&amp;MINUTE($Q$9)&amp;"'"&amp;SECOND($Q$9)</f>
        <v>輕鬆跑8k7'51</v>
      </c>
      <c r="D20" s="221"/>
      <c r="E20" s="161" t="str">
        <f>"4.8k*2"&amp;CHAR(10)&amp;MINUTE($R$9)&amp;"'"&amp;SECOND($R$9)</f>
        <v>4.8k*2
6'15</v>
      </c>
      <c r="F20" s="162" t="s">
        <v>57</v>
      </c>
      <c r="G20" s="221"/>
      <c r="H20" s="161" t="str">
        <f>"9.6k"&amp;MINUTE($W$9)&amp;"'"&amp;SECOND($W$9)</f>
        <v>9.6k6'21</v>
      </c>
      <c r="I20" s="161" t="str">
        <f>"輕鬆跑"&amp;"8k"&amp;MINUTE($Q$9)&amp;"'"&amp;SECOND($Q$9)</f>
        <v>輕鬆跑8k7'51</v>
      </c>
      <c r="J20" s="161" t="str">
        <f>"輕鬆跑"&amp;"9.6k"&amp;MINUTE($P$9)&amp;"'"&amp;SECOND($P$9)</f>
        <v>輕鬆跑9.6k7'17</v>
      </c>
      <c r="K20" s="161" t="str">
        <f>"長跑"&amp;"19.2k"&amp;MINUTE($X$9)&amp;"'"&amp;SECOND($X$9)</f>
        <v>長跑19.2k7'4</v>
      </c>
      <c r="L20" s="163" t="s">
        <v>103</v>
      </c>
    </row>
    <row r="21" spans="2:12" ht="32.4" x14ac:dyDescent="0.3">
      <c r="B21" s="176">
        <v>15</v>
      </c>
      <c r="C21" s="159" t="str">
        <f>"輕鬆跑"&amp;"11.2k"&amp;MINUTE($Q$9)&amp;"'"&amp;SECOND($Q$9)</f>
        <v>輕鬆跑11.2k7'51</v>
      </c>
      <c r="D21" s="221"/>
      <c r="E21" s="161" t="str">
        <f>"3.2k*3"&amp;CHAR(10)&amp;MINUTE($R$9)&amp;"'"&amp;SECOND($R$9)</f>
        <v>3.2k*3
6'15</v>
      </c>
      <c r="F21" s="162" t="s">
        <v>57</v>
      </c>
      <c r="G21" s="221"/>
      <c r="H21" s="161" t="str">
        <f>"9.6k"&amp;MINUTE($W$9)&amp;"'"&amp;SECOND($W$9)</f>
        <v>9.6k6'21</v>
      </c>
      <c r="I21" s="161" t="str">
        <f>"輕鬆跑"&amp;"9.6k"&amp;MINUTE($Q$9)&amp;"'"&amp;SECOND($Q$9)</f>
        <v>輕鬆跑9.6k7'51</v>
      </c>
      <c r="J21" s="161" t="str">
        <f>"輕鬆跑"&amp;"8k"&amp;MINUTE($P$9)&amp;"'"&amp;SECOND($P$9)</f>
        <v>輕鬆跑8k7'17</v>
      </c>
      <c r="K21" s="161" t="str">
        <f>"長跑"&amp;"16k"&amp;MINUTE($X$9)&amp;"'"&amp;SECOND($X$9)</f>
        <v>長跑16k7'4</v>
      </c>
      <c r="L21" s="163" t="s">
        <v>103</v>
      </c>
    </row>
    <row r="22" spans="2:12" ht="32.4" x14ac:dyDescent="0.3">
      <c r="B22" s="176">
        <v>16</v>
      </c>
      <c r="C22" s="152" t="str">
        <f>"輕鬆跑"&amp;"8k"&amp;MINUTE($Q$9)&amp;"'"&amp;SECOND($Q$9)</f>
        <v>輕鬆跑8k7'51</v>
      </c>
      <c r="D22" s="221"/>
      <c r="E22" s="161" t="str">
        <f>"2.4k*4"&amp;CHAR(10)&amp;MINUTE($R$9)&amp;"'"&amp;SECOND($R$9)</f>
        <v>2.4k*4
6'15</v>
      </c>
      <c r="F22" s="162" t="s">
        <v>57</v>
      </c>
      <c r="G22" s="221"/>
      <c r="H22" s="161" t="str">
        <f>"9.6k"&amp;MINUTE($W$9)&amp;"'"&amp;SECOND($W$9)</f>
        <v>9.6k6'21</v>
      </c>
      <c r="I22" s="161" t="str">
        <f>"輕鬆跑"&amp;"8k"&amp;MINUTE($Q$9)&amp;"'"&amp;SECOND($Q$9)</f>
        <v>輕鬆跑8k7'51</v>
      </c>
      <c r="J22" s="161" t="str">
        <f>"輕鬆跑"&amp;"9.6k"&amp;MINUTE($P$9)&amp;"'"&amp;SECOND($P$9)</f>
        <v>輕鬆跑9.6k7'17</v>
      </c>
      <c r="K22" s="161" t="str">
        <f>"長跑"&amp;"19.2k"&amp;MINUTE($X$9)&amp;"'"&amp;SECOND($X$9)</f>
        <v>長跑19.2k7'4</v>
      </c>
      <c r="L22" s="163" t="s">
        <v>105</v>
      </c>
    </row>
    <row r="23" spans="2:12" ht="32.4" x14ac:dyDescent="0.3">
      <c r="B23" s="176">
        <v>17</v>
      </c>
      <c r="C23" s="160" t="str">
        <f>"輕鬆跑"&amp;"8k"&amp;MINUTE($Q$9)&amp;"'"&amp;SECOND($Q$9)</f>
        <v>輕鬆跑8k7'51</v>
      </c>
      <c r="D23" s="222"/>
      <c r="E23" s="161" t="str">
        <f>"1.6k*4"&amp;CHAR(10)&amp;MINUTE($R$9)&amp;"'"&amp;SECOND($R$9)</f>
        <v>1.6k*4
6'15</v>
      </c>
      <c r="F23" s="162" t="s">
        <v>57</v>
      </c>
      <c r="G23" s="222"/>
      <c r="H23" s="162" t="str">
        <f>"9.6k"&amp;MINUTE($W$9)&amp;"'"&amp;SECOND($W$9)</f>
        <v>9.6k6'21</v>
      </c>
      <c r="I23" s="162" t="str">
        <f>"輕鬆跑"&amp;"9.6k"&amp;MINUTE($Q$9)&amp;"'"&amp;SECOND($Q$9)</f>
        <v>輕鬆跑9.6k7'51</v>
      </c>
      <c r="J23" s="162" t="str">
        <f>"輕鬆跑"&amp;"8k"&amp;MINUTE($P$9)&amp;"'"&amp;SECOND($P$9)</f>
        <v>輕鬆跑8k7'17</v>
      </c>
      <c r="K23" s="162" t="str">
        <f>"長跑"&amp;"12.8k"&amp;MINUTE($X$9)&amp;"'"&amp;SECOND($X$9)</f>
        <v>長跑12.8k7'4</v>
      </c>
      <c r="L23" s="164" t="s">
        <v>67</v>
      </c>
    </row>
    <row r="24" spans="2:12" ht="33" thickBot="1" x14ac:dyDescent="0.35">
      <c r="B24" s="177">
        <v>18</v>
      </c>
      <c r="C24" s="154" t="str">
        <f>"輕鬆跑"&amp;"8k"&amp;MINUTE($Q$9)&amp;"'"&amp;SECOND($Q$9)</f>
        <v>輕鬆跑8k7'51</v>
      </c>
      <c r="D24" s="219" t="str">
        <f>"輕鬆跑"&amp;CHAR(10)&amp;"8k"&amp;MINUTE($P$9)&amp;"'"&amp;SECOND($P$9)</f>
        <v>輕鬆跑
8k7'17</v>
      </c>
      <c r="E24" s="219"/>
      <c r="F24" s="154" t="s">
        <v>57</v>
      </c>
      <c r="G24" s="219" t="str">
        <f>"輕鬆跑"&amp;CHAR(10)&amp;"9.6k"&amp;MINUTE($P$9)&amp;"'"&amp;SECOND($P$9)</f>
        <v>輕鬆跑
9.6k7'17</v>
      </c>
      <c r="H24" s="219"/>
      <c r="I24" s="154" t="str">
        <f>"輕鬆跑"&amp;"8k"&amp;MINUTE($Q$9)&amp;"'"&amp;SECOND($Q$9)</f>
        <v>輕鬆跑8k7'51</v>
      </c>
      <c r="J24" s="154" t="str">
        <f>"輕鬆跑"&amp;"4.8k"&amp;MINUTE($P$9)&amp;"'"&amp;SECOND($P$9)</f>
        <v>輕鬆跑4.8k7'17</v>
      </c>
      <c r="K24" s="154" t="s">
        <v>101</v>
      </c>
      <c r="L24" s="155" t="s">
        <v>66</v>
      </c>
    </row>
    <row r="29" spans="2:12" ht="16.8" thickBot="1" x14ac:dyDescent="0.35"/>
    <row r="30" spans="2:12" ht="16.8" thickBot="1" x14ac:dyDescent="0.35">
      <c r="B30" s="192" t="s">
        <v>106</v>
      </c>
      <c r="C30" s="195"/>
      <c r="D30" s="195"/>
      <c r="E30" s="195"/>
      <c r="F30" s="195"/>
      <c r="G30" s="195"/>
      <c r="H30" s="195"/>
      <c r="I30" s="195"/>
      <c r="J30" s="195"/>
      <c r="K30" s="195"/>
      <c r="L30" s="196"/>
    </row>
    <row r="31" spans="2:12" ht="16.8" thickBot="1" x14ac:dyDescent="0.35">
      <c r="B31" s="175" t="s">
        <v>99</v>
      </c>
      <c r="C31" s="144" t="s">
        <v>50</v>
      </c>
      <c r="D31" s="195" t="s">
        <v>51</v>
      </c>
      <c r="E31" s="195"/>
      <c r="F31" s="144" t="s">
        <v>52</v>
      </c>
      <c r="G31" s="195" t="s">
        <v>53</v>
      </c>
      <c r="H31" s="195"/>
      <c r="I31" s="144" t="s">
        <v>54</v>
      </c>
      <c r="J31" s="144" t="s">
        <v>55</v>
      </c>
      <c r="K31" s="144" t="s">
        <v>56</v>
      </c>
      <c r="L31" s="147" t="s">
        <v>59</v>
      </c>
    </row>
    <row r="32" spans="2:12" ht="32.4" x14ac:dyDescent="0.3">
      <c r="B32" s="176">
        <v>1</v>
      </c>
      <c r="C32" s="166" t="s">
        <v>97</v>
      </c>
      <c r="D32" s="223" t="s">
        <v>97</v>
      </c>
      <c r="E32" s="223"/>
      <c r="F32" s="145" t="s">
        <v>97</v>
      </c>
      <c r="G32" s="223" t="str">
        <f>"輕鬆跑"&amp;"3.2k"&amp;MINUTE($P$9)&amp;"'"&amp;SECOND($P$9)</f>
        <v>輕鬆跑3.2k7'17</v>
      </c>
      <c r="H32" s="223"/>
      <c r="I32" s="145" t="s">
        <v>57</v>
      </c>
      <c r="J32" s="145" t="str">
        <f>"輕鬆跑"&amp;"3.2k"&amp;MINUTE($P$9)&amp;"'"&amp;SECOND($P$9)</f>
        <v>輕鬆跑3.2k7'17</v>
      </c>
      <c r="K32" s="152" t="str">
        <f>"輕鬆跑"&amp;"4.8k"&amp;MINUTE($P$9)&amp;"'"&amp;SECOND($P$9)</f>
        <v>輕鬆跑4.8k7'17</v>
      </c>
      <c r="L32" s="167" t="s">
        <v>107</v>
      </c>
    </row>
    <row r="33" spans="2:12" ht="34.049999999999997" customHeight="1" x14ac:dyDescent="0.3">
      <c r="B33" s="176">
        <v>2</v>
      </c>
      <c r="C33" s="159" t="s">
        <v>57</v>
      </c>
      <c r="D33" s="214" t="str">
        <f>"輕鬆跑"&amp;CHAR(10)&amp;"3.2k"&amp;MINUTE($P$9)&amp;"'"&amp;SECOND($P$9)</f>
        <v>輕鬆跑
3.2k7'17</v>
      </c>
      <c r="E33" s="214"/>
      <c r="F33" s="162" t="s">
        <v>57</v>
      </c>
      <c r="G33" s="214" t="str">
        <f>"輕鬆跑"&amp;"3.2k"&amp;MINUTE($P$9)&amp;"'"&amp;SECOND($P$9)</f>
        <v>輕鬆跑3.2k7'17</v>
      </c>
      <c r="H33" s="214"/>
      <c r="I33" s="162" t="s">
        <v>57</v>
      </c>
      <c r="J33" s="162" t="str">
        <f>"輕鬆跑"&amp;"3.2k"&amp;MINUTE($P$9)&amp;"'"&amp;SECOND($P$9)</f>
        <v>輕鬆跑3.2k7'17</v>
      </c>
      <c r="K33" s="162" t="str">
        <f>"輕鬆跑"&amp;"4.8k"&amp;MINUTE($P$9)&amp;"'"&amp;SECOND($P$9)</f>
        <v>輕鬆跑4.8k7'17</v>
      </c>
      <c r="L33" s="164" t="s">
        <v>108</v>
      </c>
    </row>
    <row r="34" spans="2:12" ht="34.049999999999997" customHeight="1" x14ac:dyDescent="0.3">
      <c r="B34" s="176">
        <v>3</v>
      </c>
      <c r="C34" s="168" t="s">
        <v>57</v>
      </c>
      <c r="D34" s="218" t="str">
        <f>"輕鬆跑"&amp;CHAR(10)&amp;"4.8k"&amp;MINUTE($P$9)&amp;"'"&amp;SECOND($P$9)</f>
        <v>輕鬆跑
4.8k7'17</v>
      </c>
      <c r="E34" s="218"/>
      <c r="F34" s="152" t="s">
        <v>57</v>
      </c>
      <c r="G34" s="218" t="str">
        <f>"輕鬆跑"&amp;"4.8k"&amp;MINUTE($P$9)&amp;"'"&amp;SECOND($P$9)</f>
        <v>輕鬆跑4.8k7'17</v>
      </c>
      <c r="H34" s="218"/>
      <c r="I34" s="152" t="s">
        <v>57</v>
      </c>
      <c r="J34" s="152" t="str">
        <f t="shared" ref="J34:J39" si="0">"輕鬆跑"&amp;"4.8k"&amp;MINUTE($P$9)&amp;"'"&amp;SECOND($P$9)</f>
        <v>輕鬆跑4.8k7'17</v>
      </c>
      <c r="K34" s="152" t="str">
        <f>"輕鬆跑"&amp;"6.4k"&amp;MINUTE($P$9)&amp;"'"&amp;SECOND($P$9)</f>
        <v>輕鬆跑6.4k7'17</v>
      </c>
      <c r="L34" s="153" t="s">
        <v>109</v>
      </c>
    </row>
    <row r="35" spans="2:12" ht="34.049999999999997" customHeight="1" x14ac:dyDescent="0.3">
      <c r="B35" s="176">
        <v>4</v>
      </c>
      <c r="C35" s="159" t="s">
        <v>57</v>
      </c>
      <c r="D35" s="214" t="str">
        <f>"輕鬆跑"&amp;CHAR(10)&amp;"4.8k"&amp;MINUTE($P$9)&amp;"'"&amp;SECOND($P$9)</f>
        <v>輕鬆跑
4.8k7'17</v>
      </c>
      <c r="E35" s="214"/>
      <c r="F35" s="162" t="s">
        <v>57</v>
      </c>
      <c r="G35" s="214" t="str">
        <f>"輕鬆跑"&amp;"4.8k"&amp;MINUTE($P$9)&amp;"'"&amp;SECOND($P$9)</f>
        <v>輕鬆跑4.8k7'17</v>
      </c>
      <c r="H35" s="214"/>
      <c r="I35" s="162" t="str">
        <f>"輕鬆跑"&amp;"3.2k"&amp;MINUTE($Q$9)&amp;"'"&amp;SECOND($Q$9)</f>
        <v>輕鬆跑3.2k7'51</v>
      </c>
      <c r="J35" s="162" t="str">
        <f t="shared" si="0"/>
        <v>輕鬆跑4.8k7'17</v>
      </c>
      <c r="K35" s="162" t="str">
        <f>"輕鬆跑"&amp;"8k"&amp;MINUTE($P$9)&amp;"'"&amp;SECOND($P$9)</f>
        <v>輕鬆跑8k7'17</v>
      </c>
      <c r="L35" s="164" t="s">
        <v>110</v>
      </c>
    </row>
    <row r="36" spans="2:12" ht="34.049999999999997" customHeight="1" x14ac:dyDescent="0.3">
      <c r="B36" s="176">
        <v>5</v>
      </c>
      <c r="C36" s="168" t="s">
        <v>57</v>
      </c>
      <c r="D36" s="218" t="str">
        <f>"輕鬆跑"&amp;CHAR(10)&amp;"4.8k"&amp;MINUTE($P$9)&amp;"'"&amp;SECOND($P$9)</f>
        <v>輕鬆跑
4.8k7'17</v>
      </c>
      <c r="E36" s="218"/>
      <c r="F36" s="152" t="s">
        <v>57</v>
      </c>
      <c r="G36" s="218" t="str">
        <f>"輕鬆跑"&amp;"6.4k"&amp;MINUTE($P$9)&amp;"'"&amp;SECOND($P$9)</f>
        <v>輕鬆跑6.4k7'17</v>
      </c>
      <c r="H36" s="218"/>
      <c r="I36" s="152" t="str">
        <f>"輕鬆跑"&amp;"3.2k"&amp;MINUTE($Q$9)&amp;"'"&amp;SECOND($Q$9)</f>
        <v>輕鬆跑3.2k7'51</v>
      </c>
      <c r="J36" s="152" t="str">
        <f t="shared" si="0"/>
        <v>輕鬆跑4.8k7'17</v>
      </c>
      <c r="K36" s="152" t="str">
        <f>"輕鬆跑"&amp;"9.6k"&amp;MINUTE($P$9)&amp;"'"&amp;SECOND($P$9)</f>
        <v>輕鬆跑9.6k7'17</v>
      </c>
      <c r="L36" s="153" t="s">
        <v>111</v>
      </c>
    </row>
    <row r="37" spans="2:12" ht="34.049999999999997" customHeight="1" x14ac:dyDescent="0.3">
      <c r="B37" s="176">
        <v>6</v>
      </c>
      <c r="C37" s="159" t="str">
        <f>"輕鬆跑"&amp;"3.2k"&amp;MINUTE($Q$9)&amp;"'"&amp;SECOND($Q$9)</f>
        <v>輕鬆跑3.2k7'51</v>
      </c>
      <c r="D37" s="214" t="str">
        <f>"輕鬆跑"&amp;CHAR(10)&amp;"4.8k"&amp;MINUTE($P$9)&amp;"'"&amp;SECOND($P$9)</f>
        <v>輕鬆跑
4.8k7'17</v>
      </c>
      <c r="E37" s="214"/>
      <c r="F37" s="162" t="s">
        <v>57</v>
      </c>
      <c r="G37" s="214" t="str">
        <f>"輕鬆跑"&amp;"6.4k"&amp;MINUTE($P$9)&amp;"'"&amp;SECOND($P$9)</f>
        <v>輕鬆跑6.4k7'17</v>
      </c>
      <c r="H37" s="214"/>
      <c r="I37" s="162" t="str">
        <f>"輕鬆跑"&amp;"3.2k"&amp;MINUTE($Q$9)&amp;"'"&amp;SECOND($Q$9)</f>
        <v>輕鬆跑3.2k7'51</v>
      </c>
      <c r="J37" s="162" t="str">
        <f t="shared" si="0"/>
        <v>輕鬆跑4.8k7'17</v>
      </c>
      <c r="K37" s="162" t="str">
        <f>"輕鬆跑"&amp;"9.6k"&amp;MINUTE($P$9)&amp;"'"&amp;SECOND($P$9)</f>
        <v>輕鬆跑9.6k7'17</v>
      </c>
      <c r="L37" s="164" t="s">
        <v>112</v>
      </c>
    </row>
    <row r="38" spans="2:12" ht="34.049999999999997" customHeight="1" x14ac:dyDescent="0.3">
      <c r="B38" s="176">
        <v>7</v>
      </c>
      <c r="C38" s="168" t="str">
        <f>"輕鬆跑"&amp;"4.8k"&amp;MINUTE($Q$9)&amp;"'"&amp;SECOND($Q$9)</f>
        <v>輕鬆跑4.8k7'51</v>
      </c>
      <c r="D38" s="218" t="str">
        <f>"輕鬆跑"&amp;CHAR(10)&amp;"4.8k"&amp;MINUTE($P$9)&amp;"'"&amp;SECOND($P$9)</f>
        <v>輕鬆跑
4.8k7'17</v>
      </c>
      <c r="E38" s="218"/>
      <c r="F38" s="152" t="s">
        <v>57</v>
      </c>
      <c r="G38" s="218" t="str">
        <f>"輕鬆跑"&amp;"6.4k"&amp;MINUTE($P$9)&amp;"'"&amp;SECOND($P$9)</f>
        <v>輕鬆跑6.4k7'17</v>
      </c>
      <c r="H38" s="218"/>
      <c r="I38" s="152" t="str">
        <f>"輕鬆跑"&amp;"4.8k"&amp;MINUTE($Q$9)&amp;"'"&amp;SECOND($Q$9)</f>
        <v>輕鬆跑4.8k7'51</v>
      </c>
      <c r="J38" s="152" t="str">
        <f t="shared" si="0"/>
        <v>輕鬆跑4.8k7'17</v>
      </c>
      <c r="K38" s="152" t="str">
        <f>"輕鬆跑"&amp;"11.2k"&amp;MINUTE($P$9)&amp;"'"&amp;SECOND($P$9)</f>
        <v>輕鬆跑11.2k7'17</v>
      </c>
      <c r="L38" s="153" t="s">
        <v>113</v>
      </c>
    </row>
    <row r="39" spans="2:12" ht="34.049999999999997" customHeight="1" x14ac:dyDescent="0.3">
      <c r="B39" s="176">
        <v>8</v>
      </c>
      <c r="C39" s="159" t="str">
        <f>"輕鬆跑"&amp;"4.8k"&amp;MINUTE($Q$9)&amp;"'"&amp;SECOND($Q$9)</f>
        <v>輕鬆跑4.8k7'51</v>
      </c>
      <c r="D39" s="214" t="str">
        <f>"輕鬆跑"&amp;CHAR(10)&amp;"6.4k"&amp;MINUTE($P$9)&amp;"'"&amp;SECOND($P$9)</f>
        <v>輕鬆跑
6.4k7'17</v>
      </c>
      <c r="E39" s="214"/>
      <c r="F39" s="162" t="s">
        <v>57</v>
      </c>
      <c r="G39" s="214" t="str">
        <f>"輕鬆跑"&amp;"6.4k"&amp;MINUTE($P$9)&amp;"'"&amp;SECOND($P$9)</f>
        <v>輕鬆跑6.4k7'17</v>
      </c>
      <c r="H39" s="214"/>
      <c r="I39" s="162" t="str">
        <f>"輕鬆跑"&amp;"4.8k"&amp;MINUTE($Q$9)&amp;"'"&amp;SECOND($Q$9)</f>
        <v>輕鬆跑4.8k7'51</v>
      </c>
      <c r="J39" s="162" t="str">
        <f t="shared" si="0"/>
        <v>輕鬆跑4.8k7'17</v>
      </c>
      <c r="K39" s="162" t="str">
        <f>"長跑"&amp;"12.8k"&amp;MINUTE($W$9)&amp;"'"&amp;SECOND($W$9)</f>
        <v>長跑12.8k6'21</v>
      </c>
      <c r="L39" s="164" t="s">
        <v>114</v>
      </c>
    </row>
    <row r="40" spans="2:12" ht="34.049999999999997" customHeight="1" x14ac:dyDescent="0.3">
      <c r="B40" s="176">
        <v>9</v>
      </c>
      <c r="C40" s="168" t="str">
        <f>"輕鬆跑"&amp;"4.8k"&amp;MINUTE($Q$9)&amp;"'"&amp;SECOND($Q$9)</f>
        <v>輕鬆跑4.8k7'51</v>
      </c>
      <c r="D40" s="218" t="str">
        <f>"輕鬆跑"&amp;CHAR(10)&amp;"8k"&amp;MINUTE($P$9)&amp;"'"&amp;SECOND($P$9)</f>
        <v>輕鬆跑
8k7'17</v>
      </c>
      <c r="E40" s="218"/>
      <c r="F40" s="152" t="s">
        <v>57</v>
      </c>
      <c r="G40" s="218" t="str">
        <f>"輕鬆跑"&amp;"8k"&amp;MINUTE($P$9)&amp;"'"&amp;SECOND($P$9)</f>
        <v>輕鬆跑8k7'17</v>
      </c>
      <c r="H40" s="218"/>
      <c r="I40" s="152" t="str">
        <f>"輕鬆跑"&amp;"4.8k"&amp;MINUTE($Q$9)&amp;"'"&amp;SECOND($Q$9)</f>
        <v>輕鬆跑4.8k7'51</v>
      </c>
      <c r="J40" s="152" t="str">
        <f>"輕鬆跑"&amp;"6.4k"&amp;MINUTE($P$9)&amp;"'"&amp;SECOND($P$9)</f>
        <v>輕鬆跑6.4k7'17</v>
      </c>
      <c r="K40" s="152" t="str">
        <f>"輕鬆跑"&amp;"9.6k"&amp;MINUTE($P$9)&amp;"'"&amp;SECOND($P$9)</f>
        <v>輕鬆跑9.6k7'17</v>
      </c>
      <c r="L40" s="153" t="s">
        <v>115</v>
      </c>
    </row>
    <row r="41" spans="2:12" ht="34.5" customHeight="1" thickBot="1" x14ac:dyDescent="0.35">
      <c r="B41" s="177">
        <v>10</v>
      </c>
      <c r="C41" s="165" t="str">
        <f>"輕鬆跑"&amp;"4.8k"&amp;MINUTE($Q$9)&amp;"'"&amp;SECOND($Q$9)</f>
        <v>輕鬆跑4.8k7'51</v>
      </c>
      <c r="D41" s="224" t="str">
        <f>"輕鬆跑"&amp;CHAR(10)&amp;"8k"&amp;MINUTE($P$9)&amp;"'"&amp;SECOND($P$9)</f>
        <v>輕鬆跑
8k7'17</v>
      </c>
      <c r="E41" s="224"/>
      <c r="F41" s="169" t="s">
        <v>57</v>
      </c>
      <c r="G41" s="224" t="str">
        <f>"輕鬆跑"&amp;"8k"&amp;MINUTE($P$9)&amp;"'"&amp;SECOND($P$9)</f>
        <v>輕鬆跑8k7'17</v>
      </c>
      <c r="H41" s="224"/>
      <c r="I41" s="169" t="str">
        <f>"輕鬆跑"&amp;"4.8k"&amp;MINUTE($Q$9)&amp;"'"&amp;SECOND($Q$9)</f>
        <v>輕鬆跑4.8k7'51</v>
      </c>
      <c r="J41" s="169" t="str">
        <f>"輕鬆跑"&amp;"6.4k"&amp;MINUTE($P$9)&amp;"'"&amp;SECOND($P$9)</f>
        <v>輕鬆跑6.4k7'17</v>
      </c>
      <c r="K41" s="169" t="str">
        <f>"長跑"&amp;"12.8k"&amp;MINUTE($W$9)&amp;"'"&amp;SECOND($W$9)</f>
        <v>長跑12.8k6'21</v>
      </c>
      <c r="L41" s="170" t="s">
        <v>64</v>
      </c>
    </row>
    <row r="42" spans="2:12" x14ac:dyDescent="0.3">
      <c r="B42" s="178"/>
      <c r="C42" s="146"/>
      <c r="D42" s="114"/>
      <c r="E42" s="146"/>
      <c r="F42" s="146"/>
      <c r="G42" s="114"/>
      <c r="H42" s="146"/>
      <c r="I42" s="146"/>
      <c r="J42" s="146"/>
      <c r="K42" s="146"/>
      <c r="L42" s="146"/>
    </row>
    <row r="43" spans="2:12" ht="16.8" thickBot="1" x14ac:dyDescent="0.35">
      <c r="B43" s="178"/>
      <c r="C43" s="146"/>
      <c r="D43" s="114"/>
      <c r="E43" s="146"/>
      <c r="F43" s="146"/>
      <c r="G43" s="114"/>
      <c r="H43" s="146"/>
      <c r="I43" s="146"/>
      <c r="J43" s="146"/>
      <c r="K43" s="146"/>
      <c r="L43" s="146"/>
    </row>
    <row r="44" spans="2:12" ht="16.8" thickBot="1" x14ac:dyDescent="0.35">
      <c r="B44" s="175" t="s">
        <v>99</v>
      </c>
      <c r="C44" s="172" t="s">
        <v>50</v>
      </c>
      <c r="D44" s="209" t="s">
        <v>51</v>
      </c>
      <c r="E44" s="209"/>
      <c r="F44" s="148" t="s">
        <v>52</v>
      </c>
      <c r="G44" s="209" t="s">
        <v>53</v>
      </c>
      <c r="H44" s="209"/>
      <c r="I44" s="148" t="s">
        <v>54</v>
      </c>
      <c r="J44" s="148" t="s">
        <v>55</v>
      </c>
      <c r="K44" s="148" t="s">
        <v>56</v>
      </c>
      <c r="L44" s="115" t="s">
        <v>59</v>
      </c>
    </row>
    <row r="45" spans="2:12" ht="34.5" customHeight="1" thickBot="1" x14ac:dyDescent="0.35">
      <c r="B45" s="179">
        <v>11</v>
      </c>
      <c r="C45" s="168" t="str">
        <f>"輕鬆跑"&amp;"6.4k"&amp;MINUTE($Q$9)&amp;"'"&amp;SECOND($Q$9)</f>
        <v>輕鬆跑6.4k7'51</v>
      </c>
      <c r="D45" s="218" t="str">
        <f t="shared" ref="D45:D50" si="1">"輕鬆跑"&amp;CHAR(10)&amp;"8k"&amp;MINUTE($P$9)&amp;"'"&amp;SECOND($P$9)</f>
        <v>輕鬆跑
8k7'17</v>
      </c>
      <c r="E45" s="218"/>
      <c r="F45" s="152" t="s">
        <v>57</v>
      </c>
      <c r="G45" s="218" t="str">
        <f t="shared" ref="G45:G50" si="2">"輕鬆跑"&amp;"8k"&amp;MINUTE($P$9)&amp;"'"&amp;SECOND($P$9)</f>
        <v>輕鬆跑8k7'17</v>
      </c>
      <c r="H45" s="218"/>
      <c r="I45" s="152" t="str">
        <f>"輕鬆跑"&amp;"6.4k"&amp;MINUTE($Q$9)&amp;"'"&amp;SECOND($Q$9)</f>
        <v>輕鬆跑6.4k7'51</v>
      </c>
      <c r="J45" s="152" t="str">
        <f>"輕鬆跑"&amp;"6.4k"&amp;MINUTE($P$9)&amp;"'"&amp;SECOND($P$9)</f>
        <v>輕鬆跑6.4k7'17</v>
      </c>
      <c r="K45" s="152" t="str">
        <f>"輕鬆跑"&amp;"9.6k"&amp;MINUTE($P$9)&amp;"'"&amp;SECOND($P$9)</f>
        <v>輕鬆跑9.6k7'17</v>
      </c>
      <c r="L45" s="170" t="s">
        <v>64</v>
      </c>
    </row>
    <row r="46" spans="2:12" ht="34.5" customHeight="1" x14ac:dyDescent="0.3">
      <c r="B46" s="176">
        <v>12</v>
      </c>
      <c r="C46" s="159" t="str">
        <f>"輕鬆跑"&amp;"4.8k"&amp;MINUTE($Q$9)&amp;"'"&amp;SECOND($Q$9)</f>
        <v>輕鬆跑4.8k7'51</v>
      </c>
      <c r="D46" s="214" t="str">
        <f t="shared" si="1"/>
        <v>輕鬆跑
8k7'17</v>
      </c>
      <c r="E46" s="214"/>
      <c r="F46" s="162" t="s">
        <v>57</v>
      </c>
      <c r="G46" s="214" t="str">
        <f t="shared" si="2"/>
        <v>輕鬆跑8k7'17</v>
      </c>
      <c r="H46" s="214"/>
      <c r="I46" s="162" t="str">
        <f>"輕鬆跑"&amp;"6.4k"&amp;MINUTE($Q$9)&amp;"'"&amp;SECOND($Q$9)</f>
        <v>輕鬆跑6.4k7'51</v>
      </c>
      <c r="J46" s="162" t="str">
        <f>"輕鬆跑"&amp;"8k"&amp;MINUTE($P$9)&amp;"'"&amp;SECOND($P$9)</f>
        <v>輕鬆跑8k7'17</v>
      </c>
      <c r="K46" s="162" t="str">
        <f>"長跑"&amp;"16k"&amp;MINUTE($W$9)&amp;"'"&amp;SECOND($W$9)</f>
        <v>長跑16k6'21</v>
      </c>
      <c r="L46" s="164" t="s">
        <v>116</v>
      </c>
    </row>
    <row r="47" spans="2:12" ht="34.5" customHeight="1" x14ac:dyDescent="0.3">
      <c r="B47" s="176">
        <v>13</v>
      </c>
      <c r="C47" s="168" t="str">
        <f>"輕鬆跑"&amp;"6.4k"&amp;MINUTE($Q$9)&amp;"'"&amp;SECOND($Q$9)</f>
        <v>輕鬆跑6.4k7'51</v>
      </c>
      <c r="D47" s="218" t="str">
        <f t="shared" si="1"/>
        <v>輕鬆跑
8k7'17</v>
      </c>
      <c r="E47" s="218"/>
      <c r="F47" s="152" t="s">
        <v>57</v>
      </c>
      <c r="G47" s="218" t="str">
        <f t="shared" si="2"/>
        <v>輕鬆跑8k7'17</v>
      </c>
      <c r="H47" s="218"/>
      <c r="I47" s="152" t="str">
        <f>"輕鬆跑"&amp;"4.8k"&amp;MINUTE($Q$9)&amp;"'"&amp;SECOND($Q$9)</f>
        <v>輕鬆跑4.8k7'51</v>
      </c>
      <c r="J47" s="152" t="str">
        <f>"輕鬆跑"&amp;"9.6k"&amp;MINUTE($P$9)&amp;"'"&amp;SECOND($P$9)</f>
        <v>輕鬆跑9.6k7'17</v>
      </c>
      <c r="K47" s="152" t="str">
        <f>"輕鬆跑"&amp;"12.8k"&amp;MINUTE($P$9)&amp;"'"&amp;SECOND($P$9)</f>
        <v>輕鬆跑12.8k7'17</v>
      </c>
      <c r="L47" s="153" t="s">
        <v>117</v>
      </c>
    </row>
    <row r="48" spans="2:12" ht="34.5" customHeight="1" x14ac:dyDescent="0.3">
      <c r="B48" s="176">
        <v>14</v>
      </c>
      <c r="C48" s="159" t="str">
        <f>"輕鬆跑"&amp;"4.8k"&amp;MINUTE($Q$9)&amp;"'"&amp;SECOND($Q$9)</f>
        <v>輕鬆跑4.8k7'51</v>
      </c>
      <c r="D48" s="214" t="str">
        <f t="shared" si="1"/>
        <v>輕鬆跑
8k7'17</v>
      </c>
      <c r="E48" s="214"/>
      <c r="F48" s="162" t="s">
        <v>57</v>
      </c>
      <c r="G48" s="214" t="str">
        <f t="shared" si="2"/>
        <v>輕鬆跑8k7'17</v>
      </c>
      <c r="H48" s="214"/>
      <c r="I48" s="162" t="str">
        <f>"輕鬆跑"&amp;"6.4k"&amp;MINUTE($Q$9)&amp;"'"&amp;SECOND($Q$9)</f>
        <v>輕鬆跑6.4k7'51</v>
      </c>
      <c r="J48" s="162" t="str">
        <f>"輕鬆跑"&amp;"8k"&amp;MINUTE($P$9)&amp;"'"&amp;SECOND($P$9)</f>
        <v>輕鬆跑8k7'17</v>
      </c>
      <c r="K48" s="162" t="str">
        <f>"長跑"&amp;"16k"&amp;MINUTE($W$9)&amp;"'"&amp;SECOND($W$9)</f>
        <v>長跑16k6'21</v>
      </c>
      <c r="L48" s="164" t="s">
        <v>116</v>
      </c>
    </row>
    <row r="49" spans="2:12" ht="34.5" customHeight="1" x14ac:dyDescent="0.3">
      <c r="B49" s="176">
        <v>15</v>
      </c>
      <c r="C49" s="168" t="str">
        <f>"輕鬆跑"&amp;"6.4k"&amp;MINUTE($Q$9)&amp;"'"&amp;SECOND($Q$9)</f>
        <v>輕鬆跑6.4k7'51</v>
      </c>
      <c r="D49" s="218" t="str">
        <f t="shared" si="1"/>
        <v>輕鬆跑
8k7'17</v>
      </c>
      <c r="E49" s="218"/>
      <c r="F49" s="152" t="s">
        <v>57</v>
      </c>
      <c r="G49" s="218" t="str">
        <f t="shared" si="2"/>
        <v>輕鬆跑8k7'17</v>
      </c>
      <c r="H49" s="218"/>
      <c r="I49" s="152" t="str">
        <f>"輕鬆跑"&amp;"4.8k"&amp;MINUTE($Q$9)&amp;"'"&amp;SECOND($Q$9)</f>
        <v>輕鬆跑4.8k7'51</v>
      </c>
      <c r="J49" s="152" t="str">
        <f>"輕鬆跑"&amp;"9.6k"&amp;MINUTE($P$9)&amp;"'"&amp;SECOND($P$9)</f>
        <v>輕鬆跑9.6k7'17</v>
      </c>
      <c r="K49" s="152" t="str">
        <f>"輕鬆跑"&amp;"12.8k"&amp;MINUTE($P$9)&amp;"'"&amp;SECOND($P$9)</f>
        <v>輕鬆跑12.8k7'17</v>
      </c>
      <c r="L49" s="153" t="s">
        <v>117</v>
      </c>
    </row>
    <row r="50" spans="2:12" ht="34.5" customHeight="1" x14ac:dyDescent="0.3">
      <c r="B50" s="176">
        <v>16</v>
      </c>
      <c r="C50" s="159" t="str">
        <f>"輕鬆跑"&amp;"6.4k"&amp;MINUTE($Q$9)&amp;"'"&amp;SECOND($Q$9)</f>
        <v>輕鬆跑6.4k7'51</v>
      </c>
      <c r="D50" s="214" t="str">
        <f t="shared" si="1"/>
        <v>輕鬆跑
8k7'17</v>
      </c>
      <c r="E50" s="214"/>
      <c r="F50" s="162" t="s">
        <v>57</v>
      </c>
      <c r="G50" s="214" t="str">
        <f t="shared" si="2"/>
        <v>輕鬆跑8k7'17</v>
      </c>
      <c r="H50" s="214"/>
      <c r="I50" s="162" t="str">
        <f>"輕鬆跑"&amp;"6.4k"&amp;MINUTE($Q$9)&amp;"'"&amp;SECOND($Q$9)</f>
        <v>輕鬆跑6.4k7'51</v>
      </c>
      <c r="J50" s="162" t="str">
        <f>"輕鬆跑"&amp;"8k"&amp;MINUTE($P$9)&amp;"'"&amp;SECOND($P$9)</f>
        <v>輕鬆跑8k7'17</v>
      </c>
      <c r="K50" s="162" t="str">
        <f>"長跑"&amp;"16k"&amp;MINUTE($W$9)&amp;"'"&amp;SECOND($W$9)</f>
        <v>長跑16k6'21</v>
      </c>
      <c r="L50" s="164" t="s">
        <v>116</v>
      </c>
    </row>
    <row r="51" spans="2:12" ht="34.5" customHeight="1" x14ac:dyDescent="0.3">
      <c r="B51" s="176">
        <v>17</v>
      </c>
      <c r="C51" s="159" t="str">
        <f>"輕鬆跑"&amp;"6.4k"&amp;MINUTE($Q$9)&amp;"'"&amp;SECOND($Q$9)</f>
        <v>輕鬆跑6.4k7'51</v>
      </c>
      <c r="D51" s="214" t="str">
        <f>"輕鬆跑"&amp;CHAR(10)&amp;"6.4k"&amp;MINUTE($P$9)&amp;"'"&amp;SECOND($P$9)</f>
        <v>輕鬆跑
6.4k7'17</v>
      </c>
      <c r="E51" s="214"/>
      <c r="F51" s="162" t="s">
        <v>57</v>
      </c>
      <c r="G51" s="214" t="str">
        <f>"輕鬆跑"&amp;CHAR(10)&amp;"6.4k"&amp;MINUTE($P$9)&amp;"'"&amp;SECOND($P$9)</f>
        <v>輕鬆跑
6.4k7'17</v>
      </c>
      <c r="H51" s="214"/>
      <c r="I51" s="162" t="str">
        <f>"輕鬆跑"&amp;"4.8k"&amp;MINUTE($Q$9)&amp;"'"&amp;SECOND($Q$9)</f>
        <v>輕鬆跑4.8k7'51</v>
      </c>
      <c r="J51" s="162" t="str">
        <f>"輕鬆跑"&amp;"4.8k"&amp;MINUTE($P$9)&amp;"'"&amp;SECOND($P$9)</f>
        <v>輕鬆跑4.8k7'17</v>
      </c>
      <c r="K51" s="162" t="str">
        <f>"輕鬆跑"&amp;"9.6k"&amp;MINUTE($P$9)&amp;"'"&amp;SECOND($P$9)</f>
        <v>輕鬆跑9.6k7'17</v>
      </c>
      <c r="L51" s="164" t="s">
        <v>118</v>
      </c>
    </row>
    <row r="52" spans="2:12" ht="34.5" customHeight="1" thickBot="1" x14ac:dyDescent="0.35">
      <c r="B52" s="177">
        <v>18</v>
      </c>
      <c r="C52" s="171" t="str">
        <f>"輕鬆跑"&amp;"4.8k"&amp;MINUTE($Q$9)&amp;"'"&amp;SECOND($Q$9)</f>
        <v>輕鬆跑4.8k7'51</v>
      </c>
      <c r="D52" s="219" t="str">
        <f>"輕鬆跑"&amp;CHAR(10)&amp;"6.4k"&amp;MINUTE($P$9)&amp;"'"&amp;SECOND($P$9)</f>
        <v>輕鬆跑
6.4k7'17</v>
      </c>
      <c r="E52" s="219"/>
      <c r="F52" s="154" t="s">
        <v>57</v>
      </c>
      <c r="G52" s="219" t="str">
        <f>"輕鬆跑"&amp;CHAR(10)&amp;"4.8k"&amp;MINUTE($P$9)&amp;"'"&amp;SECOND($P$9)</f>
        <v>輕鬆跑
4.8k7'17</v>
      </c>
      <c r="H52" s="219"/>
      <c r="I52" s="154" t="str">
        <f>"輕鬆跑"&amp;"4.8k"&amp;MINUTE($Q$9)&amp;"'"&amp;SECOND($Q$9)</f>
        <v>輕鬆跑4.8k7'51</v>
      </c>
      <c r="J52" s="154" t="str">
        <f>"輕鬆跑"&amp;"4.8k"&amp;MINUTE($P$9)&amp;"'"&amp;SECOND($P$9)</f>
        <v>輕鬆跑4.8k7'17</v>
      </c>
      <c r="K52" s="154" t="s">
        <v>101</v>
      </c>
      <c r="L52" s="155" t="s">
        <v>119</v>
      </c>
    </row>
  </sheetData>
  <mergeCells count="64">
    <mergeCell ref="G41:H41"/>
    <mergeCell ref="D46:E46"/>
    <mergeCell ref="D47:E47"/>
    <mergeCell ref="D48:E48"/>
    <mergeCell ref="G45:H45"/>
    <mergeCell ref="G46:H46"/>
    <mergeCell ref="G47:H47"/>
    <mergeCell ref="G48:H48"/>
    <mergeCell ref="D44:E44"/>
    <mergeCell ref="G44:H44"/>
    <mergeCell ref="D45:E45"/>
    <mergeCell ref="D41:E41"/>
    <mergeCell ref="G36:H36"/>
    <mergeCell ref="G37:H37"/>
    <mergeCell ref="G38:H38"/>
    <mergeCell ref="G39:H39"/>
    <mergeCell ref="G40:H40"/>
    <mergeCell ref="D52:E52"/>
    <mergeCell ref="G52:H52"/>
    <mergeCell ref="D49:E49"/>
    <mergeCell ref="D50:E50"/>
    <mergeCell ref="D51:E51"/>
    <mergeCell ref="G49:H49"/>
    <mergeCell ref="G50:H50"/>
    <mergeCell ref="G51:H51"/>
    <mergeCell ref="B30:L30"/>
    <mergeCell ref="D31:E31"/>
    <mergeCell ref="G31:H31"/>
    <mergeCell ref="D32:E32"/>
    <mergeCell ref="G32:H32"/>
    <mergeCell ref="D36:E36"/>
    <mergeCell ref="D37:E37"/>
    <mergeCell ref="D38:E38"/>
    <mergeCell ref="D39:E39"/>
    <mergeCell ref="D40:E40"/>
    <mergeCell ref="D33:E33"/>
    <mergeCell ref="G33:H33"/>
    <mergeCell ref="D34:E34"/>
    <mergeCell ref="G34:H34"/>
    <mergeCell ref="D35:E35"/>
    <mergeCell ref="G35:H35"/>
    <mergeCell ref="G24:H24"/>
    <mergeCell ref="D24:E24"/>
    <mergeCell ref="D17:D23"/>
    <mergeCell ref="D3:E3"/>
    <mergeCell ref="G4:H4"/>
    <mergeCell ref="G5:H5"/>
    <mergeCell ref="G6:H6"/>
    <mergeCell ref="G17:G23"/>
    <mergeCell ref="B2:L2"/>
    <mergeCell ref="R7:V7"/>
    <mergeCell ref="D16:E16"/>
    <mergeCell ref="G16:H16"/>
    <mergeCell ref="N3:AB3"/>
    <mergeCell ref="P7:Q7"/>
    <mergeCell ref="D7:E7"/>
    <mergeCell ref="D8:E8"/>
    <mergeCell ref="D9:D13"/>
    <mergeCell ref="G7:H7"/>
    <mergeCell ref="G8:G13"/>
    <mergeCell ref="D4:E4"/>
    <mergeCell ref="D5:E5"/>
    <mergeCell ref="D6:E6"/>
    <mergeCell ref="G3:H3"/>
  </mergeCells>
  <phoneticPr fontId="2" type="noConversion"/>
  <pageMargins left="0.7" right="0.7" top="0.75" bottom="0.75" header="0.3" footer="0.3"/>
  <pageSetup paperSize="9" orientation="portrait" r:id="rId1"/>
  <ignoredErrors>
    <ignoredError sqref="J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1B77-ED0B-4BD2-8423-8740A0410B15}">
  <sheetPr codeName="工作表3"/>
  <dimension ref="A1:AG41"/>
  <sheetViews>
    <sheetView zoomScale="70" zoomScaleNormal="70" workbookViewId="0">
      <selection activeCell="J10" sqref="J10"/>
    </sheetView>
  </sheetViews>
  <sheetFormatPr defaultRowHeight="16.2" x14ac:dyDescent="0.3"/>
  <cols>
    <col min="1" max="2" width="18" bestFit="1" customWidth="1"/>
    <col min="3" max="5" width="13.77734375" bestFit="1" customWidth="1"/>
    <col min="6" max="8" width="15" bestFit="1" customWidth="1"/>
    <col min="10" max="12" width="13.77734375" bestFit="1" customWidth="1"/>
    <col min="13" max="15" width="15" bestFit="1" customWidth="1"/>
  </cols>
  <sheetData>
    <row r="1" spans="1:33" ht="33" x14ac:dyDescent="0.3">
      <c r="A1" s="229" t="s">
        <v>11</v>
      </c>
      <c r="B1" s="230"/>
      <c r="C1" s="230"/>
      <c r="D1" s="230"/>
      <c r="E1" s="230"/>
      <c r="F1" s="230"/>
      <c r="G1" s="230"/>
      <c r="H1" s="231"/>
    </row>
    <row r="2" spans="1:33" x14ac:dyDescent="0.3">
      <c r="A2" s="232"/>
      <c r="B2" s="233"/>
      <c r="C2" s="233"/>
      <c r="D2" s="233"/>
      <c r="E2" s="233"/>
      <c r="F2" s="233"/>
      <c r="G2" s="233"/>
      <c r="H2" s="234"/>
    </row>
    <row r="3" spans="1:33" x14ac:dyDescent="0.3">
      <c r="A3" s="226" t="s">
        <v>1</v>
      </c>
      <c r="B3" s="227"/>
      <c r="C3" s="227"/>
      <c r="D3" s="227"/>
      <c r="E3" s="227"/>
      <c r="F3" s="227"/>
      <c r="G3" s="227"/>
      <c r="H3" s="228"/>
    </row>
    <row r="4" spans="1:33" x14ac:dyDescent="0.3">
      <c r="A4" s="226" t="s">
        <v>2</v>
      </c>
      <c r="B4" s="227"/>
      <c r="C4" s="227"/>
      <c r="D4" s="227"/>
      <c r="E4" s="227"/>
      <c r="F4" s="227"/>
      <c r="G4" s="227"/>
      <c r="H4" s="228"/>
    </row>
    <row r="5" spans="1:33" x14ac:dyDescent="0.3">
      <c r="A5" s="226" t="s">
        <v>3</v>
      </c>
      <c r="B5" s="227"/>
      <c r="C5" s="227"/>
      <c r="D5" s="227"/>
      <c r="E5" s="227"/>
      <c r="F5" s="227"/>
      <c r="G5" s="227"/>
      <c r="H5" s="228"/>
    </row>
    <row r="6" spans="1:33" x14ac:dyDescent="0.3">
      <c r="A6" s="226" t="s">
        <v>10</v>
      </c>
      <c r="B6" s="227"/>
      <c r="C6" s="227"/>
      <c r="D6" s="227"/>
      <c r="E6" s="227"/>
      <c r="F6" s="227"/>
      <c r="G6" s="227"/>
      <c r="H6" s="228"/>
    </row>
    <row r="7" spans="1:33" x14ac:dyDescent="0.3">
      <c r="A7" s="226" t="s">
        <v>13</v>
      </c>
      <c r="B7" s="227"/>
      <c r="C7" s="227"/>
      <c r="D7" s="227"/>
      <c r="E7" s="227"/>
      <c r="F7" s="227"/>
      <c r="G7" s="227"/>
      <c r="H7" s="228"/>
    </row>
    <row r="8" spans="1:33" ht="16.8" thickBot="1" x14ac:dyDescent="0.35">
      <c r="A8" s="235" t="s">
        <v>39</v>
      </c>
      <c r="B8" s="236"/>
      <c r="C8" s="236"/>
      <c r="D8" s="236"/>
      <c r="E8" s="236"/>
      <c r="F8" s="236"/>
      <c r="G8" s="236"/>
      <c r="H8" s="237"/>
    </row>
    <row r="10" spans="1:33" x14ac:dyDescent="0.3">
      <c r="A10" s="225" t="s">
        <v>9</v>
      </c>
      <c r="B10" s="225"/>
      <c r="C10" s="225"/>
      <c r="D10" s="225"/>
      <c r="E10" s="225"/>
      <c r="F10" s="225"/>
      <c r="G10" s="225"/>
      <c r="H10" s="225"/>
    </row>
    <row r="11" spans="1:33" x14ac:dyDescent="0.3">
      <c r="A11" s="35" t="s">
        <v>5</v>
      </c>
      <c r="B11" s="21" t="s">
        <v>4</v>
      </c>
      <c r="C11" s="20" t="s">
        <v>40</v>
      </c>
      <c r="D11" s="9" t="s">
        <v>41</v>
      </c>
      <c r="E11" s="9" t="s">
        <v>42</v>
      </c>
      <c r="F11" s="9" t="s">
        <v>43</v>
      </c>
      <c r="G11" s="9" t="s">
        <v>44</v>
      </c>
      <c r="H11" s="21" t="s">
        <v>45</v>
      </c>
      <c r="J11" s="20" t="s">
        <v>6</v>
      </c>
      <c r="K11" s="9" t="s">
        <v>7</v>
      </c>
      <c r="L11" s="9" t="s">
        <v>46</v>
      </c>
      <c r="M11" s="9" t="s">
        <v>47</v>
      </c>
      <c r="N11" s="9" t="s">
        <v>48</v>
      </c>
      <c r="O11" s="21" t="s">
        <v>8</v>
      </c>
    </row>
    <row r="12" spans="1:33" x14ac:dyDescent="0.3">
      <c r="A12" s="30">
        <v>1.0763888888888889E-2</v>
      </c>
      <c r="B12" s="31">
        <v>2.2569444444444444E-2</v>
      </c>
      <c r="C12" s="30">
        <v>8.6805555555555551E-4</v>
      </c>
      <c r="D12" s="14">
        <v>1.2962962962962963E-3</v>
      </c>
      <c r="E12" s="14">
        <v>1.736111111111111E-3</v>
      </c>
      <c r="F12" s="14">
        <v>2.1527777777777778E-3</v>
      </c>
      <c r="G12" s="14">
        <v>2.5694444444444445E-3</v>
      </c>
      <c r="H12" s="15">
        <v>3.472222222222222E-3</v>
      </c>
      <c r="I12" s="3"/>
      <c r="J12" s="30">
        <f>C12/0.4</f>
        <v>2.1701388888888886E-3</v>
      </c>
      <c r="K12" s="14">
        <f>D12/0.6</f>
        <v>2.1604938271604941E-3</v>
      </c>
      <c r="L12" s="14">
        <f>E12/0.8</f>
        <v>2.1701388888888886E-3</v>
      </c>
      <c r="M12" s="14">
        <f>F12</f>
        <v>2.1527777777777778E-3</v>
      </c>
      <c r="N12" s="14">
        <f>G12/1.2</f>
        <v>2.1412037037037038E-3</v>
      </c>
      <c r="O12" s="15">
        <f>H12/1.6</f>
        <v>2.1701388888888886E-3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s="30">
        <v>1.1111111111111112E-2</v>
      </c>
      <c r="B13" s="31">
        <v>2.3321759259259261E-2</v>
      </c>
      <c r="C13" s="30">
        <v>9.0277777777777774E-4</v>
      </c>
      <c r="D13" s="14">
        <v>1.3310185185185185E-3</v>
      </c>
      <c r="E13" s="14">
        <v>1.7939814814814815E-3</v>
      </c>
      <c r="F13" s="14">
        <v>2.2222222222222222E-3</v>
      </c>
      <c r="G13" s="14">
        <v>2.662037037037037E-3</v>
      </c>
      <c r="H13" s="15">
        <v>3.5879629629629629E-3</v>
      </c>
      <c r="J13" s="30">
        <f t="shared" ref="J13:J37" si="0">C13/0.4</f>
        <v>2.2569444444444442E-3</v>
      </c>
      <c r="K13" s="14">
        <f t="shared" ref="K13:K37" si="1">D13/0.6</f>
        <v>2.2183641975308641E-3</v>
      </c>
      <c r="L13" s="14">
        <f t="shared" ref="L13:L37" si="2">E13/0.8</f>
        <v>2.2424768518518518E-3</v>
      </c>
      <c r="M13" s="14">
        <f t="shared" ref="M13:M37" si="3">F13</f>
        <v>2.2222222222222222E-3</v>
      </c>
      <c r="N13" s="14">
        <f t="shared" ref="N13:N37" si="4">G13/1.2</f>
        <v>2.2183641975308641E-3</v>
      </c>
      <c r="O13" s="15">
        <f t="shared" ref="O13:O37" si="5">H13/1.6</f>
        <v>2.2424768518518518E-3</v>
      </c>
    </row>
    <row r="14" spans="1:33" x14ac:dyDescent="0.3">
      <c r="A14" s="30">
        <v>1.14583333333333E-2</v>
      </c>
      <c r="B14" s="31">
        <v>2.4074074074074098E-2</v>
      </c>
      <c r="C14" s="30">
        <v>9.2592592592592596E-4</v>
      </c>
      <c r="D14" s="34">
        <v>1.3773148148148147E-3</v>
      </c>
      <c r="E14" s="34">
        <v>1.8518518518518519E-3</v>
      </c>
      <c r="F14" s="34">
        <v>2.2916666666666667E-3</v>
      </c>
      <c r="G14" s="34">
        <v>2.7430555555555554E-3</v>
      </c>
      <c r="H14" s="15">
        <v>3.7037037037037038E-3</v>
      </c>
      <c r="J14" s="30">
        <f t="shared" si="0"/>
        <v>2.3148148148148147E-3</v>
      </c>
      <c r="K14" s="14">
        <f t="shared" si="1"/>
        <v>2.2955246913580248E-3</v>
      </c>
      <c r="L14" s="14">
        <f t="shared" si="2"/>
        <v>2.3148148148148147E-3</v>
      </c>
      <c r="M14" s="14">
        <f t="shared" si="3"/>
        <v>2.2916666666666667E-3</v>
      </c>
      <c r="N14" s="14">
        <f t="shared" si="4"/>
        <v>2.2858796296296295E-3</v>
      </c>
      <c r="O14" s="15">
        <f t="shared" si="5"/>
        <v>2.3148148148148147E-3</v>
      </c>
    </row>
    <row r="15" spans="1:33" x14ac:dyDescent="0.3">
      <c r="A15" s="30">
        <v>1.18055555555556E-2</v>
      </c>
      <c r="B15" s="31">
        <v>2.4826388888888901E-2</v>
      </c>
      <c r="C15" s="30">
        <v>9.6064814814814819E-4</v>
      </c>
      <c r="D15" s="34">
        <v>1.4236111111111112E-3</v>
      </c>
      <c r="E15" s="34">
        <v>1.9097222222222222E-3</v>
      </c>
      <c r="F15" s="34">
        <v>2.3611111111111111E-3</v>
      </c>
      <c r="G15" s="34">
        <v>2.8356481481481483E-3</v>
      </c>
      <c r="H15" s="15">
        <v>3.8194444444444443E-3</v>
      </c>
      <c r="J15" s="30">
        <f t="shared" si="0"/>
        <v>2.4016203703703704E-3</v>
      </c>
      <c r="K15" s="14">
        <f t="shared" si="1"/>
        <v>2.3726851851851856E-3</v>
      </c>
      <c r="L15" s="14">
        <f t="shared" si="2"/>
        <v>2.3871527777777775E-3</v>
      </c>
      <c r="M15" s="14">
        <f t="shared" si="3"/>
        <v>2.3611111111111111E-3</v>
      </c>
      <c r="N15" s="14">
        <f t="shared" si="4"/>
        <v>2.3630401234567902E-3</v>
      </c>
      <c r="O15" s="15">
        <f t="shared" si="5"/>
        <v>2.3871527777777775E-3</v>
      </c>
    </row>
    <row r="16" spans="1:33" x14ac:dyDescent="0.3">
      <c r="A16" s="30">
        <v>1.2152777777777801E-2</v>
      </c>
      <c r="B16" s="31">
        <v>2.5578703703703701E-2</v>
      </c>
      <c r="C16" s="30">
        <v>9.837962962962962E-4</v>
      </c>
      <c r="D16" s="34">
        <v>1.4583333333333334E-3</v>
      </c>
      <c r="E16" s="34">
        <v>1.9675925925925924E-3</v>
      </c>
      <c r="F16" s="34">
        <v>2.4305555555555556E-3</v>
      </c>
      <c r="G16" s="34">
        <v>2.9166666666666668E-3</v>
      </c>
      <c r="H16" s="15">
        <v>3.9351851851851848E-3</v>
      </c>
      <c r="J16" s="30">
        <f t="shared" si="0"/>
        <v>2.4594907407407404E-3</v>
      </c>
      <c r="K16" s="14">
        <f t="shared" si="1"/>
        <v>2.4305555555555556E-3</v>
      </c>
      <c r="L16" s="14">
        <f t="shared" si="2"/>
        <v>2.4594907407407404E-3</v>
      </c>
      <c r="M16" s="14">
        <f t="shared" si="3"/>
        <v>2.4305555555555556E-3</v>
      </c>
      <c r="N16" s="14">
        <f t="shared" si="4"/>
        <v>2.4305555555555556E-3</v>
      </c>
      <c r="O16" s="15">
        <f t="shared" si="5"/>
        <v>2.4594907407407404E-3</v>
      </c>
    </row>
    <row r="17" spans="1:15" x14ac:dyDescent="0.3">
      <c r="A17" s="30">
        <v>1.2500000000000001E-2</v>
      </c>
      <c r="B17" s="31">
        <v>2.63310185185185E-2</v>
      </c>
      <c r="C17" s="30">
        <v>1.0185185185185184E-3</v>
      </c>
      <c r="D17" s="34">
        <v>1.5046296296296296E-3</v>
      </c>
      <c r="E17" s="34">
        <v>2.0254629629629629E-3</v>
      </c>
      <c r="F17" s="34">
        <v>2.5000000000000001E-3</v>
      </c>
      <c r="G17" s="34">
        <v>3.0092592592592593E-3</v>
      </c>
      <c r="H17" s="15">
        <v>4.0509259259259257E-3</v>
      </c>
      <c r="J17" s="30">
        <f t="shared" si="0"/>
        <v>2.5462962962962961E-3</v>
      </c>
      <c r="K17" s="14">
        <f t="shared" si="1"/>
        <v>2.5077160493827163E-3</v>
      </c>
      <c r="L17" s="14">
        <f t="shared" si="2"/>
        <v>2.5318287037037032E-3</v>
      </c>
      <c r="M17" s="14">
        <f t="shared" si="3"/>
        <v>2.5000000000000001E-3</v>
      </c>
      <c r="N17" s="14">
        <f t="shared" si="4"/>
        <v>2.5077160493827163E-3</v>
      </c>
      <c r="O17" s="15">
        <f t="shared" si="5"/>
        <v>2.5318287037037032E-3</v>
      </c>
    </row>
    <row r="18" spans="1:15" x14ac:dyDescent="0.3">
      <c r="A18" s="30">
        <v>1.2847222222222201E-2</v>
      </c>
      <c r="B18" s="31">
        <v>2.70833333333333E-2</v>
      </c>
      <c r="C18" s="30">
        <v>1.0416666666666667E-3</v>
      </c>
      <c r="D18" s="34">
        <v>1.4583333333333334E-3</v>
      </c>
      <c r="E18" s="34">
        <v>2.0833333333333333E-3</v>
      </c>
      <c r="F18" s="34">
        <v>2.5694444444444445E-3</v>
      </c>
      <c r="G18" s="34">
        <v>3.0902777777777777E-3</v>
      </c>
      <c r="H18" s="15">
        <v>4.1666666666666666E-3</v>
      </c>
      <c r="J18" s="30">
        <f t="shared" si="0"/>
        <v>2.6041666666666665E-3</v>
      </c>
      <c r="K18" s="14">
        <f t="shared" si="1"/>
        <v>2.4305555555555556E-3</v>
      </c>
      <c r="L18" s="14">
        <f t="shared" si="2"/>
        <v>2.6041666666666665E-3</v>
      </c>
      <c r="M18" s="14">
        <f t="shared" si="3"/>
        <v>2.5694444444444445E-3</v>
      </c>
      <c r="N18" s="14">
        <f t="shared" si="4"/>
        <v>2.5752314814814817E-3</v>
      </c>
      <c r="O18" s="15">
        <f t="shared" si="5"/>
        <v>2.6041666666666665E-3</v>
      </c>
    </row>
    <row r="19" spans="1:15" x14ac:dyDescent="0.3">
      <c r="A19" s="30">
        <v>1.3194444444444399E-2</v>
      </c>
      <c r="B19" s="31">
        <v>2.78356481481482E-2</v>
      </c>
      <c r="C19" s="30">
        <v>1.0763888888888889E-3</v>
      </c>
      <c r="D19" s="34">
        <v>1.5972222222222223E-3</v>
      </c>
      <c r="E19" s="34">
        <v>2.1412037037037038E-3</v>
      </c>
      <c r="F19" s="34">
        <v>2.638888888888889E-3</v>
      </c>
      <c r="G19" s="34">
        <v>3.1828703703703702E-3</v>
      </c>
      <c r="H19" s="15">
        <v>4.2824074074074075E-3</v>
      </c>
      <c r="J19" s="30">
        <f t="shared" si="0"/>
        <v>2.6909722222222222E-3</v>
      </c>
      <c r="K19" s="14">
        <f t="shared" si="1"/>
        <v>2.6620370370370374E-3</v>
      </c>
      <c r="L19" s="14">
        <f t="shared" si="2"/>
        <v>2.6765046296296294E-3</v>
      </c>
      <c r="M19" s="14">
        <f t="shared" si="3"/>
        <v>2.638888888888889E-3</v>
      </c>
      <c r="N19" s="14">
        <f t="shared" si="4"/>
        <v>2.652391975308642E-3</v>
      </c>
      <c r="O19" s="15">
        <f t="shared" si="5"/>
        <v>2.6765046296296294E-3</v>
      </c>
    </row>
    <row r="20" spans="1:15" x14ac:dyDescent="0.3">
      <c r="A20" s="30">
        <v>1.35416666666667E-2</v>
      </c>
      <c r="B20" s="31">
        <v>2.8587962962962999E-2</v>
      </c>
      <c r="C20" s="30">
        <v>1.0995370370370371E-3</v>
      </c>
      <c r="D20" s="34">
        <v>1.6319444444444445E-3</v>
      </c>
      <c r="E20" s="34">
        <v>2.1990740740740742E-3</v>
      </c>
      <c r="F20" s="34">
        <v>2.7083333333333334E-3</v>
      </c>
      <c r="G20" s="34">
        <v>3.2638888888888891E-3</v>
      </c>
      <c r="H20" s="15">
        <v>4.3981481481481484E-3</v>
      </c>
      <c r="J20" s="30">
        <f t="shared" si="0"/>
        <v>2.7488425925925927E-3</v>
      </c>
      <c r="K20" s="14">
        <f t="shared" si="1"/>
        <v>2.7199074074074079E-3</v>
      </c>
      <c r="L20" s="14">
        <f t="shared" si="2"/>
        <v>2.7488425925925927E-3</v>
      </c>
      <c r="M20" s="14">
        <f t="shared" si="3"/>
        <v>2.7083333333333334E-3</v>
      </c>
      <c r="N20" s="14">
        <f t="shared" si="4"/>
        <v>2.7199074074074079E-3</v>
      </c>
      <c r="O20" s="15">
        <f t="shared" si="5"/>
        <v>2.7488425925925927E-3</v>
      </c>
    </row>
    <row r="21" spans="1:15" x14ac:dyDescent="0.3">
      <c r="A21" s="30">
        <v>1.38888888888889E-2</v>
      </c>
      <c r="B21" s="31">
        <v>2.9340277777777798E-2</v>
      </c>
      <c r="C21" s="30">
        <v>1.1342592592592593E-3</v>
      </c>
      <c r="D21" s="34">
        <v>1.6782407407407408E-3</v>
      </c>
      <c r="E21" s="34">
        <v>2.2569444444444442E-3</v>
      </c>
      <c r="F21" s="34">
        <v>2.7777777777777779E-3</v>
      </c>
      <c r="G21" s="34">
        <v>3.3564814814814816E-3</v>
      </c>
      <c r="H21" s="15">
        <v>4.5138888888888885E-3</v>
      </c>
      <c r="J21" s="30">
        <f t="shared" si="0"/>
        <v>2.8356481481481483E-3</v>
      </c>
      <c r="K21" s="14">
        <f t="shared" si="1"/>
        <v>2.7970679012345682E-3</v>
      </c>
      <c r="L21" s="14">
        <f t="shared" si="2"/>
        <v>2.8211805555555551E-3</v>
      </c>
      <c r="M21" s="14">
        <f t="shared" si="3"/>
        <v>2.7777777777777779E-3</v>
      </c>
      <c r="N21" s="14">
        <f t="shared" si="4"/>
        <v>2.7970679012345682E-3</v>
      </c>
      <c r="O21" s="15">
        <f t="shared" si="5"/>
        <v>2.8211805555555551E-3</v>
      </c>
    </row>
    <row r="22" spans="1:15" x14ac:dyDescent="0.3">
      <c r="A22" s="30">
        <v>1.42361111111111E-2</v>
      </c>
      <c r="B22" s="31">
        <v>3.0092592592592601E-2</v>
      </c>
      <c r="C22" s="30">
        <v>1.1574074074074073E-3</v>
      </c>
      <c r="D22" s="34">
        <v>1.724537037037037E-3</v>
      </c>
      <c r="E22" s="34">
        <v>2.3148148148148147E-3</v>
      </c>
      <c r="F22" s="34">
        <v>2.8472222222222223E-3</v>
      </c>
      <c r="G22" s="34">
        <v>3.4375E-3</v>
      </c>
      <c r="H22" s="15">
        <v>4.6296296296296294E-3</v>
      </c>
      <c r="J22" s="30">
        <f t="shared" si="0"/>
        <v>2.8935185185185184E-3</v>
      </c>
      <c r="K22" s="14">
        <f t="shared" si="1"/>
        <v>2.8742283950617285E-3</v>
      </c>
      <c r="L22" s="14">
        <f t="shared" si="2"/>
        <v>2.8935185185185184E-3</v>
      </c>
      <c r="M22" s="14">
        <f t="shared" si="3"/>
        <v>2.8472222222222223E-3</v>
      </c>
      <c r="N22" s="14">
        <f t="shared" si="4"/>
        <v>2.8645833333333336E-3</v>
      </c>
      <c r="O22" s="15">
        <f t="shared" si="5"/>
        <v>2.8935185185185184E-3</v>
      </c>
    </row>
    <row r="23" spans="1:15" x14ac:dyDescent="0.3">
      <c r="A23" s="30">
        <v>1.4583333333333301E-2</v>
      </c>
      <c r="B23" s="31">
        <v>3.0844907407407401E-2</v>
      </c>
      <c r="C23" s="30">
        <v>1.1921296296296296E-3</v>
      </c>
      <c r="D23" s="34">
        <v>1.7708333333333332E-3</v>
      </c>
      <c r="E23" s="34">
        <v>2.3726851851851851E-3</v>
      </c>
      <c r="F23" s="34">
        <v>2.9166666666666668E-3</v>
      </c>
      <c r="G23" s="34">
        <v>3.5300925925925925E-3</v>
      </c>
      <c r="H23" s="15">
        <v>4.7453703703703703E-3</v>
      </c>
      <c r="J23" s="30">
        <f t="shared" si="0"/>
        <v>2.9803240740740736E-3</v>
      </c>
      <c r="K23" s="14">
        <f t="shared" si="1"/>
        <v>2.9513888888888888E-3</v>
      </c>
      <c r="L23" s="14">
        <f t="shared" si="2"/>
        <v>2.9658564814814812E-3</v>
      </c>
      <c r="M23" s="14">
        <f t="shared" si="3"/>
        <v>2.9166666666666668E-3</v>
      </c>
      <c r="N23" s="14">
        <f t="shared" si="4"/>
        <v>2.9417438271604939E-3</v>
      </c>
      <c r="O23" s="15">
        <f t="shared" si="5"/>
        <v>2.9658564814814812E-3</v>
      </c>
    </row>
    <row r="24" spans="1:15" x14ac:dyDescent="0.3">
      <c r="A24" s="30">
        <v>1.49305555555556E-2</v>
      </c>
      <c r="B24" s="31">
        <v>3.15972222222222E-2</v>
      </c>
      <c r="C24" s="30">
        <v>1.2152777777777778E-3</v>
      </c>
      <c r="D24" s="34">
        <v>1.8055555555555555E-3</v>
      </c>
      <c r="E24" s="34">
        <v>2.4305555555555556E-3</v>
      </c>
      <c r="F24" s="34">
        <v>2.9861111111111113E-3</v>
      </c>
      <c r="G24" s="34">
        <v>3.6111111111111109E-3</v>
      </c>
      <c r="H24" s="15">
        <v>4.8611111111111112E-3</v>
      </c>
      <c r="J24" s="30">
        <f t="shared" si="0"/>
        <v>3.0381944444444445E-3</v>
      </c>
      <c r="K24" s="14">
        <f t="shared" si="1"/>
        <v>3.0092592592592593E-3</v>
      </c>
      <c r="L24" s="14">
        <f t="shared" si="2"/>
        <v>3.0381944444444445E-3</v>
      </c>
      <c r="M24" s="14">
        <f t="shared" si="3"/>
        <v>2.9861111111111113E-3</v>
      </c>
      <c r="N24" s="14">
        <f t="shared" si="4"/>
        <v>3.0092592592592593E-3</v>
      </c>
      <c r="O24" s="15">
        <f t="shared" si="5"/>
        <v>3.0381944444444445E-3</v>
      </c>
    </row>
    <row r="25" spans="1:15" x14ac:dyDescent="0.3">
      <c r="A25" s="30">
        <v>1.52777777777778E-2</v>
      </c>
      <c r="B25" s="31">
        <v>3.23495370370371E-2</v>
      </c>
      <c r="C25" s="30">
        <v>1.25E-3</v>
      </c>
      <c r="D25" s="25">
        <v>1.8518518518518519E-3</v>
      </c>
      <c r="E25" s="25">
        <v>2.488425925925926E-3</v>
      </c>
      <c r="F25" s="25">
        <v>3.0787037037037037E-3</v>
      </c>
      <c r="G25" s="25">
        <v>3.7037037037037038E-3</v>
      </c>
      <c r="H25" s="15">
        <v>4.9768518518518521E-3</v>
      </c>
      <c r="J25" s="30">
        <f t="shared" si="0"/>
        <v>3.1249999999999997E-3</v>
      </c>
      <c r="K25" s="14">
        <f t="shared" si="1"/>
        <v>3.08641975308642E-3</v>
      </c>
      <c r="L25" s="14">
        <f t="shared" si="2"/>
        <v>3.1105324074074073E-3</v>
      </c>
      <c r="M25" s="14">
        <f t="shared" si="3"/>
        <v>3.0787037037037037E-3</v>
      </c>
      <c r="N25" s="14">
        <f t="shared" si="4"/>
        <v>3.08641975308642E-3</v>
      </c>
      <c r="O25" s="15">
        <f t="shared" si="5"/>
        <v>3.1105324074074073E-3</v>
      </c>
    </row>
    <row r="26" spans="1:15" x14ac:dyDescent="0.3">
      <c r="A26" s="30">
        <v>1.5625E-2</v>
      </c>
      <c r="B26" s="31">
        <v>3.3101851851851799E-2</v>
      </c>
      <c r="C26" s="30">
        <v>1.2731481481481483E-3</v>
      </c>
      <c r="D26" s="25">
        <v>1.8981481481481482E-3</v>
      </c>
      <c r="E26" s="25">
        <v>2.5462962962962965E-3</v>
      </c>
      <c r="F26" s="25">
        <v>3.1250000000000002E-3</v>
      </c>
      <c r="G26" s="25">
        <v>3.7847222222222223E-3</v>
      </c>
      <c r="H26" s="15">
        <v>5.092592592592593E-3</v>
      </c>
      <c r="J26" s="30">
        <f t="shared" si="0"/>
        <v>3.1828703703703706E-3</v>
      </c>
      <c r="K26" s="14">
        <f t="shared" si="1"/>
        <v>3.1635802469135803E-3</v>
      </c>
      <c r="L26" s="14">
        <f t="shared" si="2"/>
        <v>3.1828703703703706E-3</v>
      </c>
      <c r="M26" s="14">
        <f t="shared" si="3"/>
        <v>3.1250000000000002E-3</v>
      </c>
      <c r="N26" s="14">
        <f t="shared" si="4"/>
        <v>3.1539351851851854E-3</v>
      </c>
      <c r="O26" s="15">
        <f t="shared" si="5"/>
        <v>3.1828703703703706E-3</v>
      </c>
    </row>
    <row r="27" spans="1:15" x14ac:dyDescent="0.3">
      <c r="A27" s="30">
        <v>1.59722222222222E-2</v>
      </c>
      <c r="B27" s="31">
        <v>3.3854166666666699E-2</v>
      </c>
      <c r="C27" s="30">
        <v>1.3078703703703703E-3</v>
      </c>
      <c r="D27" s="25">
        <v>1.9444444444444444E-3</v>
      </c>
      <c r="E27" s="25">
        <v>2.6041666666666665E-3</v>
      </c>
      <c r="F27" s="25">
        <v>3.1944444444444446E-3</v>
      </c>
      <c r="G27" s="25">
        <v>3.8773148148148148E-3</v>
      </c>
      <c r="H27" s="15">
        <v>5.208333333333333E-3</v>
      </c>
      <c r="J27" s="30">
        <f t="shared" si="0"/>
        <v>3.2696759259259254E-3</v>
      </c>
      <c r="K27" s="14">
        <f t="shared" si="1"/>
        <v>3.2407407407407406E-3</v>
      </c>
      <c r="L27" s="14">
        <f t="shared" si="2"/>
        <v>3.255208333333333E-3</v>
      </c>
      <c r="M27" s="14">
        <f t="shared" si="3"/>
        <v>3.1944444444444446E-3</v>
      </c>
      <c r="N27" s="14">
        <f t="shared" si="4"/>
        <v>3.2310956790123457E-3</v>
      </c>
      <c r="O27" s="15">
        <f t="shared" si="5"/>
        <v>3.255208333333333E-3</v>
      </c>
    </row>
    <row r="28" spans="1:15" x14ac:dyDescent="0.3">
      <c r="A28" s="30">
        <v>1.63194444444444E-2</v>
      </c>
      <c r="B28" s="31">
        <v>3.4606481481481502E-2</v>
      </c>
      <c r="C28" s="30">
        <v>1.3310185185185185E-3</v>
      </c>
      <c r="D28" s="25">
        <v>1.9791666666666668E-3</v>
      </c>
      <c r="E28" s="25">
        <v>2.662037037037037E-3</v>
      </c>
      <c r="F28" s="25">
        <v>3.2638888888888891E-3</v>
      </c>
      <c r="G28" s="25">
        <v>3.9583333333333337E-3</v>
      </c>
      <c r="H28" s="15">
        <v>5.324074074074074E-3</v>
      </c>
      <c r="J28" s="30">
        <f t="shared" si="0"/>
        <v>3.3275462962962959E-3</v>
      </c>
      <c r="K28" s="14">
        <f t="shared" si="1"/>
        <v>3.2986111111111115E-3</v>
      </c>
      <c r="L28" s="14">
        <f t="shared" si="2"/>
        <v>3.3275462962962959E-3</v>
      </c>
      <c r="M28" s="14">
        <f t="shared" si="3"/>
        <v>3.2638888888888891E-3</v>
      </c>
      <c r="N28" s="14">
        <f t="shared" si="4"/>
        <v>3.2986111111111115E-3</v>
      </c>
      <c r="O28" s="15">
        <f t="shared" si="5"/>
        <v>3.3275462962962959E-3</v>
      </c>
    </row>
    <row r="29" spans="1:15" x14ac:dyDescent="0.3">
      <c r="A29" s="30">
        <v>1.6666666666666701E-2</v>
      </c>
      <c r="B29" s="31">
        <v>3.5358796296296298E-2</v>
      </c>
      <c r="C29" s="30">
        <v>1.3657407407407407E-3</v>
      </c>
      <c r="D29" s="25">
        <v>2.0254629629629629E-3</v>
      </c>
      <c r="E29" s="25">
        <v>2.7199074074074074E-3</v>
      </c>
      <c r="F29" s="25">
        <v>3.3333333333333335E-3</v>
      </c>
      <c r="G29" s="25">
        <v>4.0509259259259257E-3</v>
      </c>
      <c r="H29" s="15">
        <v>5.4398148148148149E-3</v>
      </c>
      <c r="J29" s="30">
        <f t="shared" si="0"/>
        <v>3.4143518518518516E-3</v>
      </c>
      <c r="K29" s="14">
        <f t="shared" si="1"/>
        <v>3.3757716049382714E-3</v>
      </c>
      <c r="L29" s="14">
        <f t="shared" si="2"/>
        <v>3.3998842592592592E-3</v>
      </c>
      <c r="M29" s="14">
        <f t="shared" si="3"/>
        <v>3.3333333333333335E-3</v>
      </c>
      <c r="N29" s="14">
        <f t="shared" si="4"/>
        <v>3.3757716049382714E-3</v>
      </c>
      <c r="O29" s="15">
        <f t="shared" si="5"/>
        <v>3.3998842592592592E-3</v>
      </c>
    </row>
    <row r="30" spans="1:15" x14ac:dyDescent="0.3">
      <c r="A30" s="30">
        <v>1.7013888888888901E-2</v>
      </c>
      <c r="B30" s="31">
        <v>3.6111111111111101E-2</v>
      </c>
      <c r="C30" s="30">
        <v>1.4004629629629629E-3</v>
      </c>
      <c r="D30" s="25">
        <v>2.0717592592592593E-3</v>
      </c>
      <c r="E30" s="25">
        <v>2.7777777777777779E-3</v>
      </c>
      <c r="F30" s="25">
        <v>3.4027777777777776E-3</v>
      </c>
      <c r="G30" s="25">
        <v>4.1319444444444442E-3</v>
      </c>
      <c r="H30" s="15">
        <v>5.5555555555555558E-3</v>
      </c>
      <c r="J30" s="30">
        <f t="shared" si="0"/>
        <v>3.5011574074074073E-3</v>
      </c>
      <c r="K30" s="14">
        <f t="shared" si="1"/>
        <v>3.4529320987654322E-3</v>
      </c>
      <c r="L30" s="14">
        <f t="shared" si="2"/>
        <v>3.472222222222222E-3</v>
      </c>
      <c r="M30" s="14">
        <f t="shared" si="3"/>
        <v>3.4027777777777776E-3</v>
      </c>
      <c r="N30" s="14">
        <f t="shared" si="4"/>
        <v>3.4432870370370368E-3</v>
      </c>
      <c r="O30" s="15">
        <f t="shared" si="5"/>
        <v>3.472222222222222E-3</v>
      </c>
    </row>
    <row r="31" spans="1:15" x14ac:dyDescent="0.3">
      <c r="A31" s="30">
        <v>1.7361111111111101E-2</v>
      </c>
      <c r="B31" s="31">
        <v>3.6863425925925897E-2</v>
      </c>
      <c r="C31" s="30">
        <v>1.4236111111111112E-3</v>
      </c>
      <c r="D31" s="25">
        <v>2.1180555555555558E-3</v>
      </c>
      <c r="E31" s="25">
        <v>2.8356481481481483E-3</v>
      </c>
      <c r="F31" s="25">
        <v>3.472222222222222E-3</v>
      </c>
      <c r="G31" s="25">
        <v>4.2245370370370371E-3</v>
      </c>
      <c r="H31" s="15">
        <v>5.6712962962962967E-3</v>
      </c>
      <c r="J31" s="30">
        <f t="shared" si="0"/>
        <v>3.5590277777777777E-3</v>
      </c>
      <c r="K31" s="14">
        <f t="shared" si="1"/>
        <v>3.5300925925925929E-3</v>
      </c>
      <c r="L31" s="14">
        <f t="shared" si="2"/>
        <v>3.5445601851851853E-3</v>
      </c>
      <c r="M31" s="14">
        <f t="shared" si="3"/>
        <v>3.472222222222222E-3</v>
      </c>
      <c r="N31" s="14">
        <f t="shared" si="4"/>
        <v>3.5204475308641976E-3</v>
      </c>
      <c r="O31" s="15">
        <f t="shared" si="5"/>
        <v>3.5445601851851853E-3</v>
      </c>
    </row>
    <row r="32" spans="1:15" x14ac:dyDescent="0.3">
      <c r="A32" s="30">
        <v>1.7708333333333302E-2</v>
      </c>
      <c r="B32" s="31">
        <v>3.76157407407407E-2</v>
      </c>
      <c r="C32" s="30">
        <v>1.4583333333333334E-3</v>
      </c>
      <c r="D32" s="25">
        <v>2.1527777777777778E-3</v>
      </c>
      <c r="E32" s="25">
        <v>2.8935185185185184E-3</v>
      </c>
      <c r="F32" s="25">
        <v>3.5416666666666665E-3</v>
      </c>
      <c r="G32" s="25">
        <v>4.3055555555555555E-3</v>
      </c>
      <c r="H32" s="15">
        <v>5.7870370370370367E-3</v>
      </c>
      <c r="J32" s="30">
        <f t="shared" si="0"/>
        <v>3.6458333333333334E-3</v>
      </c>
      <c r="K32" s="14">
        <f t="shared" si="1"/>
        <v>3.5879629629629629E-3</v>
      </c>
      <c r="L32" s="14">
        <f t="shared" si="2"/>
        <v>3.6168981481481477E-3</v>
      </c>
      <c r="M32" s="14">
        <f t="shared" si="3"/>
        <v>3.5416666666666665E-3</v>
      </c>
      <c r="N32" s="14">
        <f t="shared" si="4"/>
        <v>3.5879629629629629E-3</v>
      </c>
      <c r="O32" s="15">
        <f t="shared" si="5"/>
        <v>3.6168981481481477E-3</v>
      </c>
    </row>
    <row r="33" spans="1:15" x14ac:dyDescent="0.3">
      <c r="A33" s="30">
        <v>1.8055555555555599E-2</v>
      </c>
      <c r="B33" s="31">
        <v>3.83680555555556E-2</v>
      </c>
      <c r="C33" s="30">
        <v>1.4814814814814814E-3</v>
      </c>
      <c r="D33" s="25">
        <v>2.1990740740740742E-3</v>
      </c>
      <c r="E33" s="25">
        <v>2.9513888888888888E-3</v>
      </c>
      <c r="F33" s="25">
        <v>3.6111111111111109E-3</v>
      </c>
      <c r="G33" s="25">
        <v>4.3981481481481484E-3</v>
      </c>
      <c r="H33" s="15">
        <v>5.9027777777777776E-3</v>
      </c>
      <c r="J33" s="30">
        <f t="shared" si="0"/>
        <v>3.7037037037037034E-3</v>
      </c>
      <c r="K33" s="14">
        <f t="shared" si="1"/>
        <v>3.6651234567901237E-3</v>
      </c>
      <c r="L33" s="14">
        <f t="shared" si="2"/>
        <v>3.689236111111111E-3</v>
      </c>
      <c r="M33" s="14">
        <f t="shared" si="3"/>
        <v>3.6111111111111109E-3</v>
      </c>
      <c r="N33" s="14">
        <f t="shared" si="4"/>
        <v>3.6651234567901237E-3</v>
      </c>
      <c r="O33" s="15">
        <f t="shared" si="5"/>
        <v>3.689236111111111E-3</v>
      </c>
    </row>
    <row r="34" spans="1:15" x14ac:dyDescent="0.3">
      <c r="A34" s="30">
        <v>1.8749999999999999E-2</v>
      </c>
      <c r="B34" s="31">
        <v>3.9872685185185185E-2</v>
      </c>
      <c r="C34" s="30">
        <v>1.5393518518518519E-3</v>
      </c>
      <c r="D34" s="25">
        <v>2.2800925925925927E-3</v>
      </c>
      <c r="E34" s="25">
        <v>3.0671296296296297E-3</v>
      </c>
      <c r="F34" s="25">
        <v>3.7499999999999999E-3</v>
      </c>
      <c r="G34" s="25">
        <v>4.5833333333333334E-3</v>
      </c>
      <c r="H34" s="15">
        <v>6.1342592592592594E-3</v>
      </c>
      <c r="J34" s="30">
        <f t="shared" si="0"/>
        <v>3.8483796296296295E-3</v>
      </c>
      <c r="K34" s="14">
        <f t="shared" si="1"/>
        <v>3.8001543209876545E-3</v>
      </c>
      <c r="L34" s="14">
        <f t="shared" si="2"/>
        <v>3.8339120370370371E-3</v>
      </c>
      <c r="M34" s="14">
        <f t="shared" si="3"/>
        <v>3.7499999999999999E-3</v>
      </c>
      <c r="N34" s="14">
        <f t="shared" si="4"/>
        <v>3.8194444444444448E-3</v>
      </c>
      <c r="O34" s="15">
        <f t="shared" si="5"/>
        <v>3.8339120370370371E-3</v>
      </c>
    </row>
    <row r="35" spans="1:15" x14ac:dyDescent="0.3">
      <c r="A35" s="30">
        <v>1.9444444444444445E-2</v>
      </c>
      <c r="B35" s="31">
        <v>4.1493055555555554E-2</v>
      </c>
      <c r="C35" s="30">
        <v>1.5972222222222223E-3</v>
      </c>
      <c r="D35" s="25">
        <v>2.3495370370370371E-3</v>
      </c>
      <c r="E35" s="25">
        <v>3.1828703703703702E-3</v>
      </c>
      <c r="F35" s="25">
        <v>3.8888888888888888E-3</v>
      </c>
      <c r="G35" s="25">
        <v>4.7569444444444447E-3</v>
      </c>
      <c r="H35" s="15">
        <v>6.3657407407407404E-3</v>
      </c>
      <c r="J35" s="30">
        <f t="shared" si="0"/>
        <v>3.9930555555555552E-3</v>
      </c>
      <c r="K35" s="14">
        <f t="shared" si="1"/>
        <v>3.9158950617283958E-3</v>
      </c>
      <c r="L35" s="14">
        <f t="shared" si="2"/>
        <v>3.9785879629629624E-3</v>
      </c>
      <c r="M35" s="14">
        <f t="shared" si="3"/>
        <v>3.8888888888888888E-3</v>
      </c>
      <c r="N35" s="14">
        <f t="shared" si="4"/>
        <v>3.9641203703703705E-3</v>
      </c>
      <c r="O35" s="15">
        <f t="shared" si="5"/>
        <v>3.9785879629629624E-3</v>
      </c>
    </row>
    <row r="36" spans="1:15" x14ac:dyDescent="0.3">
      <c r="A36" s="30">
        <v>2.0138888888888901E-2</v>
      </c>
      <c r="B36" s="31">
        <v>4.3113425925925923E-2</v>
      </c>
      <c r="C36" s="30">
        <v>1.6550925925925926E-3</v>
      </c>
      <c r="D36" s="25">
        <v>2.4305555555555556E-3</v>
      </c>
      <c r="E36" s="25">
        <v>3.2986111111111111E-3</v>
      </c>
      <c r="F36" s="25">
        <v>4.0277777777777777E-3</v>
      </c>
      <c r="G36" s="25">
        <v>4.9421296296296297E-3</v>
      </c>
      <c r="H36" s="15">
        <v>6.5972222222222222E-3</v>
      </c>
      <c r="J36" s="30">
        <f t="shared" si="0"/>
        <v>4.1377314814814809E-3</v>
      </c>
      <c r="K36" s="14">
        <f t="shared" si="1"/>
        <v>4.0509259259259266E-3</v>
      </c>
      <c r="L36" s="14">
        <f t="shared" si="2"/>
        <v>4.123263888888889E-3</v>
      </c>
      <c r="M36" s="14">
        <f t="shared" si="3"/>
        <v>4.0277777777777777E-3</v>
      </c>
      <c r="N36" s="14">
        <f t="shared" si="4"/>
        <v>4.118441358024692E-3</v>
      </c>
      <c r="O36" s="15">
        <f t="shared" si="5"/>
        <v>4.123263888888889E-3</v>
      </c>
    </row>
    <row r="37" spans="1:15" x14ac:dyDescent="0.3">
      <c r="A37" s="32">
        <v>2.0833333333333301E-2</v>
      </c>
      <c r="B37" s="33">
        <v>4.4733796296296299E-2</v>
      </c>
      <c r="C37" s="32">
        <v>1.712962962962963E-3</v>
      </c>
      <c r="D37" s="28">
        <v>2.5000000000000001E-3</v>
      </c>
      <c r="E37" s="28">
        <v>3.414351851851852E-3</v>
      </c>
      <c r="F37" s="28">
        <v>4.1666666666666666E-3</v>
      </c>
      <c r="G37" s="28">
        <v>5.1273148148148146E-3</v>
      </c>
      <c r="H37" s="18">
        <v>6.828703703703704E-3</v>
      </c>
      <c r="J37" s="32">
        <f t="shared" si="0"/>
        <v>4.2824074074074075E-3</v>
      </c>
      <c r="K37" s="17">
        <f t="shared" si="1"/>
        <v>4.1666666666666666E-3</v>
      </c>
      <c r="L37" s="17">
        <f t="shared" si="2"/>
        <v>4.2679398148148147E-3</v>
      </c>
      <c r="M37" s="17">
        <f t="shared" si="3"/>
        <v>4.1666666666666666E-3</v>
      </c>
      <c r="N37" s="17">
        <f t="shared" si="4"/>
        <v>4.2727623456790126E-3</v>
      </c>
      <c r="O37" s="18">
        <f t="shared" si="5"/>
        <v>4.2679398148148147E-3</v>
      </c>
    </row>
    <row r="38" spans="1:15" x14ac:dyDescent="0.3">
      <c r="A38" s="1"/>
      <c r="B38" s="1"/>
    </row>
    <row r="39" spans="1:15" x14ac:dyDescent="0.3">
      <c r="A39" s="1"/>
      <c r="B39" s="1"/>
    </row>
    <row r="40" spans="1:15" x14ac:dyDescent="0.3">
      <c r="A40" s="1"/>
      <c r="B40" s="1"/>
    </row>
    <row r="41" spans="1:15" x14ac:dyDescent="0.3">
      <c r="A41" s="1"/>
      <c r="B41" s="1"/>
    </row>
  </sheetData>
  <mergeCells count="9">
    <mergeCell ref="A10:H10"/>
    <mergeCell ref="A7:H7"/>
    <mergeCell ref="A1:H1"/>
    <mergeCell ref="A2:H2"/>
    <mergeCell ref="A3:H3"/>
    <mergeCell ref="A4:H4"/>
    <mergeCell ref="A5:H5"/>
    <mergeCell ref="A6:H6"/>
    <mergeCell ref="A8:H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ACD5-A478-4022-81F9-922B71372ECD}">
  <sheetPr codeName="工作表4"/>
  <dimension ref="A1:AJ39"/>
  <sheetViews>
    <sheetView topLeftCell="A7" zoomScale="89" zoomScaleNormal="95" workbookViewId="0">
      <selection activeCell="B9" sqref="B9:F9"/>
    </sheetView>
  </sheetViews>
  <sheetFormatPr defaultRowHeight="16.2" x14ac:dyDescent="0.3"/>
  <cols>
    <col min="1" max="1" width="15.109375" customWidth="1"/>
    <col min="2" max="2" width="18.6640625" bestFit="1" customWidth="1"/>
    <col min="3" max="3" width="19.44140625" bestFit="1" customWidth="1"/>
    <col min="4" max="4" width="22.77734375" bestFit="1" customWidth="1"/>
    <col min="5" max="6" width="21.33203125" bestFit="1" customWidth="1"/>
    <col min="7" max="7" width="21.6640625" customWidth="1"/>
    <col min="8" max="8" width="19.44140625" bestFit="1" customWidth="1"/>
    <col min="9" max="9" width="15" bestFit="1" customWidth="1"/>
    <col min="10" max="10" width="15.21875" bestFit="1" customWidth="1"/>
  </cols>
  <sheetData>
    <row r="1" spans="1:36" ht="33.6" thickBot="1" x14ac:dyDescent="0.35">
      <c r="A1" s="242" t="s">
        <v>49</v>
      </c>
      <c r="B1" s="243"/>
      <c r="C1" s="243"/>
      <c r="D1" s="243"/>
      <c r="E1" s="243"/>
      <c r="F1" s="243"/>
      <c r="G1" s="243"/>
      <c r="H1" s="243"/>
      <c r="I1" s="243"/>
      <c r="J1" s="244"/>
    </row>
    <row r="2" spans="1:36" x14ac:dyDescent="0.3">
      <c r="A2" s="226" t="s">
        <v>14</v>
      </c>
      <c r="B2" s="227"/>
      <c r="C2" s="227"/>
      <c r="D2" s="227"/>
      <c r="E2" s="227"/>
      <c r="F2" s="227"/>
      <c r="G2" s="227"/>
      <c r="H2" s="227"/>
      <c r="I2" s="227"/>
      <c r="J2" s="228"/>
    </row>
    <row r="3" spans="1:36" x14ac:dyDescent="0.3">
      <c r="A3" s="226" t="s">
        <v>19</v>
      </c>
      <c r="B3" s="227"/>
      <c r="C3" s="227"/>
      <c r="D3" s="227"/>
      <c r="E3" s="227"/>
      <c r="F3" s="227"/>
      <c r="G3" s="227"/>
      <c r="H3" s="227"/>
      <c r="I3" s="227"/>
      <c r="J3" s="228"/>
    </row>
    <row r="4" spans="1:36" x14ac:dyDescent="0.3">
      <c r="A4" s="245" t="s">
        <v>15</v>
      </c>
      <c r="B4" s="246"/>
      <c r="C4" s="246"/>
      <c r="D4" s="246"/>
      <c r="E4" s="246"/>
      <c r="F4" s="246"/>
      <c r="G4" s="246"/>
      <c r="H4" s="246"/>
      <c r="I4" s="246"/>
      <c r="J4" s="247"/>
    </row>
    <row r="5" spans="1:36" x14ac:dyDescent="0.3">
      <c r="A5" s="245" t="s">
        <v>12</v>
      </c>
      <c r="B5" s="246"/>
      <c r="C5" s="246"/>
      <c r="D5" s="246"/>
      <c r="E5" s="246"/>
      <c r="F5" s="246"/>
      <c r="G5" s="246"/>
      <c r="H5" s="246"/>
      <c r="I5" s="246"/>
      <c r="J5" s="247"/>
    </row>
    <row r="6" spans="1:36" ht="16.8" thickBot="1" x14ac:dyDescent="0.35">
      <c r="A6" s="238" t="s">
        <v>22</v>
      </c>
      <c r="B6" s="239"/>
      <c r="C6" s="239"/>
      <c r="D6" s="239"/>
      <c r="E6" s="239"/>
      <c r="F6" s="239"/>
      <c r="G6" s="239"/>
      <c r="H6" s="239"/>
      <c r="I6" s="239"/>
      <c r="J6" s="240"/>
    </row>
    <row r="8" spans="1:36" x14ac:dyDescent="0.3">
      <c r="A8" s="225" t="s">
        <v>27</v>
      </c>
      <c r="B8" s="225"/>
      <c r="C8" s="225"/>
      <c r="D8" s="225"/>
      <c r="E8" s="225"/>
      <c r="F8" s="225"/>
      <c r="H8" s="241" t="s">
        <v>18</v>
      </c>
      <c r="I8" s="241"/>
      <c r="J8" s="241"/>
    </row>
    <row r="9" spans="1:36" x14ac:dyDescent="0.3">
      <c r="A9" s="19" t="s">
        <v>16</v>
      </c>
      <c r="B9" s="20" t="s">
        <v>96</v>
      </c>
      <c r="C9" s="9" t="s">
        <v>92</v>
      </c>
      <c r="D9" s="9" t="s">
        <v>93</v>
      </c>
      <c r="E9" s="9" t="s">
        <v>94</v>
      </c>
      <c r="F9" s="21" t="s">
        <v>95</v>
      </c>
      <c r="H9" s="20" t="s">
        <v>20</v>
      </c>
      <c r="I9" s="9" t="s">
        <v>78</v>
      </c>
      <c r="J9" s="21" t="s">
        <v>21</v>
      </c>
    </row>
    <row r="10" spans="1:36" x14ac:dyDescent="0.3">
      <c r="A10" s="10">
        <v>4.3402777777777776E-2</v>
      </c>
      <c r="B10" s="13">
        <f t="shared" ref="B10:B36" si="0">(A10/ 13.1094- TIME(0,0,10)) / 1.609</f>
        <v>1.9857505931658139E-3</v>
      </c>
      <c r="C10" s="14">
        <f>B10 *1.609</f>
        <v>3.1950727044037946E-3</v>
      </c>
      <c r="D10" s="14">
        <f>B10*1.5 * 1.609</f>
        <v>4.7926090566056921E-3</v>
      </c>
      <c r="E10" s="14">
        <f>B10 *2*1.609</f>
        <v>6.3901454088075892E-3</v>
      </c>
      <c r="F10" s="15">
        <f>B10*3*1.609</f>
        <v>9.5852181132113842E-3</v>
      </c>
      <c r="G10" s="5"/>
      <c r="H10" s="22">
        <f>(A10/ 13.1094- TIME(0,0,10))</f>
        <v>3.1950727044037946E-3</v>
      </c>
      <c r="I10" s="23">
        <f>H10*1.5</f>
        <v>4.7926090566056921E-3</v>
      </c>
      <c r="J10" s="24">
        <f>H10*2</f>
        <v>6.3901454088075892E-3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s="11">
        <v>4.4965277777777778E-2</v>
      </c>
      <c r="B11" s="13">
        <f t="shared" si="0"/>
        <v>2.0598272146855178E-3</v>
      </c>
      <c r="C11" s="14">
        <f t="shared" ref="C11:C36" si="1">B11 *1.609</f>
        <v>3.3142619884289981E-3</v>
      </c>
      <c r="D11" s="14">
        <f t="shared" ref="D11:D36" si="2">B11*1.5 * 1.609</f>
        <v>4.9713929826434968E-3</v>
      </c>
      <c r="E11" s="14">
        <f t="shared" ref="E11:E36" si="3">B11 *2*1.609</f>
        <v>6.6285239768579963E-3</v>
      </c>
      <c r="F11" s="15">
        <f t="shared" ref="F11:F36" si="4">B11*3*1.609</f>
        <v>9.9427859652869936E-3</v>
      </c>
      <c r="G11" s="5"/>
      <c r="H11" s="13">
        <f t="shared" ref="H11:H36" si="5">(A11/ 13.1094- TIME(0,0,10))</f>
        <v>3.3142619884289981E-3</v>
      </c>
      <c r="I11" s="25">
        <f t="shared" ref="I11:I36" si="6">H11*1.5</f>
        <v>4.9713929826434976E-3</v>
      </c>
      <c r="J11" s="26">
        <f t="shared" ref="J11:J36" si="7">H11*2</f>
        <v>6.6285239768579963E-3</v>
      </c>
    </row>
    <row r="12" spans="1:36" x14ac:dyDescent="0.3">
      <c r="A12" s="11">
        <v>4.2442129629629628E-2</v>
      </c>
      <c r="B12" s="13">
        <f t="shared" si="0"/>
        <v>1.9402071888240701E-3</v>
      </c>
      <c r="C12" s="14">
        <f t="shared" si="1"/>
        <v>3.1217933668179288E-3</v>
      </c>
      <c r="D12" s="14">
        <f t="shared" si="2"/>
        <v>4.6826900502268927E-3</v>
      </c>
      <c r="E12" s="14">
        <f t="shared" si="3"/>
        <v>6.2435867336358575E-3</v>
      </c>
      <c r="F12" s="15">
        <f t="shared" si="4"/>
        <v>9.3653801004537855E-3</v>
      </c>
      <c r="G12" s="4"/>
      <c r="H12" s="13">
        <f t="shared" si="5"/>
        <v>3.1217933668179288E-3</v>
      </c>
      <c r="I12" s="25">
        <f t="shared" si="6"/>
        <v>4.6826900502268936E-3</v>
      </c>
      <c r="J12" s="26">
        <f t="shared" si="7"/>
        <v>6.2435867336358575E-3</v>
      </c>
    </row>
    <row r="13" spans="1:36" x14ac:dyDescent="0.3">
      <c r="A13" s="11">
        <v>4.8263888888888891E-2</v>
      </c>
      <c r="B13" s="13">
        <f t="shared" si="0"/>
        <v>2.2162111934493369E-3</v>
      </c>
      <c r="C13" s="14">
        <f t="shared" si="1"/>
        <v>3.565883810259983E-3</v>
      </c>
      <c r="D13" s="14">
        <f t="shared" si="2"/>
        <v>5.3488257153899745E-3</v>
      </c>
      <c r="E13" s="14">
        <f t="shared" si="3"/>
        <v>7.1317676205199659E-3</v>
      </c>
      <c r="F13" s="15">
        <f t="shared" si="4"/>
        <v>1.0697651430779949E-2</v>
      </c>
      <c r="G13" s="4"/>
      <c r="H13" s="13">
        <f t="shared" si="5"/>
        <v>3.565883810259983E-3</v>
      </c>
      <c r="I13" s="25">
        <f t="shared" si="6"/>
        <v>5.3488257153899745E-3</v>
      </c>
      <c r="J13" s="26">
        <f t="shared" si="7"/>
        <v>7.1317676205199659E-3</v>
      </c>
    </row>
    <row r="14" spans="1:36" x14ac:dyDescent="0.3">
      <c r="A14" s="11">
        <v>0.05</v>
      </c>
      <c r="B14" s="13">
        <f t="shared" si="0"/>
        <v>2.298518550693452E-3</v>
      </c>
      <c r="C14" s="14">
        <f t="shared" si="1"/>
        <v>3.6983163480657642E-3</v>
      </c>
      <c r="D14" s="14">
        <f t="shared" si="2"/>
        <v>5.5474745220986466E-3</v>
      </c>
      <c r="E14" s="14">
        <f t="shared" si="3"/>
        <v>7.3966326961315285E-3</v>
      </c>
      <c r="F14" s="15">
        <f t="shared" si="4"/>
        <v>1.1094949044197293E-2</v>
      </c>
      <c r="G14" s="4"/>
      <c r="H14" s="13">
        <f t="shared" si="5"/>
        <v>3.6983163480657642E-3</v>
      </c>
      <c r="I14" s="25">
        <f t="shared" si="6"/>
        <v>5.5474745220986466E-3</v>
      </c>
      <c r="J14" s="26">
        <f t="shared" si="7"/>
        <v>7.3966326961315285E-3</v>
      </c>
    </row>
    <row r="15" spans="1:36" x14ac:dyDescent="0.3">
      <c r="A15" s="11">
        <v>5.1388888888888887E-2</v>
      </c>
      <c r="B15" s="13">
        <f t="shared" si="0"/>
        <v>2.3643644364887439E-3</v>
      </c>
      <c r="C15" s="14">
        <f t="shared" si="1"/>
        <v>3.8042623783103888E-3</v>
      </c>
      <c r="D15" s="14">
        <f t="shared" si="2"/>
        <v>5.7063935674655838E-3</v>
      </c>
      <c r="E15" s="14">
        <f t="shared" si="3"/>
        <v>7.6085247566207775E-3</v>
      </c>
      <c r="F15" s="15">
        <f t="shared" si="4"/>
        <v>1.1412787134931168E-2</v>
      </c>
      <c r="G15" s="4"/>
      <c r="H15" s="27">
        <f t="shared" si="5"/>
        <v>3.8042623783103892E-3</v>
      </c>
      <c r="I15" s="25">
        <f t="shared" si="6"/>
        <v>5.7063935674655838E-3</v>
      </c>
      <c r="J15" s="26">
        <f t="shared" si="7"/>
        <v>7.6085247566207784E-3</v>
      </c>
    </row>
    <row r="16" spans="1:36" x14ac:dyDescent="0.3">
      <c r="A16" s="11">
        <v>5.347222222222222E-2</v>
      </c>
      <c r="B16" s="13">
        <f t="shared" si="0"/>
        <v>2.4631332651816819E-3</v>
      </c>
      <c r="C16" s="14">
        <f t="shared" si="1"/>
        <v>3.9631814236773264E-3</v>
      </c>
      <c r="D16" s="14">
        <f t="shared" si="2"/>
        <v>5.9447721355159891E-3</v>
      </c>
      <c r="E16" s="14">
        <f t="shared" si="3"/>
        <v>7.9263628473546528E-3</v>
      </c>
      <c r="F16" s="15">
        <f t="shared" si="4"/>
        <v>1.1889544271031978E-2</v>
      </c>
      <c r="G16" s="4"/>
      <c r="H16" s="13">
        <f t="shared" si="5"/>
        <v>3.9631814236773264E-3</v>
      </c>
      <c r="I16" s="25">
        <f t="shared" si="6"/>
        <v>5.94477213551599E-3</v>
      </c>
      <c r="J16" s="26">
        <f t="shared" si="7"/>
        <v>7.9263628473546528E-3</v>
      </c>
    </row>
    <row r="17" spans="1:10" x14ac:dyDescent="0.3">
      <c r="A17" s="11">
        <v>5.486111111111111E-2</v>
      </c>
      <c r="B17" s="13">
        <f t="shared" si="0"/>
        <v>2.5289791509769742E-3</v>
      </c>
      <c r="C17" s="14">
        <f t="shared" si="1"/>
        <v>4.0691274539219517E-3</v>
      </c>
      <c r="D17" s="14">
        <f t="shared" si="2"/>
        <v>6.1036911808829272E-3</v>
      </c>
      <c r="E17" s="14">
        <f t="shared" si="3"/>
        <v>8.1382549078439035E-3</v>
      </c>
      <c r="F17" s="15">
        <f t="shared" si="4"/>
        <v>1.2207382361765854E-2</v>
      </c>
      <c r="G17" s="4"/>
      <c r="H17" s="13">
        <f t="shared" si="5"/>
        <v>4.0691274539219517E-3</v>
      </c>
      <c r="I17" s="25">
        <f t="shared" si="6"/>
        <v>6.1036911808829281E-3</v>
      </c>
      <c r="J17" s="26">
        <f t="shared" si="7"/>
        <v>8.1382549078439035E-3</v>
      </c>
    </row>
    <row r="18" spans="1:10" x14ac:dyDescent="0.3">
      <c r="A18" s="11">
        <v>5.6597222222222222E-2</v>
      </c>
      <c r="B18" s="13">
        <f t="shared" si="0"/>
        <v>2.6112865082210898E-3</v>
      </c>
      <c r="C18" s="14">
        <f t="shared" si="1"/>
        <v>4.2015599917277335E-3</v>
      </c>
      <c r="D18" s="14">
        <f t="shared" si="2"/>
        <v>6.3023399875916002E-3</v>
      </c>
      <c r="E18" s="14">
        <f t="shared" si="3"/>
        <v>8.4031199834554669E-3</v>
      </c>
      <c r="F18" s="15">
        <f t="shared" si="4"/>
        <v>1.26046799751832E-2</v>
      </c>
      <c r="G18" s="4"/>
      <c r="H18" s="13">
        <f t="shared" si="5"/>
        <v>4.2015599917277335E-3</v>
      </c>
      <c r="I18" s="25">
        <f t="shared" si="6"/>
        <v>6.3023399875916002E-3</v>
      </c>
      <c r="J18" s="26">
        <f t="shared" si="7"/>
        <v>8.4031199834554669E-3</v>
      </c>
    </row>
    <row r="19" spans="1:10" x14ac:dyDescent="0.3">
      <c r="A19" s="11">
        <v>5.8333333333333334E-2</v>
      </c>
      <c r="B19" s="13">
        <f t="shared" si="0"/>
        <v>2.6935938654652053E-3</v>
      </c>
      <c r="C19" s="14">
        <f t="shared" si="1"/>
        <v>4.3339925295335152E-3</v>
      </c>
      <c r="D19" s="14">
        <f t="shared" si="2"/>
        <v>6.5009887943002723E-3</v>
      </c>
      <c r="E19" s="14">
        <f t="shared" si="3"/>
        <v>8.6679850590670304E-3</v>
      </c>
      <c r="F19" s="15">
        <f t="shared" si="4"/>
        <v>1.3001977588600545E-2</v>
      </c>
      <c r="G19" s="4"/>
      <c r="H19" s="13">
        <f t="shared" si="5"/>
        <v>4.3339925295335152E-3</v>
      </c>
      <c r="I19" s="25">
        <f t="shared" si="6"/>
        <v>6.5009887943002723E-3</v>
      </c>
      <c r="J19" s="26">
        <f t="shared" si="7"/>
        <v>8.6679850590670304E-3</v>
      </c>
    </row>
    <row r="20" spans="1:10" x14ac:dyDescent="0.3">
      <c r="A20" s="11">
        <v>5.9722222222222225E-2</v>
      </c>
      <c r="B20" s="13">
        <f t="shared" si="0"/>
        <v>2.7594397512604976E-3</v>
      </c>
      <c r="C20" s="14">
        <f t="shared" si="1"/>
        <v>4.4399385597781406E-3</v>
      </c>
      <c r="D20" s="14">
        <f t="shared" si="2"/>
        <v>6.6599078396672113E-3</v>
      </c>
      <c r="E20" s="14">
        <f t="shared" si="3"/>
        <v>8.8798771195562811E-3</v>
      </c>
      <c r="F20" s="15">
        <f t="shared" si="4"/>
        <v>1.3319815679334423E-2</v>
      </c>
      <c r="G20" s="4"/>
      <c r="H20" s="13">
        <f t="shared" si="5"/>
        <v>4.4399385597781406E-3</v>
      </c>
      <c r="I20" s="25">
        <f t="shared" si="6"/>
        <v>6.6599078396672104E-3</v>
      </c>
      <c r="J20" s="26">
        <f t="shared" si="7"/>
        <v>8.8798771195562811E-3</v>
      </c>
    </row>
    <row r="21" spans="1:10" x14ac:dyDescent="0.3">
      <c r="A21" s="11">
        <v>6.1805555555555558E-2</v>
      </c>
      <c r="B21" s="13">
        <f t="shared" si="0"/>
        <v>2.8582085799534356E-3</v>
      </c>
      <c r="C21" s="14">
        <f t="shared" si="1"/>
        <v>4.5988576051450777E-3</v>
      </c>
      <c r="D21" s="14">
        <f t="shared" si="2"/>
        <v>6.8982864077176175E-3</v>
      </c>
      <c r="E21" s="14">
        <f t="shared" si="3"/>
        <v>9.1977152102901555E-3</v>
      </c>
      <c r="F21" s="15">
        <f t="shared" si="4"/>
        <v>1.3796572815435235E-2</v>
      </c>
      <c r="G21" s="4"/>
      <c r="H21" s="13">
        <f t="shared" si="5"/>
        <v>4.5988576051450777E-3</v>
      </c>
      <c r="I21" s="25">
        <f t="shared" si="6"/>
        <v>6.8982864077176166E-3</v>
      </c>
      <c r="J21" s="26">
        <f t="shared" si="7"/>
        <v>9.1977152102901555E-3</v>
      </c>
    </row>
    <row r="22" spans="1:10" x14ac:dyDescent="0.3">
      <c r="A22" s="11">
        <v>6.3194444444444442E-2</v>
      </c>
      <c r="B22" s="13">
        <f t="shared" si="0"/>
        <v>2.9240544657487279E-3</v>
      </c>
      <c r="C22" s="14">
        <f t="shared" si="1"/>
        <v>4.7048036353897031E-3</v>
      </c>
      <c r="D22" s="14">
        <f t="shared" si="2"/>
        <v>7.0572054530845547E-3</v>
      </c>
      <c r="E22" s="14">
        <f t="shared" si="3"/>
        <v>9.4096072707794062E-3</v>
      </c>
      <c r="F22" s="15">
        <f t="shared" si="4"/>
        <v>1.4114410906169109E-2</v>
      </c>
      <c r="G22" s="4"/>
      <c r="H22" s="13">
        <f t="shared" si="5"/>
        <v>4.7048036353897031E-3</v>
      </c>
      <c r="I22" s="25">
        <f t="shared" si="6"/>
        <v>7.0572054530845547E-3</v>
      </c>
      <c r="J22" s="26">
        <f t="shared" si="7"/>
        <v>9.4096072707794062E-3</v>
      </c>
    </row>
    <row r="23" spans="1:10" x14ac:dyDescent="0.3">
      <c r="A23" s="11">
        <v>6.4930555555555561E-2</v>
      </c>
      <c r="B23" s="13">
        <f t="shared" si="0"/>
        <v>3.0063618229928435E-3</v>
      </c>
      <c r="C23" s="14">
        <f t="shared" si="1"/>
        <v>4.8372361731954848E-3</v>
      </c>
      <c r="D23" s="14">
        <f t="shared" si="2"/>
        <v>7.2558542597932277E-3</v>
      </c>
      <c r="E23" s="14">
        <f t="shared" si="3"/>
        <v>9.6744723463909697E-3</v>
      </c>
      <c r="F23" s="15">
        <f t="shared" si="4"/>
        <v>1.4511708519586455E-2</v>
      </c>
      <c r="G23" s="1"/>
      <c r="H23" s="13">
        <f t="shared" si="5"/>
        <v>4.8372361731954848E-3</v>
      </c>
      <c r="I23" s="25">
        <f t="shared" si="6"/>
        <v>7.2558542597932277E-3</v>
      </c>
      <c r="J23" s="26">
        <f t="shared" si="7"/>
        <v>9.6744723463909697E-3</v>
      </c>
    </row>
    <row r="24" spans="1:10" x14ac:dyDescent="0.3">
      <c r="A24" s="11">
        <v>6.6666666666666666E-2</v>
      </c>
      <c r="B24" s="13">
        <f t="shared" si="0"/>
        <v>3.0886691802369582E-3</v>
      </c>
      <c r="C24" s="14">
        <f t="shared" si="1"/>
        <v>4.9696687110012657E-3</v>
      </c>
      <c r="D24" s="14">
        <f t="shared" si="2"/>
        <v>7.454503066501899E-3</v>
      </c>
      <c r="E24" s="14">
        <f t="shared" si="3"/>
        <v>9.9393374220025314E-3</v>
      </c>
      <c r="F24" s="15">
        <f t="shared" si="4"/>
        <v>1.4909006133003798E-2</v>
      </c>
      <c r="G24" s="1"/>
      <c r="H24" s="13">
        <f t="shared" si="5"/>
        <v>4.9696687110012657E-3</v>
      </c>
      <c r="I24" s="25">
        <f t="shared" si="6"/>
        <v>7.454503066501899E-3</v>
      </c>
      <c r="J24" s="26">
        <f t="shared" si="7"/>
        <v>9.9393374220025314E-3</v>
      </c>
    </row>
    <row r="25" spans="1:10" x14ac:dyDescent="0.3">
      <c r="A25" s="11">
        <v>6.805555555555555E-2</v>
      </c>
      <c r="B25" s="13">
        <f t="shared" si="0"/>
        <v>3.1545150660322501E-3</v>
      </c>
      <c r="C25" s="14">
        <f t="shared" si="1"/>
        <v>5.0756147412458902E-3</v>
      </c>
      <c r="D25" s="14">
        <f t="shared" si="2"/>
        <v>7.6134221118688361E-3</v>
      </c>
      <c r="E25" s="14">
        <f t="shared" si="3"/>
        <v>1.015122948249178E-2</v>
      </c>
      <c r="F25" s="15">
        <f t="shared" si="4"/>
        <v>1.5226844223737672E-2</v>
      </c>
      <c r="G25" s="1"/>
      <c r="H25" s="13">
        <f t="shared" si="5"/>
        <v>5.0756147412458902E-3</v>
      </c>
      <c r="I25" s="25">
        <f t="shared" si="6"/>
        <v>7.6134221118688353E-3</v>
      </c>
      <c r="J25" s="26">
        <f t="shared" si="7"/>
        <v>1.015122948249178E-2</v>
      </c>
    </row>
    <row r="26" spans="1:10" x14ac:dyDescent="0.3">
      <c r="A26" s="11">
        <v>7.013888888888889E-2</v>
      </c>
      <c r="B26" s="13">
        <f t="shared" si="0"/>
        <v>3.2532838947251885E-3</v>
      </c>
      <c r="C26" s="14">
        <f t="shared" si="1"/>
        <v>5.2345337866128282E-3</v>
      </c>
      <c r="D26" s="14">
        <f t="shared" si="2"/>
        <v>7.8518006799192415E-3</v>
      </c>
      <c r="E26" s="14">
        <f t="shared" si="3"/>
        <v>1.0469067573225656E-2</v>
      </c>
      <c r="F26" s="15">
        <f t="shared" si="4"/>
        <v>1.5703601359838483E-2</v>
      </c>
      <c r="G26" s="1"/>
      <c r="H26" s="13">
        <f t="shared" si="5"/>
        <v>5.2345337866128282E-3</v>
      </c>
      <c r="I26" s="25">
        <f t="shared" si="6"/>
        <v>7.8518006799192415E-3</v>
      </c>
      <c r="J26" s="26">
        <f t="shared" si="7"/>
        <v>1.0469067573225656E-2</v>
      </c>
    </row>
    <row r="27" spans="1:10" x14ac:dyDescent="0.3">
      <c r="A27" s="11">
        <v>7.1527777777777773E-2</v>
      </c>
      <c r="B27" s="13">
        <f t="shared" si="0"/>
        <v>3.3191297805204808E-3</v>
      </c>
      <c r="C27" s="14">
        <f t="shared" si="1"/>
        <v>5.3404798168574536E-3</v>
      </c>
      <c r="D27" s="14">
        <f t="shared" si="2"/>
        <v>8.0107197252861813E-3</v>
      </c>
      <c r="E27" s="14">
        <f t="shared" si="3"/>
        <v>1.0680959633714907E-2</v>
      </c>
      <c r="F27" s="15">
        <f t="shared" si="4"/>
        <v>1.6021439450572363E-2</v>
      </c>
      <c r="G27" s="1"/>
      <c r="H27" s="13">
        <f t="shared" si="5"/>
        <v>5.3404798168574536E-3</v>
      </c>
      <c r="I27" s="25">
        <f t="shared" si="6"/>
        <v>8.0107197252861813E-3</v>
      </c>
      <c r="J27" s="26">
        <f t="shared" si="7"/>
        <v>1.0680959633714907E-2</v>
      </c>
    </row>
    <row r="28" spans="1:10" x14ac:dyDescent="0.3">
      <c r="A28" s="11">
        <v>7.2916666666666671E-2</v>
      </c>
      <c r="B28" s="13">
        <f t="shared" si="0"/>
        <v>3.3849756663157731E-3</v>
      </c>
      <c r="C28" s="14">
        <f t="shared" si="1"/>
        <v>5.446425847102079E-3</v>
      </c>
      <c r="D28" s="14">
        <f t="shared" si="2"/>
        <v>8.1696387706531176E-3</v>
      </c>
      <c r="E28" s="14">
        <f t="shared" si="3"/>
        <v>1.0892851694204158E-2</v>
      </c>
      <c r="F28" s="15">
        <f t="shared" si="4"/>
        <v>1.6339277541306235E-2</v>
      </c>
      <c r="G28" s="1"/>
      <c r="H28" s="13">
        <f t="shared" si="5"/>
        <v>5.446425847102079E-3</v>
      </c>
      <c r="I28" s="25">
        <f t="shared" si="6"/>
        <v>8.1696387706531176E-3</v>
      </c>
      <c r="J28" s="26">
        <f t="shared" si="7"/>
        <v>1.0892851694204158E-2</v>
      </c>
    </row>
    <row r="29" spans="1:10" x14ac:dyDescent="0.3">
      <c r="A29" s="11">
        <v>7.4999999999999997E-2</v>
      </c>
      <c r="B29" s="13">
        <f t="shared" si="0"/>
        <v>3.4837444950087111E-3</v>
      </c>
      <c r="C29" s="14">
        <f t="shared" si="1"/>
        <v>5.6053448924690162E-3</v>
      </c>
      <c r="D29" s="14">
        <f t="shared" si="2"/>
        <v>8.4080173387035238E-3</v>
      </c>
      <c r="E29" s="14">
        <f t="shared" si="3"/>
        <v>1.1210689784938032E-2</v>
      </c>
      <c r="F29" s="15">
        <f t="shared" si="4"/>
        <v>1.6816034677407048E-2</v>
      </c>
      <c r="G29" s="1"/>
      <c r="H29" s="13">
        <f t="shared" si="5"/>
        <v>5.6053448924690162E-3</v>
      </c>
      <c r="I29" s="25">
        <f t="shared" si="6"/>
        <v>8.4080173387035238E-3</v>
      </c>
      <c r="J29" s="26">
        <f t="shared" si="7"/>
        <v>1.1210689784938032E-2</v>
      </c>
    </row>
    <row r="30" spans="1:10" x14ac:dyDescent="0.3">
      <c r="A30" s="11">
        <v>7.6388888888888895E-2</v>
      </c>
      <c r="B30" s="13">
        <f t="shared" si="0"/>
        <v>3.5495903808040038E-3</v>
      </c>
      <c r="C30" s="14">
        <f t="shared" si="1"/>
        <v>5.7112909227136424E-3</v>
      </c>
      <c r="D30" s="14">
        <f t="shared" si="2"/>
        <v>8.5669363840704619E-3</v>
      </c>
      <c r="E30" s="14">
        <f t="shared" si="3"/>
        <v>1.1422581845427285E-2</v>
      </c>
      <c r="F30" s="15">
        <f t="shared" si="4"/>
        <v>1.7133872768140924E-2</v>
      </c>
      <c r="G30" s="1"/>
      <c r="H30" s="13">
        <f t="shared" si="5"/>
        <v>5.7112909227136424E-3</v>
      </c>
      <c r="I30" s="25">
        <f t="shared" si="6"/>
        <v>8.5669363840704636E-3</v>
      </c>
      <c r="J30" s="26">
        <f t="shared" si="7"/>
        <v>1.1422581845427285E-2</v>
      </c>
    </row>
    <row r="31" spans="1:10" x14ac:dyDescent="0.3">
      <c r="A31" s="11">
        <v>7.8472222222222221E-2</v>
      </c>
      <c r="B31" s="13">
        <f t="shared" si="0"/>
        <v>3.6483592094969418E-3</v>
      </c>
      <c r="C31" s="14">
        <f t="shared" si="1"/>
        <v>5.8702099680805796E-3</v>
      </c>
      <c r="D31" s="14">
        <f t="shared" si="2"/>
        <v>8.8053149521208698E-3</v>
      </c>
      <c r="E31" s="14">
        <f t="shared" si="3"/>
        <v>1.1740419936161159E-2</v>
      </c>
      <c r="F31" s="15">
        <f t="shared" si="4"/>
        <v>1.761062990424174E-2</v>
      </c>
      <c r="G31" s="1"/>
      <c r="H31" s="13">
        <f t="shared" si="5"/>
        <v>5.8702099680805796E-3</v>
      </c>
      <c r="I31" s="25">
        <f t="shared" si="6"/>
        <v>8.8053149521208698E-3</v>
      </c>
      <c r="J31" s="26">
        <f t="shared" si="7"/>
        <v>1.1740419936161159E-2</v>
      </c>
    </row>
    <row r="32" spans="1:10" x14ac:dyDescent="0.3">
      <c r="A32" s="11">
        <v>7.9861111111111105E-2</v>
      </c>
      <c r="B32" s="13">
        <f t="shared" si="0"/>
        <v>3.7142050952922337E-3</v>
      </c>
      <c r="C32" s="14">
        <f t="shared" si="1"/>
        <v>5.9761559983252041E-3</v>
      </c>
      <c r="D32" s="14">
        <f t="shared" si="2"/>
        <v>8.9642339974878062E-3</v>
      </c>
      <c r="E32" s="14">
        <f t="shared" si="3"/>
        <v>1.1952311996650408E-2</v>
      </c>
      <c r="F32" s="15">
        <f t="shared" si="4"/>
        <v>1.7928467994975612E-2</v>
      </c>
      <c r="G32" s="1"/>
      <c r="H32" s="13">
        <f t="shared" si="5"/>
        <v>5.9761559983252041E-3</v>
      </c>
      <c r="I32" s="25">
        <f t="shared" si="6"/>
        <v>8.9642339974878062E-3</v>
      </c>
      <c r="J32" s="26">
        <f t="shared" si="7"/>
        <v>1.1952311996650408E-2</v>
      </c>
    </row>
    <row r="33" spans="1:10" x14ac:dyDescent="0.3">
      <c r="A33" s="11">
        <v>8.4722222222222227E-2</v>
      </c>
      <c r="B33" s="13">
        <f t="shared" si="0"/>
        <v>3.9446656955757567E-3</v>
      </c>
      <c r="C33" s="14">
        <f t="shared" si="1"/>
        <v>6.346967104181392E-3</v>
      </c>
      <c r="D33" s="14">
        <f t="shared" si="2"/>
        <v>9.5204506562720885E-3</v>
      </c>
      <c r="E33" s="14">
        <f t="shared" si="3"/>
        <v>1.2693934208362784E-2</v>
      </c>
      <c r="F33" s="15">
        <f t="shared" si="4"/>
        <v>1.9040901312544177E-2</v>
      </c>
      <c r="G33" s="1"/>
      <c r="H33" s="13">
        <f t="shared" si="5"/>
        <v>6.3469671041813929E-3</v>
      </c>
      <c r="I33" s="25">
        <f t="shared" si="6"/>
        <v>9.5204506562720885E-3</v>
      </c>
      <c r="J33" s="26">
        <f t="shared" si="7"/>
        <v>1.2693934208362786E-2</v>
      </c>
    </row>
    <row r="34" spans="1:10" x14ac:dyDescent="0.3">
      <c r="A34" s="11">
        <v>9.0277777777777776E-2</v>
      </c>
      <c r="B34" s="13">
        <f t="shared" si="0"/>
        <v>4.208049238756925E-3</v>
      </c>
      <c r="C34" s="14">
        <f t="shared" si="1"/>
        <v>6.7707512251598927E-3</v>
      </c>
      <c r="D34" s="14">
        <f t="shared" si="2"/>
        <v>1.0156126837739837E-2</v>
      </c>
      <c r="E34" s="14">
        <f t="shared" si="3"/>
        <v>1.3541502450319785E-2</v>
      </c>
      <c r="F34" s="15">
        <f t="shared" si="4"/>
        <v>2.0312253675479675E-2</v>
      </c>
      <c r="G34" s="1"/>
      <c r="H34" s="13">
        <f t="shared" si="5"/>
        <v>6.7707512251598927E-3</v>
      </c>
      <c r="I34" s="25">
        <f t="shared" si="6"/>
        <v>1.0156126837739839E-2</v>
      </c>
      <c r="J34" s="26">
        <f t="shared" si="7"/>
        <v>1.3541502450319785E-2</v>
      </c>
    </row>
    <row r="35" spans="1:10" x14ac:dyDescent="0.3">
      <c r="A35" s="11">
        <v>9.5138888888888884E-2</v>
      </c>
      <c r="B35" s="13">
        <f t="shared" si="0"/>
        <v>4.4385098390404476E-3</v>
      </c>
      <c r="C35" s="14">
        <f t="shared" si="1"/>
        <v>7.1415623310160797E-3</v>
      </c>
      <c r="D35" s="14">
        <f t="shared" si="2"/>
        <v>1.071234349652412E-2</v>
      </c>
      <c r="E35" s="14">
        <f t="shared" si="3"/>
        <v>1.4283124662032159E-2</v>
      </c>
      <c r="F35" s="15">
        <f t="shared" si="4"/>
        <v>2.1424686993048239E-2</v>
      </c>
      <c r="G35" s="1"/>
      <c r="H35" s="13">
        <f t="shared" si="5"/>
        <v>7.1415623310160806E-3</v>
      </c>
      <c r="I35" s="25">
        <f t="shared" si="6"/>
        <v>1.0712343496524121E-2</v>
      </c>
      <c r="J35" s="26">
        <f t="shared" si="7"/>
        <v>1.4283124662032161E-2</v>
      </c>
    </row>
    <row r="36" spans="1:10" x14ac:dyDescent="0.3">
      <c r="A36" s="12">
        <v>0.1</v>
      </c>
      <c r="B36" s="16">
        <f t="shared" si="0"/>
        <v>4.668970439323971E-3</v>
      </c>
      <c r="C36" s="14">
        <f t="shared" si="1"/>
        <v>7.5123734368722694E-3</v>
      </c>
      <c r="D36" s="14">
        <f t="shared" si="2"/>
        <v>1.1268560155308404E-2</v>
      </c>
      <c r="E36" s="14">
        <f t="shared" si="3"/>
        <v>1.5024746873744539E-2</v>
      </c>
      <c r="F36" s="15">
        <f t="shared" si="4"/>
        <v>2.2537120310616807E-2</v>
      </c>
      <c r="H36" s="16">
        <f t="shared" si="5"/>
        <v>7.5123734368722694E-3</v>
      </c>
      <c r="I36" s="28">
        <f t="shared" si="6"/>
        <v>1.1268560155308404E-2</v>
      </c>
      <c r="J36" s="29">
        <f t="shared" si="7"/>
        <v>1.5024746873744539E-2</v>
      </c>
    </row>
    <row r="37" spans="1:10" x14ac:dyDescent="0.3">
      <c r="A37" s="1" t="s">
        <v>17</v>
      </c>
      <c r="B37" s="1"/>
      <c r="C37" s="1"/>
    </row>
    <row r="38" spans="1:10" x14ac:dyDescent="0.3">
      <c r="A38" s="1"/>
      <c r="B38" s="1"/>
      <c r="C38" s="1"/>
    </row>
    <row r="39" spans="1:10" x14ac:dyDescent="0.3">
      <c r="A39" s="1"/>
      <c r="B39" s="1"/>
      <c r="C39" s="1"/>
    </row>
  </sheetData>
  <dataConsolidate/>
  <mergeCells count="8">
    <mergeCell ref="A6:J6"/>
    <mergeCell ref="A8:F8"/>
    <mergeCell ref="H8:J8"/>
    <mergeCell ref="A1:J1"/>
    <mergeCell ref="A2:J2"/>
    <mergeCell ref="A3:J3"/>
    <mergeCell ref="A4:J4"/>
    <mergeCell ref="A5:J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3564-D126-49E5-AC8C-248173CEC74C}">
  <sheetPr codeName="工作表5"/>
  <dimension ref="A1:AD37"/>
  <sheetViews>
    <sheetView zoomScale="95" zoomScaleNormal="95" workbookViewId="0">
      <selection activeCell="G14" sqref="F14:G14"/>
    </sheetView>
  </sheetViews>
  <sheetFormatPr defaultRowHeight="16.2" x14ac:dyDescent="0.3"/>
  <cols>
    <col min="1" max="1" width="15.109375" customWidth="1"/>
    <col min="2" max="2" width="10.5546875" bestFit="1" customWidth="1"/>
    <col min="3" max="3" width="18.21875" customWidth="1"/>
    <col min="4" max="4" width="19.44140625" bestFit="1" customWidth="1"/>
  </cols>
  <sheetData>
    <row r="1" spans="1:30" ht="33.6" thickBot="1" x14ac:dyDescent="0.35">
      <c r="A1" s="242" t="s">
        <v>23</v>
      </c>
      <c r="B1" s="243"/>
      <c r="C1" s="243"/>
      <c r="D1" s="244"/>
    </row>
    <row r="2" spans="1:30" x14ac:dyDescent="0.3">
      <c r="A2" s="249" t="s">
        <v>25</v>
      </c>
      <c r="B2" s="250"/>
      <c r="C2" s="250"/>
      <c r="D2" s="251"/>
    </row>
    <row r="3" spans="1:30" x14ac:dyDescent="0.3">
      <c r="A3" s="245" t="s">
        <v>12</v>
      </c>
      <c r="B3" s="246"/>
      <c r="C3" s="246"/>
      <c r="D3" s="247"/>
    </row>
    <row r="4" spans="1:30" ht="16.8" thickBot="1" x14ac:dyDescent="0.35">
      <c r="A4" s="238" t="s">
        <v>24</v>
      </c>
      <c r="B4" s="239"/>
      <c r="C4" s="239"/>
      <c r="D4" s="240"/>
    </row>
    <row r="6" spans="1:30" x14ac:dyDescent="0.3">
      <c r="A6" s="248" t="s">
        <v>28</v>
      </c>
      <c r="B6" s="248"/>
      <c r="D6" t="s">
        <v>18</v>
      </c>
    </row>
    <row r="7" spans="1:30" x14ac:dyDescent="0.3">
      <c r="A7" s="35" t="s">
        <v>16</v>
      </c>
      <c r="B7" s="21" t="s">
        <v>26</v>
      </c>
      <c r="D7" s="40" t="s">
        <v>20</v>
      </c>
    </row>
    <row r="8" spans="1:30" x14ac:dyDescent="0.3">
      <c r="A8" s="36">
        <v>4.3402777777777776E-2</v>
      </c>
      <c r="B8" s="37">
        <f>(A8/ 13.1094) / 1.609</f>
        <v>2.0576839311028808E-3</v>
      </c>
      <c r="C8" s="5"/>
      <c r="D8" s="37">
        <f>(A8/ 13.1094)</f>
        <v>3.3108134451445355E-3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11">
        <v>4.4965277777777778E-2</v>
      </c>
      <c r="B9" s="38">
        <f t="shared" ref="B9:B34" si="0">(A9/ 13.1094) / 1.609</f>
        <v>2.1317605526225848E-3</v>
      </c>
      <c r="C9" s="5"/>
      <c r="D9" s="38">
        <f t="shared" ref="D9:D34" si="1">(A9/ 13.1094)</f>
        <v>3.430002729169739E-3</v>
      </c>
    </row>
    <row r="10" spans="1:30" x14ac:dyDescent="0.3">
      <c r="A10" s="11">
        <v>4.2442129629629628E-2</v>
      </c>
      <c r="B10" s="38">
        <f t="shared" si="0"/>
        <v>2.0121405267611372E-3</v>
      </c>
      <c r="C10" s="4"/>
      <c r="D10" s="38">
        <f t="shared" si="1"/>
        <v>3.2375341075586697E-3</v>
      </c>
    </row>
    <row r="11" spans="1:30" x14ac:dyDescent="0.3">
      <c r="A11" s="11">
        <v>4.8263888888888891E-2</v>
      </c>
      <c r="B11" s="38">
        <f t="shared" si="0"/>
        <v>2.2881445313864038E-3</v>
      </c>
      <c r="C11" s="4"/>
      <c r="D11" s="38">
        <f t="shared" si="1"/>
        <v>3.6816245510007239E-3</v>
      </c>
    </row>
    <row r="12" spans="1:30" x14ac:dyDescent="0.3">
      <c r="A12" s="11">
        <v>0.05</v>
      </c>
      <c r="B12" s="38">
        <f t="shared" si="0"/>
        <v>2.370451888630519E-3</v>
      </c>
      <c r="C12" s="4"/>
      <c r="D12" s="38">
        <f t="shared" si="1"/>
        <v>3.8140570888065052E-3</v>
      </c>
    </row>
    <row r="13" spans="1:30" x14ac:dyDescent="0.3">
      <c r="A13" s="11">
        <v>5.1388888888888887E-2</v>
      </c>
      <c r="B13" s="38">
        <f t="shared" si="0"/>
        <v>2.4362977744258113E-3</v>
      </c>
      <c r="C13" s="4"/>
      <c r="D13" s="38">
        <f t="shared" si="1"/>
        <v>3.9200031190511301E-3</v>
      </c>
    </row>
    <row r="14" spans="1:30" x14ac:dyDescent="0.3">
      <c r="A14" s="11">
        <v>5.347222222222222E-2</v>
      </c>
      <c r="B14" s="38">
        <f t="shared" si="0"/>
        <v>2.5350666031187493E-3</v>
      </c>
      <c r="C14" s="4"/>
      <c r="D14" s="38">
        <f t="shared" si="1"/>
        <v>4.0789221644180673E-3</v>
      </c>
    </row>
    <row r="15" spans="1:30" x14ac:dyDescent="0.3">
      <c r="A15" s="11">
        <v>5.486111111111111E-2</v>
      </c>
      <c r="B15" s="38">
        <f t="shared" si="0"/>
        <v>2.6009124889140416E-3</v>
      </c>
      <c r="C15" s="4"/>
      <c r="D15" s="38">
        <f t="shared" si="1"/>
        <v>4.1848681946626927E-3</v>
      </c>
    </row>
    <row r="16" spans="1:30" x14ac:dyDescent="0.3">
      <c r="A16" s="11">
        <v>5.6597222222222222E-2</v>
      </c>
      <c r="B16" s="38">
        <f t="shared" si="0"/>
        <v>2.6832198461581567E-3</v>
      </c>
      <c r="C16" s="4"/>
      <c r="D16" s="38">
        <f t="shared" si="1"/>
        <v>4.3173007324684744E-3</v>
      </c>
    </row>
    <row r="17" spans="1:4" x14ac:dyDescent="0.3">
      <c r="A17" s="11">
        <v>5.8333333333333334E-2</v>
      </c>
      <c r="B17" s="38">
        <f t="shared" si="0"/>
        <v>2.7655272034022723E-3</v>
      </c>
      <c r="C17" s="4"/>
      <c r="D17" s="38">
        <f t="shared" si="1"/>
        <v>4.4497332702742561E-3</v>
      </c>
    </row>
    <row r="18" spans="1:4" x14ac:dyDescent="0.3">
      <c r="A18" s="11">
        <v>5.9722222222222225E-2</v>
      </c>
      <c r="B18" s="38">
        <f t="shared" si="0"/>
        <v>2.8313730891975646E-3</v>
      </c>
      <c r="C18" s="4"/>
      <c r="D18" s="38">
        <f t="shared" si="1"/>
        <v>4.5556793005188815E-3</v>
      </c>
    </row>
    <row r="19" spans="1:4" x14ac:dyDescent="0.3">
      <c r="A19" s="11">
        <v>6.1805555555555558E-2</v>
      </c>
      <c r="B19" s="38">
        <f t="shared" si="0"/>
        <v>2.9301419178905026E-3</v>
      </c>
      <c r="C19" s="4"/>
      <c r="D19" s="38">
        <f t="shared" si="1"/>
        <v>4.7145983458858187E-3</v>
      </c>
    </row>
    <row r="20" spans="1:4" x14ac:dyDescent="0.3">
      <c r="A20" s="11">
        <v>6.3194444444444442E-2</v>
      </c>
      <c r="B20" s="38">
        <f t="shared" si="0"/>
        <v>2.9959878036857949E-3</v>
      </c>
      <c r="C20" s="4"/>
      <c r="D20" s="38">
        <f t="shared" si="1"/>
        <v>4.820544376130444E-3</v>
      </c>
    </row>
    <row r="21" spans="1:4" x14ac:dyDescent="0.3">
      <c r="A21" s="11">
        <v>6.4930555555555561E-2</v>
      </c>
      <c r="B21" s="38">
        <f t="shared" si="0"/>
        <v>3.0782951609299104E-3</v>
      </c>
      <c r="C21" s="1"/>
      <c r="D21" s="38">
        <f t="shared" si="1"/>
        <v>4.9529769139362257E-3</v>
      </c>
    </row>
    <row r="22" spans="1:4" x14ac:dyDescent="0.3">
      <c r="A22" s="11">
        <v>6.6666666666666666E-2</v>
      </c>
      <c r="B22" s="38">
        <f t="shared" si="0"/>
        <v>3.1606025181740252E-3</v>
      </c>
      <c r="C22" s="1"/>
      <c r="D22" s="38">
        <f t="shared" si="1"/>
        <v>5.0854094517420066E-3</v>
      </c>
    </row>
    <row r="23" spans="1:4" x14ac:dyDescent="0.3">
      <c r="A23" s="11">
        <v>6.805555555555555E-2</v>
      </c>
      <c r="B23" s="38">
        <f t="shared" si="0"/>
        <v>3.226448403969317E-3</v>
      </c>
      <c r="C23" s="1"/>
      <c r="D23" s="38">
        <f t="shared" si="1"/>
        <v>5.1913554819866311E-3</v>
      </c>
    </row>
    <row r="24" spans="1:4" x14ac:dyDescent="0.3">
      <c r="A24" s="11">
        <v>7.013888888888889E-2</v>
      </c>
      <c r="B24" s="38">
        <f t="shared" si="0"/>
        <v>3.3252172326622555E-3</v>
      </c>
      <c r="C24" s="1"/>
      <c r="D24" s="38">
        <f t="shared" si="1"/>
        <v>5.3502745273535691E-3</v>
      </c>
    </row>
    <row r="25" spans="1:4" x14ac:dyDescent="0.3">
      <c r="A25" s="11">
        <v>7.1527777777777773E-2</v>
      </c>
      <c r="B25" s="38">
        <f t="shared" si="0"/>
        <v>3.3910631184575477E-3</v>
      </c>
      <c r="C25" s="1"/>
      <c r="D25" s="38">
        <f t="shared" si="1"/>
        <v>5.4562205575981945E-3</v>
      </c>
    </row>
    <row r="26" spans="1:4" x14ac:dyDescent="0.3">
      <c r="A26" s="11">
        <v>7.2916666666666671E-2</v>
      </c>
      <c r="B26" s="38">
        <f t="shared" si="0"/>
        <v>3.45690900425284E-3</v>
      </c>
      <c r="C26" s="1"/>
      <c r="D26" s="38">
        <f t="shared" si="1"/>
        <v>5.5621665878428199E-3</v>
      </c>
    </row>
    <row r="27" spans="1:4" x14ac:dyDescent="0.3">
      <c r="A27" s="11">
        <v>7.4999999999999997E-2</v>
      </c>
      <c r="B27" s="38">
        <f t="shared" si="0"/>
        <v>3.555677832945778E-3</v>
      </c>
      <c r="C27" s="1"/>
      <c r="D27" s="38">
        <f t="shared" si="1"/>
        <v>5.7210856332097571E-3</v>
      </c>
    </row>
    <row r="28" spans="1:4" x14ac:dyDescent="0.3">
      <c r="A28" s="11">
        <v>7.6388888888888895E-2</v>
      </c>
      <c r="B28" s="38">
        <f t="shared" si="0"/>
        <v>3.6215237187410712E-3</v>
      </c>
      <c r="C28" s="1"/>
      <c r="D28" s="38">
        <f t="shared" si="1"/>
        <v>5.8270316634543833E-3</v>
      </c>
    </row>
    <row r="29" spans="1:4" x14ac:dyDescent="0.3">
      <c r="A29" s="11">
        <v>7.8472222222222221E-2</v>
      </c>
      <c r="B29" s="38">
        <f t="shared" si="0"/>
        <v>3.7202925474340092E-3</v>
      </c>
      <c r="C29" s="1"/>
      <c r="D29" s="38">
        <f t="shared" si="1"/>
        <v>5.9859507088213205E-3</v>
      </c>
    </row>
    <row r="30" spans="1:4" x14ac:dyDescent="0.3">
      <c r="A30" s="11">
        <v>7.9861111111111105E-2</v>
      </c>
      <c r="B30" s="38">
        <f t="shared" si="0"/>
        <v>3.786138433229301E-3</v>
      </c>
      <c r="C30" s="1"/>
      <c r="D30" s="38">
        <f t="shared" si="1"/>
        <v>6.091896739065945E-3</v>
      </c>
    </row>
    <row r="31" spans="1:4" x14ac:dyDescent="0.3">
      <c r="A31" s="11">
        <v>8.4722222222222227E-2</v>
      </c>
      <c r="B31" s="38">
        <f t="shared" si="0"/>
        <v>4.0165990335128236E-3</v>
      </c>
      <c r="C31" s="1"/>
      <c r="D31" s="38">
        <f t="shared" si="1"/>
        <v>6.4627078449221338E-3</v>
      </c>
    </row>
    <row r="32" spans="1:4" x14ac:dyDescent="0.3">
      <c r="A32" s="11">
        <v>9.0277777777777776E-2</v>
      </c>
      <c r="B32" s="38">
        <f t="shared" si="0"/>
        <v>4.2799825766939919E-3</v>
      </c>
      <c r="C32" s="1"/>
      <c r="D32" s="38">
        <f t="shared" si="1"/>
        <v>6.8864919659006336E-3</v>
      </c>
    </row>
    <row r="33" spans="1:4" x14ac:dyDescent="0.3">
      <c r="A33" s="11">
        <v>9.5138888888888884E-2</v>
      </c>
      <c r="B33" s="38">
        <f t="shared" si="0"/>
        <v>4.5104431769775154E-3</v>
      </c>
      <c r="C33" s="1"/>
      <c r="D33" s="38">
        <f t="shared" si="1"/>
        <v>7.2573030717568215E-3</v>
      </c>
    </row>
    <row r="34" spans="1:4" x14ac:dyDescent="0.3">
      <c r="A34" s="12">
        <v>0.1</v>
      </c>
      <c r="B34" s="39">
        <f t="shared" si="0"/>
        <v>4.740903777261038E-3</v>
      </c>
      <c r="D34" s="39">
        <f t="shared" si="1"/>
        <v>7.6281141776130103E-3</v>
      </c>
    </row>
    <row r="35" spans="1:4" x14ac:dyDescent="0.3">
      <c r="A35" s="1"/>
      <c r="B35" s="1"/>
    </row>
    <row r="36" spans="1:4" x14ac:dyDescent="0.3">
      <c r="A36" s="1"/>
      <c r="B36" s="1"/>
    </row>
    <row r="37" spans="1:4" x14ac:dyDescent="0.3">
      <c r="A37" s="1"/>
      <c r="B37" s="1"/>
    </row>
  </sheetData>
  <dataConsolidate/>
  <mergeCells count="5">
    <mergeCell ref="A6:B6"/>
    <mergeCell ref="A1:D1"/>
    <mergeCell ref="A2:D2"/>
    <mergeCell ref="A3:D3"/>
    <mergeCell ref="A4:D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EAC6-34CD-4222-8E94-B30642ADB7F9}">
  <sheetPr codeName="工作表6"/>
  <dimension ref="A1:AD37"/>
  <sheetViews>
    <sheetView zoomScale="95" zoomScaleNormal="95" workbookViewId="0">
      <selection activeCell="D16" sqref="D16"/>
    </sheetView>
  </sheetViews>
  <sheetFormatPr defaultRowHeight="16.2" x14ac:dyDescent="0.3"/>
  <cols>
    <col min="1" max="1" width="15.109375" customWidth="1"/>
    <col min="2" max="2" width="10.5546875" bestFit="1" customWidth="1"/>
    <col min="3" max="3" width="18.21875" customWidth="1"/>
    <col min="4" max="4" width="23.44140625" customWidth="1"/>
  </cols>
  <sheetData>
    <row r="1" spans="1:30" ht="33.6" thickBot="1" x14ac:dyDescent="0.35">
      <c r="A1" s="242" t="s">
        <v>36</v>
      </c>
      <c r="B1" s="243"/>
      <c r="C1" s="243"/>
      <c r="D1" s="244"/>
    </row>
    <row r="2" spans="1:30" x14ac:dyDescent="0.3">
      <c r="A2" s="249" t="s">
        <v>35</v>
      </c>
      <c r="B2" s="250"/>
      <c r="C2" s="250"/>
      <c r="D2" s="251"/>
    </row>
    <row r="3" spans="1:30" x14ac:dyDescent="0.3">
      <c r="A3" s="245" t="s">
        <v>12</v>
      </c>
      <c r="B3" s="246"/>
      <c r="C3" s="246"/>
      <c r="D3" s="247"/>
    </row>
    <row r="4" spans="1:30" ht="16.8" thickBot="1" x14ac:dyDescent="0.35">
      <c r="A4" s="238" t="s">
        <v>24</v>
      </c>
      <c r="B4" s="239"/>
      <c r="C4" s="239"/>
      <c r="D4" s="240"/>
    </row>
    <row r="6" spans="1:30" x14ac:dyDescent="0.3">
      <c r="A6" s="248" t="s">
        <v>34</v>
      </c>
      <c r="B6" s="248"/>
      <c r="D6" s="6"/>
    </row>
    <row r="7" spans="1:30" x14ac:dyDescent="0.3">
      <c r="A7" s="35" t="s">
        <v>16</v>
      </c>
      <c r="B7" s="48" t="s">
        <v>26</v>
      </c>
      <c r="D7" s="6"/>
    </row>
    <row r="8" spans="1:30" x14ac:dyDescent="0.3">
      <c r="A8" s="44">
        <v>4.3402777777777776E-2</v>
      </c>
      <c r="B8" s="38">
        <f>(A8/ 13.1094) / 1.609 + TIME(0,0,43)</f>
        <v>2.555369116288066E-3</v>
      </c>
      <c r="C8" s="5"/>
      <c r="D8" s="1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45">
        <v>4.4965277777777778E-2</v>
      </c>
      <c r="B9" s="38">
        <f>(A9/ 13.1094) / 1.609 + TIME(0,0,43)</f>
        <v>2.62944573780777E-3</v>
      </c>
      <c r="C9" s="5"/>
      <c r="D9" s="14"/>
    </row>
    <row r="10" spans="1:30" x14ac:dyDescent="0.3">
      <c r="A10" s="45">
        <v>4.2442129629629628E-2</v>
      </c>
      <c r="B10" s="38">
        <f>(A10/ 13.1094) / 1.609 + TIME(0,0,43)</f>
        <v>2.5098257119463225E-3</v>
      </c>
      <c r="C10" s="4"/>
      <c r="D10" s="14"/>
    </row>
    <row r="11" spans="1:30" x14ac:dyDescent="0.3">
      <c r="A11" s="45">
        <v>4.8263888888888891E-2</v>
      </c>
      <c r="B11" s="38">
        <f>(A11/ 13.1094) / 1.609 + TIME(0,0,43)</f>
        <v>2.785829716571589E-3</v>
      </c>
      <c r="C11" s="4"/>
      <c r="D11" s="14"/>
    </row>
    <row r="12" spans="1:30" x14ac:dyDescent="0.3">
      <c r="A12" s="45">
        <v>0.05</v>
      </c>
      <c r="B12" s="38">
        <f t="shared" ref="B12:B34" si="0">(A12/ 13.1094) / 1.609 + TIME(0,0,43)</f>
        <v>2.8681370738157042E-3</v>
      </c>
      <c r="C12" s="4"/>
      <c r="D12" s="14"/>
    </row>
    <row r="13" spans="1:30" x14ac:dyDescent="0.3">
      <c r="A13" s="45">
        <v>5.1388888888888887E-2</v>
      </c>
      <c r="B13" s="38">
        <f t="shared" si="0"/>
        <v>2.9339829596109965E-3</v>
      </c>
      <c r="C13" s="4"/>
      <c r="D13" s="14"/>
    </row>
    <row r="14" spans="1:30" x14ac:dyDescent="0.3">
      <c r="A14" s="45">
        <v>5.347222222222222E-2</v>
      </c>
      <c r="B14" s="38">
        <f t="shared" si="0"/>
        <v>3.0327517883039345E-3</v>
      </c>
      <c r="C14" s="4"/>
      <c r="D14" s="14"/>
    </row>
    <row r="15" spans="1:30" x14ac:dyDescent="0.3">
      <c r="A15" s="45">
        <v>5.486111111111111E-2</v>
      </c>
      <c r="B15" s="38">
        <f t="shared" si="0"/>
        <v>3.0985976740992268E-3</v>
      </c>
      <c r="C15" s="4"/>
      <c r="D15" s="14"/>
    </row>
    <row r="16" spans="1:30" x14ac:dyDescent="0.3">
      <c r="A16" s="45">
        <v>5.6597222222222222E-2</v>
      </c>
      <c r="B16" s="38">
        <f t="shared" si="0"/>
        <v>3.1809050313433419E-3</v>
      </c>
      <c r="C16" s="4"/>
      <c r="D16" s="14"/>
    </row>
    <row r="17" spans="1:4" x14ac:dyDescent="0.3">
      <c r="A17" s="45">
        <v>5.8333333333333334E-2</v>
      </c>
      <c r="B17" s="38">
        <f t="shared" si="0"/>
        <v>3.2632123885874575E-3</v>
      </c>
      <c r="C17" s="4"/>
      <c r="D17" s="14"/>
    </row>
    <row r="18" spans="1:4" x14ac:dyDescent="0.3">
      <c r="A18" s="45">
        <v>5.9722222222222225E-2</v>
      </c>
      <c r="B18" s="38">
        <f t="shared" si="0"/>
        <v>3.3290582743827498E-3</v>
      </c>
      <c r="C18" s="4"/>
      <c r="D18" s="14"/>
    </row>
    <row r="19" spans="1:4" x14ac:dyDescent="0.3">
      <c r="A19" s="45">
        <v>6.1805555555555558E-2</v>
      </c>
      <c r="B19" s="38">
        <f t="shared" si="0"/>
        <v>3.4278271030756878E-3</v>
      </c>
      <c r="C19" s="4"/>
      <c r="D19" s="14"/>
    </row>
    <row r="20" spans="1:4" x14ac:dyDescent="0.3">
      <c r="A20" s="45">
        <v>6.3194444444444442E-2</v>
      </c>
      <c r="B20" s="38">
        <f t="shared" si="0"/>
        <v>3.4936729888709801E-3</v>
      </c>
      <c r="C20" s="4"/>
      <c r="D20" s="14"/>
    </row>
    <row r="21" spans="1:4" x14ac:dyDescent="0.3">
      <c r="A21" s="45">
        <v>6.4930555555555561E-2</v>
      </c>
      <c r="B21" s="38">
        <f t="shared" si="0"/>
        <v>3.5759803461150957E-3</v>
      </c>
      <c r="C21" s="1"/>
      <c r="D21" s="14"/>
    </row>
    <row r="22" spans="1:4" x14ac:dyDescent="0.3">
      <c r="A22" s="45">
        <v>6.6666666666666666E-2</v>
      </c>
      <c r="B22" s="38">
        <f t="shared" si="0"/>
        <v>3.6582877033592104E-3</v>
      </c>
      <c r="C22" s="1"/>
      <c r="D22" s="14"/>
    </row>
    <row r="23" spans="1:4" x14ac:dyDescent="0.3">
      <c r="A23" s="45">
        <v>6.805555555555555E-2</v>
      </c>
      <c r="B23" s="38">
        <f t="shared" si="0"/>
        <v>3.7241335891545022E-3</v>
      </c>
      <c r="C23" s="1"/>
      <c r="D23" s="14"/>
    </row>
    <row r="24" spans="1:4" x14ac:dyDescent="0.3">
      <c r="A24" s="45">
        <v>7.013888888888889E-2</v>
      </c>
      <c r="B24" s="38">
        <f t="shared" si="0"/>
        <v>3.8229024178474407E-3</v>
      </c>
      <c r="C24" s="1"/>
      <c r="D24" s="14"/>
    </row>
    <row r="25" spans="1:4" x14ac:dyDescent="0.3">
      <c r="A25" s="45">
        <v>7.1527777777777773E-2</v>
      </c>
      <c r="B25" s="38">
        <f t="shared" si="0"/>
        <v>3.888748303642733E-3</v>
      </c>
      <c r="C25" s="1"/>
      <c r="D25" s="14"/>
    </row>
    <row r="26" spans="1:4" x14ac:dyDescent="0.3">
      <c r="A26" s="45">
        <v>7.2916666666666671E-2</v>
      </c>
      <c r="B26" s="38">
        <f t="shared" si="0"/>
        <v>3.9545941894380248E-3</v>
      </c>
      <c r="C26" s="1"/>
      <c r="D26" s="14"/>
    </row>
    <row r="27" spans="1:4" x14ac:dyDescent="0.3">
      <c r="A27" s="45">
        <v>7.4999999999999997E-2</v>
      </c>
      <c r="B27" s="38">
        <f t="shared" si="0"/>
        <v>4.0533630181309628E-3</v>
      </c>
      <c r="C27" s="1"/>
      <c r="D27" s="14"/>
    </row>
    <row r="28" spans="1:4" x14ac:dyDescent="0.3">
      <c r="A28" s="45">
        <v>7.6388888888888895E-2</v>
      </c>
      <c r="B28" s="38">
        <f t="shared" si="0"/>
        <v>4.119208903926256E-3</v>
      </c>
      <c r="C28" s="1"/>
      <c r="D28" s="14"/>
    </row>
    <row r="29" spans="1:4" x14ac:dyDescent="0.3">
      <c r="A29" s="45">
        <v>7.8472222222222221E-2</v>
      </c>
      <c r="B29" s="38">
        <f t="shared" si="0"/>
        <v>4.217977732619194E-3</v>
      </c>
      <c r="C29" s="1"/>
      <c r="D29" s="14"/>
    </row>
    <row r="30" spans="1:4" x14ac:dyDescent="0.3">
      <c r="A30" s="45">
        <v>7.9861111111111105E-2</v>
      </c>
      <c r="B30" s="38">
        <f t="shared" si="0"/>
        <v>4.2838236184144863E-3</v>
      </c>
      <c r="C30" s="1"/>
      <c r="D30" s="14"/>
    </row>
    <row r="31" spans="1:4" x14ac:dyDescent="0.3">
      <c r="A31" s="45">
        <v>8.4722222222222227E-2</v>
      </c>
      <c r="B31" s="38">
        <f t="shared" si="0"/>
        <v>4.5142842186980088E-3</v>
      </c>
      <c r="C31" s="1"/>
      <c r="D31" s="14"/>
    </row>
    <row r="32" spans="1:4" x14ac:dyDescent="0.3">
      <c r="A32" s="45">
        <v>9.0277777777777776E-2</v>
      </c>
      <c r="B32" s="38">
        <f t="shared" si="0"/>
        <v>4.7776677618791771E-3</v>
      </c>
      <c r="C32" s="1"/>
      <c r="D32" s="14"/>
    </row>
    <row r="33" spans="1:4" x14ac:dyDescent="0.3">
      <c r="A33" s="45">
        <v>9.5138888888888884E-2</v>
      </c>
      <c r="B33" s="38">
        <f t="shared" si="0"/>
        <v>5.0081283621627006E-3</v>
      </c>
      <c r="C33" s="1"/>
      <c r="D33" s="14"/>
    </row>
    <row r="34" spans="1:4" x14ac:dyDescent="0.3">
      <c r="A34" s="46">
        <v>0.1</v>
      </c>
      <c r="B34" s="39">
        <f t="shared" si="0"/>
        <v>5.2385889624462232E-3</v>
      </c>
      <c r="D34" s="14"/>
    </row>
    <row r="35" spans="1:4" x14ac:dyDescent="0.3">
      <c r="A35" s="1"/>
      <c r="B35" s="1"/>
      <c r="D35" s="6"/>
    </row>
    <row r="36" spans="1:4" x14ac:dyDescent="0.3">
      <c r="A36" s="1"/>
      <c r="B36" s="1"/>
    </row>
    <row r="37" spans="1:4" x14ac:dyDescent="0.3">
      <c r="A37" s="1"/>
      <c r="B37" s="1"/>
    </row>
  </sheetData>
  <dataConsolidate/>
  <mergeCells count="5">
    <mergeCell ref="A1:D1"/>
    <mergeCell ref="A2:D2"/>
    <mergeCell ref="A3:D3"/>
    <mergeCell ref="A4:D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B200-E60D-41C4-ACC6-28055DA2A6F0}">
  <sheetPr codeName="工作表7"/>
  <dimension ref="A1:AC37"/>
  <sheetViews>
    <sheetView zoomScale="95" zoomScaleNormal="95" workbookViewId="0">
      <selection activeCell="E19" sqref="E19"/>
    </sheetView>
  </sheetViews>
  <sheetFormatPr defaultRowHeight="16.2" x14ac:dyDescent="0.3"/>
  <cols>
    <col min="1" max="1" width="15.109375" customWidth="1"/>
    <col min="2" max="2" width="20.21875" bestFit="1" customWidth="1"/>
    <col min="3" max="3" width="20" customWidth="1"/>
  </cols>
  <sheetData>
    <row r="1" spans="1:29" ht="33.6" thickBot="1" x14ac:dyDescent="0.35">
      <c r="A1" s="242" t="s">
        <v>29</v>
      </c>
      <c r="B1" s="243"/>
      <c r="C1" s="243"/>
      <c r="D1" s="243"/>
      <c r="E1" s="243"/>
      <c r="F1" s="243"/>
      <c r="G1" s="244"/>
    </row>
    <row r="2" spans="1:29" x14ac:dyDescent="0.3">
      <c r="A2" s="41" t="s">
        <v>38</v>
      </c>
      <c r="B2" s="42"/>
      <c r="C2" s="43"/>
      <c r="D2" s="7"/>
      <c r="E2" s="7"/>
      <c r="F2" s="7"/>
      <c r="G2" s="8"/>
    </row>
    <row r="3" spans="1:29" x14ac:dyDescent="0.3">
      <c r="A3" s="245" t="s">
        <v>30</v>
      </c>
      <c r="B3" s="246"/>
      <c r="C3" s="246"/>
      <c r="D3" s="246"/>
      <c r="E3" s="246"/>
      <c r="F3" s="246"/>
      <c r="G3" s="247"/>
    </row>
    <row r="4" spans="1:29" ht="16.8" thickBot="1" x14ac:dyDescent="0.35">
      <c r="A4" s="238" t="s">
        <v>0</v>
      </c>
      <c r="B4" s="239"/>
      <c r="C4" s="239"/>
      <c r="D4" s="239"/>
      <c r="E4" s="239"/>
      <c r="F4" s="239"/>
      <c r="G4" s="240"/>
    </row>
    <row r="6" spans="1:29" x14ac:dyDescent="0.3">
      <c r="A6" s="248" t="s">
        <v>33</v>
      </c>
      <c r="B6" s="248"/>
    </row>
    <row r="7" spans="1:29" x14ac:dyDescent="0.3">
      <c r="A7" s="35" t="s">
        <v>16</v>
      </c>
      <c r="B7" s="20" t="s">
        <v>32</v>
      </c>
      <c r="C7" s="21" t="s">
        <v>31</v>
      </c>
    </row>
    <row r="8" spans="1:29" x14ac:dyDescent="0.3">
      <c r="A8" s="47">
        <v>4.3402777777777776E-2</v>
      </c>
      <c r="B8" s="13">
        <f>(A8/ 13.1094) / 1.609+ TIME(0,0,56)</f>
        <v>2.7058320792510289E-3</v>
      </c>
      <c r="C8" s="15">
        <f>(A8/ 13.1094) / 1.609+ TIME(0,0,90)</f>
        <v>3.0993505977695473E-3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45">
        <v>4.4965277777777778E-2</v>
      </c>
      <c r="B9" s="13">
        <f>(A9/ 13.1094) / 1.609+ TIME(0,0,56)</f>
        <v>2.7799087007707329E-3</v>
      </c>
      <c r="C9" s="15">
        <f t="shared" ref="C9:C34" si="0">(A9/ 13.1094) / 1.609+ TIME(0,0,90)</f>
        <v>3.1734272192892512E-3</v>
      </c>
    </row>
    <row r="10" spans="1:29" x14ac:dyDescent="0.3">
      <c r="A10" s="45">
        <v>4.2442129629629628E-2</v>
      </c>
      <c r="B10" s="13">
        <f t="shared" ref="B10:B34" si="1">(A10/ 13.1094) / 1.609+ TIME(0,0,56)</f>
        <v>2.6602886749092854E-3</v>
      </c>
      <c r="C10" s="15">
        <f t="shared" si="0"/>
        <v>3.0538071934278037E-3</v>
      </c>
    </row>
    <row r="11" spans="1:29" x14ac:dyDescent="0.3">
      <c r="A11" s="45">
        <v>4.8263888888888891E-2</v>
      </c>
      <c r="B11" s="13">
        <f t="shared" si="1"/>
        <v>2.936292679534552E-3</v>
      </c>
      <c r="C11" s="15">
        <f t="shared" si="0"/>
        <v>3.3298111980530707E-3</v>
      </c>
    </row>
    <row r="12" spans="1:29" x14ac:dyDescent="0.3">
      <c r="A12" s="45">
        <v>0.05</v>
      </c>
      <c r="B12" s="13">
        <f t="shared" si="1"/>
        <v>3.0186000367786671E-3</v>
      </c>
      <c r="C12" s="15">
        <f t="shared" si="0"/>
        <v>3.4121185552971854E-3</v>
      </c>
    </row>
    <row r="13" spans="1:29" x14ac:dyDescent="0.3">
      <c r="A13" s="45">
        <v>5.1388888888888887E-2</v>
      </c>
      <c r="B13" s="13">
        <f t="shared" si="1"/>
        <v>3.0844459225739594E-3</v>
      </c>
      <c r="C13" s="15">
        <f t="shared" si="0"/>
        <v>3.4779644410924777E-3</v>
      </c>
    </row>
    <row r="14" spans="1:29" x14ac:dyDescent="0.3">
      <c r="A14" s="45">
        <v>5.347222222222222E-2</v>
      </c>
      <c r="B14" s="13">
        <f t="shared" si="1"/>
        <v>3.1832147512668974E-3</v>
      </c>
      <c r="C14" s="15">
        <f t="shared" si="0"/>
        <v>3.5767332697854157E-3</v>
      </c>
    </row>
    <row r="15" spans="1:29" x14ac:dyDescent="0.3">
      <c r="A15" s="45">
        <v>5.486111111111111E-2</v>
      </c>
      <c r="B15" s="13">
        <f t="shared" si="1"/>
        <v>3.2490606370621897E-3</v>
      </c>
      <c r="C15" s="15">
        <f t="shared" si="0"/>
        <v>3.642579155580708E-3</v>
      </c>
    </row>
    <row r="16" spans="1:29" x14ac:dyDescent="0.3">
      <c r="A16" s="45">
        <v>5.6597222222222222E-2</v>
      </c>
      <c r="B16" s="13">
        <f t="shared" si="1"/>
        <v>3.3313679943063048E-3</v>
      </c>
      <c r="C16" s="15">
        <f t="shared" si="0"/>
        <v>3.7248865128248236E-3</v>
      </c>
    </row>
    <row r="17" spans="1:3" x14ac:dyDescent="0.3">
      <c r="A17" s="45">
        <v>5.8333333333333334E-2</v>
      </c>
      <c r="B17" s="13">
        <f t="shared" si="1"/>
        <v>3.4136753515504204E-3</v>
      </c>
      <c r="C17" s="15">
        <f t="shared" si="0"/>
        <v>3.8071938700689392E-3</v>
      </c>
    </row>
    <row r="18" spans="1:3" x14ac:dyDescent="0.3">
      <c r="A18" s="45">
        <v>5.9722222222222225E-2</v>
      </c>
      <c r="B18" s="13">
        <f t="shared" si="1"/>
        <v>3.4795212373457127E-3</v>
      </c>
      <c r="C18" s="15">
        <f t="shared" si="0"/>
        <v>3.8730397558642314E-3</v>
      </c>
    </row>
    <row r="19" spans="1:3" x14ac:dyDescent="0.3">
      <c r="A19" s="45">
        <v>6.1805555555555558E-2</v>
      </c>
      <c r="B19" s="13">
        <f t="shared" si="1"/>
        <v>3.5782900660386507E-3</v>
      </c>
      <c r="C19" s="15">
        <f t="shared" si="0"/>
        <v>3.9718085845571694E-3</v>
      </c>
    </row>
    <row r="20" spans="1:3" x14ac:dyDescent="0.3">
      <c r="A20" s="45">
        <v>6.3194444444444442E-2</v>
      </c>
      <c r="B20" s="13">
        <f t="shared" si="1"/>
        <v>3.644135951833943E-3</v>
      </c>
      <c r="C20" s="15">
        <f t="shared" si="0"/>
        <v>4.0376544703524617E-3</v>
      </c>
    </row>
    <row r="21" spans="1:3" x14ac:dyDescent="0.3">
      <c r="A21" s="45">
        <v>6.4930555555555561E-2</v>
      </c>
      <c r="B21" s="13">
        <f t="shared" si="1"/>
        <v>3.7264433090780586E-3</v>
      </c>
      <c r="C21" s="15">
        <f t="shared" si="0"/>
        <v>4.1199618275965773E-3</v>
      </c>
    </row>
    <row r="22" spans="1:3" x14ac:dyDescent="0.3">
      <c r="A22" s="45">
        <v>6.6666666666666666E-2</v>
      </c>
      <c r="B22" s="13">
        <f t="shared" si="1"/>
        <v>3.8087506663221733E-3</v>
      </c>
      <c r="C22" s="15">
        <f t="shared" si="0"/>
        <v>4.202269184840692E-3</v>
      </c>
    </row>
    <row r="23" spans="1:3" x14ac:dyDescent="0.3">
      <c r="A23" s="45">
        <v>6.805555555555555E-2</v>
      </c>
      <c r="B23" s="13">
        <f t="shared" si="1"/>
        <v>3.8745965521174651E-3</v>
      </c>
      <c r="C23" s="15">
        <f t="shared" si="0"/>
        <v>4.2681150706359835E-3</v>
      </c>
    </row>
    <row r="24" spans="1:3" x14ac:dyDescent="0.3">
      <c r="A24" s="45">
        <v>7.013888888888889E-2</v>
      </c>
      <c r="B24" s="13">
        <f t="shared" si="1"/>
        <v>3.9733653808104036E-3</v>
      </c>
      <c r="C24" s="15">
        <f t="shared" si="0"/>
        <v>4.3668838993289223E-3</v>
      </c>
    </row>
    <row r="25" spans="1:3" x14ac:dyDescent="0.3">
      <c r="A25" s="45">
        <v>7.1527777777777773E-2</v>
      </c>
      <c r="B25" s="13">
        <f t="shared" si="1"/>
        <v>4.0392112666056959E-3</v>
      </c>
      <c r="C25" s="15">
        <f t="shared" si="0"/>
        <v>4.4327297851242146E-3</v>
      </c>
    </row>
    <row r="26" spans="1:3" x14ac:dyDescent="0.3">
      <c r="A26" s="45">
        <v>7.2916666666666671E-2</v>
      </c>
      <c r="B26" s="13">
        <f t="shared" si="1"/>
        <v>4.1050571524009882E-3</v>
      </c>
      <c r="C26" s="15">
        <f t="shared" si="0"/>
        <v>4.4985756709195069E-3</v>
      </c>
    </row>
    <row r="27" spans="1:3" x14ac:dyDescent="0.3">
      <c r="A27" s="45">
        <v>7.4999999999999997E-2</v>
      </c>
      <c r="B27" s="13">
        <f t="shared" si="1"/>
        <v>4.2038259810939262E-3</v>
      </c>
      <c r="C27" s="15">
        <f t="shared" si="0"/>
        <v>4.5973444996124449E-3</v>
      </c>
    </row>
    <row r="28" spans="1:3" x14ac:dyDescent="0.3">
      <c r="A28" s="45">
        <v>7.6388888888888895E-2</v>
      </c>
      <c r="B28" s="13">
        <f t="shared" si="1"/>
        <v>4.2696718668892193E-3</v>
      </c>
      <c r="C28" s="15">
        <f t="shared" si="0"/>
        <v>4.6631903854077381E-3</v>
      </c>
    </row>
    <row r="29" spans="1:3" x14ac:dyDescent="0.3">
      <c r="A29" s="45">
        <v>7.8472222222222221E-2</v>
      </c>
      <c r="B29" s="13">
        <f t="shared" si="1"/>
        <v>4.3684406955821573E-3</v>
      </c>
      <c r="C29" s="15">
        <f t="shared" si="0"/>
        <v>4.7619592141006761E-3</v>
      </c>
    </row>
    <row r="30" spans="1:3" x14ac:dyDescent="0.3">
      <c r="A30" s="45">
        <v>7.9861111111111105E-2</v>
      </c>
      <c r="B30" s="13">
        <f t="shared" si="1"/>
        <v>4.4342865813774487E-3</v>
      </c>
      <c r="C30" s="15">
        <f t="shared" si="0"/>
        <v>4.8278050998959675E-3</v>
      </c>
    </row>
    <row r="31" spans="1:3" x14ac:dyDescent="0.3">
      <c r="A31" s="45">
        <v>8.4722222222222227E-2</v>
      </c>
      <c r="B31" s="13">
        <f t="shared" si="1"/>
        <v>4.6647471816609713E-3</v>
      </c>
      <c r="C31" s="15">
        <f t="shared" si="0"/>
        <v>5.0582657001794901E-3</v>
      </c>
    </row>
    <row r="32" spans="1:3" x14ac:dyDescent="0.3">
      <c r="A32" s="45">
        <v>9.0277777777777776E-2</v>
      </c>
      <c r="B32" s="13">
        <f t="shared" si="1"/>
        <v>4.9281307248421405E-3</v>
      </c>
      <c r="C32" s="15">
        <f t="shared" si="0"/>
        <v>5.3216492433606584E-3</v>
      </c>
    </row>
    <row r="33" spans="1:3" x14ac:dyDescent="0.3">
      <c r="A33" s="45">
        <v>9.5138888888888884E-2</v>
      </c>
      <c r="B33" s="13">
        <f t="shared" si="1"/>
        <v>5.1585913251256631E-3</v>
      </c>
      <c r="C33" s="15">
        <f t="shared" si="0"/>
        <v>5.5521098436441818E-3</v>
      </c>
    </row>
    <row r="34" spans="1:3" x14ac:dyDescent="0.3">
      <c r="A34" s="46">
        <v>0.1</v>
      </c>
      <c r="B34" s="16">
        <f t="shared" si="1"/>
        <v>5.3890519254091857E-3</v>
      </c>
      <c r="C34" s="18">
        <f t="shared" si="0"/>
        <v>5.7825704439277044E-3</v>
      </c>
    </row>
    <row r="35" spans="1:3" x14ac:dyDescent="0.3">
      <c r="A35" s="1"/>
      <c r="B35" s="1"/>
    </row>
    <row r="36" spans="1:3" x14ac:dyDescent="0.3">
      <c r="A36" s="1"/>
      <c r="B36" s="1"/>
    </row>
    <row r="37" spans="1:3" x14ac:dyDescent="0.3">
      <c r="A37" s="1"/>
      <c r="B37" s="1"/>
    </row>
  </sheetData>
  <dataConsolidate/>
  <mergeCells count="4">
    <mergeCell ref="A6:B6"/>
    <mergeCell ref="A3:G3"/>
    <mergeCell ref="A4:G4"/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6CC8-46D6-4EC6-B39D-F049CB04A6D4}">
  <sheetPr codeName="工作表8"/>
  <dimension ref="A1:G1"/>
  <sheetViews>
    <sheetView workbookViewId="0">
      <selection activeCell="K8" sqref="K8"/>
    </sheetView>
  </sheetViews>
  <sheetFormatPr defaultRowHeight="16.2" x14ac:dyDescent="0.3"/>
  <sheetData>
    <row r="1" spans="1:7" ht="33.6" thickBot="1" x14ac:dyDescent="0.35">
      <c r="A1" s="242" t="s">
        <v>37</v>
      </c>
      <c r="B1" s="243"/>
      <c r="C1" s="243"/>
      <c r="D1" s="243"/>
      <c r="E1" s="243"/>
      <c r="F1" s="243"/>
      <c r="G1" s="244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基本設定總表</vt:lpstr>
      <vt:lpstr>課表總表</vt:lpstr>
      <vt:lpstr>間歇跑</vt:lpstr>
      <vt:lpstr>強化跑</vt:lpstr>
      <vt:lpstr>節奏跑</vt:lpstr>
      <vt:lpstr>長跑</vt:lpstr>
      <vt:lpstr>輕鬆跑</vt:lpstr>
      <vt:lpstr>暖身、收操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柏愷 廖</dc:creator>
  <cp:lastModifiedBy>柏愷 廖</cp:lastModifiedBy>
  <dcterms:created xsi:type="dcterms:W3CDTF">2025-01-15T08:29:26Z</dcterms:created>
  <dcterms:modified xsi:type="dcterms:W3CDTF">2025-03-23T12:22:59Z</dcterms:modified>
</cp:coreProperties>
</file>