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/Dropbox/Equity/Paul Foster/"/>
    </mc:Choice>
  </mc:AlternateContent>
  <xr:revisionPtr revIDLastSave="0" documentId="13_ncr:1_{E2E22245-A2F9-CB48-B121-38C000FEE21F}" xr6:coauthVersionLast="46" xr6:coauthVersionMax="46" xr10:uidLastSave="{00000000-0000-0000-0000-000000000000}"/>
  <bookViews>
    <workbookView xWindow="0" yWindow="460" windowWidth="28800" windowHeight="15840" activeTab="4" xr2:uid="{B3CCD5BC-B2BF-CC48-9B3B-08BBD2B8879F}"/>
  </bookViews>
  <sheets>
    <sheet name="Sheet1" sheetId="5" r:id="rId1"/>
    <sheet name="scott working" sheetId="4" r:id="rId2"/>
    <sheet name="Current Acctg" sheetId="9" state="hidden" r:id="rId3"/>
    <sheet name="PSF" sheetId="3" state="hidden" r:id="rId4"/>
    <sheet name="Alternate Structure" sheetId="8" r:id="rId5"/>
    <sheet name="Taxes" sheetId="6" state="hidden" r:id="rId6"/>
  </sheets>
  <definedNames>
    <definedName name="_xlnm.Print_Area" localSheetId="4">'Alternate Structure'!$B$1:$K$37</definedName>
    <definedName name="_xlnm.Print_Area" localSheetId="3">PSF!$B$19:$G$46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8" l="1"/>
  <c r="D18" i="8"/>
  <c r="D17" i="8"/>
  <c r="F12" i="6"/>
  <c r="I14" i="8"/>
  <c r="D19" i="8"/>
  <c r="D25" i="8" s="1"/>
  <c r="D28" i="9"/>
  <c r="D29" i="9" s="1"/>
  <c r="E28" i="9" s="1"/>
  <c r="E19" i="9"/>
  <c r="F19" i="9"/>
  <c r="G19" i="9"/>
  <c r="H19" i="9"/>
  <c r="D19" i="9"/>
  <c r="D17" i="9"/>
  <c r="D16" i="9"/>
  <c r="D18" i="9" s="1"/>
  <c r="D26" i="9"/>
  <c r="D6" i="9"/>
  <c r="E8" i="9" s="1"/>
  <c r="E16" i="9" s="1"/>
  <c r="H82" i="9"/>
  <c r="D25" i="9" s="1"/>
  <c r="H73" i="9"/>
  <c r="H71" i="9"/>
  <c r="H68" i="9"/>
  <c r="H66" i="9"/>
  <c r="H64" i="9"/>
  <c r="H62" i="9"/>
  <c r="H60" i="9"/>
  <c r="H56" i="9"/>
  <c r="I51" i="9"/>
  <c r="J51" i="9" s="1"/>
  <c r="F6" i="9" s="1"/>
  <c r="G8" i="9" s="1"/>
  <c r="G16" i="9" s="1"/>
  <c r="G18" i="9" s="1"/>
  <c r="H72" i="8"/>
  <c r="H63" i="8"/>
  <c r="H61" i="8"/>
  <c r="H58" i="8"/>
  <c r="H56" i="8"/>
  <c r="H54" i="8"/>
  <c r="H52" i="8"/>
  <c r="H50" i="8"/>
  <c r="H46" i="8"/>
  <c r="I41" i="8"/>
  <c r="J41" i="8" s="1"/>
  <c r="D6" i="8"/>
  <c r="E15" i="8" s="1"/>
  <c r="C6" i="3"/>
  <c r="E5" i="6"/>
  <c r="G50" i="3"/>
  <c r="C10" i="3" s="1"/>
  <c r="H19" i="3"/>
  <c r="D6" i="3" s="1"/>
  <c r="G36" i="4"/>
  <c r="G31" i="4"/>
  <c r="J28" i="4"/>
  <c r="I4" i="4"/>
  <c r="I9" i="4" s="1"/>
  <c r="I13" i="4" s="1"/>
  <c r="I15" i="4" s="1"/>
  <c r="G41" i="3"/>
  <c r="G39" i="3"/>
  <c r="G36" i="3"/>
  <c r="G34" i="3"/>
  <c r="G30" i="3"/>
  <c r="G32" i="3"/>
  <c r="G28" i="3"/>
  <c r="G24" i="3"/>
  <c r="I19" i="9" l="1"/>
  <c r="H81" i="8"/>
  <c r="E6" i="6" s="1"/>
  <c r="E14" i="6" s="1"/>
  <c r="E15" i="6" s="1"/>
  <c r="D32" i="8" s="1"/>
  <c r="E11" i="6"/>
  <c r="D20" i="8"/>
  <c r="D20" i="9"/>
  <c r="E6" i="9"/>
  <c r="F8" i="9" s="1"/>
  <c r="F16" i="9" s="1"/>
  <c r="F18" i="9" s="1"/>
  <c r="H78" i="9"/>
  <c r="D7" i="9" s="1"/>
  <c r="I82" i="9"/>
  <c r="E25" i="9" s="1"/>
  <c r="K51" i="9"/>
  <c r="G6" i="9" s="1"/>
  <c r="H8" i="9" s="1"/>
  <c r="H16" i="9" s="1"/>
  <c r="J82" i="9"/>
  <c r="H68" i="8"/>
  <c r="D7" i="8" s="1"/>
  <c r="D8" i="8" s="1"/>
  <c r="I72" i="8"/>
  <c r="E6" i="8"/>
  <c r="F15" i="8" s="1"/>
  <c r="K41" i="8"/>
  <c r="J72" i="8"/>
  <c r="F6" i="8"/>
  <c r="G15" i="8" s="1"/>
  <c r="I19" i="3"/>
  <c r="E6" i="3" s="1"/>
  <c r="H50" i="3"/>
  <c r="D10" i="3" s="1"/>
  <c r="G46" i="3"/>
  <c r="E8" i="6" l="1"/>
  <c r="E9" i="6" s="1"/>
  <c r="E7" i="6"/>
  <c r="E16" i="6"/>
  <c r="D34" i="8" s="1"/>
  <c r="I16" i="9"/>
  <c r="F75" i="9"/>
  <c r="I78" i="9" s="1"/>
  <c r="E7" i="9" s="1"/>
  <c r="H80" i="9"/>
  <c r="H85" i="9" s="1"/>
  <c r="H87" i="9" s="1"/>
  <c r="H89" i="9" s="1"/>
  <c r="L51" i="9"/>
  <c r="H6" i="9" s="1"/>
  <c r="I6" i="9" s="1"/>
  <c r="K82" i="9"/>
  <c r="F25" i="9"/>
  <c r="H70" i="8"/>
  <c r="H75" i="8" s="1"/>
  <c r="H77" i="8" s="1"/>
  <c r="F65" i="8"/>
  <c r="I68" i="8" s="1"/>
  <c r="G6" i="8"/>
  <c r="H15" i="8" s="1"/>
  <c r="I15" i="8" s="1"/>
  <c r="L41" i="8"/>
  <c r="K72" i="8"/>
  <c r="E43" i="3"/>
  <c r="H46" i="3" s="1"/>
  <c r="C7" i="3"/>
  <c r="C8" i="3" s="1"/>
  <c r="J19" i="3"/>
  <c r="F6" i="3" s="1"/>
  <c r="I50" i="3"/>
  <c r="E10" i="3" s="1"/>
  <c r="G48" i="3"/>
  <c r="G53" i="3" s="1"/>
  <c r="G55" i="3" s="1"/>
  <c r="K78" i="9" l="1"/>
  <c r="G7" i="9" s="1"/>
  <c r="J78" i="9"/>
  <c r="J80" i="9" s="1"/>
  <c r="J85" i="9" s="1"/>
  <c r="I80" i="9"/>
  <c r="I85" i="9" s="1"/>
  <c r="I87" i="9" s="1"/>
  <c r="I89" i="9" s="1"/>
  <c r="L78" i="9"/>
  <c r="H7" i="9" s="1"/>
  <c r="L82" i="9"/>
  <c r="H91" i="9"/>
  <c r="D27" i="9"/>
  <c r="G25" i="9"/>
  <c r="M51" i="9"/>
  <c r="I46" i="3"/>
  <c r="I48" i="3" s="1"/>
  <c r="I53" i="3" s="1"/>
  <c r="I55" i="3" s="1"/>
  <c r="J68" i="8"/>
  <c r="F7" i="8" s="1"/>
  <c r="F8" i="8" s="1"/>
  <c r="K68" i="8"/>
  <c r="H79" i="8"/>
  <c r="E7" i="8"/>
  <c r="E8" i="8" s="1"/>
  <c r="I70" i="8"/>
  <c r="I75" i="8" s="1"/>
  <c r="L72" i="8"/>
  <c r="H6" i="8"/>
  <c r="L68" i="8"/>
  <c r="H7" i="8" s="1"/>
  <c r="M41" i="8"/>
  <c r="D31" i="8"/>
  <c r="G59" i="3"/>
  <c r="C11" i="3"/>
  <c r="C12" i="3" s="1"/>
  <c r="C14" i="3" s="1"/>
  <c r="E7" i="3"/>
  <c r="E8" i="3" s="1"/>
  <c r="H48" i="3"/>
  <c r="H53" i="3" s="1"/>
  <c r="H55" i="3" s="1"/>
  <c r="D7" i="3"/>
  <c r="D8" i="3" s="1"/>
  <c r="K19" i="3"/>
  <c r="G6" i="3" s="1"/>
  <c r="J50" i="3"/>
  <c r="F10" i="3" s="1"/>
  <c r="J46" i="3"/>
  <c r="G57" i="3"/>
  <c r="D21" i="8" l="1"/>
  <c r="L80" i="9"/>
  <c r="F7" i="9"/>
  <c r="I7" i="9" s="1"/>
  <c r="K80" i="9"/>
  <c r="K85" i="9" s="1"/>
  <c r="K87" i="9" s="1"/>
  <c r="L85" i="9"/>
  <c r="L87" i="9" s="1"/>
  <c r="D35" i="9"/>
  <c r="D41" i="9" s="1"/>
  <c r="M78" i="9"/>
  <c r="M82" i="9"/>
  <c r="J87" i="9"/>
  <c r="J89" i="9" s="1"/>
  <c r="D9" i="9"/>
  <c r="D10" i="9" s="1"/>
  <c r="E11" i="9" s="1"/>
  <c r="I91" i="9"/>
  <c r="H25" i="9"/>
  <c r="I8" i="9" s="1"/>
  <c r="J70" i="8"/>
  <c r="J75" i="8" s="1"/>
  <c r="J77" i="8" s="1"/>
  <c r="J79" i="8" s="1"/>
  <c r="G7" i="8"/>
  <c r="G8" i="8" s="1"/>
  <c r="K70" i="8"/>
  <c r="K75" i="8" s="1"/>
  <c r="K77" i="8" s="1"/>
  <c r="I77" i="8"/>
  <c r="I79" i="8" s="1"/>
  <c r="H8" i="8"/>
  <c r="L70" i="8"/>
  <c r="L75" i="8" s="1"/>
  <c r="M72" i="8"/>
  <c r="I6" i="8"/>
  <c r="M68" i="8"/>
  <c r="I7" i="8" s="1"/>
  <c r="H57" i="3"/>
  <c r="D11" i="3"/>
  <c r="D12" i="3" s="1"/>
  <c r="D14" i="3" s="1"/>
  <c r="H59" i="3"/>
  <c r="J48" i="3"/>
  <c r="J53" i="3" s="1"/>
  <c r="J55" i="3" s="1"/>
  <c r="F7" i="3"/>
  <c r="F8" i="3" s="1"/>
  <c r="I57" i="3"/>
  <c r="E11" i="3"/>
  <c r="E12" i="3" s="1"/>
  <c r="E14" i="3" s="1"/>
  <c r="K46" i="3"/>
  <c r="K50" i="3"/>
  <c r="G10" i="3" s="1"/>
  <c r="L19" i="3"/>
  <c r="H6" i="3" s="1"/>
  <c r="I59" i="3"/>
  <c r="E17" i="9" l="1"/>
  <c r="E26" i="9"/>
  <c r="E27" i="9" s="1"/>
  <c r="I82" i="8"/>
  <c r="I92" i="9"/>
  <c r="E36" i="9" s="1"/>
  <c r="H82" i="8"/>
  <c r="D26" i="8" s="1"/>
  <c r="H92" i="9"/>
  <c r="D12" i="9"/>
  <c r="D13" i="9" s="1"/>
  <c r="D9" i="8"/>
  <c r="D10" i="8" s="1"/>
  <c r="M80" i="9"/>
  <c r="M85" i="9" s="1"/>
  <c r="K89" i="9"/>
  <c r="J91" i="9"/>
  <c r="I25" i="9"/>
  <c r="L91" i="9"/>
  <c r="K91" i="9"/>
  <c r="D42" i="9"/>
  <c r="D43" i="9" s="1"/>
  <c r="I93" i="9"/>
  <c r="E37" i="9" s="1"/>
  <c r="E35" i="9"/>
  <c r="E41" i="9" s="1"/>
  <c r="L89" i="9"/>
  <c r="D33" i="8"/>
  <c r="M70" i="8"/>
  <c r="M75" i="8" s="1"/>
  <c r="K79" i="8"/>
  <c r="L77" i="8"/>
  <c r="L79" i="8" s="1"/>
  <c r="I8" i="8"/>
  <c r="J57" i="3"/>
  <c r="F11" i="3"/>
  <c r="F12" i="3" s="1"/>
  <c r="F14" i="3" s="1"/>
  <c r="H60" i="3"/>
  <c r="H61" i="3" s="1"/>
  <c r="G60" i="3"/>
  <c r="G68" i="3" s="1"/>
  <c r="K48" i="3"/>
  <c r="K53" i="3" s="1"/>
  <c r="G7" i="3"/>
  <c r="G8" i="3" s="1"/>
  <c r="J59" i="3"/>
  <c r="L46" i="3"/>
  <c r="H7" i="3" s="1"/>
  <c r="H8" i="3" s="1"/>
  <c r="L50" i="3"/>
  <c r="H10" i="3" s="1"/>
  <c r="H68" i="3" l="1"/>
  <c r="E18" i="9"/>
  <c r="E20" i="9" s="1"/>
  <c r="I94" i="9"/>
  <c r="E38" i="9" s="1"/>
  <c r="D27" i="8"/>
  <c r="D28" i="8"/>
  <c r="H83" i="8"/>
  <c r="H84" i="8"/>
  <c r="D36" i="9"/>
  <c r="H94" i="9"/>
  <c r="D38" i="9" s="1"/>
  <c r="H93" i="9"/>
  <c r="D37" i="9" s="1"/>
  <c r="D46" i="9" s="1"/>
  <c r="D11" i="8"/>
  <c r="E16" i="8"/>
  <c r="E17" i="8" s="1"/>
  <c r="E29" i="9"/>
  <c r="M87" i="9"/>
  <c r="M89" i="9" s="1"/>
  <c r="E42" i="9"/>
  <c r="E43" i="9"/>
  <c r="E46" i="9" s="1"/>
  <c r="F35" i="9"/>
  <c r="F41" i="9" s="1"/>
  <c r="G35" i="9"/>
  <c r="G41" i="9" s="1"/>
  <c r="H35" i="9"/>
  <c r="H41" i="9" s="1"/>
  <c r="M77" i="8"/>
  <c r="G61" i="3"/>
  <c r="K55" i="3"/>
  <c r="L48" i="3"/>
  <c r="L53" i="3" s="1"/>
  <c r="E19" i="8" l="1"/>
  <c r="E9" i="9"/>
  <c r="E10" i="9" s="1"/>
  <c r="F28" i="9"/>
  <c r="G42" i="9"/>
  <c r="G43" i="9" s="1"/>
  <c r="M91" i="9"/>
  <c r="N89" i="9" s="1"/>
  <c r="N91" i="9" s="1"/>
  <c r="F42" i="9"/>
  <c r="M81" i="8"/>
  <c r="M79" i="8"/>
  <c r="K59" i="3"/>
  <c r="G11" i="3"/>
  <c r="G12" i="3" s="1"/>
  <c r="G14" i="3" s="1"/>
  <c r="K57" i="3"/>
  <c r="L55" i="3"/>
  <c r="E20" i="8" l="1"/>
  <c r="E21" i="8" s="1"/>
  <c r="E9" i="8" s="1"/>
  <c r="E10" i="8" s="1"/>
  <c r="E11" i="8" s="1"/>
  <c r="F11" i="6"/>
  <c r="F13" i="6" s="1"/>
  <c r="F15" i="6" s="1"/>
  <c r="I81" i="8"/>
  <c r="E25" i="8"/>
  <c r="E12" i="9"/>
  <c r="E13" i="9" s="1"/>
  <c r="F29" i="9"/>
  <c r="F43" i="9"/>
  <c r="I35" i="9"/>
  <c r="I41" i="9" s="1"/>
  <c r="N79" i="8"/>
  <c r="N81" i="8" s="1"/>
  <c r="L59" i="3"/>
  <c r="H11" i="3"/>
  <c r="H12" i="3" s="1"/>
  <c r="L57" i="3"/>
  <c r="F16" i="8" l="1"/>
  <c r="F17" i="8" s="1"/>
  <c r="E31" i="8"/>
  <c r="E32" i="8"/>
  <c r="F16" i="6"/>
  <c r="E34" i="8" s="1"/>
  <c r="F6" i="6"/>
  <c r="I83" i="8"/>
  <c r="I84" i="8"/>
  <c r="F9" i="9"/>
  <c r="F10" i="9" s="1"/>
  <c r="G28" i="9"/>
  <c r="M57" i="3"/>
  <c r="M59" i="3" s="1"/>
  <c r="J12" i="3"/>
  <c r="F19" i="8" l="1"/>
  <c r="F20" i="8" s="1"/>
  <c r="F21" i="8" s="1"/>
  <c r="F9" i="8" s="1"/>
  <c r="F10" i="8" s="1"/>
  <c r="E33" i="8"/>
  <c r="F8" i="6"/>
  <c r="F12" i="9"/>
  <c r="F13" i="9" s="1"/>
  <c r="G29" i="9"/>
  <c r="H28" i="9" s="1"/>
  <c r="H14" i="3"/>
  <c r="G11" i="6" l="1"/>
  <c r="G13" i="6" s="1"/>
  <c r="F25" i="8"/>
  <c r="F31" i="8" s="1"/>
  <c r="J81" i="8"/>
  <c r="G6" i="6" s="1"/>
  <c r="E26" i="8"/>
  <c r="F9" i="6"/>
  <c r="F11" i="8"/>
  <c r="G16" i="8"/>
  <c r="G17" i="8" s="1"/>
  <c r="F26" i="9"/>
  <c r="F27" i="9" s="1"/>
  <c r="H29" i="9"/>
  <c r="I29" i="9" s="1"/>
  <c r="G9" i="9"/>
  <c r="G10" i="9" s="1"/>
  <c r="H17" i="3"/>
  <c r="I12" i="3" s="1"/>
  <c r="J14" i="3"/>
  <c r="I14" i="3"/>
  <c r="G14" i="6" l="1"/>
  <c r="G15" i="6" s="1"/>
  <c r="G16" i="6" s="1"/>
  <c r="F34" i="8" s="1"/>
  <c r="I28" i="9"/>
  <c r="G20" i="9"/>
  <c r="H11" i="9"/>
  <c r="G19" i="8"/>
  <c r="E28" i="8"/>
  <c r="E27" i="8"/>
  <c r="E36" i="8" s="1"/>
  <c r="G8" i="6"/>
  <c r="G7" i="6"/>
  <c r="F20" i="9"/>
  <c r="H9" i="9"/>
  <c r="H10" i="9" s="1"/>
  <c r="F32" i="8" l="1"/>
  <c r="F33" i="8" s="1"/>
  <c r="G9" i="6"/>
  <c r="F26" i="8"/>
  <c r="J82" i="8"/>
  <c r="I60" i="3"/>
  <c r="J92" i="9"/>
  <c r="G20" i="8"/>
  <c r="G21" i="8" s="1"/>
  <c r="K81" i="8"/>
  <c r="H11" i="6"/>
  <c r="G25" i="8"/>
  <c r="H17" i="9"/>
  <c r="H18" i="9" s="1"/>
  <c r="I10" i="9"/>
  <c r="G12" i="9"/>
  <c r="G13" i="9" s="1"/>
  <c r="H26" i="9"/>
  <c r="H27" i="9" s="1"/>
  <c r="I9" i="9"/>
  <c r="G9" i="8" l="1"/>
  <c r="G10" i="8" s="1"/>
  <c r="J84" i="8"/>
  <c r="J83" i="8"/>
  <c r="I61" i="3"/>
  <c r="I68" i="3"/>
  <c r="F28" i="8"/>
  <c r="F27" i="8"/>
  <c r="H6" i="6"/>
  <c r="J93" i="9"/>
  <c r="F37" i="9" s="1"/>
  <c r="F46" i="9" s="1"/>
  <c r="J94" i="9"/>
  <c r="F38" i="9" s="1"/>
  <c r="F36" i="9"/>
  <c r="G31" i="8"/>
  <c r="H14" i="6"/>
  <c r="H13" i="6"/>
  <c r="H15" i="6" s="1"/>
  <c r="H20" i="9"/>
  <c r="I17" i="9"/>
  <c r="I18" i="9" s="1"/>
  <c r="H12" i="9"/>
  <c r="H13" i="9" s="1"/>
  <c r="G26" i="9"/>
  <c r="G27" i="9" s="1"/>
  <c r="I11" i="9"/>
  <c r="I26" i="9" s="1"/>
  <c r="I27" i="9" s="1"/>
  <c r="K27" i="9" s="1"/>
  <c r="K18" i="9" l="1"/>
  <c r="I20" i="9"/>
  <c r="F36" i="8"/>
  <c r="H16" i="6"/>
  <c r="G34" i="8" s="1"/>
  <c r="G32" i="8"/>
  <c r="G33" i="8" s="1"/>
  <c r="H8" i="6"/>
  <c r="H7" i="6"/>
  <c r="G11" i="8"/>
  <c r="H16" i="8"/>
  <c r="H17" i="8" s="1"/>
  <c r="I12" i="9"/>
  <c r="K20" i="9" l="1"/>
  <c r="H9" i="6"/>
  <c r="G26" i="8"/>
  <c r="K82" i="8"/>
  <c r="J60" i="3"/>
  <c r="K92" i="9"/>
  <c r="H19" i="8"/>
  <c r="I16" i="8"/>
  <c r="I13" i="9"/>
  <c r="J18" i="9" s="1"/>
  <c r="I49" i="9"/>
  <c r="J27" i="9" s="1"/>
  <c r="I19" i="8" l="1"/>
  <c r="I17" i="8"/>
  <c r="J20" i="9"/>
  <c r="K93" i="9"/>
  <c r="G37" i="9" s="1"/>
  <c r="G46" i="9" s="1"/>
  <c r="K94" i="9"/>
  <c r="G38" i="9" s="1"/>
  <c r="G36" i="9"/>
  <c r="H20" i="8"/>
  <c r="H21" i="8" s="1"/>
  <c r="L81" i="8"/>
  <c r="I11" i="6"/>
  <c r="H25" i="8"/>
  <c r="K84" i="8"/>
  <c r="K83" i="8"/>
  <c r="I20" i="8"/>
  <c r="J61" i="3"/>
  <c r="J68" i="3"/>
  <c r="G28" i="8"/>
  <c r="G27" i="8"/>
  <c r="K17" i="8" l="1"/>
  <c r="K19" i="8"/>
  <c r="H9" i="8"/>
  <c r="H10" i="8" s="1"/>
  <c r="H11" i="8" s="1"/>
  <c r="I21" i="8"/>
  <c r="I9" i="8" s="1"/>
  <c r="I10" i="8" s="1"/>
  <c r="H31" i="8"/>
  <c r="I25" i="8"/>
  <c r="I6" i="6"/>
  <c r="I14" i="6"/>
  <c r="I13" i="6"/>
  <c r="G36" i="8"/>
  <c r="I8" i="6" l="1"/>
  <c r="I7" i="6"/>
  <c r="J6" i="6"/>
  <c r="I31" i="8"/>
  <c r="I11" i="8"/>
  <c r="I39" i="8"/>
  <c r="I15" i="6"/>
  <c r="J17" i="8" l="1"/>
  <c r="J19" i="8"/>
  <c r="J7" i="6"/>
  <c r="J8" i="6"/>
  <c r="I16" i="6"/>
  <c r="H34" i="8" s="1"/>
  <c r="H32" i="8"/>
  <c r="I9" i="6"/>
  <c r="H26" i="8"/>
  <c r="L82" i="8"/>
  <c r="K60" i="3"/>
  <c r="L92" i="9"/>
  <c r="L84" i="8" l="1"/>
  <c r="L83" i="8"/>
  <c r="H28" i="8"/>
  <c r="H27" i="8"/>
  <c r="L93" i="9"/>
  <c r="H37" i="9" s="1"/>
  <c r="H48" i="9" s="1"/>
  <c r="H44" i="9" s="1"/>
  <c r="H42" i="9" s="1"/>
  <c r="L94" i="9"/>
  <c r="H38" i="9" s="1"/>
  <c r="H36" i="9"/>
  <c r="M82" i="8"/>
  <c r="J9" i="6"/>
  <c r="L60" i="3"/>
  <c r="M92" i="9"/>
  <c r="I32" i="8"/>
  <c r="I34" i="8" s="1"/>
  <c r="H33" i="8"/>
  <c r="K68" i="3"/>
  <c r="K61" i="3"/>
  <c r="H36" i="8" l="1"/>
  <c r="I33" i="8"/>
  <c r="H43" i="9"/>
  <c r="H46" i="9" s="1"/>
  <c r="I42" i="9"/>
  <c r="I26" i="8"/>
  <c r="I28" i="8" s="1"/>
  <c r="M83" i="8"/>
  <c r="I27" i="8" s="1"/>
  <c r="M84" i="8"/>
  <c r="H38" i="8"/>
  <c r="M93" i="9"/>
  <c r="I37" i="9" s="1"/>
  <c r="I36" i="9"/>
  <c r="M94" i="9"/>
  <c r="I38" i="9" s="1"/>
  <c r="L61" i="3"/>
  <c r="L68" i="3"/>
  <c r="I36" i="8" l="1"/>
  <c r="I43" i="9"/>
  <c r="I46" i="9" s="1"/>
  <c r="I44" i="9" l="1"/>
</calcChain>
</file>

<file path=xl/sharedStrings.xml><?xml version="1.0" encoding="utf-8"?>
<sst xmlns="http://schemas.openxmlformats.org/spreadsheetml/2006/main" count="305" uniqueCount="116">
  <si>
    <t>Total Practice Collection ( Revenue )</t>
  </si>
  <si>
    <t xml:space="preserve">200k </t>
  </si>
  <si>
    <t>each hygienig brings</t>
  </si>
  <si>
    <t xml:space="preserve">hygeiinst gets </t>
  </si>
  <si>
    <t xml:space="preserve">dental assistance </t>
  </si>
  <si>
    <t xml:space="preserve">5-6 of revenue </t>
  </si>
  <si>
    <t>doc falls of 9-10% of overall collection</t>
  </si>
  <si>
    <t>front desk + office manager = 6% of over all calculation</t>
  </si>
  <si>
    <t>Labs = 5% of overall calculation</t>
  </si>
  <si>
    <t>suppies = 5% of the overall calculation</t>
  </si>
  <si>
    <t xml:space="preserve">Rent unititlies should be 5% </t>
  </si>
  <si>
    <t xml:space="preserve">Bank fee </t>
  </si>
  <si>
    <t>20-30 % of overall collection</t>
  </si>
  <si>
    <t xml:space="preserve">Total expenses </t>
  </si>
  <si>
    <t xml:space="preserve">pay doc </t>
  </si>
  <si>
    <t xml:space="preserve">% </t>
  </si>
  <si>
    <t xml:space="preserve">Business profit Percent </t>
  </si>
  <si>
    <t xml:space="preserve">Left ( Net profit ) </t>
  </si>
  <si>
    <t>Assistant falls of 5% of overall collection</t>
  </si>
  <si>
    <t>13:30 where he starts the overall collection</t>
  </si>
  <si>
    <t>8-9 percent of overall collection</t>
  </si>
  <si>
    <t xml:space="preserve">Taxes </t>
  </si>
  <si>
    <t>Didn't included</t>
  </si>
  <si>
    <t xml:space="preserve">% of total collection </t>
  </si>
  <si>
    <t xml:space="preserve">Give back to the doc </t>
  </si>
  <si>
    <t>%</t>
  </si>
  <si>
    <t xml:space="preserve">Equity corp's Net profit ) </t>
  </si>
  <si>
    <t>Overhead</t>
  </si>
  <si>
    <t>Left</t>
  </si>
  <si>
    <t>G4 to G31</t>
  </si>
  <si>
    <t>Things we didn't calculate</t>
  </si>
  <si>
    <t xml:space="preserve">Taxes, </t>
  </si>
  <si>
    <t xml:space="preserve">Profit improvement after we bring more associate / hygeinist. </t>
  </si>
  <si>
    <t>Profit improvements after we open the practice for 2-3 more days per week.</t>
  </si>
  <si>
    <t>Total expenses prior to revenue share</t>
  </si>
  <si>
    <t xml:space="preserve">Revenue Share; pay doc </t>
  </si>
  <si>
    <t>Income before Dr Payouts</t>
  </si>
  <si>
    <t>Dr's Profit Share</t>
  </si>
  <si>
    <t>Annual Revnue Growth</t>
  </si>
  <si>
    <t>Year 1</t>
  </si>
  <si>
    <t>Year 2</t>
  </si>
  <si>
    <t>Year 3</t>
  </si>
  <si>
    <t>Year 4</t>
  </si>
  <si>
    <t>Year 5</t>
  </si>
  <si>
    <t>Total</t>
  </si>
  <si>
    <t>Total Payout to DR</t>
  </si>
  <si>
    <t>Tax rate</t>
  </si>
  <si>
    <t>Taxable income bracket</t>
  </si>
  <si>
    <t>Tax owed</t>
  </si>
  <si>
    <t>$0 to $9,875</t>
  </si>
  <si>
    <t>10% of taxable income</t>
  </si>
  <si>
    <t>$9,876 to $40,125</t>
  </si>
  <si>
    <t>$987.50 plus 12% of the amount over $9,875</t>
  </si>
  <si>
    <t>$40,126 to $85,525</t>
  </si>
  <si>
    <t>$4,617.50 plus 22% of the amount over $40,125</t>
  </si>
  <si>
    <t>$85,526 to $163,300</t>
  </si>
  <si>
    <t>$14,605.50 plus 24% of the amount over $85,525</t>
  </si>
  <si>
    <t>$163,301 to $207,350</t>
  </si>
  <si>
    <t>$33,271.50 plus 32% of the amount over $163,300</t>
  </si>
  <si>
    <t>$207,351 to $518,400</t>
  </si>
  <si>
    <t>$47,367.50 plus 35% of the amount over $207,350</t>
  </si>
  <si>
    <t>$518,401 or more</t>
  </si>
  <si>
    <t>$156,235 plus 37% of the amount over $518,400</t>
  </si>
  <si>
    <t>Taxes (Compensation rates)</t>
  </si>
  <si>
    <t>Total Revenue</t>
  </si>
  <si>
    <t>Total Operating Expense (Non-DR related)</t>
  </si>
  <si>
    <t>Total Reveenue</t>
  </si>
  <si>
    <t>Operating Profit Before Dr Payout</t>
  </si>
  <si>
    <t>Dr Revenue Share</t>
  </si>
  <si>
    <t>Dr Profit Share</t>
  </si>
  <si>
    <t>% of Operating</t>
  </si>
  <si>
    <t>Profit</t>
  </si>
  <si>
    <t xml:space="preserve">% of </t>
  </si>
  <si>
    <t>Revenue</t>
  </si>
  <si>
    <t>DR Payout</t>
  </si>
  <si>
    <t>EDP Pretax Income</t>
  </si>
  <si>
    <t>Summary 5 Year P&amp;L</t>
  </si>
  <si>
    <t>Current Accounting</t>
  </si>
  <si>
    <t>Capitalizing Dr's Payments</t>
  </si>
  <si>
    <t>Amortization of Intangibles</t>
  </si>
  <si>
    <t>Capitalized with 7 year amortization</t>
  </si>
  <si>
    <t>Amortization</t>
  </si>
  <si>
    <t>Seller's Potential Tax Impact</t>
  </si>
  <si>
    <t>Net Income</t>
  </si>
  <si>
    <t>Effective Tax Rate</t>
  </si>
  <si>
    <t>Taxed as Compensation</t>
  </si>
  <si>
    <t>Impact on Dr's Earnings</t>
  </si>
  <si>
    <t>Five Year Total</t>
  </si>
  <si>
    <t>Intangible Assets</t>
  </si>
  <si>
    <t>Initial Purchase Price</t>
  </si>
  <si>
    <t>Total Intangibles</t>
  </si>
  <si>
    <t>Current Accounting Proposal</t>
  </si>
  <si>
    <t>Operating Profit Before Dr Profit Share</t>
  </si>
  <si>
    <t>Earnings Before Income Taxes (EBIT)</t>
  </si>
  <si>
    <t>EBITDA</t>
  </si>
  <si>
    <t>Operating Profit Before Amortization</t>
  </si>
  <si>
    <t>EBITDA (Depreciation and Amortization)</t>
  </si>
  <si>
    <t>Amort</t>
  </si>
  <si>
    <t>Dr Revenue Share (@30%)</t>
  </si>
  <si>
    <t>Intangible Amortization</t>
  </si>
  <si>
    <t>Dr's Payout</t>
  </si>
  <si>
    <t>Initial Purchase Premium</t>
  </si>
  <si>
    <t>Total Dr Payout</t>
  </si>
  <si>
    <t>% of Revenue</t>
  </si>
  <si>
    <t>Total Intangibles (100%)</t>
  </si>
  <si>
    <t>Taxes (Capital Gains rates)</t>
  </si>
  <si>
    <t>Taxed as Capital Gains</t>
  </si>
  <si>
    <t>$0 to $80,800</t>
  </si>
  <si>
    <t>$80,801 to $501,600</t>
  </si>
  <si>
    <t>$501,601 or more</t>
  </si>
  <si>
    <t>Capital Gains</t>
  </si>
  <si>
    <t>Total Tax</t>
  </si>
  <si>
    <t>Dr's Payout excluding initial Payment</t>
  </si>
  <si>
    <t>% of EBITDA</t>
  </si>
  <si>
    <t>Alternate Structure and Accounting (3/19/21)</t>
  </si>
  <si>
    <t>Capitalizing All Dr's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</si>
</sst>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(&quot;$&quot;* #,##0_);_(&quot;$&quot;* \(#,##0\);_(&quot;$&quot;* &quot;-&quot;??_);_(@_)"/>
    <numFmt numFmtId="167" formatCode="_(* #,##0_);_(* \(#,##0\);_(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Segoe UI"/>
      <family val="2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rgb="FF000000"/>
      <name val="Segoe UI"/>
      <family val="2"/>
    </font>
    <font>
      <sz val="12"/>
      <color rgb="FF000000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9D08E"/>
        <bgColor rgb="FF000000"/>
      </patternFill>
    </fill>
    <fill>
      <patternFill patternType="solid">
        <fgColor rgb="FFF7F7F7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medium">
        <color rgb="FFD8D9DA"/>
      </left>
      <right style="medium">
        <color rgb="FFD8D9DA"/>
      </right>
      <top style="medium">
        <color rgb="FFD8D9DA"/>
      </top>
      <bottom style="medium">
        <color rgb="FFD8D9DA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7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2">
    <xf numFmtId="0" fontId="0" fillId="0" borderId="0" xfId="0"/>
    <xf numFmtId="164" fontId="2" fillId="2" borderId="0" xfId="1" applyNumberFormat="1"/>
    <xf numFmtId="0" fontId="4" fillId="0" borderId="0" xfId="0" applyFont="1"/>
    <xf numFmtId="0" fontId="3" fillId="3" borderId="0" xfId="0" applyFont="1" applyFill="1"/>
    <xf numFmtId="164" fontId="4" fillId="4" borderId="0" xfId="0" applyNumberFormat="1" applyFont="1" applyFill="1"/>
    <xf numFmtId="164" fontId="4" fillId="0" borderId="0" xfId="0" applyNumberFormat="1" applyFont="1"/>
    <xf numFmtId="2" fontId="4" fillId="0" borderId="0" xfId="0" applyNumberFormat="1" applyFont="1"/>
    <xf numFmtId="164" fontId="2" fillId="5" borderId="0" xfId="0" applyNumberFormat="1" applyFont="1" applyFill="1"/>
    <xf numFmtId="0" fontId="2" fillId="2" borderId="0" xfId="1"/>
    <xf numFmtId="0" fontId="2" fillId="5" borderId="0" xfId="0" applyFont="1" applyFill="1"/>
    <xf numFmtId="0" fontId="4" fillId="6" borderId="0" xfId="0" applyFont="1" applyFill="1"/>
    <xf numFmtId="2" fontId="4" fillId="6" borderId="0" xfId="0" applyNumberFormat="1" applyFont="1" applyFill="1"/>
    <xf numFmtId="20" fontId="0" fillId="0" borderId="0" xfId="0" applyNumberFormat="1"/>
    <xf numFmtId="0" fontId="1" fillId="7" borderId="0" xfId="2"/>
    <xf numFmtId="164" fontId="1" fillId="7" borderId="0" xfId="2" applyNumberFormat="1"/>
    <xf numFmtId="0" fontId="5" fillId="0" borderId="0" xfId="0" applyFont="1"/>
    <xf numFmtId="164" fontId="0" fillId="0" borderId="0" xfId="0" applyNumberFormat="1"/>
    <xf numFmtId="20" fontId="4" fillId="0" borderId="0" xfId="0" applyNumberFormat="1" applyFont="1"/>
    <xf numFmtId="0" fontId="4" fillId="8" borderId="0" xfId="0" applyFont="1" applyFill="1"/>
    <xf numFmtId="164" fontId="4" fillId="8" borderId="0" xfId="0" applyNumberFormat="1" applyFont="1" applyFill="1"/>
    <xf numFmtId="9" fontId="4" fillId="0" borderId="0" xfId="5" applyFont="1"/>
    <xf numFmtId="0" fontId="2" fillId="0" borderId="0" xfId="1" applyFill="1"/>
    <xf numFmtId="164" fontId="2" fillId="0" borderId="0" xfId="1" applyNumberFormat="1" applyFill="1"/>
    <xf numFmtId="0" fontId="0" fillId="0" borderId="0" xfId="0" applyAlignment="1">
      <alignment horizontal="center"/>
    </xf>
    <xf numFmtId="165" fontId="2" fillId="2" borderId="0" xfId="1" applyNumberFormat="1"/>
    <xf numFmtId="9" fontId="1" fillId="7" borderId="0" xfId="5" applyFill="1"/>
    <xf numFmtId="9" fontId="0" fillId="0" borderId="0" xfId="0" applyNumberFormat="1"/>
    <xf numFmtId="9" fontId="7" fillId="10" borderId="1" xfId="0" applyNumberFormat="1" applyFont="1" applyFill="1" applyBorder="1" applyAlignment="1">
      <alignment vertical="center" wrapText="1"/>
    </xf>
    <xf numFmtId="0" fontId="7" fillId="10" borderId="1" xfId="0" applyFont="1" applyFill="1" applyBorder="1" applyAlignment="1">
      <alignment vertical="center" wrapText="1"/>
    </xf>
    <xf numFmtId="9" fontId="7" fillId="9" borderId="1" xfId="0" applyNumberFormat="1" applyFont="1" applyFill="1" applyBorder="1" applyAlignment="1">
      <alignment vertical="center" wrapText="1"/>
    </xf>
    <xf numFmtId="0" fontId="7" fillId="9" borderId="1" xfId="0" applyFont="1" applyFill="1" applyBorder="1" applyAlignment="1">
      <alignment vertical="center" wrapText="1"/>
    </xf>
    <xf numFmtId="9" fontId="0" fillId="0" borderId="0" xfId="5" applyFont="1"/>
    <xf numFmtId="165" fontId="0" fillId="0" borderId="0" xfId="0" applyNumberFormat="1"/>
    <xf numFmtId="165" fontId="8" fillId="0" borderId="0" xfId="0" applyNumberFormat="1" applyFont="1"/>
    <xf numFmtId="165" fontId="0" fillId="0" borderId="0" xfId="0" applyNumberFormat="1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centerContinuous"/>
    </xf>
    <xf numFmtId="0" fontId="9" fillId="0" borderId="0" xfId="0" applyFont="1" applyAlignment="1">
      <alignment horizontal="centerContinuous"/>
    </xf>
    <xf numFmtId="0" fontId="9" fillId="0" borderId="2" xfId="0" applyFont="1" applyBorder="1"/>
    <xf numFmtId="165" fontId="9" fillId="0" borderId="3" xfId="0" applyNumberFormat="1" applyFont="1" applyBorder="1"/>
    <xf numFmtId="9" fontId="9" fillId="0" borderId="3" xfId="5" applyFont="1" applyBorder="1"/>
    <xf numFmtId="9" fontId="9" fillId="0" borderId="4" xfId="5" applyFont="1" applyBorder="1"/>
    <xf numFmtId="0" fontId="9" fillId="0" borderId="0" xfId="0" applyFont="1"/>
    <xf numFmtId="165" fontId="10" fillId="0" borderId="0" xfId="0" applyNumberFormat="1" applyFont="1"/>
    <xf numFmtId="9" fontId="10" fillId="0" borderId="0" xfId="5" applyFont="1"/>
    <xf numFmtId="9" fontId="9" fillId="0" borderId="0" xfId="5" applyFont="1"/>
    <xf numFmtId="0" fontId="9" fillId="0" borderId="0" xfId="0" applyFont="1" applyBorder="1"/>
    <xf numFmtId="165" fontId="9" fillId="0" borderId="0" xfId="0" applyNumberFormat="1" applyFont="1" applyBorder="1"/>
    <xf numFmtId="9" fontId="9" fillId="0" borderId="0" xfId="5" applyFont="1" applyBorder="1"/>
    <xf numFmtId="0" fontId="0" fillId="0" borderId="0" xfId="0" applyFont="1"/>
    <xf numFmtId="166" fontId="9" fillId="0" borderId="5" xfId="5" applyNumberFormat="1" applyFont="1" applyBorder="1"/>
    <xf numFmtId="166" fontId="9" fillId="0" borderId="6" xfId="5" applyNumberFormat="1" applyFont="1" applyBorder="1"/>
    <xf numFmtId="0" fontId="0" fillId="0" borderId="7" xfId="0" applyBorder="1" applyAlignment="1">
      <alignment horizontal="centerContinuous"/>
    </xf>
    <xf numFmtId="0" fontId="10" fillId="0" borderId="8" xfId="0" applyFont="1" applyBorder="1"/>
    <xf numFmtId="165" fontId="10" fillId="0" borderId="9" xfId="0" applyNumberFormat="1" applyFont="1" applyBorder="1"/>
    <xf numFmtId="165" fontId="10" fillId="0" borderId="10" xfId="0" applyNumberFormat="1" applyFont="1" applyBorder="1"/>
    <xf numFmtId="0" fontId="9" fillId="0" borderId="11" xfId="0" applyFont="1" applyBorder="1"/>
    <xf numFmtId="165" fontId="10" fillId="0" borderId="0" xfId="0" applyNumberFormat="1" applyFont="1" applyBorder="1"/>
    <xf numFmtId="165" fontId="10" fillId="0" borderId="12" xfId="0" applyNumberFormat="1" applyFont="1" applyBorder="1"/>
    <xf numFmtId="0" fontId="0" fillId="0" borderId="11" xfId="0" applyFont="1" applyBorder="1"/>
    <xf numFmtId="165" fontId="8" fillId="0" borderId="0" xfId="0" applyNumberFormat="1" applyFont="1" applyBorder="1"/>
    <xf numFmtId="165" fontId="8" fillId="0" borderId="12" xfId="0" applyNumberFormat="1" applyFont="1" applyBorder="1"/>
    <xf numFmtId="9" fontId="8" fillId="0" borderId="0" xfId="5" applyFont="1" applyBorder="1"/>
    <xf numFmtId="9" fontId="8" fillId="0" borderId="12" xfId="5" applyFont="1" applyBorder="1"/>
    <xf numFmtId="165" fontId="8" fillId="0" borderId="0" xfId="5" applyNumberFormat="1" applyFont="1" applyBorder="1"/>
    <xf numFmtId="165" fontId="8" fillId="0" borderId="12" xfId="5" applyNumberFormat="1" applyFont="1" applyBorder="1"/>
    <xf numFmtId="166" fontId="8" fillId="0" borderId="0" xfId="4" applyNumberFormat="1" applyFont="1" applyBorder="1"/>
    <xf numFmtId="166" fontId="8" fillId="0" borderId="12" xfId="4" applyNumberFormat="1" applyFont="1" applyBorder="1"/>
    <xf numFmtId="10" fontId="8" fillId="0" borderId="0" xfId="5" applyNumberFormat="1" applyFont="1" applyBorder="1"/>
    <xf numFmtId="166" fontId="9" fillId="0" borderId="13" xfId="5" applyNumberFormat="1" applyFont="1" applyBorder="1"/>
    <xf numFmtId="0" fontId="0" fillId="0" borderId="14" xfId="0" applyFont="1" applyBorder="1"/>
    <xf numFmtId="9" fontId="8" fillId="0" borderId="7" xfId="5" applyFont="1" applyBorder="1"/>
    <xf numFmtId="10" fontId="8" fillId="0" borderId="7" xfId="5" applyNumberFormat="1" applyFont="1" applyBorder="1"/>
    <xf numFmtId="9" fontId="8" fillId="0" borderId="15" xfId="5" applyFont="1" applyBorder="1"/>
    <xf numFmtId="0" fontId="10" fillId="0" borderId="0" xfId="0" applyFont="1" applyBorder="1"/>
    <xf numFmtId="0" fontId="0" fillId="0" borderId="0" xfId="0" applyFont="1" applyBorder="1"/>
    <xf numFmtId="165" fontId="0" fillId="0" borderId="0" xfId="0" applyNumberFormat="1" applyFont="1" applyBorder="1"/>
    <xf numFmtId="0" fontId="9" fillId="0" borderId="3" xfId="0" applyFont="1" applyBorder="1"/>
    <xf numFmtId="0" fontId="10" fillId="0" borderId="9" xfId="0" applyFont="1" applyBorder="1"/>
    <xf numFmtId="0" fontId="0" fillId="0" borderId="7" xfId="0" applyFont="1" applyBorder="1"/>
    <xf numFmtId="9" fontId="0" fillId="0" borderId="0" xfId="5" applyNumberFormat="1" applyFont="1"/>
    <xf numFmtId="165" fontId="9" fillId="0" borderId="4" xfId="0" applyNumberFormat="1" applyFont="1" applyBorder="1"/>
    <xf numFmtId="0" fontId="11" fillId="9" borderId="1" xfId="0" applyFont="1" applyFill="1" applyBorder="1" applyAlignment="1">
      <alignment horizontal="left" vertical="center" wrapText="1"/>
    </xf>
    <xf numFmtId="9" fontId="12" fillId="10" borderId="1" xfId="0" applyNumberFormat="1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 wrapText="1"/>
    </xf>
    <xf numFmtId="9" fontId="12" fillId="9" borderId="1" xfId="0" applyNumberFormat="1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 wrapText="1"/>
    </xf>
    <xf numFmtId="164" fontId="0" fillId="0" borderId="0" xfId="0" applyNumberFormat="1" applyFont="1"/>
    <xf numFmtId="1" fontId="0" fillId="0" borderId="0" xfId="0" applyNumberFormat="1" applyFont="1"/>
    <xf numFmtId="167" fontId="0" fillId="0" borderId="0" xfId="3" applyNumberFormat="1" applyFont="1"/>
    <xf numFmtId="9" fontId="1" fillId="0" borderId="0" xfId="5" applyFont="1"/>
    <xf numFmtId="164" fontId="9" fillId="0" borderId="5" xfId="5" applyNumberFormat="1" applyFont="1" applyBorder="1"/>
  </cellXfs>
  <cellStyles count="6">
    <cellStyle name="60% - Accent6" xfId="2" builtinId="52"/>
    <cellStyle name="Bad" xfId="1" builtinId="27"/>
    <cellStyle name="Comma" xfId="3" builtinId="3"/>
    <cellStyle name="Currency" xfId="4" builtinId="4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99BC2-CC4D-AD43-9EA6-4F00EB038A10}">
  <dimension ref="A1"/>
  <sheetViews>
    <sheetView workbookViewId="0"/>
  </sheetViews>
  <sheetFormatPr baseColWidth="10" defaultColWidth="11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6B7E-6961-E84D-A192-E748801E782B}">
  <dimension ref="A1:K44"/>
  <sheetViews>
    <sheetView zoomScaleNormal="100" workbookViewId="0">
      <selection activeCell="G45" sqref="G45"/>
    </sheetView>
  </sheetViews>
  <sheetFormatPr baseColWidth="10" defaultColWidth="11" defaultRowHeight="16" x14ac:dyDescent="0.2"/>
  <cols>
    <col min="2" max="2" width="48.1640625" customWidth="1"/>
    <col min="3" max="3" width="12.6640625" customWidth="1"/>
    <col min="4" max="4" width="30.33203125" customWidth="1"/>
    <col min="5" max="5" width="21.5" customWidth="1"/>
    <col min="6" max="6" width="17.83203125" customWidth="1"/>
    <col min="7" max="7" width="21.83203125" customWidth="1"/>
    <col min="9" max="10" width="12.6640625" bestFit="1" customWidth="1"/>
  </cols>
  <sheetData>
    <row r="1" spans="1:11" x14ac:dyDescent="0.2">
      <c r="A1" s="2"/>
      <c r="B1" s="2" t="s">
        <v>0</v>
      </c>
      <c r="C1" s="2"/>
      <c r="D1" s="2"/>
      <c r="E1" s="2"/>
      <c r="F1" s="2"/>
      <c r="G1" s="4">
        <v>1500000</v>
      </c>
      <c r="H1" s="2"/>
      <c r="I1" s="2" t="s">
        <v>28</v>
      </c>
      <c r="J1" s="2"/>
      <c r="K1" s="2"/>
    </row>
    <row r="2" spans="1:1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2">
      <c r="A4" s="2"/>
      <c r="B4" s="9" t="s">
        <v>14</v>
      </c>
      <c r="C4" s="9"/>
      <c r="D4" s="9" t="s">
        <v>12</v>
      </c>
      <c r="E4" s="9">
        <v>30</v>
      </c>
      <c r="F4" s="2"/>
      <c r="G4" s="7">
        <v>450000</v>
      </c>
      <c r="H4" s="5"/>
      <c r="I4" s="5">
        <f>G1-G4</f>
        <v>1050000</v>
      </c>
      <c r="J4" s="2"/>
      <c r="K4" s="2" t="s">
        <v>19</v>
      </c>
    </row>
    <row r="5" spans="1:11" x14ac:dyDescent="0.2">
      <c r="A5" s="2"/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6" spans="1:11" x14ac:dyDescent="0.2">
      <c r="A6" s="3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2">
      <c r="A7" s="2"/>
      <c r="B7" s="2" t="s">
        <v>2</v>
      </c>
      <c r="C7" s="2"/>
      <c r="D7" s="2" t="s">
        <v>1</v>
      </c>
      <c r="E7" s="2"/>
      <c r="F7" s="2"/>
      <c r="G7" s="2"/>
      <c r="H7" s="2"/>
      <c r="I7" s="2"/>
      <c r="J7" s="2"/>
      <c r="K7" s="2"/>
    </row>
    <row r="8" spans="1:1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">
      <c r="A9" s="6"/>
      <c r="B9" s="9" t="s">
        <v>3</v>
      </c>
      <c r="C9" s="9"/>
      <c r="D9" s="9" t="s">
        <v>20</v>
      </c>
      <c r="E9" s="9">
        <v>9</v>
      </c>
      <c r="F9" s="2"/>
      <c r="G9" s="7">
        <v>135000</v>
      </c>
      <c r="H9" s="5"/>
      <c r="I9" s="5">
        <f>I4-G9</f>
        <v>915000</v>
      </c>
      <c r="J9" s="2"/>
      <c r="K9" s="2"/>
    </row>
    <row r="10" spans="1:1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">
      <c r="A13" s="2"/>
      <c r="B13" s="2" t="s">
        <v>4</v>
      </c>
      <c r="C13" s="2"/>
      <c r="D13" s="2" t="s">
        <v>5</v>
      </c>
      <c r="E13" s="2">
        <v>5</v>
      </c>
      <c r="F13" s="2" t="s">
        <v>23</v>
      </c>
      <c r="G13" s="7">
        <v>75000</v>
      </c>
      <c r="H13" s="2"/>
      <c r="I13" s="5">
        <f>I9-G13</f>
        <v>840000</v>
      </c>
      <c r="J13" s="2"/>
      <c r="K13" s="2"/>
    </row>
    <row r="14" spans="1:1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">
      <c r="A15" s="2"/>
      <c r="B15" s="2" t="s">
        <v>18</v>
      </c>
      <c r="C15" s="2"/>
      <c r="D15" s="2"/>
      <c r="E15" s="2">
        <v>6</v>
      </c>
      <c r="F15" s="2" t="s">
        <v>23</v>
      </c>
      <c r="G15" s="7">
        <v>90000</v>
      </c>
      <c r="H15" s="2"/>
      <c r="I15" s="5">
        <f>I13-G15</f>
        <v>750000</v>
      </c>
      <c r="J15" s="17"/>
      <c r="K15" s="2"/>
    </row>
    <row r="16" spans="1:1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">
      <c r="A17" s="2"/>
      <c r="B17" s="2" t="s">
        <v>7</v>
      </c>
      <c r="C17" s="2"/>
      <c r="D17" s="2"/>
      <c r="E17" s="2">
        <v>6</v>
      </c>
      <c r="F17" s="2" t="s">
        <v>23</v>
      </c>
      <c r="G17" s="7">
        <v>90000</v>
      </c>
      <c r="H17" s="2"/>
      <c r="I17" s="2"/>
      <c r="J17" s="2"/>
      <c r="K17" s="2"/>
    </row>
    <row r="18" spans="1:1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">
      <c r="A19" s="2"/>
      <c r="B19" s="2" t="s">
        <v>8</v>
      </c>
      <c r="C19" s="2"/>
      <c r="D19" s="2"/>
      <c r="E19" s="2">
        <v>5</v>
      </c>
      <c r="F19" s="2" t="s">
        <v>23</v>
      </c>
      <c r="G19" s="7">
        <v>75000</v>
      </c>
      <c r="H19" s="2"/>
      <c r="I19" s="2"/>
      <c r="J19" s="2"/>
      <c r="K19" s="2"/>
    </row>
    <row r="20" spans="1:1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">
      <c r="A21" s="2"/>
      <c r="B21" s="2" t="s">
        <v>9</v>
      </c>
      <c r="C21" s="2"/>
      <c r="D21" s="2"/>
      <c r="E21" s="2">
        <v>5</v>
      </c>
      <c r="F21" s="2" t="s">
        <v>23</v>
      </c>
      <c r="G21" s="7">
        <v>75000</v>
      </c>
      <c r="H21" s="2"/>
      <c r="I21" s="2"/>
      <c r="J21" s="2"/>
      <c r="K21" s="2"/>
    </row>
    <row r="22" spans="1:1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">
      <c r="A24" s="2"/>
      <c r="B24" s="2" t="s">
        <v>10</v>
      </c>
      <c r="C24" s="2"/>
      <c r="D24" s="2"/>
      <c r="E24" s="2">
        <v>5</v>
      </c>
      <c r="F24" s="2" t="s">
        <v>23</v>
      </c>
      <c r="G24" s="7">
        <v>75000</v>
      </c>
      <c r="H24" s="2"/>
      <c r="I24" s="2"/>
      <c r="J24" s="2"/>
      <c r="K24" s="2"/>
    </row>
    <row r="25" spans="1:1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ht="19" x14ac:dyDescent="0.25">
      <c r="A26" s="2"/>
      <c r="B26" s="2" t="s">
        <v>11</v>
      </c>
      <c r="C26" s="2"/>
      <c r="D26" s="2"/>
      <c r="E26" s="2">
        <v>2</v>
      </c>
      <c r="F26" s="15" t="s">
        <v>23</v>
      </c>
      <c r="G26" s="7">
        <v>30000</v>
      </c>
      <c r="H26" s="2"/>
      <c r="I26" s="2"/>
      <c r="J26" s="2"/>
      <c r="K26" s="2"/>
    </row>
    <row r="27" spans="1:1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">
      <c r="A28" s="2"/>
      <c r="B28" s="2" t="s">
        <v>27</v>
      </c>
      <c r="C28" s="2"/>
      <c r="D28" s="2"/>
      <c r="E28" s="9">
        <v>73</v>
      </c>
      <c r="F28" s="2" t="s">
        <v>25</v>
      </c>
      <c r="G28" s="2"/>
      <c r="H28" s="2"/>
      <c r="I28" s="2"/>
      <c r="J28" s="5">
        <f>G1*E28/100</f>
        <v>1095000</v>
      </c>
      <c r="K28" s="2"/>
    </row>
    <row r="29" spans="1:11" x14ac:dyDescent="0.2">
      <c r="A29" s="2"/>
      <c r="B29" s="2" t="s">
        <v>21</v>
      </c>
      <c r="C29" s="2"/>
      <c r="D29" s="2" t="s">
        <v>22</v>
      </c>
      <c r="E29" s="2"/>
      <c r="F29" s="2"/>
      <c r="G29" s="2"/>
      <c r="H29" s="2"/>
      <c r="I29" s="2"/>
      <c r="J29" s="2"/>
      <c r="K29" s="2"/>
    </row>
    <row r="30" spans="1:1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">
      <c r="A31" s="2"/>
      <c r="B31" s="9" t="s">
        <v>13</v>
      </c>
      <c r="C31" s="9"/>
      <c r="D31" s="9"/>
      <c r="E31" s="9" t="s">
        <v>29</v>
      </c>
      <c r="F31" s="9"/>
      <c r="G31" s="7">
        <f>SUM(G4:G30)</f>
        <v>1095000</v>
      </c>
      <c r="H31" s="2"/>
      <c r="I31" s="2"/>
      <c r="J31" s="2"/>
      <c r="K31" s="2"/>
    </row>
    <row r="32" spans="1:11" x14ac:dyDescent="0.2">
      <c r="A32" s="2"/>
      <c r="B32" s="2"/>
      <c r="C32" s="2"/>
      <c r="D32" s="2"/>
      <c r="E32" s="2"/>
      <c r="F32" s="2"/>
      <c r="G32" s="5"/>
      <c r="H32" s="2"/>
      <c r="I32" s="2"/>
      <c r="J32" s="2"/>
      <c r="K32" s="2"/>
    </row>
    <row r="33" spans="1:1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2">
      <c r="A34" s="2"/>
      <c r="B34" s="18" t="s">
        <v>17</v>
      </c>
      <c r="C34" s="18"/>
      <c r="D34" s="18"/>
      <c r="E34" s="18"/>
      <c r="F34" s="18"/>
      <c r="G34" s="19">
        <v>405000</v>
      </c>
      <c r="H34" s="2"/>
      <c r="I34" s="2"/>
      <c r="J34" s="5"/>
      <c r="K34" s="2"/>
    </row>
    <row r="35" spans="1:1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2">
      <c r="A36" s="2"/>
      <c r="B36" s="10" t="s">
        <v>16</v>
      </c>
      <c r="C36" s="10"/>
      <c r="D36" s="10"/>
      <c r="E36" s="10"/>
      <c r="F36" s="10"/>
      <c r="G36" s="11">
        <f>G34/G1*100</f>
        <v>27</v>
      </c>
      <c r="H36" s="10" t="s">
        <v>15</v>
      </c>
      <c r="I36" s="2"/>
      <c r="J36" s="2"/>
      <c r="K36" s="2"/>
    </row>
    <row r="37" spans="1:1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">
      <c r="A39" s="2"/>
      <c r="B39" s="2" t="s">
        <v>24</v>
      </c>
      <c r="C39" s="2"/>
      <c r="D39" s="2"/>
      <c r="E39" s="2">
        <v>40</v>
      </c>
      <c r="F39" s="2" t="s">
        <v>25</v>
      </c>
      <c r="G39" s="5">
        <v>162000</v>
      </c>
      <c r="H39" s="2"/>
      <c r="I39" s="2"/>
      <c r="J39" s="2"/>
      <c r="K39" s="2"/>
    </row>
    <row r="40" spans="1:1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2">
      <c r="A44" s="2"/>
      <c r="B44" s="18" t="s">
        <v>26</v>
      </c>
      <c r="C44" s="18"/>
      <c r="D44" s="18"/>
      <c r="E44" s="18"/>
      <c r="F44" s="18"/>
      <c r="G44" s="19">
        <v>243000</v>
      </c>
      <c r="H44" s="2"/>
      <c r="I44" s="2"/>
      <c r="J44" s="2"/>
      <c r="K4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D71BE-6917-4DC0-AD21-5B16F9205724}">
  <sheetPr>
    <pageSetUpPr fitToPage="1"/>
  </sheetPr>
  <dimension ref="A1:N123"/>
  <sheetViews>
    <sheetView zoomScale="120" zoomScaleNormal="120" workbookViewId="0">
      <selection activeCell="D22" sqref="D22"/>
    </sheetView>
  </sheetViews>
  <sheetFormatPr baseColWidth="10" defaultColWidth="11" defaultRowHeight="16" x14ac:dyDescent="0.2"/>
  <cols>
    <col min="2" max="2" width="40.83203125" customWidth="1"/>
    <col min="3" max="3" width="4.33203125" customWidth="1"/>
    <col min="4" max="7" width="10.6640625" customWidth="1"/>
    <col min="8" max="8" width="11.1640625" customWidth="1"/>
    <col min="9" max="9" width="12.33203125" bestFit="1" customWidth="1"/>
    <col min="10" max="10" width="11" customWidth="1"/>
    <col min="11" max="11" width="11.83203125" customWidth="1"/>
    <col min="12" max="12" width="13.83203125" customWidth="1"/>
    <col min="13" max="13" width="12.33203125" bestFit="1" customWidth="1"/>
  </cols>
  <sheetData>
    <row r="1" spans="2:11" x14ac:dyDescent="0.2">
      <c r="B1" s="37" t="s">
        <v>76</v>
      </c>
      <c r="C1" s="37"/>
      <c r="D1" s="37"/>
      <c r="E1" s="37"/>
      <c r="F1" s="37"/>
      <c r="G1" s="37"/>
      <c r="H1" s="37"/>
      <c r="I1" s="37"/>
      <c r="J1" s="37"/>
      <c r="K1" s="37"/>
    </row>
    <row r="2" spans="2:11" x14ac:dyDescent="0.2">
      <c r="B2" s="37" t="s">
        <v>91</v>
      </c>
      <c r="C2" s="37"/>
      <c r="D2" s="37"/>
      <c r="E2" s="37"/>
      <c r="F2" s="37"/>
      <c r="G2" s="37"/>
      <c r="H2" s="37"/>
      <c r="I2" s="37"/>
      <c r="J2" s="37"/>
      <c r="K2" s="37"/>
    </row>
    <row r="3" spans="2:11" hidden="1" x14ac:dyDescent="0.2">
      <c r="B3" s="37" t="s">
        <v>78</v>
      </c>
      <c r="C3" s="37"/>
      <c r="D3" s="36"/>
      <c r="E3" s="36"/>
      <c r="F3" s="36"/>
      <c r="G3" s="36"/>
      <c r="H3" s="36"/>
      <c r="I3" s="36"/>
      <c r="J3" s="36"/>
      <c r="K3" s="36"/>
    </row>
    <row r="4" spans="2:11" x14ac:dyDescent="0.2">
      <c r="J4" s="52" t="s">
        <v>100</v>
      </c>
      <c r="K4" s="52"/>
    </row>
    <row r="5" spans="2:11" x14ac:dyDescent="0.2">
      <c r="D5" s="35" t="s">
        <v>39</v>
      </c>
      <c r="E5" s="35" t="s">
        <v>40</v>
      </c>
      <c r="F5" s="35" t="s">
        <v>41</v>
      </c>
      <c r="G5" s="35" t="s">
        <v>42</v>
      </c>
      <c r="H5" s="35" t="s">
        <v>43</v>
      </c>
      <c r="I5" s="35" t="s">
        <v>44</v>
      </c>
      <c r="J5" s="35" t="s">
        <v>113</v>
      </c>
      <c r="K5" s="35" t="s">
        <v>103</v>
      </c>
    </row>
    <row r="6" spans="2:11" x14ac:dyDescent="0.2">
      <c r="B6" t="s">
        <v>66</v>
      </c>
      <c r="D6" s="32">
        <f>H51</f>
        <v>1500000</v>
      </c>
      <c r="E6" s="32">
        <f>I51</f>
        <v>1590000</v>
      </c>
      <c r="F6" s="32">
        <f>J51</f>
        <v>1685400</v>
      </c>
      <c r="G6" s="32">
        <f>K51</f>
        <v>1786524</v>
      </c>
      <c r="H6" s="32">
        <f>L51</f>
        <v>1893715.4400000002</v>
      </c>
      <c r="I6" s="32">
        <f>SUM(D6:H6)</f>
        <v>8455639.4399999995</v>
      </c>
    </row>
    <row r="7" spans="2:11" x14ac:dyDescent="0.2">
      <c r="B7" t="s">
        <v>65</v>
      </c>
      <c r="D7" s="34">
        <f>H78</f>
        <v>645000</v>
      </c>
      <c r="E7" s="34">
        <f>I78</f>
        <v>683700</v>
      </c>
      <c r="F7" s="34">
        <f>J78</f>
        <v>724722</v>
      </c>
      <c r="G7" s="34">
        <f>K78</f>
        <v>768205.32</v>
      </c>
      <c r="H7" s="34">
        <f>L78</f>
        <v>814297.63920000009</v>
      </c>
      <c r="I7" s="34">
        <f>SUM(D7:H7)</f>
        <v>3635924.9591999999</v>
      </c>
    </row>
    <row r="8" spans="2:11" x14ac:dyDescent="0.2">
      <c r="B8" t="s">
        <v>68</v>
      </c>
      <c r="C8" s="80">
        <v>0.3</v>
      </c>
      <c r="D8" s="34">
        <v>0</v>
      </c>
      <c r="E8" s="34">
        <f>+D6*$C8</f>
        <v>450000</v>
      </c>
      <c r="F8" s="34">
        <f t="shared" ref="F8:H8" si="0">+E6*$C8</f>
        <v>477000</v>
      </c>
      <c r="G8" s="34">
        <f t="shared" si="0"/>
        <v>505620</v>
      </c>
      <c r="H8" s="34">
        <f t="shared" si="0"/>
        <v>535957.19999999995</v>
      </c>
      <c r="I8" s="34">
        <f>SUM(D8:H8)</f>
        <v>1968577.2</v>
      </c>
    </row>
    <row r="9" spans="2:11" x14ac:dyDescent="0.2">
      <c r="B9" t="s">
        <v>99</v>
      </c>
      <c r="D9" s="33">
        <f>D29</f>
        <v>785714.28571428568</v>
      </c>
      <c r="E9" s="33">
        <f t="shared" ref="E9:H9" si="1">E29</f>
        <v>673469.38775510213</v>
      </c>
      <c r="F9" s="33">
        <f t="shared" si="1"/>
        <v>577259.47521865892</v>
      </c>
      <c r="G9" s="33">
        <f t="shared" si="1"/>
        <v>494793.8359017077</v>
      </c>
      <c r="H9" s="33">
        <f t="shared" si="1"/>
        <v>424109.00220146368</v>
      </c>
      <c r="I9" s="33">
        <f>SUM(D9:H9)</f>
        <v>2955345.9867912182</v>
      </c>
    </row>
    <row r="10" spans="2:11" x14ac:dyDescent="0.2">
      <c r="B10" t="s">
        <v>92</v>
      </c>
      <c r="D10" s="33">
        <f>D6-D7-D8-D9</f>
        <v>69285.714285714319</v>
      </c>
      <c r="E10" s="33">
        <f t="shared" ref="E10:H10" si="2">E6-E7-E8-E9</f>
        <v>-217169.38775510213</v>
      </c>
      <c r="F10" s="33">
        <f t="shared" si="2"/>
        <v>-93581.475218658918</v>
      </c>
      <c r="G10" s="33">
        <f t="shared" si="2"/>
        <v>17904.844098292349</v>
      </c>
      <c r="H10" s="33">
        <f t="shared" si="2"/>
        <v>119351.59859853645</v>
      </c>
      <c r="I10" s="33">
        <f t="shared" ref="I10:I11" si="3">SUM(D10:H10)</f>
        <v>-104208.70599121792</v>
      </c>
    </row>
    <row r="11" spans="2:11" x14ac:dyDescent="0.2">
      <c r="B11" t="s">
        <v>69</v>
      </c>
      <c r="C11" s="80">
        <v>0.4</v>
      </c>
      <c r="D11" s="34">
        <v>0</v>
      </c>
      <c r="E11" s="34">
        <f>+D10*$C11</f>
        <v>27714.285714285728</v>
      </c>
      <c r="F11" s="34">
        <v>0</v>
      </c>
      <c r="G11" s="34">
        <v>0</v>
      </c>
      <c r="H11" s="34">
        <f>+G10*$C11</f>
        <v>7161.9376393169405</v>
      </c>
      <c r="I11" s="33">
        <f t="shared" si="3"/>
        <v>34876.223353602669</v>
      </c>
    </row>
    <row r="12" spans="2:11" x14ac:dyDescent="0.2">
      <c r="B12" s="38" t="s">
        <v>93</v>
      </c>
      <c r="C12" s="77"/>
      <c r="D12" s="39">
        <f>D10-D11</f>
        <v>69285.714285714319</v>
      </c>
      <c r="E12" s="39">
        <f t="shared" ref="E12:H12" si="4">E10-E11</f>
        <v>-244883.67346938787</v>
      </c>
      <c r="F12" s="39">
        <f t="shared" si="4"/>
        <v>-93581.475218658918</v>
      </c>
      <c r="G12" s="39">
        <f t="shared" si="4"/>
        <v>17904.844098292349</v>
      </c>
      <c r="H12" s="39">
        <f t="shared" si="4"/>
        <v>112189.66095921952</v>
      </c>
      <c r="I12" s="81">
        <f>SUM(D12:H12)</f>
        <v>-139084.92934482062</v>
      </c>
      <c r="J12" s="48"/>
      <c r="K12" s="48"/>
    </row>
    <row r="13" spans="2:11" x14ac:dyDescent="0.2">
      <c r="B13" s="46" t="s">
        <v>96</v>
      </c>
      <c r="C13" s="46"/>
      <c r="D13" s="47">
        <f>D12+D9</f>
        <v>855000</v>
      </c>
      <c r="E13" s="47">
        <f t="shared" ref="E13:I13" si="5">E12+E9</f>
        <v>428585.71428571426</v>
      </c>
      <c r="F13" s="47">
        <f t="shared" si="5"/>
        <v>483678</v>
      </c>
      <c r="G13" s="47">
        <f t="shared" si="5"/>
        <v>512698.68000000005</v>
      </c>
      <c r="H13" s="47">
        <f t="shared" si="5"/>
        <v>536298.66316068324</v>
      </c>
      <c r="I13" s="47">
        <f t="shared" si="5"/>
        <v>2816261.0574463974</v>
      </c>
      <c r="J13" s="48"/>
      <c r="K13" s="48"/>
    </row>
    <row r="14" spans="2:11" x14ac:dyDescent="0.2">
      <c r="B14" s="46"/>
      <c r="C14" s="46"/>
      <c r="D14" s="47"/>
      <c r="E14" s="47"/>
      <c r="F14" s="47"/>
      <c r="G14" s="47"/>
      <c r="H14" s="47"/>
      <c r="I14" s="47"/>
      <c r="J14" s="48"/>
      <c r="K14" s="48"/>
    </row>
    <row r="15" spans="2:11" x14ac:dyDescent="0.2">
      <c r="B15" s="74" t="s">
        <v>100</v>
      </c>
      <c r="C15" s="46"/>
      <c r="D15" s="47"/>
      <c r="E15" s="47"/>
      <c r="F15" s="47"/>
      <c r="G15" s="47"/>
      <c r="H15" s="47"/>
      <c r="I15" s="47"/>
      <c r="J15" s="48"/>
      <c r="K15" s="48"/>
    </row>
    <row r="16" spans="2:11" x14ac:dyDescent="0.2">
      <c r="B16" t="s">
        <v>98</v>
      </c>
      <c r="C16" s="46"/>
      <c r="D16" s="76">
        <f>+D8</f>
        <v>0</v>
      </c>
      <c r="E16" s="76">
        <f t="shared" ref="E16:H16" si="6">+E8</f>
        <v>450000</v>
      </c>
      <c r="F16" s="76">
        <f t="shared" si="6"/>
        <v>477000</v>
      </c>
      <c r="G16" s="76">
        <f t="shared" si="6"/>
        <v>505620</v>
      </c>
      <c r="H16" s="76">
        <f t="shared" si="6"/>
        <v>535957.19999999995</v>
      </c>
      <c r="I16" s="33">
        <f t="shared" ref="I16:I17" si="7">SUM(D16:H16)</f>
        <v>1968577.2</v>
      </c>
      <c r="J16" s="48"/>
      <c r="K16" s="48"/>
    </row>
    <row r="17" spans="2:11" x14ac:dyDescent="0.2">
      <c r="B17" t="s">
        <v>69</v>
      </c>
      <c r="C17" s="46"/>
      <c r="D17" s="76">
        <f>+D11</f>
        <v>0</v>
      </c>
      <c r="E17" s="76">
        <f t="shared" ref="E17:H17" si="8">+E11</f>
        <v>27714.285714285728</v>
      </c>
      <c r="F17" s="76">
        <v>0</v>
      </c>
      <c r="G17" s="76">
        <v>0</v>
      </c>
      <c r="H17" s="76">
        <f t="shared" si="8"/>
        <v>7161.9376393169405</v>
      </c>
      <c r="I17" s="33">
        <f t="shared" si="7"/>
        <v>34876.223353602669</v>
      </c>
      <c r="J17" s="48"/>
      <c r="K17" s="48"/>
    </row>
    <row r="18" spans="2:11" x14ac:dyDescent="0.2">
      <c r="B18" t="s">
        <v>112</v>
      </c>
      <c r="C18" s="46"/>
      <c r="D18" s="76">
        <f>SUM(D16:D17)</f>
        <v>0</v>
      </c>
      <c r="E18" s="76">
        <f t="shared" ref="E18:I18" si="9">SUM(E16:E17)</f>
        <v>477714.28571428574</v>
      </c>
      <c r="F18" s="76">
        <f t="shared" si="9"/>
        <v>477000</v>
      </c>
      <c r="G18" s="76">
        <f t="shared" si="9"/>
        <v>505620</v>
      </c>
      <c r="H18" s="76">
        <f t="shared" si="9"/>
        <v>543119.13763931685</v>
      </c>
      <c r="I18" s="76">
        <f t="shared" si="9"/>
        <v>2003453.4233536026</v>
      </c>
      <c r="J18" s="48">
        <f>+I18/I13</f>
        <v>0.71138768121525076</v>
      </c>
      <c r="K18" s="48">
        <f>+I18/I6</f>
        <v>0.23693695048964891</v>
      </c>
    </row>
    <row r="19" spans="2:11" x14ac:dyDescent="0.2">
      <c r="B19" s="75" t="s">
        <v>101</v>
      </c>
      <c r="C19" s="46"/>
      <c r="D19" s="60">
        <f>+D24</f>
        <v>5500000</v>
      </c>
      <c r="E19" s="60">
        <f t="shared" ref="E19:H19" si="10">+E24</f>
        <v>0</v>
      </c>
      <c r="F19" s="60">
        <f t="shared" si="10"/>
        <v>0</v>
      </c>
      <c r="G19" s="60">
        <f t="shared" si="10"/>
        <v>0</v>
      </c>
      <c r="H19" s="60">
        <f t="shared" si="10"/>
        <v>0</v>
      </c>
      <c r="I19" s="33">
        <f>SUM(D19:H19)</f>
        <v>5500000</v>
      </c>
      <c r="J19" s="48"/>
      <c r="K19" s="48"/>
    </row>
    <row r="20" spans="2:11" x14ac:dyDescent="0.2">
      <c r="B20" s="75" t="s">
        <v>102</v>
      </c>
      <c r="C20" s="46"/>
      <c r="D20" s="76">
        <f>SUM(D16:D19)</f>
        <v>5500000</v>
      </c>
      <c r="E20" s="76">
        <f t="shared" ref="E20:H20" si="11">SUM(E16:E19)</f>
        <v>955428.57142857148</v>
      </c>
      <c r="F20" s="76">
        <f t="shared" si="11"/>
        <v>954000</v>
      </c>
      <c r="G20" s="76">
        <f t="shared" si="11"/>
        <v>1011240</v>
      </c>
      <c r="H20" s="76">
        <f t="shared" si="11"/>
        <v>1086238.2752786337</v>
      </c>
      <c r="I20" s="33">
        <f>+I19+I18</f>
        <v>7503453.4233536031</v>
      </c>
      <c r="J20" s="48">
        <f>+I20/I13</f>
        <v>2.6643316334307614</v>
      </c>
      <c r="K20" s="48">
        <f>+I20/I6</f>
        <v>0.88739041873734437</v>
      </c>
    </row>
    <row r="21" spans="2:11" x14ac:dyDescent="0.2">
      <c r="B21" s="46"/>
      <c r="C21" s="46"/>
      <c r="D21" s="47"/>
      <c r="E21" s="47"/>
      <c r="F21" s="47"/>
      <c r="G21" s="47"/>
      <c r="H21" s="47"/>
      <c r="I21" s="47"/>
      <c r="J21" s="48"/>
      <c r="K21" s="48"/>
    </row>
    <row r="22" spans="2:11" x14ac:dyDescent="0.2">
      <c r="B22" s="46"/>
      <c r="C22" s="46"/>
      <c r="D22" s="47"/>
      <c r="E22" s="47"/>
      <c r="F22" s="47"/>
      <c r="G22" s="47"/>
      <c r="H22" s="47"/>
      <c r="I22" s="47"/>
      <c r="J22" s="48"/>
      <c r="K22" s="48"/>
    </row>
    <row r="23" spans="2:11" x14ac:dyDescent="0.2">
      <c r="B23" s="74" t="s">
        <v>80</v>
      </c>
      <c r="C23" s="74"/>
      <c r="D23" s="47"/>
      <c r="E23" s="47"/>
      <c r="F23" s="47"/>
      <c r="G23" s="47"/>
      <c r="H23" s="47"/>
      <c r="I23" s="47"/>
      <c r="J23" s="48"/>
      <c r="K23" s="48"/>
    </row>
    <row r="24" spans="2:11" x14ac:dyDescent="0.2">
      <c r="B24" s="75" t="s">
        <v>89</v>
      </c>
      <c r="C24" s="75"/>
      <c r="D24" s="34">
        <v>5500000</v>
      </c>
      <c r="E24" s="76"/>
      <c r="F24" s="76"/>
      <c r="G24" s="76"/>
      <c r="H24" s="76"/>
      <c r="I24" s="76"/>
      <c r="J24" s="48"/>
      <c r="K24" s="48"/>
    </row>
    <row r="25" spans="2:11" hidden="1" x14ac:dyDescent="0.2">
      <c r="B25" s="49" t="s">
        <v>68</v>
      </c>
      <c r="C25" s="49"/>
      <c r="D25" s="34">
        <f t="shared" ref="D25:I25" si="12">H82</f>
        <v>450000</v>
      </c>
      <c r="E25" s="34">
        <f t="shared" si="12"/>
        <v>477000</v>
      </c>
      <c r="F25" s="34">
        <f t="shared" si="12"/>
        <v>505620</v>
      </c>
      <c r="G25" s="34">
        <f t="shared" si="12"/>
        <v>535957.19999999995</v>
      </c>
      <c r="H25" s="34">
        <f t="shared" si="12"/>
        <v>568114.63199999998</v>
      </c>
      <c r="I25" s="34">
        <f t="shared" si="12"/>
        <v>2536691.8319999999</v>
      </c>
    </row>
    <row r="26" spans="2:11" hidden="1" x14ac:dyDescent="0.2">
      <c r="B26" s="49" t="s">
        <v>69</v>
      </c>
      <c r="C26" s="49"/>
      <c r="D26" s="33">
        <f>D11</f>
        <v>0</v>
      </c>
      <c r="E26" s="33">
        <f>E11</f>
        <v>27714.285714285728</v>
      </c>
      <c r="F26" s="33">
        <f t="shared" ref="F26:I26" si="13">F11</f>
        <v>0</v>
      </c>
      <c r="G26" s="33">
        <f t="shared" si="13"/>
        <v>0</v>
      </c>
      <c r="H26" s="33">
        <f t="shared" si="13"/>
        <v>7161.9376393169405</v>
      </c>
      <c r="I26" s="33">
        <f t="shared" si="13"/>
        <v>34876.223353602669</v>
      </c>
    </row>
    <row r="27" spans="2:11" hidden="1" x14ac:dyDescent="0.2">
      <c r="B27" s="49" t="s">
        <v>74</v>
      </c>
      <c r="C27" s="49"/>
      <c r="D27" s="33">
        <f>D26+D25</f>
        <v>450000</v>
      </c>
      <c r="E27" s="33">
        <f t="shared" ref="E27:I27" si="14">E26+E25</f>
        <v>504714.28571428574</v>
      </c>
      <c r="F27" s="33">
        <f t="shared" si="14"/>
        <v>505620</v>
      </c>
      <c r="G27" s="33">
        <f t="shared" si="14"/>
        <v>535957.19999999995</v>
      </c>
      <c r="H27" s="33">
        <f t="shared" si="14"/>
        <v>575276.56963931688</v>
      </c>
      <c r="I27" s="33">
        <f t="shared" si="14"/>
        <v>2571568.0553536024</v>
      </c>
      <c r="J27" s="44">
        <f>I27/I49</f>
        <v>1.0571781682091383</v>
      </c>
      <c r="K27" s="45">
        <f>I27/I6</f>
        <v>0.3041246109890422</v>
      </c>
    </row>
    <row r="28" spans="2:11" x14ac:dyDescent="0.2">
      <c r="B28" s="49" t="s">
        <v>104</v>
      </c>
      <c r="C28" s="49"/>
      <c r="D28" s="33">
        <f>+D24</f>
        <v>5500000</v>
      </c>
      <c r="E28" s="33">
        <f>D28-D29</f>
        <v>4714285.7142857146</v>
      </c>
      <c r="F28" s="33">
        <f t="shared" ref="F28:I28" si="15">E28-E29</f>
        <v>4040816.3265306125</v>
      </c>
      <c r="G28" s="33">
        <f t="shared" si="15"/>
        <v>3463556.8513119537</v>
      </c>
      <c r="H28" s="33">
        <f t="shared" si="15"/>
        <v>2968763.0154102459</v>
      </c>
      <c r="I28" s="33">
        <f t="shared" si="15"/>
        <v>2544654.0132087823</v>
      </c>
      <c r="J28" s="44"/>
      <c r="K28" s="45"/>
    </row>
    <row r="29" spans="2:11" x14ac:dyDescent="0.2">
      <c r="B29" s="49" t="s">
        <v>81</v>
      </c>
      <c r="C29" s="49"/>
      <c r="D29" s="33">
        <f>D28/7</f>
        <v>785714.28571428568</v>
      </c>
      <c r="E29" s="33">
        <f t="shared" ref="E29:H29" si="16">E28/7</f>
        <v>673469.38775510213</v>
      </c>
      <c r="F29" s="33">
        <f t="shared" si="16"/>
        <v>577259.47521865892</v>
      </c>
      <c r="G29" s="33">
        <f t="shared" si="16"/>
        <v>494793.8359017077</v>
      </c>
      <c r="H29" s="33">
        <f t="shared" si="16"/>
        <v>424109.00220146368</v>
      </c>
      <c r="I29" s="33">
        <f>SUM(D29:H29)</f>
        <v>2955345.9867912182</v>
      </c>
      <c r="J29" s="44"/>
      <c r="K29" s="45"/>
    </row>
    <row r="30" spans="2:11" x14ac:dyDescent="0.2">
      <c r="B30" s="49"/>
      <c r="C30" s="49"/>
      <c r="D30" s="33"/>
      <c r="E30" s="33"/>
      <c r="F30" s="33"/>
      <c r="G30" s="33"/>
      <c r="H30" s="33"/>
      <c r="I30" s="33"/>
      <c r="J30" s="44"/>
      <c r="K30" s="45"/>
    </row>
    <row r="31" spans="2:11" x14ac:dyDescent="0.2">
      <c r="B31" s="49"/>
      <c r="C31" s="49"/>
      <c r="D31" s="33"/>
      <c r="E31" s="33"/>
      <c r="F31" s="33"/>
      <c r="G31" s="33"/>
      <c r="H31" s="33"/>
      <c r="I31" s="33"/>
      <c r="J31" s="44"/>
      <c r="K31" s="45"/>
    </row>
    <row r="32" spans="2:11" hidden="1" x14ac:dyDescent="0.2">
      <c r="B32" s="42"/>
      <c r="C32" s="42"/>
      <c r="D32" s="43"/>
      <c r="E32" s="43"/>
      <c r="F32" s="43"/>
      <c r="G32" s="43"/>
      <c r="H32" s="43"/>
      <c r="I32" s="43"/>
      <c r="J32" s="44"/>
      <c r="K32" s="45"/>
    </row>
    <row r="33" spans="2:11" hidden="1" x14ac:dyDescent="0.2">
      <c r="B33" s="53" t="s">
        <v>82</v>
      </c>
      <c r="C33" s="78"/>
      <c r="D33" s="54"/>
      <c r="E33" s="54"/>
      <c r="F33" s="54"/>
      <c r="G33" s="54"/>
      <c r="H33" s="54"/>
      <c r="I33" s="55"/>
      <c r="J33" s="44"/>
      <c r="K33" s="45"/>
    </row>
    <row r="34" spans="2:11" hidden="1" x14ac:dyDescent="0.2">
      <c r="B34" s="56" t="s">
        <v>85</v>
      </c>
      <c r="C34" s="46"/>
      <c r="D34" s="57"/>
      <c r="E34" s="57"/>
      <c r="F34" s="57"/>
      <c r="G34" s="57"/>
      <c r="H34" s="57"/>
      <c r="I34" s="58"/>
      <c r="J34" s="44"/>
      <c r="K34" s="45"/>
    </row>
    <row r="35" spans="2:11" hidden="1" x14ac:dyDescent="0.2">
      <c r="B35" s="59" t="s">
        <v>45</v>
      </c>
      <c r="C35" s="75"/>
      <c r="D35" s="60">
        <f>H91</f>
        <v>612000</v>
      </c>
      <c r="E35" s="60">
        <f t="shared" ref="E35:I38" si="17">I91</f>
        <v>648720</v>
      </c>
      <c r="F35" s="60">
        <f t="shared" si="17"/>
        <v>687643.2</v>
      </c>
      <c r="G35" s="60">
        <f t="shared" si="17"/>
        <v>728901.79200000002</v>
      </c>
      <c r="H35" s="60">
        <f t="shared" si="17"/>
        <v>772635.89951999998</v>
      </c>
      <c r="I35" s="61">
        <f t="shared" si="17"/>
        <v>3449900.8915199996</v>
      </c>
      <c r="J35" s="44"/>
      <c r="K35" s="45"/>
    </row>
    <row r="36" spans="2:11" hidden="1" x14ac:dyDescent="0.2">
      <c r="B36" s="59" t="s">
        <v>63</v>
      </c>
      <c r="C36" s="75"/>
      <c r="D36" s="60">
        <f t="shared" ref="D36:D38" si="18">H92</f>
        <v>400000</v>
      </c>
      <c r="E36" s="60" t="e">
        <f t="shared" si="17"/>
        <v>#REF!</v>
      </c>
      <c r="F36" s="60">
        <f t="shared" si="17"/>
        <v>111502</v>
      </c>
      <c r="G36" s="60">
        <f t="shared" si="17"/>
        <v>120326.5</v>
      </c>
      <c r="H36" s="60">
        <f t="shared" si="17"/>
        <v>129680.47</v>
      </c>
      <c r="I36" s="61">
        <f t="shared" si="17"/>
        <v>1311404.97</v>
      </c>
      <c r="J36" s="44"/>
      <c r="K36" s="45"/>
    </row>
    <row r="37" spans="2:11" hidden="1" x14ac:dyDescent="0.2">
      <c r="B37" s="59" t="s">
        <v>83</v>
      </c>
      <c r="C37" s="75"/>
      <c r="D37" s="60">
        <f t="shared" si="18"/>
        <v>212000</v>
      </c>
      <c r="E37" s="60" t="e">
        <f t="shared" si="17"/>
        <v>#REF!</v>
      </c>
      <c r="F37" s="60">
        <f t="shared" si="17"/>
        <v>576141.19999999995</v>
      </c>
      <c r="G37" s="60">
        <f t="shared" si="17"/>
        <v>608575.29200000002</v>
      </c>
      <c r="H37" s="60">
        <f t="shared" si="17"/>
        <v>642955.42952000001</v>
      </c>
      <c r="I37" s="61">
        <f t="shared" si="17"/>
        <v>2138495.9215199994</v>
      </c>
      <c r="J37" s="44"/>
      <c r="K37" s="45"/>
    </row>
    <row r="38" spans="2:11" hidden="1" x14ac:dyDescent="0.2">
      <c r="B38" s="59" t="s">
        <v>84</v>
      </c>
      <c r="C38" s="75"/>
      <c r="D38" s="62">
        <f t="shared" si="18"/>
        <v>0.65359477124183007</v>
      </c>
      <c r="E38" s="62" t="e">
        <f t="shared" si="17"/>
        <v>#REF!</v>
      </c>
      <c r="F38" s="62">
        <f t="shared" si="17"/>
        <v>0.16215095270337873</v>
      </c>
      <c r="G38" s="62">
        <f t="shared" si="17"/>
        <v>0.16507916611076187</v>
      </c>
      <c r="H38" s="62">
        <f t="shared" si="17"/>
        <v>0.16784163158942522</v>
      </c>
      <c r="I38" s="63">
        <f t="shared" si="17"/>
        <v>0.38012830259080432</v>
      </c>
      <c r="J38" s="44"/>
      <c r="K38" s="45"/>
    </row>
    <row r="39" spans="2:11" hidden="1" x14ac:dyDescent="0.2">
      <c r="B39" s="59"/>
      <c r="C39" s="75"/>
      <c r="D39" s="62"/>
      <c r="E39" s="62"/>
      <c r="F39" s="62"/>
      <c r="G39" s="62"/>
      <c r="H39" s="62"/>
      <c r="I39" s="63"/>
      <c r="J39" s="44"/>
      <c r="K39" s="45"/>
    </row>
    <row r="40" spans="2:11" hidden="1" x14ac:dyDescent="0.2">
      <c r="B40" s="56" t="s">
        <v>85</v>
      </c>
      <c r="C40" s="46"/>
      <c r="D40" s="62"/>
      <c r="E40" s="62"/>
      <c r="F40" s="62"/>
      <c r="G40" s="62"/>
      <c r="H40" s="62"/>
      <c r="I40" s="63"/>
      <c r="J40" s="44"/>
      <c r="K40" s="45"/>
    </row>
    <row r="41" spans="2:11" hidden="1" x14ac:dyDescent="0.2">
      <c r="B41" s="59" t="s">
        <v>45</v>
      </c>
      <c r="C41" s="75"/>
      <c r="D41" s="64">
        <f>D35</f>
        <v>612000</v>
      </c>
      <c r="E41" s="64">
        <f t="shared" ref="E41:I41" si="19">E35</f>
        <v>648720</v>
      </c>
      <c r="F41" s="64">
        <f t="shared" si="19"/>
        <v>687643.2</v>
      </c>
      <c r="G41" s="64">
        <f t="shared" si="19"/>
        <v>728901.79200000002</v>
      </c>
      <c r="H41" s="64">
        <f t="shared" si="19"/>
        <v>772635.89951999998</v>
      </c>
      <c r="I41" s="65">
        <f t="shared" si="19"/>
        <v>3449900.8915199996</v>
      </c>
      <c r="J41" s="44"/>
      <c r="K41" s="45"/>
    </row>
    <row r="42" spans="2:11" hidden="1" x14ac:dyDescent="0.2">
      <c r="B42" s="59" t="s">
        <v>63</v>
      </c>
      <c r="C42" s="75"/>
      <c r="D42" s="66">
        <f>D41*D44</f>
        <v>91800</v>
      </c>
      <c r="E42" s="66">
        <f t="shared" ref="E42:H42" si="20">E41*E44</f>
        <v>97308</v>
      </c>
      <c r="F42" s="66">
        <f t="shared" si="20"/>
        <v>103146.48</v>
      </c>
      <c r="G42" s="66">
        <f t="shared" si="20"/>
        <v>109335.26880000001</v>
      </c>
      <c r="H42" s="66">
        <f t="shared" si="20"/>
        <v>124388.68589605908</v>
      </c>
      <c r="I42" s="67">
        <f>SUM(D42:H42)</f>
        <v>525978.43469605909</v>
      </c>
      <c r="J42" s="44"/>
      <c r="K42" s="45"/>
    </row>
    <row r="43" spans="2:11" hidden="1" x14ac:dyDescent="0.2">
      <c r="B43" s="59" t="s">
        <v>83</v>
      </c>
      <c r="C43" s="75"/>
      <c r="D43" s="66">
        <f>+D41-D42</f>
        <v>520200</v>
      </c>
      <c r="E43" s="66">
        <f t="shared" ref="E43:I43" si="21">+E41-E42</f>
        <v>551412</v>
      </c>
      <c r="F43" s="66">
        <f t="shared" si="21"/>
        <v>584496.72</v>
      </c>
      <c r="G43" s="66">
        <f t="shared" si="21"/>
        <v>619566.52320000005</v>
      </c>
      <c r="H43" s="66">
        <f t="shared" si="21"/>
        <v>648247.21362394094</v>
      </c>
      <c r="I43" s="67">
        <f t="shared" si="21"/>
        <v>2923922.4568239404</v>
      </c>
      <c r="J43" s="44"/>
      <c r="K43" s="45"/>
    </row>
    <row r="44" spans="2:11" hidden="1" x14ac:dyDescent="0.2">
      <c r="B44" s="59" t="s">
        <v>84</v>
      </c>
      <c r="C44" s="75"/>
      <c r="D44" s="62">
        <v>0.15</v>
      </c>
      <c r="E44" s="62">
        <v>0.15</v>
      </c>
      <c r="F44" s="62">
        <v>0.15</v>
      </c>
      <c r="G44" s="62">
        <v>0.15</v>
      </c>
      <c r="H44" s="68">
        <f>H48/H37</f>
        <v>0.16099263051760285</v>
      </c>
      <c r="I44" s="63">
        <f>I42/I43</f>
        <v>0.17988795614894451</v>
      </c>
      <c r="J44" s="44"/>
      <c r="K44" s="45"/>
    </row>
    <row r="45" spans="2:11" ht="17" hidden="1" thickBot="1" x14ac:dyDescent="0.25">
      <c r="B45" s="59"/>
      <c r="C45" s="75"/>
      <c r="D45" s="62"/>
      <c r="E45" s="62"/>
      <c r="F45" s="62"/>
      <c r="G45" s="62"/>
      <c r="H45" s="68"/>
      <c r="I45" s="63"/>
      <c r="J45" s="44"/>
      <c r="K45" s="45"/>
    </row>
    <row r="46" spans="2:11" ht="17" hidden="1" thickBot="1" x14ac:dyDescent="0.25">
      <c r="B46" s="56" t="s">
        <v>86</v>
      </c>
      <c r="C46" s="46"/>
      <c r="D46" s="50">
        <f>D43-D37</f>
        <v>308200</v>
      </c>
      <c r="E46" s="51" t="e">
        <f t="shared" ref="E46:I46" si="22">E43-E37</f>
        <v>#REF!</v>
      </c>
      <c r="F46" s="51">
        <f t="shared" si="22"/>
        <v>8355.5200000000186</v>
      </c>
      <c r="G46" s="51">
        <f t="shared" si="22"/>
        <v>10991.231200000038</v>
      </c>
      <c r="H46" s="51">
        <f t="shared" si="22"/>
        <v>5291.7841039409395</v>
      </c>
      <c r="I46" s="69">
        <f t="shared" si="22"/>
        <v>785426.535303941</v>
      </c>
      <c r="J46" s="44"/>
      <c r="K46" s="45"/>
    </row>
    <row r="47" spans="2:11" hidden="1" x14ac:dyDescent="0.2">
      <c r="B47" s="70"/>
      <c r="C47" s="79"/>
      <c r="D47" s="71"/>
      <c r="E47" s="71"/>
      <c r="F47" s="71"/>
      <c r="G47" s="71"/>
      <c r="H47" s="72"/>
      <c r="I47" s="73"/>
      <c r="J47" s="44"/>
      <c r="K47" s="45"/>
    </row>
    <row r="48" spans="2:11" hidden="1" x14ac:dyDescent="0.2">
      <c r="B48" s="42"/>
      <c r="C48" s="42"/>
      <c r="D48" s="43"/>
      <c r="E48" s="43"/>
      <c r="F48" s="43"/>
      <c r="G48" s="43"/>
      <c r="H48" s="43">
        <f>+((H37-501600)*0.2)+(501600*0.15)</f>
        <v>103511.08590400001</v>
      </c>
      <c r="I48" s="43"/>
      <c r="J48" s="44"/>
      <c r="K48" s="45"/>
    </row>
    <row r="49" spans="1:13" hidden="1" x14ac:dyDescent="0.2">
      <c r="I49" s="32">
        <f>I12+I27</f>
        <v>2432483.1260087816</v>
      </c>
    </row>
    <row r="50" spans="1:13" hidden="1" x14ac:dyDescent="0.2">
      <c r="H50" t="s">
        <v>39</v>
      </c>
      <c r="I50" s="23" t="s">
        <v>40</v>
      </c>
      <c r="J50" s="23" t="s">
        <v>41</v>
      </c>
      <c r="K50" s="23" t="s">
        <v>42</v>
      </c>
      <c r="L50" s="23" t="s">
        <v>43</v>
      </c>
      <c r="M50" s="23" t="s">
        <v>44</v>
      </c>
    </row>
    <row r="51" spans="1:13" hidden="1" x14ac:dyDescent="0.2">
      <c r="A51" s="2"/>
      <c r="B51" s="2" t="s">
        <v>0</v>
      </c>
      <c r="C51" s="2"/>
      <c r="D51" s="2"/>
      <c r="E51" s="2"/>
      <c r="F51" s="2"/>
      <c r="G51" s="2"/>
      <c r="H51" s="4">
        <v>1500000</v>
      </c>
      <c r="I51" s="5">
        <f>H51*(1+$D52)</f>
        <v>1590000</v>
      </c>
      <c r="J51" s="5">
        <f t="shared" ref="J51:L51" si="23">I51*(1+$D52)</f>
        <v>1685400</v>
      </c>
      <c r="K51" s="5">
        <f t="shared" si="23"/>
        <v>1786524</v>
      </c>
      <c r="L51" s="5">
        <f t="shared" si="23"/>
        <v>1893715.4400000002</v>
      </c>
      <c r="M51" s="16">
        <f>SUM(H51:L51)</f>
        <v>8455639.4399999995</v>
      </c>
    </row>
    <row r="52" spans="1:13" hidden="1" x14ac:dyDescent="0.2">
      <c r="A52" s="2"/>
      <c r="B52" s="2" t="s">
        <v>38</v>
      </c>
      <c r="C52" s="2"/>
      <c r="D52" s="20">
        <v>0.06</v>
      </c>
      <c r="E52" s="2"/>
      <c r="F52" s="2"/>
      <c r="G52" s="2"/>
      <c r="H52" s="2"/>
      <c r="I52" s="2"/>
    </row>
    <row r="53" spans="1:13" hidden="1" x14ac:dyDescent="0.2">
      <c r="A53" s="3"/>
      <c r="B53" s="2"/>
      <c r="C53" s="2"/>
      <c r="D53" s="2"/>
      <c r="E53" s="2"/>
      <c r="F53" s="2"/>
      <c r="G53" s="2"/>
      <c r="H53" s="2"/>
      <c r="I53" s="2"/>
    </row>
    <row r="54" spans="1:13" hidden="1" x14ac:dyDescent="0.2">
      <c r="A54" s="2"/>
      <c r="B54" s="2" t="s">
        <v>2</v>
      </c>
      <c r="C54" s="2"/>
      <c r="D54" s="2"/>
      <c r="E54" s="2" t="s">
        <v>1</v>
      </c>
      <c r="F54" s="2"/>
      <c r="G54" s="2"/>
      <c r="I54" s="2"/>
    </row>
    <row r="55" spans="1:13" hidden="1" x14ac:dyDescent="0.2">
      <c r="A55" s="2"/>
      <c r="B55" s="2"/>
      <c r="C55" s="2"/>
      <c r="D55" s="2"/>
      <c r="E55" s="2"/>
      <c r="F55" s="2"/>
      <c r="G55" s="2"/>
      <c r="H55" s="2"/>
      <c r="I55" s="2"/>
    </row>
    <row r="56" spans="1:13" hidden="1" x14ac:dyDescent="0.2">
      <c r="A56" s="6"/>
      <c r="B56" s="9" t="s">
        <v>3</v>
      </c>
      <c r="C56" s="9"/>
      <c r="D56" s="9"/>
      <c r="E56" s="9" t="s">
        <v>20</v>
      </c>
      <c r="F56" s="9">
        <v>9</v>
      </c>
      <c r="G56" s="2"/>
      <c r="H56" s="7">
        <f>F56*H51/100</f>
        <v>135000</v>
      </c>
      <c r="I56" s="5"/>
    </row>
    <row r="57" spans="1:13" hidden="1" x14ac:dyDescent="0.2">
      <c r="A57" s="2"/>
      <c r="D57" s="2"/>
      <c r="E57" s="2"/>
      <c r="F57" s="2"/>
      <c r="G57" s="2"/>
      <c r="H57" s="2"/>
      <c r="I57" s="2"/>
    </row>
    <row r="58" spans="1:13" hidden="1" x14ac:dyDescent="0.2">
      <c r="A58" s="2"/>
      <c r="B58" s="2"/>
      <c r="C58" s="2"/>
      <c r="D58" s="2"/>
      <c r="E58" s="2"/>
      <c r="F58" s="2"/>
      <c r="G58" s="2"/>
      <c r="H58" s="2"/>
      <c r="I58" s="2"/>
    </row>
    <row r="59" spans="1:13" hidden="1" x14ac:dyDescent="0.2">
      <c r="A59" s="2"/>
      <c r="B59" s="2"/>
      <c r="C59" s="2"/>
      <c r="D59" s="2"/>
      <c r="E59" s="2"/>
      <c r="F59" s="2"/>
      <c r="G59" s="2"/>
      <c r="H59" s="2"/>
      <c r="I59" s="2"/>
    </row>
    <row r="60" spans="1:13" hidden="1" x14ac:dyDescent="0.2">
      <c r="A60" s="2"/>
      <c r="B60" s="2" t="s">
        <v>4</v>
      </c>
      <c r="C60" s="2"/>
      <c r="D60" s="2"/>
      <c r="E60" s="2" t="s">
        <v>5</v>
      </c>
      <c r="F60" s="2">
        <v>5</v>
      </c>
      <c r="G60" s="2" t="s">
        <v>23</v>
      </c>
      <c r="H60" s="7">
        <f>H51*F60/100</f>
        <v>75000</v>
      </c>
      <c r="I60" s="2"/>
    </row>
    <row r="61" spans="1:13" hidden="1" x14ac:dyDescent="0.2">
      <c r="A61" s="2"/>
      <c r="B61" s="2"/>
      <c r="C61" s="2"/>
      <c r="D61" s="2"/>
      <c r="E61" s="2"/>
      <c r="F61" s="2"/>
      <c r="G61" s="2"/>
      <c r="H61" s="2"/>
      <c r="I61" s="2"/>
    </row>
    <row r="62" spans="1:13" hidden="1" x14ac:dyDescent="0.2">
      <c r="A62" s="2"/>
      <c r="B62" s="2" t="s">
        <v>18</v>
      </c>
      <c r="C62" s="2"/>
      <c r="D62" s="2"/>
      <c r="E62" s="2"/>
      <c r="F62" s="2">
        <v>6</v>
      </c>
      <c r="G62" s="2" t="s">
        <v>23</v>
      </c>
      <c r="H62" s="1">
        <f>H51*F62/100</f>
        <v>90000</v>
      </c>
      <c r="I62" s="2"/>
      <c r="K62" s="12"/>
    </row>
    <row r="63" spans="1:13" hidden="1" x14ac:dyDescent="0.2">
      <c r="A63" s="2"/>
      <c r="B63" s="2"/>
      <c r="C63" s="2"/>
      <c r="D63" s="2"/>
      <c r="E63" s="2"/>
      <c r="F63" s="2"/>
      <c r="G63" s="2"/>
      <c r="H63" s="2"/>
      <c r="I63" s="2"/>
    </row>
    <row r="64" spans="1:13" hidden="1" x14ac:dyDescent="0.2">
      <c r="A64" s="2"/>
      <c r="B64" s="2" t="s">
        <v>7</v>
      </c>
      <c r="C64" s="2"/>
      <c r="D64" s="2"/>
      <c r="E64" s="2"/>
      <c r="F64" s="2">
        <v>6</v>
      </c>
      <c r="G64" s="2" t="s">
        <v>23</v>
      </c>
      <c r="H64" s="7">
        <f>H51*F64/100</f>
        <v>90000</v>
      </c>
      <c r="I64" s="2"/>
    </row>
    <row r="65" spans="1:13" hidden="1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13" hidden="1" x14ac:dyDescent="0.2">
      <c r="A66" s="2"/>
      <c r="B66" s="2" t="s">
        <v>8</v>
      </c>
      <c r="C66" s="2"/>
      <c r="D66" s="2"/>
      <c r="E66" s="2"/>
      <c r="F66" s="2">
        <v>5</v>
      </c>
      <c r="G66" s="2" t="s">
        <v>23</v>
      </c>
      <c r="H66" s="7">
        <f>F66*H51/100</f>
        <v>75000</v>
      </c>
      <c r="I66" s="2"/>
    </row>
    <row r="67" spans="1:13" hidden="1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13" hidden="1" x14ac:dyDescent="0.2">
      <c r="A68" s="2"/>
      <c r="B68" s="2" t="s">
        <v>9</v>
      </c>
      <c r="C68" s="2"/>
      <c r="D68" s="2"/>
      <c r="E68" s="2"/>
      <c r="F68" s="2">
        <v>5</v>
      </c>
      <c r="G68" s="2" t="s">
        <v>23</v>
      </c>
      <c r="H68" s="7">
        <f>H51*F68/100</f>
        <v>75000</v>
      </c>
      <c r="I68" s="2"/>
    </row>
    <row r="69" spans="1:13" hidden="1" x14ac:dyDescent="0.2">
      <c r="A69" s="2"/>
      <c r="B69" s="2"/>
      <c r="C69" s="2"/>
      <c r="D69" s="2"/>
      <c r="E69" s="2"/>
      <c r="F69" s="2"/>
      <c r="G69" s="2"/>
      <c r="H69" s="2"/>
      <c r="I69" s="2"/>
    </row>
    <row r="70" spans="1:13" hidden="1" x14ac:dyDescent="0.2">
      <c r="A70" s="2"/>
      <c r="B70" s="2"/>
      <c r="C70" s="2"/>
      <c r="D70" s="2"/>
      <c r="E70" s="2"/>
      <c r="F70" s="2"/>
      <c r="G70" s="2"/>
      <c r="H70" s="2"/>
      <c r="I70" s="2"/>
    </row>
    <row r="71" spans="1:13" hidden="1" x14ac:dyDescent="0.2">
      <c r="A71" s="2"/>
      <c r="B71" s="2" t="s">
        <v>10</v>
      </c>
      <c r="C71" s="2"/>
      <c r="D71" s="2"/>
      <c r="E71" s="2"/>
      <c r="F71" s="2">
        <v>5</v>
      </c>
      <c r="G71" s="2" t="s">
        <v>23</v>
      </c>
      <c r="H71" s="7">
        <f>H51*F71/100</f>
        <v>75000</v>
      </c>
      <c r="I71" s="2"/>
    </row>
    <row r="72" spans="1:13" hidden="1" x14ac:dyDescent="0.2">
      <c r="A72" s="2"/>
      <c r="B72" s="2"/>
      <c r="C72" s="2"/>
      <c r="D72" s="2"/>
      <c r="E72" s="2"/>
      <c r="F72" s="2"/>
      <c r="G72" s="2"/>
      <c r="H72" s="2"/>
      <c r="I72" s="2"/>
    </row>
    <row r="73" spans="1:13" ht="19" hidden="1" x14ac:dyDescent="0.25">
      <c r="A73" s="2"/>
      <c r="B73" s="2" t="s">
        <v>11</v>
      </c>
      <c r="C73" s="2"/>
      <c r="D73" s="2"/>
      <c r="E73" s="2"/>
      <c r="F73" s="2">
        <v>2</v>
      </c>
      <c r="G73" s="15" t="s">
        <v>23</v>
      </c>
      <c r="H73" s="7">
        <f>H51*F73/100</f>
        <v>30000</v>
      </c>
      <c r="I73" s="2"/>
    </row>
    <row r="74" spans="1:13" hidden="1" x14ac:dyDescent="0.2">
      <c r="A74" s="2"/>
      <c r="B74" s="2"/>
      <c r="C74" s="2"/>
      <c r="D74" s="2"/>
      <c r="E74" s="2"/>
      <c r="F74" s="2"/>
      <c r="G74" s="2"/>
      <c r="H74" s="2"/>
      <c r="I74" s="2"/>
    </row>
    <row r="75" spans="1:13" hidden="1" x14ac:dyDescent="0.2">
      <c r="A75" s="2"/>
      <c r="B75" t="s">
        <v>27</v>
      </c>
      <c r="F75" s="8">
        <f>H78/H51</f>
        <v>0.43</v>
      </c>
      <c r="G75" s="2" t="s">
        <v>25</v>
      </c>
      <c r="H75" s="2"/>
      <c r="I75" s="2"/>
    </row>
    <row r="76" spans="1:13" hidden="1" x14ac:dyDescent="0.2">
      <c r="A76" s="2"/>
      <c r="B76" s="2" t="s">
        <v>21</v>
      </c>
      <c r="C76" s="2"/>
      <c r="D76" s="2"/>
      <c r="E76" s="2" t="s">
        <v>22</v>
      </c>
      <c r="G76" s="2"/>
      <c r="H76" s="2"/>
      <c r="I76" s="2"/>
    </row>
    <row r="77" spans="1:13" hidden="1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13" hidden="1" x14ac:dyDescent="0.2">
      <c r="A78" s="2"/>
      <c r="B78" s="8" t="s">
        <v>34</v>
      </c>
      <c r="C78" s="8"/>
      <c r="D78" s="8"/>
      <c r="E78" s="8"/>
      <c r="F78" s="8"/>
      <c r="G78" s="8"/>
      <c r="H78" s="1">
        <f>SUM(H53:H77)</f>
        <v>645000</v>
      </c>
      <c r="I78" s="24">
        <f>I51*$F75</f>
        <v>683700</v>
      </c>
      <c r="J78" s="24">
        <f t="shared" ref="J78:M78" si="24">J51*$F75</f>
        <v>724722</v>
      </c>
      <c r="K78" s="24">
        <f t="shared" si="24"/>
        <v>768205.32</v>
      </c>
      <c r="L78" s="24">
        <f t="shared" si="24"/>
        <v>814297.63920000009</v>
      </c>
      <c r="M78" s="24">
        <f t="shared" si="24"/>
        <v>3635924.9591999999</v>
      </c>
    </row>
    <row r="79" spans="1:13" hidden="1" x14ac:dyDescent="0.2">
      <c r="A79" s="2"/>
      <c r="B79" s="2"/>
      <c r="C79" s="2"/>
      <c r="D79" s="2"/>
      <c r="E79" s="2"/>
      <c r="F79" s="2"/>
      <c r="G79" s="2"/>
      <c r="H79" s="5"/>
      <c r="I79" s="2"/>
    </row>
    <row r="80" spans="1:13" hidden="1" x14ac:dyDescent="0.2">
      <c r="A80" s="2"/>
      <c r="B80" s="8" t="s">
        <v>36</v>
      </c>
      <c r="C80" s="8"/>
      <c r="D80" s="8"/>
      <c r="E80" s="8"/>
      <c r="F80" s="8"/>
      <c r="G80" s="8"/>
      <c r="H80" s="1">
        <f>+H51-H78</f>
        <v>855000</v>
      </c>
      <c r="I80" s="1">
        <f t="shared" ref="I80:M80" si="25">+I51-I78</f>
        <v>906300</v>
      </c>
      <c r="J80" s="1">
        <f t="shared" si="25"/>
        <v>960678</v>
      </c>
      <c r="K80" s="1">
        <f t="shared" si="25"/>
        <v>1018318.68</v>
      </c>
      <c r="L80" s="1">
        <f t="shared" si="25"/>
        <v>1079417.8008000001</v>
      </c>
      <c r="M80" s="1">
        <f t="shared" si="25"/>
        <v>4819714.4807999991</v>
      </c>
    </row>
    <row r="81" spans="1:14" hidden="1" x14ac:dyDescent="0.2">
      <c r="A81" s="2"/>
      <c r="B81" s="21"/>
      <c r="C81" s="21"/>
      <c r="D81" s="21"/>
      <c r="E81" s="21"/>
      <c r="F81" s="21"/>
      <c r="G81" s="21"/>
      <c r="H81" s="22"/>
      <c r="I81" s="2"/>
    </row>
    <row r="82" spans="1:14" hidden="1" x14ac:dyDescent="0.2">
      <c r="A82" s="2"/>
      <c r="B82" s="9" t="s">
        <v>35</v>
      </c>
      <c r="C82" s="9"/>
      <c r="D82" s="9"/>
      <c r="E82" s="9" t="s">
        <v>12</v>
      </c>
      <c r="F82" s="9">
        <v>30</v>
      </c>
      <c r="G82" s="2"/>
      <c r="H82" s="7">
        <f>$F82*H51/100</f>
        <v>450000</v>
      </c>
      <c r="I82" s="7">
        <f t="shared" ref="I82:M82" si="26">$F82*I51/100</f>
        <v>477000</v>
      </c>
      <c r="J82" s="7">
        <f t="shared" si="26"/>
        <v>505620</v>
      </c>
      <c r="K82" s="7">
        <f t="shared" si="26"/>
        <v>535957.19999999995</v>
      </c>
      <c r="L82" s="7">
        <f t="shared" si="26"/>
        <v>568114.63199999998</v>
      </c>
      <c r="M82" s="7">
        <f t="shared" si="26"/>
        <v>2536691.8319999999</v>
      </c>
    </row>
    <row r="83" spans="1:14" hidden="1" x14ac:dyDescent="0.2">
      <c r="A83" s="2"/>
      <c r="B83" s="2" t="s">
        <v>6</v>
      </c>
      <c r="C83" s="2"/>
      <c r="D83" s="2"/>
      <c r="E83" s="2"/>
      <c r="F83" s="2"/>
      <c r="G83" s="2"/>
      <c r="H83" s="2"/>
      <c r="I83" s="2"/>
      <c r="K83" s="5"/>
    </row>
    <row r="84" spans="1:14" hidden="1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14" hidden="1" x14ac:dyDescent="0.2">
      <c r="A85" s="2"/>
      <c r="B85" s="10" t="s">
        <v>16</v>
      </c>
      <c r="C85" s="10"/>
      <c r="D85" s="10"/>
      <c r="E85" s="10"/>
      <c r="F85" s="10"/>
      <c r="G85" s="10"/>
      <c r="H85" s="7">
        <f>+H80-H82</f>
        <v>405000</v>
      </c>
      <c r="I85" s="7">
        <f t="shared" ref="I85:M85" si="27">+I80-I82</f>
        <v>429300</v>
      </c>
      <c r="J85" s="7">
        <f t="shared" si="27"/>
        <v>455058</v>
      </c>
      <c r="K85" s="7">
        <f t="shared" si="27"/>
        <v>482361.4800000001</v>
      </c>
      <c r="L85" s="7">
        <f t="shared" si="27"/>
        <v>511303.1688000001</v>
      </c>
      <c r="M85" s="7">
        <f t="shared" si="27"/>
        <v>2283022.6487999992</v>
      </c>
    </row>
    <row r="86" spans="1:14" hidden="1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14" hidden="1" x14ac:dyDescent="0.2">
      <c r="B87" s="2" t="s">
        <v>37</v>
      </c>
      <c r="C87" s="2"/>
      <c r="F87">
        <v>40</v>
      </c>
      <c r="G87" t="s">
        <v>25</v>
      </c>
      <c r="H87" s="16">
        <f>H85*$F87/100</f>
        <v>162000</v>
      </c>
      <c r="I87" s="16">
        <f t="shared" ref="I87:M87" si="28">I85*$F87/100</f>
        <v>171720</v>
      </c>
      <c r="J87" s="16">
        <f t="shared" si="28"/>
        <v>182023.2</v>
      </c>
      <c r="K87" s="16">
        <f t="shared" si="28"/>
        <v>192944.59200000003</v>
      </c>
      <c r="L87" s="16">
        <f t="shared" si="28"/>
        <v>204521.26752000005</v>
      </c>
      <c r="M87" s="16">
        <f t="shared" si="28"/>
        <v>913209.05951999966</v>
      </c>
    </row>
    <row r="88" spans="1:14" hidden="1" x14ac:dyDescent="0.2"/>
    <row r="89" spans="1:14" hidden="1" x14ac:dyDescent="0.2">
      <c r="B89" s="13" t="s">
        <v>26</v>
      </c>
      <c r="C89" s="13"/>
      <c r="D89" s="13"/>
      <c r="E89" s="13"/>
      <c r="F89" s="13"/>
      <c r="G89" s="13"/>
      <c r="H89" s="14">
        <f>H85-H87</f>
        <v>243000</v>
      </c>
      <c r="I89" s="14">
        <f t="shared" ref="I89:M89" si="29">I85-I87</f>
        <v>257580</v>
      </c>
      <c r="J89" s="14">
        <f t="shared" si="29"/>
        <v>273034.8</v>
      </c>
      <c r="K89" s="14">
        <f t="shared" si="29"/>
        <v>289416.88800000004</v>
      </c>
      <c r="L89" s="14">
        <f t="shared" si="29"/>
        <v>306781.90128000005</v>
      </c>
      <c r="M89" s="14">
        <f t="shared" si="29"/>
        <v>1369813.5892799995</v>
      </c>
      <c r="N89" s="25">
        <f>M89/(M89+M91)</f>
        <v>0.28421052631578941</v>
      </c>
    </row>
    <row r="90" spans="1:14" hidden="1" x14ac:dyDescent="0.2"/>
    <row r="91" spans="1:14" hidden="1" x14ac:dyDescent="0.2">
      <c r="B91" t="s">
        <v>45</v>
      </c>
      <c r="H91" s="16">
        <f>H82+H87</f>
        <v>612000</v>
      </c>
      <c r="I91" s="16">
        <f t="shared" ref="I91:M91" si="30">I82+I87</f>
        <v>648720</v>
      </c>
      <c r="J91" s="16">
        <f t="shared" si="30"/>
        <v>687643.2</v>
      </c>
      <c r="K91" s="16">
        <f t="shared" si="30"/>
        <v>728901.79200000002</v>
      </c>
      <c r="L91" s="16">
        <f t="shared" si="30"/>
        <v>772635.89951999998</v>
      </c>
      <c r="M91" s="16">
        <f t="shared" si="30"/>
        <v>3449900.8915199996</v>
      </c>
      <c r="N91" s="26">
        <f>1-N89</f>
        <v>0.71578947368421053</v>
      </c>
    </row>
    <row r="92" spans="1:14" hidden="1" x14ac:dyDescent="0.2">
      <c r="B92" t="s">
        <v>63</v>
      </c>
      <c r="H92" s="16">
        <f>Taxes!E8</f>
        <v>400000</v>
      </c>
      <c r="I92" s="16" t="e">
        <f>Taxes!#REF!</f>
        <v>#REF!</v>
      </c>
      <c r="J92" s="16">
        <f>Taxes!G8</f>
        <v>111502</v>
      </c>
      <c r="K92" s="16">
        <f>Taxes!H8</f>
        <v>120326.5</v>
      </c>
      <c r="L92" s="16">
        <f>Taxes!I8</f>
        <v>129680.47</v>
      </c>
      <c r="M92" s="16">
        <f>Taxes!J8</f>
        <v>1311404.97</v>
      </c>
    </row>
    <row r="93" spans="1:14" hidden="1" x14ac:dyDescent="0.2">
      <c r="H93" s="16">
        <f>+H91-H92</f>
        <v>212000</v>
      </c>
      <c r="I93" s="16" t="e">
        <f t="shared" ref="I93:M93" si="31">+I91-I92</f>
        <v>#REF!</v>
      </c>
      <c r="J93" s="16">
        <f t="shared" si="31"/>
        <v>576141.19999999995</v>
      </c>
      <c r="K93" s="16">
        <f t="shared" si="31"/>
        <v>608575.29200000002</v>
      </c>
      <c r="L93" s="16">
        <f t="shared" si="31"/>
        <v>642955.42952000001</v>
      </c>
      <c r="M93" s="16">
        <f t="shared" si="31"/>
        <v>2138495.9215199994</v>
      </c>
    </row>
    <row r="94" spans="1:14" hidden="1" x14ac:dyDescent="0.2">
      <c r="B94" t="s">
        <v>30</v>
      </c>
      <c r="H94" s="31">
        <f>+H92/H91</f>
        <v>0.65359477124183007</v>
      </c>
      <c r="I94" s="31" t="e">
        <f t="shared" ref="I94:M94" si="32">+I92/I91</f>
        <v>#REF!</v>
      </c>
      <c r="J94" s="31">
        <f t="shared" si="32"/>
        <v>0.16215095270337873</v>
      </c>
      <c r="K94" s="31">
        <f t="shared" si="32"/>
        <v>0.16507916611076187</v>
      </c>
      <c r="L94" s="31">
        <f t="shared" si="32"/>
        <v>0.16784163158942522</v>
      </c>
      <c r="M94" s="31">
        <f t="shared" si="32"/>
        <v>0.38012830259080432</v>
      </c>
    </row>
    <row r="95" spans="1:14" hidden="1" x14ac:dyDescent="0.2">
      <c r="B95" t="s">
        <v>31</v>
      </c>
    </row>
    <row r="96" spans="1:14" hidden="1" x14ac:dyDescent="0.2">
      <c r="B96" t="s">
        <v>32</v>
      </c>
    </row>
    <row r="97" spans="2:2" hidden="1" x14ac:dyDescent="0.2">
      <c r="B97" t="s">
        <v>33</v>
      </c>
    </row>
    <row r="98" spans="2:2" hidden="1" x14ac:dyDescent="0.2"/>
    <row r="99" spans="2:2" hidden="1" x14ac:dyDescent="0.2"/>
    <row r="100" spans="2:2" hidden="1" x14ac:dyDescent="0.2"/>
    <row r="101" spans="2:2" hidden="1" x14ac:dyDescent="0.2"/>
    <row r="102" spans="2:2" hidden="1" x14ac:dyDescent="0.2"/>
    <row r="103" spans="2:2" hidden="1" x14ac:dyDescent="0.2"/>
    <row r="104" spans="2:2" hidden="1" x14ac:dyDescent="0.2"/>
    <row r="105" spans="2:2" hidden="1" x14ac:dyDescent="0.2"/>
    <row r="106" spans="2:2" hidden="1" x14ac:dyDescent="0.2"/>
    <row r="107" spans="2:2" hidden="1" x14ac:dyDescent="0.2"/>
    <row r="108" spans="2:2" hidden="1" x14ac:dyDescent="0.2"/>
    <row r="109" spans="2:2" hidden="1" x14ac:dyDescent="0.2"/>
    <row r="110" spans="2:2" hidden="1" x14ac:dyDescent="0.2"/>
    <row r="111" spans="2:2" hidden="1" x14ac:dyDescent="0.2"/>
    <row r="112" spans="2: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</sheetData>
  <pageMargins left="0.7" right="0.7" top="0.75" bottom="0.75" header="0.3" footer="0.3"/>
  <pageSetup scale="77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F3EFF-DA43-764F-AA4F-A6D7C9C6D1A1}">
  <dimension ref="A1:M71"/>
  <sheetViews>
    <sheetView topLeftCell="A39" zoomScale="130" zoomScaleNormal="130" workbookViewId="0">
      <selection activeCell="G60" sqref="G60"/>
    </sheetView>
  </sheetViews>
  <sheetFormatPr baseColWidth="10" defaultColWidth="11" defaultRowHeight="16" x14ac:dyDescent="0.2"/>
  <cols>
    <col min="2" max="2" width="44.6640625" customWidth="1"/>
    <col min="3" max="6" width="10.6640625" customWidth="1"/>
    <col min="7" max="7" width="12.83203125" customWidth="1"/>
    <col min="8" max="8" width="12.33203125" bestFit="1" customWidth="1"/>
    <col min="9" max="9" width="14.5" customWidth="1"/>
    <col min="10" max="10" width="13.1640625" customWidth="1"/>
    <col min="11" max="11" width="13.83203125" customWidth="1"/>
    <col min="12" max="12" width="12.33203125" bestFit="1" customWidth="1"/>
  </cols>
  <sheetData>
    <row r="1" spans="2:10" x14ac:dyDescent="0.2">
      <c r="B1" s="37" t="s">
        <v>76</v>
      </c>
      <c r="C1" s="37"/>
      <c r="D1" s="37"/>
      <c r="E1" s="37"/>
      <c r="F1" s="37"/>
      <c r="G1" s="37"/>
      <c r="H1" s="37"/>
      <c r="I1" s="37"/>
      <c r="J1" s="37"/>
    </row>
    <row r="2" spans="2:10" x14ac:dyDescent="0.2">
      <c r="B2" s="37" t="s">
        <v>77</v>
      </c>
      <c r="C2" s="37"/>
      <c r="D2" s="37"/>
      <c r="E2" s="37"/>
      <c r="F2" s="37"/>
      <c r="G2" s="37"/>
      <c r="H2" s="37"/>
      <c r="I2" s="37"/>
      <c r="J2" s="37"/>
    </row>
    <row r="3" spans="2:10" x14ac:dyDescent="0.2">
      <c r="I3" s="52" t="s">
        <v>87</v>
      </c>
      <c r="J3" s="52"/>
    </row>
    <row r="4" spans="2:10" x14ac:dyDescent="0.2">
      <c r="I4" s="23" t="s">
        <v>70</v>
      </c>
      <c r="J4" s="23" t="s">
        <v>72</v>
      </c>
    </row>
    <row r="5" spans="2:10" x14ac:dyDescent="0.2">
      <c r="C5" t="s">
        <v>39</v>
      </c>
      <c r="D5" s="23" t="s">
        <v>40</v>
      </c>
      <c r="E5" s="23" t="s">
        <v>41</v>
      </c>
      <c r="F5" s="23" t="s">
        <v>42</v>
      </c>
      <c r="G5" s="23" t="s">
        <v>43</v>
      </c>
      <c r="H5" s="23" t="s">
        <v>44</v>
      </c>
      <c r="I5" s="35" t="s">
        <v>71</v>
      </c>
      <c r="J5" s="35" t="s">
        <v>73</v>
      </c>
    </row>
    <row r="6" spans="2:10" x14ac:dyDescent="0.2">
      <c r="B6" t="s">
        <v>64</v>
      </c>
      <c r="C6" s="32">
        <f>G19</f>
        <v>1500000</v>
      </c>
      <c r="D6" s="32">
        <f t="shared" ref="D6:H6" si="0">H19</f>
        <v>1590000</v>
      </c>
      <c r="E6" s="32">
        <f t="shared" si="0"/>
        <v>1685400</v>
      </c>
      <c r="F6" s="32">
        <f t="shared" si="0"/>
        <v>1786524</v>
      </c>
      <c r="G6" s="32">
        <f t="shared" si="0"/>
        <v>1893715.4400000002</v>
      </c>
      <c r="H6" s="32">
        <f t="shared" si="0"/>
        <v>8455639.4399999995</v>
      </c>
    </row>
    <row r="7" spans="2:10" x14ac:dyDescent="0.2">
      <c r="B7" t="s">
        <v>65</v>
      </c>
      <c r="C7" s="33">
        <f>G46</f>
        <v>645000</v>
      </c>
      <c r="D7" s="33">
        <f t="shared" ref="D7:H7" si="1">H46</f>
        <v>683700</v>
      </c>
      <c r="E7" s="33">
        <f t="shared" si="1"/>
        <v>724722</v>
      </c>
      <c r="F7" s="33">
        <f t="shared" si="1"/>
        <v>768205.32</v>
      </c>
      <c r="G7" s="33">
        <f t="shared" si="1"/>
        <v>814297.63920000009</v>
      </c>
      <c r="H7" s="33">
        <f t="shared" si="1"/>
        <v>3635924.9591999999</v>
      </c>
    </row>
    <row r="8" spans="2:10" x14ac:dyDescent="0.2">
      <c r="B8" t="s">
        <v>67</v>
      </c>
      <c r="C8" s="33">
        <f>C6-C7</f>
        <v>855000</v>
      </c>
      <c r="D8" s="33">
        <f t="shared" ref="D8:H8" si="2">D6-D7</f>
        <v>906300</v>
      </c>
      <c r="E8" s="33">
        <f t="shared" si="2"/>
        <v>960678</v>
      </c>
      <c r="F8" s="33">
        <f t="shared" si="2"/>
        <v>1018318.68</v>
      </c>
      <c r="G8" s="33">
        <f t="shared" si="2"/>
        <v>1079417.8008000001</v>
      </c>
      <c r="H8" s="33">
        <f t="shared" si="2"/>
        <v>4819714.4807999991</v>
      </c>
    </row>
    <row r="10" spans="2:10" x14ac:dyDescent="0.2">
      <c r="B10" t="s">
        <v>68</v>
      </c>
      <c r="C10" s="32">
        <f>G50</f>
        <v>450000</v>
      </c>
      <c r="D10" s="32">
        <f t="shared" ref="D10:H10" si="3">H50</f>
        <v>477000</v>
      </c>
      <c r="E10" s="32">
        <f t="shared" si="3"/>
        <v>505620</v>
      </c>
      <c r="F10" s="32">
        <f t="shared" si="3"/>
        <v>535957.19999999995</v>
      </c>
      <c r="G10" s="32">
        <f t="shared" si="3"/>
        <v>568114.63199999998</v>
      </c>
      <c r="H10" s="32">
        <f t="shared" si="3"/>
        <v>2536691.8319999999</v>
      </c>
    </row>
    <row r="11" spans="2:10" x14ac:dyDescent="0.2">
      <c r="B11" t="s">
        <v>69</v>
      </c>
      <c r="C11" s="33">
        <f>G55</f>
        <v>162000</v>
      </c>
      <c r="D11" s="33">
        <f t="shared" ref="D11:H11" si="4">H55</f>
        <v>171720</v>
      </c>
      <c r="E11" s="33">
        <f t="shared" si="4"/>
        <v>182023.2</v>
      </c>
      <c r="F11" s="33">
        <f t="shared" si="4"/>
        <v>192944.59200000003</v>
      </c>
      <c r="G11" s="33">
        <f t="shared" si="4"/>
        <v>204521.26752000005</v>
      </c>
      <c r="H11" s="33">
        <f t="shared" si="4"/>
        <v>913209.05951999966</v>
      </c>
    </row>
    <row r="12" spans="2:10" x14ac:dyDescent="0.2">
      <c r="B12" s="42" t="s">
        <v>74</v>
      </c>
      <c r="C12" s="43">
        <f>C11+C10</f>
        <v>612000</v>
      </c>
      <c r="D12" s="43">
        <f t="shared" ref="D12:H12" si="5">D11+D10</f>
        <v>648720</v>
      </c>
      <c r="E12" s="43">
        <f t="shared" si="5"/>
        <v>687643.2</v>
      </c>
      <c r="F12" s="43">
        <f t="shared" si="5"/>
        <v>728901.79200000002</v>
      </c>
      <c r="G12" s="43">
        <f t="shared" si="5"/>
        <v>772635.89951999998</v>
      </c>
      <c r="H12" s="43">
        <f t="shared" si="5"/>
        <v>3449900.8915199996</v>
      </c>
      <c r="I12" s="44">
        <f>H12/H17</f>
        <v>0.71578947368421053</v>
      </c>
      <c r="J12" s="45">
        <f>H12/H6</f>
        <v>0.40799999999999997</v>
      </c>
    </row>
    <row r="13" spans="2:10" x14ac:dyDescent="0.2">
      <c r="C13" s="32"/>
      <c r="D13" s="32"/>
      <c r="E13" s="32"/>
      <c r="F13" s="32"/>
      <c r="G13" s="32"/>
      <c r="H13" s="32"/>
      <c r="J13" s="31"/>
    </row>
    <row r="14" spans="2:10" x14ac:dyDescent="0.2">
      <c r="B14" s="38" t="s">
        <v>75</v>
      </c>
      <c r="C14" s="39">
        <f>C8-C12</f>
        <v>243000</v>
      </c>
      <c r="D14" s="39">
        <f t="shared" ref="D14:H14" si="6">D8-D12</f>
        <v>257580</v>
      </c>
      <c r="E14" s="39">
        <f t="shared" si="6"/>
        <v>273034.80000000005</v>
      </c>
      <c r="F14" s="39">
        <f t="shared" si="6"/>
        <v>289416.88800000004</v>
      </c>
      <c r="G14" s="39">
        <f t="shared" si="6"/>
        <v>306781.90128000011</v>
      </c>
      <c r="H14" s="39">
        <f t="shared" si="6"/>
        <v>1369813.5892799995</v>
      </c>
      <c r="I14" s="40">
        <f>H14/H17</f>
        <v>0.28421052631578941</v>
      </c>
      <c r="J14" s="41">
        <f>H14/H6</f>
        <v>0.16199999999999995</v>
      </c>
    </row>
    <row r="15" spans="2:10" x14ac:dyDescent="0.2">
      <c r="B15" t="s">
        <v>97</v>
      </c>
    </row>
    <row r="17" spans="1:12" x14ac:dyDescent="0.2">
      <c r="H17" s="32">
        <f>H14+H12</f>
        <v>4819714.4807999991</v>
      </c>
    </row>
    <row r="18" spans="1:12" x14ac:dyDescent="0.2">
      <c r="G18" t="s">
        <v>39</v>
      </c>
      <c r="H18" s="23" t="s">
        <v>40</v>
      </c>
      <c r="I18" s="23" t="s">
        <v>41</v>
      </c>
      <c r="J18" s="23" t="s">
        <v>42</v>
      </c>
      <c r="K18" s="23" t="s">
        <v>43</v>
      </c>
      <c r="L18" s="23" t="s">
        <v>44</v>
      </c>
    </row>
    <row r="19" spans="1:12" x14ac:dyDescent="0.2">
      <c r="A19" s="2"/>
      <c r="B19" s="2" t="s">
        <v>0</v>
      </c>
      <c r="C19" s="2"/>
      <c r="D19" s="2"/>
      <c r="E19" s="2"/>
      <c r="F19" s="2"/>
      <c r="G19" s="4">
        <v>1500000</v>
      </c>
      <c r="H19" s="5">
        <f>G19*(1+$C20)</f>
        <v>1590000</v>
      </c>
      <c r="I19" s="5">
        <f t="shared" ref="I19:K19" si="7">H19*(1+$C20)</f>
        <v>1685400</v>
      </c>
      <c r="J19" s="5">
        <f t="shared" si="7"/>
        <v>1786524</v>
      </c>
      <c r="K19" s="5">
        <f t="shared" si="7"/>
        <v>1893715.4400000002</v>
      </c>
      <c r="L19" s="16">
        <f>SUM(G19:K19)</f>
        <v>8455639.4399999995</v>
      </c>
    </row>
    <row r="20" spans="1:12" x14ac:dyDescent="0.2">
      <c r="A20" s="2"/>
      <c r="B20" s="2" t="s">
        <v>38</v>
      </c>
      <c r="C20" s="20">
        <v>0.06</v>
      </c>
      <c r="D20" s="2"/>
      <c r="E20" s="2"/>
      <c r="F20" s="2"/>
      <c r="G20" s="2"/>
      <c r="H20" s="2"/>
    </row>
    <row r="21" spans="1:12" x14ac:dyDescent="0.2">
      <c r="A21" s="3"/>
      <c r="B21" s="2"/>
      <c r="C21" s="2"/>
      <c r="D21" s="2"/>
      <c r="E21" s="2"/>
      <c r="F21" s="2"/>
      <c r="G21" s="2"/>
      <c r="H21" s="2"/>
    </row>
    <row r="22" spans="1:12" x14ac:dyDescent="0.2">
      <c r="A22" s="2"/>
      <c r="B22" s="2" t="s">
        <v>2</v>
      </c>
      <c r="C22" s="2"/>
      <c r="D22" s="2" t="s">
        <v>1</v>
      </c>
      <c r="E22" s="2"/>
      <c r="F22" s="2"/>
      <c r="H22" s="2"/>
    </row>
    <row r="23" spans="1:12" x14ac:dyDescent="0.2">
      <c r="A23" s="2"/>
      <c r="B23" s="2"/>
      <c r="C23" s="2"/>
      <c r="D23" s="2"/>
      <c r="E23" s="2"/>
      <c r="F23" s="2"/>
      <c r="G23" s="2"/>
      <c r="H23" s="2"/>
    </row>
    <row r="24" spans="1:12" x14ac:dyDescent="0.2">
      <c r="A24" s="6"/>
      <c r="B24" s="9" t="s">
        <v>3</v>
      </c>
      <c r="C24" s="9"/>
      <c r="D24" s="9" t="s">
        <v>20</v>
      </c>
      <c r="E24" s="9">
        <v>9</v>
      </c>
      <c r="F24" s="2"/>
      <c r="G24" s="7">
        <f>E24*G19/100</f>
        <v>135000</v>
      </c>
      <c r="H24" s="5"/>
    </row>
    <row r="25" spans="1:12" x14ac:dyDescent="0.2">
      <c r="A25" s="2"/>
      <c r="C25" s="2"/>
      <c r="D25" s="2"/>
      <c r="E25" s="2"/>
      <c r="F25" s="2"/>
      <c r="G25" s="2"/>
      <c r="H25" s="2"/>
    </row>
    <row r="26" spans="1:12" x14ac:dyDescent="0.2">
      <c r="A26" s="2"/>
      <c r="B26" s="2"/>
      <c r="C26" s="2"/>
      <c r="D26" s="2"/>
      <c r="E26" s="2"/>
      <c r="F26" s="2"/>
      <c r="G26" s="2"/>
      <c r="H26" s="2"/>
    </row>
    <row r="27" spans="1:12" x14ac:dyDescent="0.2">
      <c r="A27" s="2"/>
      <c r="B27" s="2"/>
      <c r="C27" s="2"/>
      <c r="D27" s="2"/>
      <c r="E27" s="2"/>
      <c r="F27" s="2"/>
      <c r="G27" s="2"/>
      <c r="H27" s="2"/>
    </row>
    <row r="28" spans="1:12" x14ac:dyDescent="0.2">
      <c r="A28" s="2"/>
      <c r="B28" s="2" t="s">
        <v>4</v>
      </c>
      <c r="C28" s="2"/>
      <c r="D28" s="2" t="s">
        <v>5</v>
      </c>
      <c r="E28" s="2">
        <v>5</v>
      </c>
      <c r="F28" s="2" t="s">
        <v>23</v>
      </c>
      <c r="G28" s="7">
        <f>G19*E28/100</f>
        <v>75000</v>
      </c>
      <c r="H28" s="2"/>
    </row>
    <row r="29" spans="1:12" x14ac:dyDescent="0.2">
      <c r="A29" s="2"/>
      <c r="B29" s="2"/>
      <c r="C29" s="2"/>
      <c r="D29" s="2"/>
      <c r="E29" s="2"/>
      <c r="F29" s="2"/>
      <c r="G29" s="2"/>
      <c r="H29" s="2"/>
    </row>
    <row r="30" spans="1:12" x14ac:dyDescent="0.2">
      <c r="A30" s="2"/>
      <c r="B30" s="2" t="s">
        <v>18</v>
      </c>
      <c r="C30" s="2"/>
      <c r="D30" s="2"/>
      <c r="E30" s="2">
        <v>6</v>
      </c>
      <c r="F30" s="2" t="s">
        <v>23</v>
      </c>
      <c r="G30" s="1">
        <f>G19*E30/100</f>
        <v>90000</v>
      </c>
      <c r="H30" s="2"/>
      <c r="J30" s="12"/>
    </row>
    <row r="31" spans="1:12" x14ac:dyDescent="0.2">
      <c r="A31" s="2"/>
      <c r="B31" s="2"/>
      <c r="C31" s="2"/>
      <c r="D31" s="2"/>
      <c r="E31" s="2"/>
      <c r="F31" s="2"/>
      <c r="G31" s="2"/>
      <c r="H31" s="2"/>
    </row>
    <row r="32" spans="1:12" x14ac:dyDescent="0.2">
      <c r="A32" s="2"/>
      <c r="B32" s="2" t="s">
        <v>7</v>
      </c>
      <c r="C32" s="2"/>
      <c r="D32" s="2"/>
      <c r="E32" s="2">
        <v>6</v>
      </c>
      <c r="F32" s="2" t="s">
        <v>23</v>
      </c>
      <c r="G32" s="7">
        <f>G19*E32/100</f>
        <v>90000</v>
      </c>
      <c r="H32" s="2"/>
    </row>
    <row r="33" spans="1:12" x14ac:dyDescent="0.2">
      <c r="A33" s="2"/>
      <c r="B33" s="2"/>
      <c r="C33" s="2"/>
      <c r="D33" s="2"/>
      <c r="E33" s="2"/>
      <c r="F33" s="2"/>
      <c r="G33" s="2"/>
      <c r="H33" s="2"/>
    </row>
    <row r="34" spans="1:12" x14ac:dyDescent="0.2">
      <c r="A34" s="2"/>
      <c r="B34" s="2" t="s">
        <v>8</v>
      </c>
      <c r="C34" s="2"/>
      <c r="D34" s="2"/>
      <c r="E34" s="2">
        <v>5</v>
      </c>
      <c r="F34" s="2" t="s">
        <v>23</v>
      </c>
      <c r="G34" s="7">
        <f>E34*G19/100</f>
        <v>75000</v>
      </c>
      <c r="H34" s="2"/>
    </row>
    <row r="35" spans="1:12" x14ac:dyDescent="0.2">
      <c r="A35" s="2"/>
      <c r="B35" s="2"/>
      <c r="C35" s="2"/>
      <c r="D35" s="2"/>
      <c r="E35" s="2"/>
      <c r="F35" s="2"/>
      <c r="G35" s="2"/>
      <c r="H35" s="2"/>
    </row>
    <row r="36" spans="1:12" x14ac:dyDescent="0.2">
      <c r="A36" s="2"/>
      <c r="B36" s="2" t="s">
        <v>9</v>
      </c>
      <c r="C36" s="2"/>
      <c r="D36" s="2"/>
      <c r="E36" s="2">
        <v>5</v>
      </c>
      <c r="F36" s="2" t="s">
        <v>23</v>
      </c>
      <c r="G36" s="7">
        <f>G19*E36/100</f>
        <v>75000</v>
      </c>
      <c r="H36" s="2"/>
    </row>
    <row r="37" spans="1:12" x14ac:dyDescent="0.2">
      <c r="A37" s="2"/>
      <c r="B37" s="2"/>
      <c r="C37" s="2"/>
      <c r="D37" s="2"/>
      <c r="E37" s="2"/>
      <c r="F37" s="2"/>
      <c r="G37" s="2"/>
      <c r="H37" s="2"/>
    </row>
    <row r="38" spans="1:12" x14ac:dyDescent="0.2">
      <c r="A38" s="2"/>
      <c r="B38" s="2"/>
      <c r="C38" s="2"/>
      <c r="D38" s="2"/>
      <c r="E38" s="2"/>
      <c r="F38" s="2"/>
      <c r="G38" s="2"/>
      <c r="H38" s="2"/>
    </row>
    <row r="39" spans="1:12" x14ac:dyDescent="0.2">
      <c r="A39" s="2"/>
      <c r="B39" s="2" t="s">
        <v>10</v>
      </c>
      <c r="C39" s="2"/>
      <c r="D39" s="2"/>
      <c r="E39" s="2">
        <v>5</v>
      </c>
      <c r="F39" s="2" t="s">
        <v>23</v>
      </c>
      <c r="G39" s="7">
        <f>G19*E39/100</f>
        <v>75000</v>
      </c>
      <c r="H39" s="2"/>
    </row>
    <row r="40" spans="1:12" x14ac:dyDescent="0.2">
      <c r="A40" s="2"/>
      <c r="B40" s="2"/>
      <c r="C40" s="2"/>
      <c r="D40" s="2"/>
      <c r="E40" s="2"/>
      <c r="F40" s="2"/>
      <c r="G40" s="2"/>
      <c r="H40" s="2"/>
    </row>
    <row r="41" spans="1:12" ht="19" x14ac:dyDescent="0.25">
      <c r="A41" s="2"/>
      <c r="B41" s="2" t="s">
        <v>11</v>
      </c>
      <c r="C41" s="2"/>
      <c r="D41" s="2"/>
      <c r="E41" s="2">
        <v>2</v>
      </c>
      <c r="F41" s="15" t="s">
        <v>23</v>
      </c>
      <c r="G41" s="7">
        <f>G19*E41/100</f>
        <v>30000</v>
      </c>
      <c r="H41" s="2"/>
    </row>
    <row r="42" spans="1:12" x14ac:dyDescent="0.2">
      <c r="A42" s="2"/>
      <c r="B42" s="2"/>
      <c r="C42" s="2"/>
      <c r="D42" s="2"/>
      <c r="E42" s="2"/>
      <c r="F42" s="2"/>
      <c r="G42" s="2"/>
      <c r="H42" s="2"/>
    </row>
    <row r="43" spans="1:12" x14ac:dyDescent="0.2">
      <c r="A43" s="2"/>
      <c r="B43" t="s">
        <v>27</v>
      </c>
      <c r="E43" s="8">
        <f>G46/G19</f>
        <v>0.43</v>
      </c>
      <c r="F43" s="2" t="s">
        <v>25</v>
      </c>
      <c r="G43" s="2"/>
      <c r="H43" s="2"/>
    </row>
    <row r="44" spans="1:12" x14ac:dyDescent="0.2">
      <c r="A44" s="2"/>
      <c r="B44" s="2" t="s">
        <v>21</v>
      </c>
      <c r="C44" s="2"/>
      <c r="D44" s="2" t="s">
        <v>22</v>
      </c>
      <c r="F44" s="2"/>
      <c r="G44" s="2"/>
      <c r="H44" s="2"/>
    </row>
    <row r="45" spans="1:12" x14ac:dyDescent="0.2">
      <c r="A45" s="2"/>
      <c r="B45" s="2"/>
      <c r="C45" s="2"/>
      <c r="D45" s="2"/>
      <c r="E45" s="2"/>
      <c r="F45" s="2"/>
      <c r="G45" s="2"/>
      <c r="H45" s="2"/>
    </row>
    <row r="46" spans="1:12" x14ac:dyDescent="0.2">
      <c r="A46" s="2"/>
      <c r="B46" s="8" t="s">
        <v>34</v>
      </c>
      <c r="C46" s="8"/>
      <c r="D46" s="8"/>
      <c r="E46" s="8"/>
      <c r="F46" s="8"/>
      <c r="G46" s="1">
        <f>SUM(G21:G45)</f>
        <v>645000</v>
      </c>
      <c r="H46" s="24">
        <f>H19*$E43</f>
        <v>683700</v>
      </c>
      <c r="I46" s="24">
        <f t="shared" ref="I46:L46" si="8">I19*$E43</f>
        <v>724722</v>
      </c>
      <c r="J46" s="24">
        <f t="shared" si="8"/>
        <v>768205.32</v>
      </c>
      <c r="K46" s="24">
        <f t="shared" si="8"/>
        <v>814297.63920000009</v>
      </c>
      <c r="L46" s="24">
        <f t="shared" si="8"/>
        <v>3635924.9591999999</v>
      </c>
    </row>
    <row r="47" spans="1:12" x14ac:dyDescent="0.2">
      <c r="A47" s="2"/>
      <c r="B47" s="2"/>
      <c r="C47" s="2"/>
      <c r="D47" s="2"/>
      <c r="E47" s="2"/>
      <c r="F47" s="2"/>
      <c r="G47" s="5"/>
      <c r="H47" s="2"/>
    </row>
    <row r="48" spans="1:12" x14ac:dyDescent="0.2">
      <c r="A48" s="2"/>
      <c r="B48" s="8" t="s">
        <v>36</v>
      </c>
      <c r="C48" s="8"/>
      <c r="D48" s="8"/>
      <c r="E48" s="8"/>
      <c r="F48" s="8"/>
      <c r="G48" s="1">
        <f>+G19-G46</f>
        <v>855000</v>
      </c>
      <c r="H48" s="1">
        <f t="shared" ref="H48:L48" si="9">+H19-H46</f>
        <v>906300</v>
      </c>
      <c r="I48" s="1">
        <f t="shared" si="9"/>
        <v>960678</v>
      </c>
      <c r="J48" s="1">
        <f t="shared" si="9"/>
        <v>1018318.68</v>
      </c>
      <c r="K48" s="1">
        <f t="shared" si="9"/>
        <v>1079417.8008000001</v>
      </c>
      <c r="L48" s="1">
        <f t="shared" si="9"/>
        <v>4819714.4807999991</v>
      </c>
    </row>
    <row r="49" spans="1:13" x14ac:dyDescent="0.2">
      <c r="A49" s="2"/>
      <c r="B49" s="21"/>
      <c r="C49" s="21"/>
      <c r="D49" s="21"/>
      <c r="E49" s="21"/>
      <c r="F49" s="21"/>
      <c r="G49" s="22"/>
      <c r="H49" s="2"/>
    </row>
    <row r="50" spans="1:13" x14ac:dyDescent="0.2">
      <c r="A50" s="2"/>
      <c r="B50" s="9" t="s">
        <v>35</v>
      </c>
      <c r="C50" s="9"/>
      <c r="D50" s="9" t="s">
        <v>12</v>
      </c>
      <c r="E50" s="9">
        <v>30</v>
      </c>
      <c r="F50" s="2"/>
      <c r="G50" s="7">
        <f>$E50*G19/100</f>
        <v>450000</v>
      </c>
      <c r="H50" s="7">
        <f t="shared" ref="H50:L50" si="10">$E50*H19/100</f>
        <v>477000</v>
      </c>
      <c r="I50" s="7">
        <f t="shared" si="10"/>
        <v>505620</v>
      </c>
      <c r="J50" s="7">
        <f t="shared" si="10"/>
        <v>535957.19999999995</v>
      </c>
      <c r="K50" s="7">
        <f t="shared" si="10"/>
        <v>568114.63199999998</v>
      </c>
      <c r="L50" s="7">
        <f t="shared" si="10"/>
        <v>2536691.8319999999</v>
      </c>
    </row>
    <row r="51" spans="1:13" x14ac:dyDescent="0.2">
      <c r="A51" s="2"/>
      <c r="B51" s="2" t="s">
        <v>6</v>
      </c>
      <c r="C51" s="2"/>
      <c r="D51" s="2"/>
      <c r="E51" s="2"/>
      <c r="F51" s="2"/>
      <c r="G51" s="2"/>
      <c r="H51" s="2"/>
      <c r="J51" s="5"/>
    </row>
    <row r="52" spans="1:13" x14ac:dyDescent="0.2">
      <c r="A52" s="2"/>
      <c r="B52" s="2"/>
      <c r="C52" s="2"/>
      <c r="D52" s="2"/>
      <c r="E52" s="2"/>
      <c r="F52" s="2"/>
      <c r="G52" s="2"/>
      <c r="H52" s="2"/>
    </row>
    <row r="53" spans="1:13" x14ac:dyDescent="0.2">
      <c r="A53" s="2"/>
      <c r="B53" s="10" t="s">
        <v>16</v>
      </c>
      <c r="C53" s="10"/>
      <c r="D53" s="10"/>
      <c r="E53" s="10"/>
      <c r="F53" s="10"/>
      <c r="G53" s="7">
        <f>+G48-G50</f>
        <v>405000</v>
      </c>
      <c r="H53" s="7">
        <f t="shared" ref="H53:L53" si="11">+H48-H50</f>
        <v>429300</v>
      </c>
      <c r="I53" s="7">
        <f t="shared" si="11"/>
        <v>455058</v>
      </c>
      <c r="J53" s="7">
        <f t="shared" si="11"/>
        <v>482361.4800000001</v>
      </c>
      <c r="K53" s="7">
        <f t="shared" si="11"/>
        <v>511303.1688000001</v>
      </c>
      <c r="L53" s="7">
        <f t="shared" si="11"/>
        <v>2283022.6487999992</v>
      </c>
    </row>
    <row r="54" spans="1:13" x14ac:dyDescent="0.2">
      <c r="A54" s="2"/>
      <c r="B54" s="2" t="s">
        <v>79</v>
      </c>
      <c r="C54" s="2"/>
      <c r="D54" s="2"/>
      <c r="E54" s="2"/>
      <c r="F54" s="2"/>
      <c r="G54" s="2"/>
      <c r="H54" s="2"/>
    </row>
    <row r="55" spans="1:13" x14ac:dyDescent="0.2">
      <c r="B55" s="2" t="s">
        <v>37</v>
      </c>
      <c r="E55">
        <v>40</v>
      </c>
      <c r="F55" t="s">
        <v>25</v>
      </c>
      <c r="G55" s="16">
        <f>G53*$E55/100</f>
        <v>162000</v>
      </c>
      <c r="H55" s="16">
        <f t="shared" ref="H55:L55" si="12">H53*$E55/100</f>
        <v>171720</v>
      </c>
      <c r="I55" s="16">
        <f t="shared" si="12"/>
        <v>182023.2</v>
      </c>
      <c r="J55" s="16">
        <f t="shared" si="12"/>
        <v>192944.59200000003</v>
      </c>
      <c r="K55" s="16">
        <f t="shared" si="12"/>
        <v>204521.26752000005</v>
      </c>
      <c r="L55" s="16">
        <f t="shared" si="12"/>
        <v>913209.05951999966</v>
      </c>
    </row>
    <row r="57" spans="1:13" x14ac:dyDescent="0.2">
      <c r="B57" s="13" t="s">
        <v>26</v>
      </c>
      <c r="C57" s="13"/>
      <c r="D57" s="13"/>
      <c r="E57" s="13"/>
      <c r="F57" s="13"/>
      <c r="G57" s="14">
        <f>G53-G55</f>
        <v>243000</v>
      </c>
      <c r="H57" s="14">
        <f t="shared" ref="H57:L57" si="13">H53-H55</f>
        <v>257580</v>
      </c>
      <c r="I57" s="14">
        <f t="shared" si="13"/>
        <v>273034.8</v>
      </c>
      <c r="J57" s="14">
        <f t="shared" si="13"/>
        <v>289416.88800000004</v>
      </c>
      <c r="K57" s="14">
        <f t="shared" si="13"/>
        <v>306781.90128000005</v>
      </c>
      <c r="L57" s="14">
        <f t="shared" si="13"/>
        <v>1369813.5892799995</v>
      </c>
      <c r="M57" s="25">
        <f>L57/(L57+L59)</f>
        <v>0.28421052631578941</v>
      </c>
    </row>
    <row r="59" spans="1:13" x14ac:dyDescent="0.2">
      <c r="B59" t="s">
        <v>45</v>
      </c>
      <c r="G59" s="16">
        <f>G50+G55</f>
        <v>612000</v>
      </c>
      <c r="H59" s="16">
        <f t="shared" ref="H59:L59" si="14">H50+H55</f>
        <v>648720</v>
      </c>
      <c r="I59" s="16">
        <f t="shared" si="14"/>
        <v>687643.2</v>
      </c>
      <c r="J59" s="16">
        <f t="shared" si="14"/>
        <v>728901.79200000002</v>
      </c>
      <c r="K59" s="16">
        <f t="shared" si="14"/>
        <v>772635.89951999998</v>
      </c>
      <c r="L59" s="16">
        <f t="shared" si="14"/>
        <v>3449900.8915199996</v>
      </c>
      <c r="M59" s="26">
        <f>1-M57</f>
        <v>0.71578947368421053</v>
      </c>
    </row>
    <row r="60" spans="1:13" x14ac:dyDescent="0.2">
      <c r="B60" t="s">
        <v>63</v>
      </c>
      <c r="G60" s="16">
        <f>Taxes!E8</f>
        <v>400000</v>
      </c>
      <c r="H60" s="16" t="e">
        <f>Taxes!#REF!</f>
        <v>#REF!</v>
      </c>
      <c r="I60" s="16">
        <f>Taxes!G8</f>
        <v>111502</v>
      </c>
      <c r="J60" s="16">
        <f>Taxes!H8</f>
        <v>120326.5</v>
      </c>
      <c r="K60" s="16">
        <f>Taxes!I8</f>
        <v>129680.47</v>
      </c>
      <c r="L60" s="16">
        <f>Taxes!J8</f>
        <v>1311404.97</v>
      </c>
    </row>
    <row r="61" spans="1:13" x14ac:dyDescent="0.2">
      <c r="G61" s="16">
        <f>+G59-G60</f>
        <v>212000</v>
      </c>
      <c r="H61" s="16" t="e">
        <f t="shared" ref="H61:L61" si="15">+H59-H60</f>
        <v>#REF!</v>
      </c>
      <c r="I61" s="16">
        <f t="shared" si="15"/>
        <v>576141.19999999995</v>
      </c>
      <c r="J61" s="16">
        <f t="shared" si="15"/>
        <v>608575.29200000002</v>
      </c>
      <c r="K61" s="16">
        <f t="shared" si="15"/>
        <v>642955.42952000001</v>
      </c>
      <c r="L61" s="16">
        <f t="shared" si="15"/>
        <v>2138495.9215199994</v>
      </c>
    </row>
    <row r="62" spans="1:13" x14ac:dyDescent="0.2">
      <c r="B62" t="s">
        <v>88</v>
      </c>
      <c r="G62" s="16"/>
      <c r="H62" s="16"/>
      <c r="I62" s="16"/>
      <c r="J62" s="16"/>
      <c r="K62" s="16"/>
      <c r="L62" s="16"/>
    </row>
    <row r="63" spans="1:13" x14ac:dyDescent="0.2">
      <c r="B63" t="s">
        <v>89</v>
      </c>
      <c r="G63" s="16"/>
      <c r="H63" s="16"/>
      <c r="I63" s="16"/>
      <c r="J63" s="16"/>
      <c r="K63" s="16"/>
      <c r="L63" s="16"/>
    </row>
    <row r="64" spans="1:13" x14ac:dyDescent="0.2">
      <c r="G64" s="16"/>
      <c r="H64" s="16"/>
      <c r="I64" s="16"/>
      <c r="J64" s="16"/>
      <c r="K64" s="16"/>
      <c r="L64" s="16"/>
    </row>
    <row r="65" spans="2:12" x14ac:dyDescent="0.2">
      <c r="G65" s="16"/>
      <c r="H65" s="16"/>
      <c r="I65" s="16"/>
      <c r="J65" s="16"/>
      <c r="K65" s="16"/>
      <c r="L65" s="16"/>
    </row>
    <row r="66" spans="2:12" x14ac:dyDescent="0.2">
      <c r="G66" s="16"/>
      <c r="H66" s="16"/>
      <c r="I66" s="16"/>
      <c r="J66" s="16"/>
      <c r="K66" s="16"/>
      <c r="L66" s="16"/>
    </row>
    <row r="67" spans="2:12" x14ac:dyDescent="0.2">
      <c r="G67" s="16"/>
      <c r="H67" s="16"/>
      <c r="I67" s="16"/>
      <c r="J67" s="16"/>
      <c r="K67" s="16"/>
      <c r="L67" s="16"/>
    </row>
    <row r="68" spans="2:12" x14ac:dyDescent="0.2">
      <c r="B68" t="s">
        <v>30</v>
      </c>
      <c r="G68" s="31">
        <f>+G60/G59</f>
        <v>0.65359477124183007</v>
      </c>
      <c r="H68" s="31" t="e">
        <f t="shared" ref="H68:L68" si="16">+H60/H59</f>
        <v>#REF!</v>
      </c>
      <c r="I68" s="31">
        <f t="shared" si="16"/>
        <v>0.16215095270337873</v>
      </c>
      <c r="J68" s="31">
        <f t="shared" si="16"/>
        <v>0.16507916611076187</v>
      </c>
      <c r="K68" s="31">
        <f t="shared" si="16"/>
        <v>0.16784163158942522</v>
      </c>
      <c r="L68" s="31">
        <f t="shared" si="16"/>
        <v>0.38012830259080432</v>
      </c>
    </row>
    <row r="69" spans="2:12" x14ac:dyDescent="0.2">
      <c r="B69" t="s">
        <v>31</v>
      </c>
    </row>
    <row r="70" spans="2:12" x14ac:dyDescent="0.2">
      <c r="B70" t="s">
        <v>32</v>
      </c>
    </row>
    <row r="71" spans="2:12" x14ac:dyDescent="0.2">
      <c r="B71" t="s">
        <v>33</v>
      </c>
    </row>
  </sheetData>
  <phoneticPr fontId="6" type="noConversion"/>
  <pageMargins left="0.7" right="0.7" top="0.75" bottom="0.75" header="0.3" footer="0.3"/>
  <pageSetup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42CB5-78B8-4FB4-A3C8-DD716E068E22}">
  <sheetPr>
    <pageSetUpPr fitToPage="1"/>
  </sheetPr>
  <dimension ref="A1:N251"/>
  <sheetViews>
    <sheetView tabSelected="1" zoomScaleNormal="100" workbookViewId="0">
      <selection activeCell="D36" sqref="D36"/>
    </sheetView>
  </sheetViews>
  <sheetFormatPr baseColWidth="10" defaultColWidth="11" defaultRowHeight="16" x14ac:dyDescent="0.2"/>
  <cols>
    <col min="2" max="2" width="44.6640625" customWidth="1"/>
    <col min="3" max="3" width="5.6640625" customWidth="1"/>
    <col min="4" max="4" width="27.33203125" customWidth="1"/>
    <col min="5" max="5" width="19.5" customWidth="1"/>
    <col min="6" max="6" width="15.33203125" customWidth="1"/>
    <col min="7" max="7" width="14.5" customWidth="1"/>
    <col min="8" max="8" width="17.5" customWidth="1"/>
    <col min="9" max="9" width="17.83203125" customWidth="1"/>
    <col min="10" max="10" width="11.83203125" customWidth="1"/>
    <col min="11" max="11" width="12.1640625" customWidth="1"/>
    <col min="12" max="12" width="13.83203125" customWidth="1"/>
    <col min="13" max="13" width="12.33203125" bestFit="1" customWidth="1"/>
  </cols>
  <sheetData>
    <row r="1" spans="2:11" x14ac:dyDescent="0.2">
      <c r="B1" s="37" t="s">
        <v>76</v>
      </c>
      <c r="C1" s="37"/>
      <c r="D1" s="37"/>
      <c r="E1" s="37"/>
      <c r="F1" s="37"/>
      <c r="G1" s="37"/>
      <c r="H1" s="37"/>
      <c r="I1" s="37"/>
      <c r="J1" s="37"/>
      <c r="K1" s="37"/>
    </row>
    <row r="2" spans="2:11" x14ac:dyDescent="0.2">
      <c r="B2" s="37" t="s">
        <v>114</v>
      </c>
      <c r="C2" s="37"/>
      <c r="D2" s="37"/>
      <c r="E2" s="37"/>
      <c r="F2" s="37"/>
      <c r="G2" s="37"/>
      <c r="H2" s="37"/>
      <c r="I2" s="37"/>
      <c r="J2" s="37"/>
      <c r="K2" s="37"/>
    </row>
    <row r="3" spans="2:11" x14ac:dyDescent="0.2">
      <c r="B3" s="37" t="s">
        <v>115</v>
      </c>
      <c r="C3" s="37"/>
      <c r="D3" s="36"/>
      <c r="E3" s="36"/>
      <c r="F3" s="36"/>
      <c r="G3" s="36"/>
      <c r="H3" s="36"/>
      <c r="I3" s="36"/>
      <c r="J3" s="36"/>
      <c r="K3" s="36"/>
    </row>
    <row r="4" spans="2:11" x14ac:dyDescent="0.2">
      <c r="J4" s="52" t="s">
        <v>100</v>
      </c>
      <c r="K4" s="52"/>
    </row>
    <row r="5" spans="2:11" x14ac:dyDescent="0.2">
      <c r="D5" t="s">
        <v>39</v>
      </c>
      <c r="E5" s="23" t="s">
        <v>40</v>
      </c>
      <c r="F5" s="23" t="s">
        <v>41</v>
      </c>
      <c r="G5" s="23" t="s">
        <v>42</v>
      </c>
      <c r="H5" s="23" t="s">
        <v>43</v>
      </c>
      <c r="I5" s="23" t="s">
        <v>44</v>
      </c>
      <c r="J5" s="23" t="s">
        <v>113</v>
      </c>
      <c r="K5" s="23" t="s">
        <v>103</v>
      </c>
    </row>
    <row r="6" spans="2:11" x14ac:dyDescent="0.2">
      <c r="B6" t="s">
        <v>66</v>
      </c>
      <c r="D6" s="32">
        <f>H41</f>
        <v>1500000</v>
      </c>
      <c r="E6" s="32">
        <f t="shared" ref="E6:I6" si="0">I41</f>
        <v>1590000</v>
      </c>
      <c r="F6" s="32">
        <f t="shared" si="0"/>
        <v>1685400</v>
      </c>
      <c r="G6" s="32">
        <f t="shared" si="0"/>
        <v>1786524</v>
      </c>
      <c r="H6" s="32">
        <f t="shared" si="0"/>
        <v>1893715.4400000002</v>
      </c>
      <c r="I6" s="32">
        <f t="shared" si="0"/>
        <v>8455639.4399999995</v>
      </c>
    </row>
    <row r="7" spans="2:11" x14ac:dyDescent="0.2">
      <c r="B7" t="s">
        <v>65</v>
      </c>
      <c r="D7" s="33">
        <f>H68</f>
        <v>645000</v>
      </c>
      <c r="E7" s="33">
        <f t="shared" ref="E7:I7" si="1">I68</f>
        <v>683700</v>
      </c>
      <c r="F7" s="33">
        <f t="shared" si="1"/>
        <v>724722</v>
      </c>
      <c r="G7" s="33">
        <f t="shared" si="1"/>
        <v>768205.32</v>
      </c>
      <c r="H7" s="33">
        <f t="shared" si="1"/>
        <v>814297.63920000009</v>
      </c>
      <c r="I7" s="33">
        <f t="shared" si="1"/>
        <v>3635924.9591999999</v>
      </c>
    </row>
    <row r="8" spans="2:11" x14ac:dyDescent="0.2">
      <c r="B8" t="s">
        <v>95</v>
      </c>
      <c r="D8" s="33">
        <f>D6-D7</f>
        <v>855000</v>
      </c>
      <c r="E8" s="33">
        <f t="shared" ref="E8:I8" si="2">E6-E7</f>
        <v>906300</v>
      </c>
      <c r="F8" s="33">
        <f t="shared" si="2"/>
        <v>960678</v>
      </c>
      <c r="G8" s="33">
        <f t="shared" si="2"/>
        <v>1018318.68</v>
      </c>
      <c r="H8" s="33">
        <f t="shared" si="2"/>
        <v>1079417.8008000001</v>
      </c>
      <c r="I8" s="33">
        <f t="shared" si="2"/>
        <v>4819714.4807999991</v>
      </c>
    </row>
    <row r="9" spans="2:11" x14ac:dyDescent="0.2">
      <c r="B9" t="s">
        <v>79</v>
      </c>
      <c r="D9" s="32">
        <f>D21</f>
        <v>285714.28571428574</v>
      </c>
      <c r="E9" s="32">
        <f t="shared" ref="E9:I9" si="3">E21</f>
        <v>298469.38775510207</v>
      </c>
      <c r="F9" s="32">
        <f t="shared" si="3"/>
        <v>312616.61807580182</v>
      </c>
      <c r="G9" s="32">
        <f t="shared" si="3"/>
        <v>328149.95835068723</v>
      </c>
      <c r="H9" s="32">
        <f t="shared" si="3"/>
        <v>345075.82144344616</v>
      </c>
      <c r="I9" s="32">
        <f t="shared" si="3"/>
        <v>1570026.0713393232</v>
      </c>
    </row>
    <row r="10" spans="2:11" x14ac:dyDescent="0.2">
      <c r="B10" s="38" t="s">
        <v>93</v>
      </c>
      <c r="C10" s="77"/>
      <c r="D10" s="39">
        <f>D8-D9</f>
        <v>569285.71428571432</v>
      </c>
      <c r="E10" s="39">
        <f t="shared" ref="E10:I10" si="4">E8-E9</f>
        <v>607830.61224489799</v>
      </c>
      <c r="F10" s="39">
        <f t="shared" si="4"/>
        <v>648061.38192419824</v>
      </c>
      <c r="G10" s="39">
        <f t="shared" si="4"/>
        <v>690168.72164931288</v>
      </c>
      <c r="H10" s="39">
        <f t="shared" si="4"/>
        <v>734341.97935655387</v>
      </c>
      <c r="I10" s="81">
        <f t="shared" si="4"/>
        <v>3249688.4094606759</v>
      </c>
      <c r="J10" s="48"/>
      <c r="K10" s="48"/>
    </row>
    <row r="11" spans="2:11" x14ac:dyDescent="0.2">
      <c r="B11" s="38" t="s">
        <v>94</v>
      </c>
      <c r="C11" s="77"/>
      <c r="D11" s="39">
        <f>D10+D9</f>
        <v>855000</v>
      </c>
      <c r="E11" s="39">
        <f t="shared" ref="E11:I11" si="5">E10+E9</f>
        <v>906300</v>
      </c>
      <c r="F11" s="39">
        <f t="shared" si="5"/>
        <v>960678</v>
      </c>
      <c r="G11" s="39">
        <f t="shared" si="5"/>
        <v>1018318.6800000002</v>
      </c>
      <c r="H11" s="39">
        <f t="shared" si="5"/>
        <v>1079417.8008000001</v>
      </c>
      <c r="I11" s="81">
        <f t="shared" si="5"/>
        <v>4819714.4807999991</v>
      </c>
      <c r="J11" s="48"/>
      <c r="K11" s="48"/>
    </row>
    <row r="12" spans="2:11" x14ac:dyDescent="0.2">
      <c r="B12" s="46"/>
      <c r="C12" s="46"/>
      <c r="D12" s="47"/>
      <c r="E12" s="47"/>
      <c r="F12" s="47"/>
      <c r="G12" s="47"/>
      <c r="H12" s="47"/>
      <c r="I12" s="47"/>
      <c r="J12" s="48"/>
      <c r="K12" s="48"/>
    </row>
    <row r="13" spans="2:11" x14ac:dyDescent="0.2">
      <c r="B13" s="46" t="s">
        <v>80</v>
      </c>
      <c r="C13" s="46"/>
      <c r="D13" s="47"/>
      <c r="E13" s="47"/>
      <c r="F13" s="47"/>
      <c r="G13" s="47"/>
      <c r="H13" s="47"/>
      <c r="I13" s="47"/>
      <c r="J13" s="48"/>
      <c r="K13" s="48"/>
    </row>
    <row r="14" spans="2:11" x14ac:dyDescent="0.2">
      <c r="B14" s="46" t="s">
        <v>89</v>
      </c>
      <c r="C14" s="46"/>
      <c r="D14" s="32">
        <v>2000000</v>
      </c>
      <c r="E14" s="47"/>
      <c r="F14" s="47"/>
      <c r="G14" s="76">
        <v>1500000</v>
      </c>
      <c r="H14" s="47"/>
      <c r="I14" s="76">
        <f>SUM(D14:H14)</f>
        <v>3500000</v>
      </c>
      <c r="J14" s="48"/>
      <c r="K14" s="48"/>
    </row>
    <row r="15" spans="2:11" x14ac:dyDescent="0.2">
      <c r="B15" t="s">
        <v>68</v>
      </c>
      <c r="C15" s="31">
        <v>0.25</v>
      </c>
      <c r="D15" s="32">
        <v>0</v>
      </c>
      <c r="E15" s="32">
        <f>+D6*$C15</f>
        <v>375000</v>
      </c>
      <c r="F15" s="32">
        <f t="shared" ref="F15:H15" si="6">+E6*$C15</f>
        <v>397500</v>
      </c>
      <c r="G15" s="32">
        <f t="shared" si="6"/>
        <v>421350</v>
      </c>
      <c r="H15" s="32">
        <f t="shared" si="6"/>
        <v>446631</v>
      </c>
      <c r="I15" s="76">
        <f t="shared" ref="I15:I16" si="7">SUM(D15:H15)</f>
        <v>1640481</v>
      </c>
    </row>
    <row r="16" spans="2:11" hidden="1" x14ac:dyDescent="0.2">
      <c r="B16" t="s">
        <v>69</v>
      </c>
      <c r="C16" s="31">
        <v>0</v>
      </c>
      <c r="D16" s="33">
        <v>0</v>
      </c>
      <c r="E16" s="33">
        <f>+D10*$C16</f>
        <v>0</v>
      </c>
      <c r="F16" s="33">
        <f t="shared" ref="F16:H16" si="8">+E10*$C16</f>
        <v>0</v>
      </c>
      <c r="G16" s="33">
        <f t="shared" si="8"/>
        <v>0</v>
      </c>
      <c r="H16" s="33">
        <f t="shared" si="8"/>
        <v>0</v>
      </c>
      <c r="I16" s="76">
        <f t="shared" si="7"/>
        <v>0</v>
      </c>
    </row>
    <row r="17" spans="2:11" hidden="1" x14ac:dyDescent="0.2">
      <c r="B17" t="s">
        <v>112</v>
      </c>
      <c r="C17" s="31"/>
      <c r="D17" s="33">
        <f>+D16+D15</f>
        <v>0</v>
      </c>
      <c r="E17" s="33">
        <f t="shared" ref="E17:I17" si="9">+E16+E15</f>
        <v>375000</v>
      </c>
      <c r="F17" s="33">
        <f t="shared" si="9"/>
        <v>397500</v>
      </c>
      <c r="G17" s="33">
        <f t="shared" si="9"/>
        <v>421350</v>
      </c>
      <c r="H17" s="33">
        <f t="shared" si="9"/>
        <v>446631</v>
      </c>
      <c r="I17" s="33">
        <f t="shared" si="9"/>
        <v>1640481</v>
      </c>
      <c r="J17" s="31">
        <f>+I17/I11</f>
        <v>0.34036891739854791</v>
      </c>
      <c r="K17" s="31">
        <f>+I17/I6</f>
        <v>0.19401028291717226</v>
      </c>
    </row>
    <row r="18" spans="2:11" x14ac:dyDescent="0.2">
      <c r="B18" t="s">
        <v>89</v>
      </c>
      <c r="C18" s="31"/>
      <c r="D18" s="33">
        <f>+D14</f>
        <v>2000000</v>
      </c>
      <c r="E18" s="33"/>
      <c r="F18" s="33"/>
      <c r="G18" s="33"/>
      <c r="H18" s="33"/>
      <c r="I18" s="33"/>
    </row>
    <row r="19" spans="2:11" x14ac:dyDescent="0.2">
      <c r="B19" s="42" t="s">
        <v>74</v>
      </c>
      <c r="C19" s="42"/>
      <c r="D19" s="43">
        <f>SUM(D14:D16)</f>
        <v>2000000</v>
      </c>
      <c r="E19" s="43">
        <f>E16+E15</f>
        <v>375000</v>
      </c>
      <c r="F19" s="43">
        <f>F16+F15</f>
        <v>397500</v>
      </c>
      <c r="G19" s="43">
        <f>G16+G15</f>
        <v>421350</v>
      </c>
      <c r="H19" s="43">
        <f>H16+H15</f>
        <v>446631</v>
      </c>
      <c r="I19" s="43">
        <f>SUM(I14:I16)</f>
        <v>5140481</v>
      </c>
      <c r="J19" s="90">
        <f>+I19/I11</f>
        <v>1.0665530127309033</v>
      </c>
      <c r="K19" s="90">
        <f>+I19/I6</f>
        <v>0.6079352172566147</v>
      </c>
    </row>
    <row r="20" spans="2:11" x14ac:dyDescent="0.2">
      <c r="B20" s="42" t="s">
        <v>90</v>
      </c>
      <c r="C20" s="42"/>
      <c r="D20" s="43">
        <f>+D19</f>
        <v>2000000</v>
      </c>
      <c r="E20" s="43">
        <f>+D20+E19-D21</f>
        <v>2089285.7142857143</v>
      </c>
      <c r="F20" s="43">
        <f t="shared" ref="F20:H20" si="10">+E20+F19-E21</f>
        <v>2188316.3265306125</v>
      </c>
      <c r="G20" s="43">
        <f t="shared" si="10"/>
        <v>2297049.7084548105</v>
      </c>
      <c r="H20" s="43">
        <f t="shared" si="10"/>
        <v>2415530.7501041233</v>
      </c>
      <c r="I20" s="43">
        <f>SUM(I14:I16)</f>
        <v>5140481</v>
      </c>
      <c r="J20" s="44"/>
      <c r="K20" s="45"/>
    </row>
    <row r="21" spans="2:11" x14ac:dyDescent="0.2">
      <c r="B21" s="42" t="s">
        <v>81</v>
      </c>
      <c r="C21" s="42"/>
      <c r="D21" s="43">
        <f>D20/7</f>
        <v>285714.28571428574</v>
      </c>
      <c r="E21" s="43">
        <f t="shared" ref="E21:H21" si="11">E20/7</f>
        <v>298469.38775510207</v>
      </c>
      <c r="F21" s="43">
        <f t="shared" si="11"/>
        <v>312616.61807580182</v>
      </c>
      <c r="G21" s="43">
        <f t="shared" si="11"/>
        <v>328149.95835068723</v>
      </c>
      <c r="H21" s="43">
        <f t="shared" si="11"/>
        <v>345075.82144344616</v>
      </c>
      <c r="I21" s="43">
        <f>SUM(D21:H21)</f>
        <v>1570026.0713393232</v>
      </c>
      <c r="J21" s="44"/>
      <c r="K21" s="45"/>
    </row>
    <row r="22" spans="2:11" x14ac:dyDescent="0.2">
      <c r="B22" s="42"/>
      <c r="C22" s="42"/>
      <c r="D22" s="43"/>
      <c r="E22" s="43"/>
      <c r="F22" s="43"/>
      <c r="G22" s="43"/>
      <c r="H22" s="43"/>
      <c r="I22" s="43"/>
      <c r="J22" s="44"/>
      <c r="K22" s="45"/>
    </row>
    <row r="23" spans="2:11" x14ac:dyDescent="0.2">
      <c r="B23" s="53" t="s">
        <v>82</v>
      </c>
      <c r="C23" s="78"/>
      <c r="D23" s="54"/>
      <c r="E23" s="54"/>
      <c r="F23" s="54"/>
      <c r="G23" s="54"/>
      <c r="H23" s="54"/>
      <c r="I23" s="55"/>
      <c r="J23" s="44"/>
      <c r="K23" s="45"/>
    </row>
    <row r="24" spans="2:11" x14ac:dyDescent="0.2">
      <c r="B24" s="56" t="s">
        <v>85</v>
      </c>
      <c r="C24" s="46"/>
      <c r="D24" s="57"/>
      <c r="E24" s="57"/>
      <c r="F24" s="57"/>
      <c r="G24" s="57"/>
      <c r="H24" s="57"/>
      <c r="I24" s="58"/>
      <c r="J24" s="44"/>
      <c r="K24" s="45"/>
    </row>
    <row r="25" spans="2:11" x14ac:dyDescent="0.2">
      <c r="B25" s="59" t="s">
        <v>45</v>
      </c>
      <c r="C25" s="75"/>
      <c r="D25" s="60">
        <f>+D19</f>
        <v>2000000</v>
      </c>
      <c r="E25" s="60">
        <f>+E19</f>
        <v>375000</v>
      </c>
      <c r="F25" s="60">
        <f t="shared" ref="F25:H25" si="12">+F19</f>
        <v>397500</v>
      </c>
      <c r="G25" s="60">
        <f t="shared" si="12"/>
        <v>421350</v>
      </c>
      <c r="H25" s="60">
        <f t="shared" si="12"/>
        <v>446631</v>
      </c>
      <c r="I25" s="61">
        <f>SUM(D25:H25)</f>
        <v>3640481</v>
      </c>
      <c r="J25" s="44"/>
      <c r="K25" s="45"/>
    </row>
    <row r="26" spans="2:11" x14ac:dyDescent="0.2">
      <c r="B26" s="59" t="s">
        <v>63</v>
      </c>
      <c r="C26" s="75"/>
      <c r="D26" s="60">
        <f t="shared" ref="D26" si="13">H82</f>
        <v>400000</v>
      </c>
      <c r="E26" s="60">
        <f>+Taxes!F8</f>
        <v>100957.4</v>
      </c>
      <c r="F26" s="60">
        <f>+Taxes!G8</f>
        <v>111502</v>
      </c>
      <c r="G26" s="60">
        <f>+Taxes!H8</f>
        <v>120326.5</v>
      </c>
      <c r="H26" s="60">
        <f>+Taxes!I8</f>
        <v>129680.47</v>
      </c>
      <c r="I26" s="61">
        <f t="shared" ref="I26:I27" si="14">M82</f>
        <v>1311404.97</v>
      </c>
      <c r="J26" s="44"/>
      <c r="K26" s="45"/>
    </row>
    <row r="27" spans="2:11" x14ac:dyDescent="0.2">
      <c r="B27" s="59" t="s">
        <v>83</v>
      </c>
      <c r="C27" s="75"/>
      <c r="D27" s="60">
        <f>+D25-D26</f>
        <v>1600000</v>
      </c>
      <c r="E27" s="60">
        <f t="shared" ref="E27:H27" si="15">+E25-E26</f>
        <v>274042.59999999998</v>
      </c>
      <c r="F27" s="60">
        <f t="shared" si="15"/>
        <v>285998</v>
      </c>
      <c r="G27" s="60">
        <f t="shared" si="15"/>
        <v>301023.5</v>
      </c>
      <c r="H27" s="60">
        <f t="shared" si="15"/>
        <v>316950.53000000003</v>
      </c>
      <c r="I27" s="61">
        <f t="shared" si="14"/>
        <v>2138495.9215199994</v>
      </c>
      <c r="J27" s="44"/>
      <c r="K27" s="45"/>
    </row>
    <row r="28" spans="2:11" x14ac:dyDescent="0.2">
      <c r="B28" s="59" t="s">
        <v>84</v>
      </c>
      <c r="C28" s="75"/>
      <c r="D28" s="62">
        <f>+D26/D25</f>
        <v>0.2</v>
      </c>
      <c r="E28" s="62">
        <f t="shared" ref="E28:I28" si="16">+E26/E25</f>
        <v>0.26921973333333332</v>
      </c>
      <c r="F28" s="62">
        <f t="shared" si="16"/>
        <v>0.28050817610062895</v>
      </c>
      <c r="G28" s="62">
        <f t="shared" si="16"/>
        <v>0.28557375103832916</v>
      </c>
      <c r="H28" s="62">
        <f t="shared" si="16"/>
        <v>0.29035259531917845</v>
      </c>
      <c r="I28" s="63">
        <f t="shared" si="16"/>
        <v>0.36022848903757498</v>
      </c>
      <c r="J28" s="44"/>
      <c r="K28" s="45"/>
    </row>
    <row r="29" spans="2:11" x14ac:dyDescent="0.2">
      <c r="B29" s="59"/>
      <c r="C29" s="75"/>
      <c r="D29" s="62"/>
      <c r="E29" s="62"/>
      <c r="F29" s="62"/>
      <c r="G29" s="62"/>
      <c r="H29" s="62"/>
      <c r="I29" s="63"/>
      <c r="J29" s="44"/>
      <c r="K29" s="45"/>
    </row>
    <row r="30" spans="2:11" x14ac:dyDescent="0.2">
      <c r="B30" s="56" t="s">
        <v>106</v>
      </c>
      <c r="C30" s="46"/>
      <c r="D30" s="62"/>
      <c r="E30" s="62"/>
      <c r="F30" s="62"/>
      <c r="G30" s="62"/>
      <c r="H30" s="62"/>
      <c r="I30" s="63"/>
      <c r="J30" s="44"/>
      <c r="K30" s="45"/>
    </row>
    <row r="31" spans="2:11" x14ac:dyDescent="0.2">
      <c r="B31" s="59" t="s">
        <v>45</v>
      </c>
      <c r="C31" s="75"/>
      <c r="D31" s="64">
        <f>D25</f>
        <v>2000000</v>
      </c>
      <c r="E31" s="64">
        <f t="shared" ref="E31:H31" si="17">E25</f>
        <v>375000</v>
      </c>
      <c r="F31" s="64">
        <f t="shared" si="17"/>
        <v>397500</v>
      </c>
      <c r="G31" s="64">
        <f t="shared" si="17"/>
        <v>421350</v>
      </c>
      <c r="H31" s="64">
        <f t="shared" si="17"/>
        <v>446631</v>
      </c>
      <c r="I31" s="65">
        <f>SUM(D31:H31)</f>
        <v>3640481</v>
      </c>
      <c r="J31" s="44"/>
      <c r="K31" s="45"/>
    </row>
    <row r="32" spans="2:11" x14ac:dyDescent="0.2">
      <c r="B32" s="59" t="s">
        <v>105</v>
      </c>
      <c r="C32" s="75"/>
      <c r="D32" s="64">
        <f>+Taxes!E15</f>
        <v>400000</v>
      </c>
      <c r="E32" s="64">
        <f>+Taxes!F15</f>
        <v>44129.85</v>
      </c>
      <c r="F32" s="64">
        <f>+Taxes!G15</f>
        <v>26684.649999999998</v>
      </c>
      <c r="G32" s="64">
        <f>+Taxes!H15</f>
        <v>35032.149999999994</v>
      </c>
      <c r="H32" s="64">
        <f>+Taxes!I15</f>
        <v>43880.5</v>
      </c>
      <c r="I32" s="65">
        <f>SUM(D32:H32)</f>
        <v>549727.15</v>
      </c>
      <c r="J32" s="44"/>
      <c r="K32" s="45"/>
    </row>
    <row r="33" spans="1:13" x14ac:dyDescent="0.2">
      <c r="B33" s="59" t="s">
        <v>83</v>
      </c>
      <c r="C33" s="75"/>
      <c r="D33" s="64">
        <f>+D31-D32</f>
        <v>1600000</v>
      </c>
      <c r="E33" s="64">
        <f t="shared" ref="E33:H33" si="18">+E31-E32</f>
        <v>330870.15000000002</v>
      </c>
      <c r="F33" s="64">
        <f t="shared" si="18"/>
        <v>370815.35</v>
      </c>
      <c r="G33" s="64">
        <f t="shared" si="18"/>
        <v>386317.85</v>
      </c>
      <c r="H33" s="64">
        <f t="shared" si="18"/>
        <v>402750.5</v>
      </c>
      <c r="I33" s="65">
        <f>SUM(D33:H33)</f>
        <v>3090753.85</v>
      </c>
      <c r="J33" s="44"/>
      <c r="K33" s="45"/>
    </row>
    <row r="34" spans="1:13" x14ac:dyDescent="0.2">
      <c r="B34" s="59" t="s">
        <v>84</v>
      </c>
      <c r="C34" s="75"/>
      <c r="D34" s="62">
        <f>+Taxes!E16</f>
        <v>0.2</v>
      </c>
      <c r="E34" s="62">
        <f>+Taxes!F16</f>
        <v>0.1176796</v>
      </c>
      <c r="F34" s="62">
        <f>+Taxes!G16</f>
        <v>6.7131194968553451E-2</v>
      </c>
      <c r="G34" s="62">
        <f>+Taxes!H16</f>
        <v>8.3142636762786271E-2</v>
      </c>
      <c r="H34" s="62">
        <f>+Taxes!I16</f>
        <v>9.8247770530930451E-2</v>
      </c>
      <c r="I34" s="63">
        <f>+I32/I31</f>
        <v>0.15100398820925037</v>
      </c>
      <c r="J34" s="44"/>
      <c r="K34" s="45"/>
    </row>
    <row r="35" spans="1:13" ht="17" thickBot="1" x14ac:dyDescent="0.25">
      <c r="B35" s="59"/>
      <c r="C35" s="75"/>
      <c r="D35" s="62"/>
      <c r="E35" s="62"/>
      <c r="F35" s="62"/>
      <c r="G35" s="62"/>
      <c r="H35" s="68"/>
      <c r="I35" s="63"/>
      <c r="J35" s="44"/>
      <c r="K35" s="45"/>
    </row>
    <row r="36" spans="1:13" ht="17" thickBot="1" x14ac:dyDescent="0.25">
      <c r="B36" s="56" t="s">
        <v>86</v>
      </c>
      <c r="C36" s="46"/>
      <c r="D36" s="91">
        <f>D33-D27</f>
        <v>0</v>
      </c>
      <c r="E36" s="51">
        <f t="shared" ref="E36:I36" si="19">E33-E27</f>
        <v>56827.550000000047</v>
      </c>
      <c r="F36" s="51">
        <f t="shared" si="19"/>
        <v>84817.349999999977</v>
      </c>
      <c r="G36" s="51">
        <f t="shared" si="19"/>
        <v>85294.349999999977</v>
      </c>
      <c r="H36" s="51">
        <f t="shared" si="19"/>
        <v>85799.969999999972</v>
      </c>
      <c r="I36" s="69">
        <f t="shared" si="19"/>
        <v>952257.9284800007</v>
      </c>
      <c r="J36" s="44"/>
      <c r="K36" s="45"/>
    </row>
    <row r="37" spans="1:13" x14ac:dyDescent="0.2">
      <c r="B37" s="70"/>
      <c r="C37" s="79"/>
      <c r="D37" s="71"/>
      <c r="E37" s="71"/>
      <c r="F37" s="71"/>
      <c r="G37" s="71"/>
      <c r="H37" s="72"/>
      <c r="I37" s="73"/>
      <c r="J37" s="44"/>
      <c r="K37" s="45"/>
    </row>
    <row r="38" spans="1:13" hidden="1" x14ac:dyDescent="0.2">
      <c r="B38" s="42"/>
      <c r="C38" s="42"/>
      <c r="D38" s="43"/>
      <c r="E38" s="43"/>
      <c r="F38" s="43"/>
      <c r="G38" s="43"/>
      <c r="H38" s="43">
        <f>+((H27-501600)*0.2)+(501600*0.15)</f>
        <v>38310.106000000007</v>
      </c>
      <c r="I38" s="43"/>
      <c r="J38" s="44"/>
      <c r="K38" s="45"/>
    </row>
    <row r="39" spans="1:13" hidden="1" x14ac:dyDescent="0.2">
      <c r="I39" s="32">
        <f>I10+I19</f>
        <v>8390169.409460675</v>
      </c>
    </row>
    <row r="40" spans="1:13" hidden="1" x14ac:dyDescent="0.2">
      <c r="H40" t="s">
        <v>39</v>
      </c>
      <c r="I40" s="23" t="s">
        <v>40</v>
      </c>
      <c r="J40" s="23" t="s">
        <v>41</v>
      </c>
      <c r="K40" s="23" t="s">
        <v>42</v>
      </c>
      <c r="L40" s="23" t="s">
        <v>43</v>
      </c>
      <c r="M40" s="23" t="s">
        <v>44</v>
      </c>
    </row>
    <row r="41" spans="1:13" hidden="1" x14ac:dyDescent="0.2">
      <c r="A41" s="2"/>
      <c r="B41" s="2" t="s">
        <v>0</v>
      </c>
      <c r="C41" s="2"/>
      <c r="D41" s="2"/>
      <c r="E41" s="2"/>
      <c r="F41" s="2"/>
      <c r="G41" s="2"/>
      <c r="H41" s="4">
        <v>1500000</v>
      </c>
      <c r="I41" s="5">
        <f>H41*(1+$D42)</f>
        <v>1590000</v>
      </c>
      <c r="J41" s="5">
        <f t="shared" ref="J41:L41" si="20">I41*(1+$D42)</f>
        <v>1685400</v>
      </c>
      <c r="K41" s="5">
        <f t="shared" si="20"/>
        <v>1786524</v>
      </c>
      <c r="L41" s="5">
        <f t="shared" si="20"/>
        <v>1893715.4400000002</v>
      </c>
      <c r="M41" s="16">
        <f>SUM(H41:L41)</f>
        <v>8455639.4399999995</v>
      </c>
    </row>
    <row r="42" spans="1:13" hidden="1" x14ac:dyDescent="0.2">
      <c r="A42" s="2"/>
      <c r="B42" s="2" t="s">
        <v>38</v>
      </c>
      <c r="C42" s="2"/>
      <c r="D42" s="20">
        <v>0.06</v>
      </c>
      <c r="E42" s="2"/>
      <c r="F42" s="2"/>
      <c r="G42" s="2"/>
      <c r="H42" s="2"/>
      <c r="I42" s="2"/>
    </row>
    <row r="43" spans="1:13" hidden="1" x14ac:dyDescent="0.2">
      <c r="A43" s="3"/>
      <c r="B43" s="2"/>
      <c r="C43" s="2"/>
      <c r="D43" s="2"/>
      <c r="E43" s="2"/>
      <c r="F43" s="2"/>
      <c r="G43" s="2"/>
      <c r="H43" s="2"/>
      <c r="I43" s="2"/>
    </row>
    <row r="44" spans="1:13" hidden="1" x14ac:dyDescent="0.2">
      <c r="A44" s="2"/>
      <c r="B44" s="2" t="s">
        <v>2</v>
      </c>
      <c r="C44" s="2"/>
      <c r="D44" s="2"/>
      <c r="E44" s="2" t="s">
        <v>1</v>
      </c>
      <c r="F44" s="2"/>
      <c r="G44" s="2"/>
      <c r="I44" s="2"/>
    </row>
    <row r="45" spans="1:13" hidden="1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13" hidden="1" x14ac:dyDescent="0.2">
      <c r="A46" s="6"/>
      <c r="B46" s="9" t="s">
        <v>3</v>
      </c>
      <c r="C46" s="9"/>
      <c r="D46" s="9"/>
      <c r="E46" s="9" t="s">
        <v>20</v>
      </c>
      <c r="F46" s="9">
        <v>9</v>
      </c>
      <c r="G46" s="2"/>
      <c r="H46" s="7">
        <f>F46*H41/100</f>
        <v>135000</v>
      </c>
      <c r="I46" s="5"/>
    </row>
    <row r="47" spans="1:13" hidden="1" x14ac:dyDescent="0.2">
      <c r="A47" s="2"/>
      <c r="D47" s="2"/>
      <c r="E47" s="2"/>
      <c r="F47" s="2"/>
      <c r="G47" s="2"/>
      <c r="H47" s="2"/>
      <c r="I47" s="2"/>
    </row>
    <row r="48" spans="1:13" hidden="1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11" hidden="1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11" hidden="1" x14ac:dyDescent="0.2">
      <c r="A50" s="2"/>
      <c r="B50" s="2" t="s">
        <v>4</v>
      </c>
      <c r="C50" s="2"/>
      <c r="D50" s="2"/>
      <c r="E50" s="2" t="s">
        <v>5</v>
      </c>
      <c r="F50" s="2">
        <v>5</v>
      </c>
      <c r="G50" s="2" t="s">
        <v>23</v>
      </c>
      <c r="H50" s="7">
        <f>H41*F50/100</f>
        <v>75000</v>
      </c>
      <c r="I50" s="2"/>
    </row>
    <row r="51" spans="1:11" hidden="1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11" hidden="1" x14ac:dyDescent="0.2">
      <c r="A52" s="2"/>
      <c r="B52" s="2" t="s">
        <v>18</v>
      </c>
      <c r="C52" s="2"/>
      <c r="D52" s="2"/>
      <c r="E52" s="2"/>
      <c r="F52" s="2">
        <v>6</v>
      </c>
      <c r="G52" s="2" t="s">
        <v>23</v>
      </c>
      <c r="H52" s="1">
        <f>H41*F52/100</f>
        <v>90000</v>
      </c>
      <c r="I52" s="2"/>
      <c r="K52" s="12"/>
    </row>
    <row r="53" spans="1:11" hidden="1" x14ac:dyDescent="0.2">
      <c r="A53" s="2"/>
      <c r="B53" s="2"/>
      <c r="C53" s="2"/>
      <c r="D53" s="2"/>
      <c r="E53" s="2"/>
      <c r="F53" s="2"/>
      <c r="G53" s="2"/>
      <c r="H53" s="2"/>
      <c r="I53" s="2"/>
    </row>
    <row r="54" spans="1:11" hidden="1" x14ac:dyDescent="0.2">
      <c r="A54" s="2"/>
      <c r="B54" s="2" t="s">
        <v>7</v>
      </c>
      <c r="C54" s="2"/>
      <c r="D54" s="2"/>
      <c r="E54" s="2"/>
      <c r="F54" s="2">
        <v>6</v>
      </c>
      <c r="G54" s="2" t="s">
        <v>23</v>
      </c>
      <c r="H54" s="7">
        <f>H41*F54/100</f>
        <v>90000</v>
      </c>
      <c r="I54" s="2"/>
    </row>
    <row r="55" spans="1:11" hidden="1" x14ac:dyDescent="0.2">
      <c r="A55" s="2"/>
      <c r="B55" s="2"/>
      <c r="C55" s="2"/>
      <c r="D55" s="2"/>
      <c r="E55" s="2"/>
      <c r="F55" s="2"/>
      <c r="G55" s="2"/>
      <c r="H55" s="2"/>
      <c r="I55" s="2"/>
    </row>
    <row r="56" spans="1:11" hidden="1" x14ac:dyDescent="0.2">
      <c r="A56" s="2"/>
      <c r="B56" s="2" t="s">
        <v>8</v>
      </c>
      <c r="C56" s="2"/>
      <c r="D56" s="2"/>
      <c r="E56" s="2"/>
      <c r="F56" s="2">
        <v>5</v>
      </c>
      <c r="G56" s="2" t="s">
        <v>23</v>
      </c>
      <c r="H56" s="7">
        <f>F56*H41/100</f>
        <v>75000</v>
      </c>
      <c r="I56" s="2"/>
    </row>
    <row r="57" spans="1:11" hidden="1" x14ac:dyDescent="0.2">
      <c r="A57" s="2"/>
      <c r="B57" s="2"/>
      <c r="C57" s="2"/>
      <c r="D57" s="2"/>
      <c r="E57" s="2"/>
      <c r="F57" s="2"/>
      <c r="G57" s="2"/>
      <c r="H57" s="2"/>
      <c r="I57" s="2"/>
    </row>
    <row r="58" spans="1:11" hidden="1" x14ac:dyDescent="0.2">
      <c r="A58" s="2"/>
      <c r="B58" s="2" t="s">
        <v>9</v>
      </c>
      <c r="C58" s="2"/>
      <c r="D58" s="2"/>
      <c r="E58" s="2"/>
      <c r="F58" s="2">
        <v>5</v>
      </c>
      <c r="G58" s="2" t="s">
        <v>23</v>
      </c>
      <c r="H58" s="7">
        <f>H41*F58/100</f>
        <v>75000</v>
      </c>
      <c r="I58" s="2"/>
    </row>
    <row r="59" spans="1:11" hidden="1" x14ac:dyDescent="0.2">
      <c r="A59" s="2"/>
      <c r="B59" s="2"/>
      <c r="C59" s="2"/>
      <c r="D59" s="2"/>
      <c r="E59" s="2"/>
      <c r="F59" s="2"/>
      <c r="G59" s="2"/>
      <c r="H59" s="2"/>
      <c r="I59" s="2"/>
    </row>
    <row r="60" spans="1:11" hidden="1" x14ac:dyDescent="0.2">
      <c r="A60" s="2"/>
      <c r="B60" s="2"/>
      <c r="C60" s="2"/>
      <c r="D60" s="2"/>
      <c r="E60" s="2"/>
      <c r="F60" s="2"/>
      <c r="G60" s="2"/>
      <c r="H60" s="2"/>
      <c r="I60" s="2"/>
    </row>
    <row r="61" spans="1:11" hidden="1" x14ac:dyDescent="0.2">
      <c r="A61" s="2"/>
      <c r="B61" s="2" t="s">
        <v>10</v>
      </c>
      <c r="C61" s="2"/>
      <c r="D61" s="2"/>
      <c r="E61" s="2"/>
      <c r="F61" s="2">
        <v>5</v>
      </c>
      <c r="G61" s="2" t="s">
        <v>23</v>
      </c>
      <c r="H61" s="7">
        <f>H41*F61/100</f>
        <v>75000</v>
      </c>
      <c r="I61" s="2"/>
    </row>
    <row r="62" spans="1:11" hidden="1" x14ac:dyDescent="0.2">
      <c r="A62" s="2"/>
      <c r="B62" s="2"/>
      <c r="C62" s="2"/>
      <c r="D62" s="2"/>
      <c r="E62" s="2"/>
      <c r="F62" s="2"/>
      <c r="G62" s="2"/>
      <c r="H62" s="2"/>
      <c r="I62" s="2"/>
    </row>
    <row r="63" spans="1:11" ht="19" hidden="1" x14ac:dyDescent="0.25">
      <c r="A63" s="2"/>
      <c r="B63" s="2" t="s">
        <v>11</v>
      </c>
      <c r="C63" s="2"/>
      <c r="D63" s="2"/>
      <c r="E63" s="2"/>
      <c r="F63" s="2">
        <v>2</v>
      </c>
      <c r="G63" s="15" t="s">
        <v>23</v>
      </c>
      <c r="H63" s="7">
        <f>H41*F63/100</f>
        <v>30000</v>
      </c>
      <c r="I63" s="2"/>
    </row>
    <row r="64" spans="1:11" hidden="1" x14ac:dyDescent="0.2">
      <c r="A64" s="2"/>
      <c r="B64" s="2"/>
      <c r="C64" s="2"/>
      <c r="D64" s="2"/>
      <c r="E64" s="2"/>
      <c r="F64" s="2"/>
      <c r="G64" s="2"/>
      <c r="H64" s="2"/>
      <c r="I64" s="2"/>
    </row>
    <row r="65" spans="1:14" hidden="1" x14ac:dyDescent="0.2">
      <c r="A65" s="2"/>
      <c r="B65" t="s">
        <v>27</v>
      </c>
      <c r="F65" s="8">
        <f>H68/H41</f>
        <v>0.43</v>
      </c>
      <c r="G65" s="2" t="s">
        <v>25</v>
      </c>
      <c r="H65" s="2"/>
      <c r="I65" s="2"/>
    </row>
    <row r="66" spans="1:14" hidden="1" x14ac:dyDescent="0.2">
      <c r="A66" s="2"/>
      <c r="B66" s="2" t="s">
        <v>21</v>
      </c>
      <c r="C66" s="2"/>
      <c r="D66" s="2"/>
      <c r="E66" s="2" t="s">
        <v>22</v>
      </c>
      <c r="G66" s="2"/>
      <c r="H66" s="2"/>
      <c r="I66" s="2"/>
    </row>
    <row r="67" spans="1:14" hidden="1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14" hidden="1" x14ac:dyDescent="0.2">
      <c r="A68" s="2"/>
      <c r="B68" s="8" t="s">
        <v>34</v>
      </c>
      <c r="C68" s="8"/>
      <c r="D68" s="8"/>
      <c r="E68" s="8"/>
      <c r="F68" s="8"/>
      <c r="G68" s="8"/>
      <c r="H68" s="1">
        <f>SUM(H43:H67)</f>
        <v>645000</v>
      </c>
      <c r="I68" s="24">
        <f>I41*$F65</f>
        <v>683700</v>
      </c>
      <c r="J68" s="24">
        <f t="shared" ref="J68:M68" si="21">J41*$F65</f>
        <v>724722</v>
      </c>
      <c r="K68" s="24">
        <f t="shared" si="21"/>
        <v>768205.32</v>
      </c>
      <c r="L68" s="24">
        <f t="shared" si="21"/>
        <v>814297.63920000009</v>
      </c>
      <c r="M68" s="24">
        <f t="shared" si="21"/>
        <v>3635924.9591999999</v>
      </c>
    </row>
    <row r="69" spans="1:14" hidden="1" x14ac:dyDescent="0.2">
      <c r="A69" s="2"/>
      <c r="B69" s="2"/>
      <c r="C69" s="2"/>
      <c r="D69" s="2"/>
      <c r="E69" s="2"/>
      <c r="F69" s="2"/>
      <c r="G69" s="2"/>
      <c r="H69" s="5"/>
      <c r="I69" s="2"/>
    </row>
    <row r="70" spans="1:14" hidden="1" x14ac:dyDescent="0.2">
      <c r="A70" s="2"/>
      <c r="B70" s="8" t="s">
        <v>36</v>
      </c>
      <c r="C70" s="8"/>
      <c r="D70" s="8"/>
      <c r="E70" s="8"/>
      <c r="F70" s="8"/>
      <c r="G70" s="8"/>
      <c r="H70" s="1">
        <f>+H41-H68</f>
        <v>855000</v>
      </c>
      <c r="I70" s="1">
        <f t="shared" ref="I70:M70" si="22">+I41-I68</f>
        <v>906300</v>
      </c>
      <c r="J70" s="1">
        <f t="shared" si="22"/>
        <v>960678</v>
      </c>
      <c r="K70" s="1">
        <f t="shared" si="22"/>
        <v>1018318.68</v>
      </c>
      <c r="L70" s="1">
        <f t="shared" si="22"/>
        <v>1079417.8008000001</v>
      </c>
      <c r="M70" s="1">
        <f t="shared" si="22"/>
        <v>4819714.4807999991</v>
      </c>
    </row>
    <row r="71" spans="1:14" hidden="1" x14ac:dyDescent="0.2">
      <c r="A71" s="2"/>
      <c r="B71" s="21"/>
      <c r="C71" s="21"/>
      <c r="D71" s="21"/>
      <c r="E71" s="21"/>
      <c r="F71" s="21"/>
      <c r="G71" s="21"/>
      <c r="H71" s="22"/>
      <c r="I71" s="2"/>
    </row>
    <row r="72" spans="1:14" hidden="1" x14ac:dyDescent="0.2">
      <c r="A72" s="2"/>
      <c r="B72" s="9" t="s">
        <v>35</v>
      </c>
      <c r="C72" s="9"/>
      <c r="D72" s="9"/>
      <c r="E72" s="9" t="s">
        <v>12</v>
      </c>
      <c r="F72" s="9">
        <v>30</v>
      </c>
      <c r="G72" s="2"/>
      <c r="H72" s="7">
        <f>$F72*H41/100</f>
        <v>450000</v>
      </c>
      <c r="I72" s="7">
        <f t="shared" ref="I72:M72" si="23">$F72*I41/100</f>
        <v>477000</v>
      </c>
      <c r="J72" s="7">
        <f t="shared" si="23"/>
        <v>505620</v>
      </c>
      <c r="K72" s="7">
        <f t="shared" si="23"/>
        <v>535957.19999999995</v>
      </c>
      <c r="L72" s="7">
        <f t="shared" si="23"/>
        <v>568114.63199999998</v>
      </c>
      <c r="M72" s="7">
        <f t="shared" si="23"/>
        <v>2536691.8319999999</v>
      </c>
    </row>
    <row r="73" spans="1:14" hidden="1" x14ac:dyDescent="0.2">
      <c r="A73" s="2"/>
      <c r="B73" s="2" t="s">
        <v>6</v>
      </c>
      <c r="C73" s="2"/>
      <c r="D73" s="2"/>
      <c r="E73" s="2"/>
      <c r="F73" s="2"/>
      <c r="G73" s="2"/>
      <c r="H73" s="2"/>
      <c r="I73" s="2"/>
      <c r="K73" s="5"/>
    </row>
    <row r="74" spans="1:14" hidden="1" x14ac:dyDescent="0.2">
      <c r="A74" s="2"/>
      <c r="B74" s="2"/>
      <c r="C74" s="2"/>
      <c r="D74" s="2"/>
      <c r="E74" s="2"/>
      <c r="F74" s="2"/>
      <c r="G74" s="2"/>
      <c r="H74" s="2"/>
      <c r="I74" s="2"/>
    </row>
    <row r="75" spans="1:14" hidden="1" x14ac:dyDescent="0.2">
      <c r="A75" s="2"/>
      <c r="B75" s="10" t="s">
        <v>16</v>
      </c>
      <c r="C75" s="10"/>
      <c r="D75" s="10"/>
      <c r="E75" s="10"/>
      <c r="F75" s="10"/>
      <c r="G75" s="10"/>
      <c r="H75" s="7">
        <f>+H70-H72</f>
        <v>405000</v>
      </c>
      <c r="I75" s="7">
        <f t="shared" ref="I75:M75" si="24">+I70-I72</f>
        <v>429300</v>
      </c>
      <c r="J75" s="7">
        <f t="shared" si="24"/>
        <v>455058</v>
      </c>
      <c r="K75" s="7">
        <f t="shared" si="24"/>
        <v>482361.4800000001</v>
      </c>
      <c r="L75" s="7">
        <f t="shared" si="24"/>
        <v>511303.1688000001</v>
      </c>
      <c r="M75" s="7">
        <f t="shared" si="24"/>
        <v>2283022.6487999992</v>
      </c>
    </row>
    <row r="76" spans="1:14" hidden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14" hidden="1" x14ac:dyDescent="0.2">
      <c r="B77" s="2" t="s">
        <v>37</v>
      </c>
      <c r="C77" s="2"/>
      <c r="F77">
        <v>40</v>
      </c>
      <c r="G77" t="s">
        <v>25</v>
      </c>
      <c r="H77" s="16">
        <f>H75*$F77/100</f>
        <v>162000</v>
      </c>
      <c r="I77" s="16">
        <f t="shared" ref="I77:M77" si="25">I75*$F77/100</f>
        <v>171720</v>
      </c>
      <c r="J77" s="16">
        <f t="shared" si="25"/>
        <v>182023.2</v>
      </c>
      <c r="K77" s="16">
        <f t="shared" si="25"/>
        <v>192944.59200000003</v>
      </c>
      <c r="L77" s="16">
        <f t="shared" si="25"/>
        <v>204521.26752000005</v>
      </c>
      <c r="M77" s="16">
        <f t="shared" si="25"/>
        <v>913209.05951999966</v>
      </c>
    </row>
    <row r="78" spans="1:14" hidden="1" x14ac:dyDescent="0.2"/>
    <row r="79" spans="1:14" hidden="1" x14ac:dyDescent="0.2">
      <c r="B79" s="13" t="s">
        <v>26</v>
      </c>
      <c r="C79" s="13"/>
      <c r="D79" s="13"/>
      <c r="E79" s="13"/>
      <c r="F79" s="13"/>
      <c r="G79" s="13"/>
      <c r="H79" s="14">
        <f>H75-H77</f>
        <v>243000</v>
      </c>
      <c r="I79" s="14">
        <f t="shared" ref="I79:M79" si="26">I75-I77</f>
        <v>257580</v>
      </c>
      <c r="J79" s="14">
        <f t="shared" si="26"/>
        <v>273034.8</v>
      </c>
      <c r="K79" s="14">
        <f t="shared" si="26"/>
        <v>289416.88800000004</v>
      </c>
      <c r="L79" s="14">
        <f t="shared" si="26"/>
        <v>306781.90128000005</v>
      </c>
      <c r="M79" s="14">
        <f t="shared" si="26"/>
        <v>1369813.5892799995</v>
      </c>
      <c r="N79" s="25">
        <f>M79/(M79+M81)</f>
        <v>0.28421052631578941</v>
      </c>
    </row>
    <row r="80" spans="1:14" hidden="1" x14ac:dyDescent="0.2"/>
    <row r="81" spans="2:14" hidden="1" x14ac:dyDescent="0.2">
      <c r="B81" t="s">
        <v>45</v>
      </c>
      <c r="H81" s="16">
        <f>+D19</f>
        <v>2000000</v>
      </c>
      <c r="I81" s="16">
        <f t="shared" ref="I81:L81" si="27">+E19</f>
        <v>375000</v>
      </c>
      <c r="J81" s="16">
        <f t="shared" si="27"/>
        <v>397500</v>
      </c>
      <c r="K81" s="16">
        <f t="shared" si="27"/>
        <v>421350</v>
      </c>
      <c r="L81" s="16">
        <f t="shared" si="27"/>
        <v>446631</v>
      </c>
      <c r="M81" s="16">
        <f t="shared" ref="M81" si="28">M72+M77</f>
        <v>3449900.8915199996</v>
      </c>
      <c r="N81" s="26">
        <f>1-N79</f>
        <v>0.71578947368421053</v>
      </c>
    </row>
    <row r="82" spans="2:14" hidden="1" x14ac:dyDescent="0.2">
      <c r="B82" t="s">
        <v>63</v>
      </c>
      <c r="H82" s="16">
        <f>Taxes!E8</f>
        <v>400000</v>
      </c>
      <c r="I82" s="16" t="e">
        <f>Taxes!#REF!</f>
        <v>#REF!</v>
      </c>
      <c r="J82" s="16">
        <f>Taxes!G8</f>
        <v>111502</v>
      </c>
      <c r="K82" s="16">
        <f>Taxes!H8</f>
        <v>120326.5</v>
      </c>
      <c r="L82" s="16">
        <f>Taxes!I8</f>
        <v>129680.47</v>
      </c>
      <c r="M82" s="16">
        <f>Taxes!J8</f>
        <v>1311404.97</v>
      </c>
    </row>
    <row r="83" spans="2:14" hidden="1" x14ac:dyDescent="0.2">
      <c r="H83" s="16">
        <f>+H81-H82</f>
        <v>1600000</v>
      </c>
      <c r="I83" s="16" t="e">
        <f t="shared" ref="I83:M83" si="29">+I81-I82</f>
        <v>#REF!</v>
      </c>
      <c r="J83" s="16">
        <f t="shared" si="29"/>
        <v>285998</v>
      </c>
      <c r="K83" s="16">
        <f t="shared" si="29"/>
        <v>301023.5</v>
      </c>
      <c r="L83" s="16">
        <f t="shared" si="29"/>
        <v>316950.53000000003</v>
      </c>
      <c r="M83" s="16">
        <f t="shared" si="29"/>
        <v>2138495.9215199994</v>
      </c>
    </row>
    <row r="84" spans="2:14" hidden="1" x14ac:dyDescent="0.2">
      <c r="B84" t="s">
        <v>30</v>
      </c>
      <c r="H84" s="31">
        <f>+H82/H81</f>
        <v>0.2</v>
      </c>
      <c r="I84" s="31" t="e">
        <f t="shared" ref="I84:M84" si="30">+I82/I81</f>
        <v>#REF!</v>
      </c>
      <c r="J84" s="31">
        <f t="shared" si="30"/>
        <v>0.28050817610062895</v>
      </c>
      <c r="K84" s="31">
        <f t="shared" si="30"/>
        <v>0.28557375103832916</v>
      </c>
      <c r="L84" s="31">
        <f t="shared" si="30"/>
        <v>0.29035259531917845</v>
      </c>
      <c r="M84" s="31">
        <f t="shared" si="30"/>
        <v>0.38012830259080432</v>
      </c>
    </row>
    <row r="85" spans="2:14" hidden="1" x14ac:dyDescent="0.2">
      <c r="B85" t="s">
        <v>31</v>
      </c>
    </row>
    <row r="86" spans="2:14" hidden="1" x14ac:dyDescent="0.2">
      <c r="B86" t="s">
        <v>32</v>
      </c>
    </row>
    <row r="87" spans="2:14" hidden="1" x14ac:dyDescent="0.2">
      <c r="B87" t="s">
        <v>33</v>
      </c>
    </row>
    <row r="88" spans="2:14" hidden="1" x14ac:dyDescent="0.2"/>
    <row r="89" spans="2:14" hidden="1" x14ac:dyDescent="0.2"/>
    <row r="90" spans="2:14" hidden="1" x14ac:dyDescent="0.2"/>
    <row r="91" spans="2:14" hidden="1" x14ac:dyDescent="0.2"/>
    <row r="92" spans="2:14" hidden="1" x14ac:dyDescent="0.2"/>
    <row r="93" spans="2:14" hidden="1" x14ac:dyDescent="0.2"/>
    <row r="94" spans="2:14" hidden="1" x14ac:dyDescent="0.2"/>
    <row r="95" spans="2:14" hidden="1" x14ac:dyDescent="0.2"/>
    <row r="96" spans="2:14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</sheetData>
  <pageMargins left="0.7" right="0.7" top="0.75" bottom="0.75" header="0.3" footer="0.3"/>
  <pageSetup scale="80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65130-6866-4853-89A8-3C419F826A3C}">
  <dimension ref="A1:J63"/>
  <sheetViews>
    <sheetView workbookViewId="0">
      <selection activeCell="B15" sqref="B15"/>
    </sheetView>
  </sheetViews>
  <sheetFormatPr baseColWidth="10" defaultColWidth="8.83203125" defaultRowHeight="16" x14ac:dyDescent="0.2"/>
  <cols>
    <col min="1" max="1" width="23.1640625" customWidth="1"/>
    <col min="2" max="2" width="26.83203125" customWidth="1"/>
    <col min="3" max="3" width="18.6640625" customWidth="1"/>
    <col min="5" max="5" width="18.6640625" customWidth="1"/>
    <col min="6" max="11" width="12.6640625" customWidth="1"/>
  </cols>
  <sheetData>
    <row r="1" spans="1:10" s="49" customFormat="1" ht="16" customHeight="1" thickBot="1" x14ac:dyDescent="0.25">
      <c r="A1" s="82" t="s">
        <v>46</v>
      </c>
      <c r="B1" s="82" t="s">
        <v>47</v>
      </c>
      <c r="C1" s="82" t="s">
        <v>48</v>
      </c>
    </row>
    <row r="2" spans="1:10" s="49" customFormat="1" ht="16" customHeight="1" thickBot="1" x14ac:dyDescent="0.25">
      <c r="A2" s="83">
        <v>0.1</v>
      </c>
      <c r="B2" s="84" t="s">
        <v>49</v>
      </c>
      <c r="C2" s="84" t="s">
        <v>50</v>
      </c>
    </row>
    <row r="3" spans="1:10" s="49" customFormat="1" ht="16" customHeight="1" thickBot="1" x14ac:dyDescent="0.25">
      <c r="A3" s="85">
        <v>0.12</v>
      </c>
      <c r="B3" s="86" t="s">
        <v>51</v>
      </c>
      <c r="C3" s="86" t="s">
        <v>52</v>
      </c>
    </row>
    <row r="4" spans="1:10" s="49" customFormat="1" ht="16" customHeight="1" thickBot="1" x14ac:dyDescent="0.25">
      <c r="A4" s="83">
        <v>0.22</v>
      </c>
      <c r="B4" s="84" t="s">
        <v>53</v>
      </c>
      <c r="C4" s="84" t="s">
        <v>54</v>
      </c>
    </row>
    <row r="5" spans="1:10" s="49" customFormat="1" ht="16" customHeight="1" thickBot="1" x14ac:dyDescent="0.25">
      <c r="A5" s="85">
        <v>0.24</v>
      </c>
      <c r="B5" s="86" t="s">
        <v>55</v>
      </c>
      <c r="C5" s="86" t="s">
        <v>56</v>
      </c>
      <c r="E5" s="49">
        <f>A5*(85525-40125)</f>
        <v>10896</v>
      </c>
    </row>
    <row r="6" spans="1:10" s="49" customFormat="1" ht="16" customHeight="1" thickBot="1" x14ac:dyDescent="0.25">
      <c r="A6" s="83">
        <v>0.32</v>
      </c>
      <c r="B6" s="84" t="s">
        <v>57</v>
      </c>
      <c r="C6" s="84" t="s">
        <v>58</v>
      </c>
      <c r="E6" s="34">
        <f>+'Alternate Structure'!H81</f>
        <v>2000000</v>
      </c>
      <c r="F6" s="87">
        <f>+'Alternate Structure'!I81</f>
        <v>375000</v>
      </c>
      <c r="G6" s="87">
        <f>+'Alternate Structure'!J81</f>
        <v>397500</v>
      </c>
      <c r="H6" s="87">
        <f>+'Alternate Structure'!K81</f>
        <v>421350</v>
      </c>
      <c r="I6" s="87">
        <f>+'Alternate Structure'!L81</f>
        <v>446631</v>
      </c>
      <c r="J6" s="87">
        <f>SUM(E6:I6)</f>
        <v>3640481</v>
      </c>
    </row>
    <row r="7" spans="1:10" s="49" customFormat="1" ht="16" customHeight="1" thickBot="1" x14ac:dyDescent="0.25">
      <c r="A7" s="85">
        <v>0.35</v>
      </c>
      <c r="B7" s="86" t="s">
        <v>59</v>
      </c>
      <c r="C7" s="86" t="s">
        <v>60</v>
      </c>
      <c r="E7" s="89">
        <f>+E6*0.2</f>
        <v>400000</v>
      </c>
      <c r="F7" s="89"/>
      <c r="G7" s="89">
        <f t="shared" ref="G7:J7" si="0">+((G6-518400)*$A7)+47367</f>
        <v>5052</v>
      </c>
      <c r="H7" s="89">
        <f t="shared" si="0"/>
        <v>13399.5</v>
      </c>
      <c r="I7" s="89">
        <f t="shared" si="0"/>
        <v>22247.850000000002</v>
      </c>
      <c r="J7" s="89">
        <f t="shared" si="0"/>
        <v>1140095.3499999999</v>
      </c>
    </row>
    <row r="8" spans="1:10" s="49" customFormat="1" ht="16" customHeight="1" thickBot="1" x14ac:dyDescent="0.25">
      <c r="A8" s="83">
        <v>0.37</v>
      </c>
      <c r="B8" s="84" t="s">
        <v>61</v>
      </c>
      <c r="C8" s="84" t="s">
        <v>62</v>
      </c>
      <c r="E8" s="89">
        <f>+E6*0.2</f>
        <v>400000</v>
      </c>
      <c r="F8" s="89">
        <f>+((F6-207530)*$A6)+47367</f>
        <v>100957.4</v>
      </c>
      <c r="G8" s="89">
        <f t="shared" ref="G8:J8" si="1">+((G6-518400)*$A8)+156235</f>
        <v>111502</v>
      </c>
      <c r="H8" s="89">
        <f t="shared" si="1"/>
        <v>120326.5</v>
      </c>
      <c r="I8" s="89">
        <f t="shared" si="1"/>
        <v>129680.47</v>
      </c>
      <c r="J8" s="89">
        <f t="shared" si="1"/>
        <v>1311404.97</v>
      </c>
    </row>
    <row r="9" spans="1:10" s="49" customFormat="1" ht="16" customHeight="1" x14ac:dyDescent="0.2">
      <c r="E9" s="31">
        <f>+E8/E6</f>
        <v>0.2</v>
      </c>
      <c r="F9" s="31">
        <f t="shared" ref="F9:J9" si="2">+F8/F6</f>
        <v>0.26921973333333332</v>
      </c>
      <c r="G9" s="31">
        <f t="shared" si="2"/>
        <v>0.28050817610062895</v>
      </c>
      <c r="H9" s="31">
        <f t="shared" si="2"/>
        <v>0.28557375103832916</v>
      </c>
      <c r="I9" s="31">
        <f t="shared" si="2"/>
        <v>0.29035259531917845</v>
      </c>
      <c r="J9" s="31">
        <f t="shared" si="2"/>
        <v>0.36022848903757498</v>
      </c>
    </row>
    <row r="10" spans="1:10" s="49" customFormat="1" ht="16" customHeight="1" x14ac:dyDescent="0.2"/>
    <row r="11" spans="1:10" s="49" customFormat="1" ht="16" customHeight="1" thickBot="1" x14ac:dyDescent="0.25">
      <c r="A11" s="49" t="s">
        <v>110</v>
      </c>
      <c r="E11" s="49">
        <f>+'Alternate Structure'!D19</f>
        <v>2000000</v>
      </c>
      <c r="F11" s="88">
        <f>+'Alternate Structure'!E19</f>
        <v>375000</v>
      </c>
      <c r="G11" s="88">
        <f>+'Alternate Structure'!F19</f>
        <v>397500</v>
      </c>
      <c r="H11" s="88">
        <f>+'Alternate Structure'!G19</f>
        <v>421350</v>
      </c>
      <c r="I11" s="88">
        <f>+'Alternate Structure'!H19</f>
        <v>446631</v>
      </c>
    </row>
    <row r="12" spans="1:10" s="49" customFormat="1" ht="16" customHeight="1" thickBot="1" x14ac:dyDescent="0.25">
      <c r="A12" s="27">
        <v>0</v>
      </c>
      <c r="B12" s="28" t="s">
        <v>107</v>
      </c>
      <c r="F12" s="49">
        <f>80800*A12</f>
        <v>0</v>
      </c>
    </row>
    <row r="13" spans="1:10" s="49" customFormat="1" ht="16" customHeight="1" thickBot="1" x14ac:dyDescent="0.25">
      <c r="A13" s="29">
        <v>0.15</v>
      </c>
      <c r="B13" s="30" t="s">
        <v>108</v>
      </c>
      <c r="F13" s="49">
        <f>+(F11-80801)*0.15</f>
        <v>44129.85</v>
      </c>
      <c r="G13" s="88">
        <f>+(G11-80801)*0.15</f>
        <v>47504.85</v>
      </c>
      <c r="H13" s="88">
        <f t="shared" ref="H13:I13" si="3">+(H11-80801)*0.15</f>
        <v>51082.35</v>
      </c>
      <c r="I13" s="88">
        <f t="shared" si="3"/>
        <v>54874.5</v>
      </c>
    </row>
    <row r="14" spans="1:10" s="49" customFormat="1" ht="16" customHeight="1" thickBot="1" x14ac:dyDescent="0.25">
      <c r="A14" s="27">
        <v>0.2</v>
      </c>
      <c r="B14" s="28" t="s">
        <v>109</v>
      </c>
      <c r="E14" s="49">
        <f>+E6*A14</f>
        <v>400000</v>
      </c>
      <c r="G14" s="88">
        <f>+(G11-501601)*0.2</f>
        <v>-20820.2</v>
      </c>
      <c r="H14" s="88">
        <f t="shared" ref="H14:I14" si="4">+(H11-501601)*0.2</f>
        <v>-16050.2</v>
      </c>
      <c r="I14" s="88">
        <f t="shared" si="4"/>
        <v>-10994</v>
      </c>
    </row>
    <row r="15" spans="1:10" s="49" customFormat="1" ht="16" customHeight="1" x14ac:dyDescent="0.2">
      <c r="B15" s="49" t="s">
        <v>111</v>
      </c>
      <c r="E15" s="49">
        <f>SUM(E12:E14)</f>
        <v>400000</v>
      </c>
      <c r="F15" s="49">
        <f t="shared" ref="F15:G15" si="5">SUM(F12:F14)</f>
        <v>44129.85</v>
      </c>
      <c r="G15" s="88">
        <f t="shared" si="5"/>
        <v>26684.649999999998</v>
      </c>
      <c r="H15" s="88">
        <f t="shared" ref="H15" si="6">SUM(H12:H14)</f>
        <v>35032.149999999994</v>
      </c>
      <c r="I15" s="88">
        <f t="shared" ref="I15" si="7">SUM(I12:I14)</f>
        <v>43880.5</v>
      </c>
    </row>
    <row r="16" spans="1:10" s="49" customFormat="1" ht="16" customHeight="1" x14ac:dyDescent="0.2">
      <c r="E16" s="31">
        <f>+E15/E11</f>
        <v>0.2</v>
      </c>
      <c r="F16" s="31">
        <f t="shared" ref="F16:I16" si="8">+F15/F11</f>
        <v>0.1176796</v>
      </c>
      <c r="G16" s="31">
        <f t="shared" si="8"/>
        <v>6.7131194968553451E-2</v>
      </c>
      <c r="H16" s="31">
        <f t="shared" si="8"/>
        <v>8.3142636762786271E-2</v>
      </c>
      <c r="I16" s="31">
        <f t="shared" si="8"/>
        <v>9.8247770530930451E-2</v>
      </c>
    </row>
    <row r="17" s="49" customFormat="1" ht="16" customHeight="1" x14ac:dyDescent="0.2"/>
    <row r="18" s="49" customFormat="1" ht="16" customHeight="1" x14ac:dyDescent="0.2"/>
    <row r="19" s="49" customFormat="1" ht="16" customHeight="1" x14ac:dyDescent="0.2"/>
    <row r="20" s="49" customFormat="1" ht="16" customHeight="1" x14ac:dyDescent="0.2"/>
    <row r="21" s="49" customFormat="1" ht="16" customHeight="1" x14ac:dyDescent="0.2"/>
    <row r="22" s="49" customFormat="1" ht="16" customHeight="1" x14ac:dyDescent="0.2"/>
    <row r="23" s="49" customFormat="1" ht="16" customHeight="1" x14ac:dyDescent="0.2"/>
    <row r="24" s="49" customFormat="1" ht="16" customHeight="1" x14ac:dyDescent="0.2"/>
    <row r="25" s="49" customFormat="1" ht="16" customHeight="1" x14ac:dyDescent="0.2"/>
    <row r="26" s="49" customFormat="1" ht="16" customHeight="1" x14ac:dyDescent="0.2"/>
    <row r="27" s="49" customFormat="1" ht="16" customHeight="1" x14ac:dyDescent="0.2"/>
    <row r="28" s="49" customFormat="1" ht="16" customHeight="1" x14ac:dyDescent="0.2"/>
    <row r="29" s="49" customFormat="1" ht="16" customHeight="1" x14ac:dyDescent="0.2"/>
    <row r="30" s="49" customFormat="1" ht="16" customHeight="1" x14ac:dyDescent="0.2"/>
    <row r="31" s="49" customFormat="1" ht="16" customHeight="1" x14ac:dyDescent="0.2"/>
    <row r="32" s="49" customFormat="1" ht="16" customHeight="1" x14ac:dyDescent="0.2"/>
    <row r="33" s="49" customFormat="1" ht="16" customHeight="1" x14ac:dyDescent="0.2"/>
    <row r="34" s="49" customFormat="1" ht="16" customHeight="1" x14ac:dyDescent="0.2"/>
    <row r="35" s="49" customFormat="1" ht="16" customHeight="1" x14ac:dyDescent="0.2"/>
    <row r="36" s="49" customFormat="1" ht="16" customHeight="1" x14ac:dyDescent="0.2"/>
    <row r="37" s="49" customFormat="1" ht="16" customHeight="1" x14ac:dyDescent="0.2"/>
    <row r="38" s="49" customFormat="1" ht="16" customHeight="1" x14ac:dyDescent="0.2"/>
    <row r="39" s="49" customFormat="1" ht="16" customHeight="1" x14ac:dyDescent="0.2"/>
    <row r="40" s="49" customFormat="1" ht="16" customHeight="1" x14ac:dyDescent="0.2"/>
    <row r="41" s="49" customFormat="1" ht="16" customHeight="1" x14ac:dyDescent="0.2"/>
    <row r="42" s="49" customFormat="1" ht="16" customHeight="1" x14ac:dyDescent="0.2"/>
    <row r="43" s="49" customFormat="1" ht="16" customHeight="1" x14ac:dyDescent="0.2"/>
    <row r="44" s="49" customFormat="1" ht="16" customHeight="1" x14ac:dyDescent="0.2"/>
    <row r="45" s="49" customFormat="1" ht="16" customHeight="1" x14ac:dyDescent="0.2"/>
    <row r="46" s="49" customFormat="1" ht="16" customHeight="1" x14ac:dyDescent="0.2"/>
    <row r="47" s="49" customFormat="1" ht="16" customHeight="1" x14ac:dyDescent="0.2"/>
    <row r="48" s="49" customFormat="1" ht="16" customHeight="1" x14ac:dyDescent="0.2"/>
    <row r="49" s="49" customFormat="1" ht="16" customHeight="1" x14ac:dyDescent="0.2"/>
    <row r="50" s="49" customFormat="1" ht="16" customHeight="1" x14ac:dyDescent="0.2"/>
    <row r="51" s="49" customFormat="1" ht="16" customHeight="1" x14ac:dyDescent="0.2"/>
    <row r="52" s="49" customFormat="1" ht="16" customHeight="1" x14ac:dyDescent="0.2"/>
    <row r="53" s="49" customFormat="1" ht="16" customHeight="1" x14ac:dyDescent="0.2"/>
    <row r="54" s="49" customFormat="1" ht="16" customHeight="1" x14ac:dyDescent="0.2"/>
    <row r="55" s="49" customFormat="1" ht="16" customHeight="1" x14ac:dyDescent="0.2"/>
    <row r="56" s="49" customFormat="1" ht="16" customHeight="1" x14ac:dyDescent="0.2"/>
    <row r="57" s="49" customFormat="1" ht="16" customHeight="1" x14ac:dyDescent="0.2"/>
    <row r="58" s="49" customFormat="1" ht="16" customHeight="1" x14ac:dyDescent="0.2"/>
    <row r="59" s="49" customFormat="1" ht="16" customHeight="1" x14ac:dyDescent="0.2"/>
    <row r="60" s="49" customFormat="1" ht="16" customHeight="1" x14ac:dyDescent="0.2"/>
    <row r="61" s="49" customFormat="1" ht="16" customHeight="1" x14ac:dyDescent="0.2"/>
    <row r="62" s="49" customFormat="1" ht="16" customHeight="1" x14ac:dyDescent="0.2"/>
    <row r="63" s="49" customFormat="1" ht="16" customHeight="1" x14ac:dyDescent="0.2"/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scott working</vt:lpstr>
      <vt:lpstr>Current Acctg</vt:lpstr>
      <vt:lpstr>PSF</vt:lpstr>
      <vt:lpstr>Alternate Structure</vt:lpstr>
      <vt:lpstr>Taxes</vt:lpstr>
      <vt:lpstr>'Alternate Structure'!Print_Area</vt:lpstr>
      <vt:lpstr>PSF!Print_Area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2021-03-15T17:20:42Z</cp:lastPrinted>
  <dcterms:created xsi:type="dcterms:W3CDTF">2021-02-19T13:41:06Z</dcterms:created>
  <dcterms:modified xsi:type="dcterms:W3CDTF">2021-03-20T08:03:50Z</dcterms:modified>
</cp:coreProperties>
</file>