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zechengli/Documents/davidsonlab/Modeling/"/>
    </mc:Choice>
  </mc:AlternateContent>
  <xr:revisionPtr revIDLastSave="0" documentId="13_ncr:1_{34B67443-D4DA-9C4F-9E6D-2685F9F843E3}" xr6:coauthVersionLast="47" xr6:coauthVersionMax="47" xr10:uidLastSave="{00000000-0000-0000-0000-000000000000}"/>
  <bookViews>
    <workbookView xWindow="140" yWindow="1620" windowWidth="25680" windowHeight="18360" activeTab="1" xr2:uid="{54BEC6FD-AC08-4F2F-9303-5DB7529CD97F}"/>
  </bookViews>
  <sheets>
    <sheet name="Sheet1" sheetId="8" r:id="rId1"/>
    <sheet name="Coal Unit" sheetId="3" r:id="rId2"/>
    <sheet name="Power Cost" sheetId="9" r:id="rId3"/>
    <sheet name="Power Sale" sheetId="10" r:id="rId4"/>
    <sheet name="Transportation" sheetId="1" r:id="rId5"/>
    <sheet name="GD Power" sheetId="7" r:id="rId6"/>
  </sheets>
  <definedNames>
    <definedName name="_xlnm._FilterDatabase" localSheetId="3" hidden="1">'Power Sale'!$A$2:$S$54</definedName>
    <definedName name="ExternalData_1" localSheetId="3" hidden="1">'Power Sale'!#REF!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2" i="3" l="1"/>
  <c r="Q32" i="3"/>
  <c r="L33" i="3"/>
  <c r="K33" i="3"/>
  <c r="J33" i="3"/>
  <c r="T27" i="10"/>
  <c r="U34" i="10"/>
  <c r="U30" i="10"/>
  <c r="U38" i="10"/>
  <c r="Q38" i="10" s="1"/>
  <c r="U32" i="10"/>
  <c r="U28" i="10"/>
  <c r="T30" i="10"/>
  <c r="T33" i="10"/>
  <c r="T38" i="10"/>
  <c r="U36" i="10"/>
  <c r="U21" i="10"/>
  <c r="L4" i="3"/>
  <c r="K4" i="3"/>
  <c r="J4" i="3"/>
  <c r="I4" i="3"/>
  <c r="L18" i="3"/>
  <c r="J20" i="3"/>
  <c r="J32" i="3"/>
  <c r="K18" i="3"/>
  <c r="T28" i="10"/>
  <c r="J18" i="3"/>
  <c r="J19" i="3"/>
  <c r="O3" i="1"/>
  <c r="O4" i="3"/>
  <c r="N4" i="3"/>
  <c r="Q14" i="9"/>
  <c r="P14" i="9"/>
  <c r="P13" i="9"/>
  <c r="R14" i="9"/>
  <c r="Q37" i="1"/>
  <c r="O37" i="1"/>
  <c r="O12" i="9"/>
  <c r="Q12" i="9" s="1"/>
  <c r="O21" i="9"/>
  <c r="P21" i="9"/>
  <c r="Q21" i="9"/>
  <c r="M12" i="8"/>
  <c r="N48" i="3"/>
  <c r="N47" i="3"/>
  <c r="N46" i="3"/>
  <c r="P46" i="3" s="1"/>
  <c r="N45" i="3"/>
  <c r="P45" i="3" s="1"/>
  <c r="O45" i="3"/>
  <c r="O35" i="3"/>
  <c r="G29" i="8"/>
  <c r="H12" i="8"/>
  <c r="G12" i="8"/>
  <c r="F12" i="8"/>
  <c r="E12" i="8"/>
  <c r="D12" i="8"/>
  <c r="D4" i="8"/>
  <c r="E26" i="8"/>
  <c r="Q33" i="3"/>
  <c r="O48" i="3"/>
  <c r="O47" i="3"/>
  <c r="O46" i="3"/>
  <c r="O34" i="3"/>
  <c r="O33" i="3"/>
  <c r="O32" i="3"/>
  <c r="N35" i="3"/>
  <c r="N34" i="3"/>
  <c r="N33" i="3"/>
  <c r="M20" i="3"/>
  <c r="M19" i="3"/>
  <c r="M18" i="3" s="1"/>
  <c r="L20" i="3" l="1"/>
  <c r="K38" i="8"/>
  <c r="M38" i="8"/>
  <c r="N38" i="8"/>
  <c r="O38" i="8"/>
  <c r="P38" i="8"/>
  <c r="K27" i="8"/>
  <c r="M27" i="8"/>
  <c r="N27" i="8"/>
  <c r="O27" i="8"/>
  <c r="P27" i="8"/>
  <c r="P13" i="8"/>
  <c r="O13" i="8"/>
  <c r="N13" i="8"/>
  <c r="M13" i="8"/>
  <c r="K13" i="8"/>
  <c r="R37" i="1"/>
  <c r="K48" i="3"/>
  <c r="K12" i="8"/>
  <c r="B38" i="8"/>
  <c r="D38" i="8"/>
  <c r="E38" i="8"/>
  <c r="F38" i="8"/>
  <c r="G38" i="8"/>
  <c r="B27" i="8"/>
  <c r="D27" i="8"/>
  <c r="E27" i="8"/>
  <c r="F27" i="8"/>
  <c r="G27" i="8"/>
  <c r="G13" i="8"/>
  <c r="F13" i="8"/>
  <c r="E13" i="8"/>
  <c r="D13" i="8"/>
  <c r="B13" i="8"/>
  <c r="E5" i="8"/>
  <c r="B5" i="8"/>
  <c r="P5" i="9"/>
  <c r="O5" i="9"/>
  <c r="M12" i="9"/>
  <c r="M13" i="9"/>
  <c r="M14" i="9"/>
  <c r="M15" i="9"/>
  <c r="N12" i="9"/>
  <c r="N13" i="9"/>
  <c r="N14" i="9"/>
  <c r="N15" i="9"/>
  <c r="T3" i="10"/>
  <c r="T4" i="10"/>
  <c r="U4" i="10"/>
  <c r="T5" i="10"/>
  <c r="U5" i="10"/>
  <c r="L6" i="10"/>
  <c r="T6" i="10"/>
  <c r="T7" i="10"/>
  <c r="L8" i="10"/>
  <c r="T8" i="10"/>
  <c r="U8" i="10"/>
  <c r="T9" i="10"/>
  <c r="U9" i="10"/>
  <c r="L10" i="10"/>
  <c r="T10" i="10"/>
  <c r="U10" i="10"/>
  <c r="T11" i="10"/>
  <c r="T12" i="10"/>
  <c r="U12" i="10"/>
  <c r="T13" i="10"/>
  <c r="U13" i="10"/>
  <c r="L14" i="10"/>
  <c r="T14" i="10"/>
  <c r="T15" i="10"/>
  <c r="L16" i="10"/>
  <c r="T16" i="10"/>
  <c r="U16" i="10"/>
  <c r="T17" i="10"/>
  <c r="U17" i="10"/>
  <c r="L18" i="10"/>
  <c r="T18" i="10"/>
  <c r="U18" i="10"/>
  <c r="T19" i="10"/>
  <c r="T20" i="10"/>
  <c r="U20" i="10"/>
  <c r="T21" i="10"/>
  <c r="L22" i="10"/>
  <c r="T22" i="10"/>
  <c r="T23" i="10"/>
  <c r="L24" i="10"/>
  <c r="T24" i="10"/>
  <c r="U24" i="10"/>
  <c r="T25" i="10"/>
  <c r="U25" i="10"/>
  <c r="L26" i="10"/>
  <c r="T26" i="10"/>
  <c r="U26" i="10"/>
  <c r="T29" i="10"/>
  <c r="U29" i="10"/>
  <c r="L30" i="10"/>
  <c r="T31" i="10"/>
  <c r="L32" i="10"/>
  <c r="T32" i="10"/>
  <c r="J33" i="10"/>
  <c r="J38" i="10" s="1"/>
  <c r="K33" i="10"/>
  <c r="L34" i="10"/>
  <c r="T34" i="10"/>
  <c r="T36" i="10"/>
  <c r="E38" i="10"/>
  <c r="F38" i="10"/>
  <c r="L3" i="10" s="1"/>
  <c r="K38" i="10"/>
  <c r="M38" i="10"/>
  <c r="N38" i="10"/>
  <c r="U3" i="10" s="1"/>
  <c r="R38" i="10"/>
  <c r="S38" i="10"/>
  <c r="V38" i="10"/>
  <c r="W38" i="10"/>
  <c r="AA38" i="10"/>
  <c r="AB38" i="10"/>
  <c r="AC38" i="10"/>
  <c r="AD38" i="10"/>
  <c r="AH38" i="10"/>
  <c r="AI38" i="10"/>
  <c r="F42" i="10"/>
  <c r="I42" i="10"/>
  <c r="J42" i="10"/>
  <c r="K42" i="10"/>
  <c r="N42" i="10"/>
  <c r="N60" i="10" s="1"/>
  <c r="Q42" i="10"/>
  <c r="R42" i="10"/>
  <c r="S42" i="10"/>
  <c r="AA42" i="10"/>
  <c r="AB42" i="10"/>
  <c r="AH42" i="10"/>
  <c r="AI42" i="10"/>
  <c r="F43" i="10"/>
  <c r="I43" i="10"/>
  <c r="J43" i="10"/>
  <c r="K43" i="10"/>
  <c r="N43" i="10"/>
  <c r="Q43" i="10"/>
  <c r="R43" i="10"/>
  <c r="S43" i="10"/>
  <c r="AA43" i="10"/>
  <c r="AB43" i="10"/>
  <c r="AH43" i="10"/>
  <c r="AI43" i="10"/>
  <c r="F44" i="10"/>
  <c r="I44" i="10"/>
  <c r="J44" i="10"/>
  <c r="K44" i="10"/>
  <c r="N44" i="10"/>
  <c r="Q44" i="10"/>
  <c r="R44" i="10"/>
  <c r="S44" i="10"/>
  <c r="AA44" i="10"/>
  <c r="AB44" i="10"/>
  <c r="AH44" i="10"/>
  <c r="AI44" i="10"/>
  <c r="F45" i="10"/>
  <c r="J45" i="10"/>
  <c r="K45" i="10"/>
  <c r="N45" i="10"/>
  <c r="R45" i="10"/>
  <c r="S45" i="10"/>
  <c r="AA45" i="10"/>
  <c r="AB45" i="10"/>
  <c r="AH45" i="10"/>
  <c r="AH60" i="10" s="1"/>
  <c r="AI45" i="10"/>
  <c r="F46" i="10"/>
  <c r="J46" i="10"/>
  <c r="K46" i="10"/>
  <c r="N46" i="10"/>
  <c r="R46" i="10"/>
  <c r="S46" i="10"/>
  <c r="AA46" i="10"/>
  <c r="AB46" i="10"/>
  <c r="AH46" i="10"/>
  <c r="AI46" i="10"/>
  <c r="F47" i="10"/>
  <c r="J47" i="10"/>
  <c r="K47" i="10"/>
  <c r="N47" i="10"/>
  <c r="R47" i="10"/>
  <c r="R60" i="10" s="1"/>
  <c r="S47" i="10"/>
  <c r="AA47" i="10"/>
  <c r="AB47" i="10"/>
  <c r="AB60" i="10" s="1"/>
  <c r="AH47" i="10"/>
  <c r="AI47" i="10"/>
  <c r="F48" i="10"/>
  <c r="J48" i="10"/>
  <c r="K48" i="10"/>
  <c r="K60" i="10" s="1"/>
  <c r="N48" i="10"/>
  <c r="R48" i="10"/>
  <c r="S48" i="10"/>
  <c r="AA48" i="10"/>
  <c r="AB48" i="10"/>
  <c r="AH48" i="10"/>
  <c r="AI48" i="10"/>
  <c r="F49" i="10"/>
  <c r="I49" i="10"/>
  <c r="J49" i="10"/>
  <c r="K49" i="10"/>
  <c r="N49" i="10"/>
  <c r="Q49" i="10"/>
  <c r="R49" i="10"/>
  <c r="S49" i="10"/>
  <c r="AA49" i="10"/>
  <c r="AB49" i="10"/>
  <c r="AH49" i="10"/>
  <c r="AI49" i="10"/>
  <c r="F50" i="10"/>
  <c r="I50" i="10"/>
  <c r="J50" i="10"/>
  <c r="K50" i="10"/>
  <c r="N50" i="10"/>
  <c r="Q50" i="10"/>
  <c r="R50" i="10"/>
  <c r="S50" i="10"/>
  <c r="AA50" i="10"/>
  <c r="AB50" i="10"/>
  <c r="AH50" i="10"/>
  <c r="AI50" i="10"/>
  <c r="F51" i="10"/>
  <c r="I51" i="10"/>
  <c r="J51" i="10"/>
  <c r="K51" i="10"/>
  <c r="N51" i="10"/>
  <c r="Q51" i="10"/>
  <c r="R51" i="10"/>
  <c r="S51" i="10"/>
  <c r="AA51" i="10"/>
  <c r="AB51" i="10"/>
  <c r="AH51" i="10"/>
  <c r="AI51" i="10"/>
  <c r="F52" i="10"/>
  <c r="J52" i="10"/>
  <c r="K52" i="10"/>
  <c r="N52" i="10"/>
  <c r="R52" i="10"/>
  <c r="S52" i="10"/>
  <c r="AA52" i="10"/>
  <c r="AB52" i="10"/>
  <c r="AH52" i="10"/>
  <c r="AI52" i="10"/>
  <c r="F53" i="10"/>
  <c r="J53" i="10"/>
  <c r="K53" i="10"/>
  <c r="N53" i="10"/>
  <c r="R53" i="10"/>
  <c r="S53" i="10"/>
  <c r="AA53" i="10"/>
  <c r="AB53" i="10"/>
  <c r="AH53" i="10"/>
  <c r="AI53" i="10"/>
  <c r="F54" i="10"/>
  <c r="I54" i="10"/>
  <c r="J54" i="10"/>
  <c r="K54" i="10"/>
  <c r="N54" i="10"/>
  <c r="Q54" i="10"/>
  <c r="R54" i="10"/>
  <c r="S54" i="10"/>
  <c r="AA54" i="10"/>
  <c r="AB54" i="10"/>
  <c r="AH54" i="10"/>
  <c r="AI54" i="10"/>
  <c r="F55" i="10"/>
  <c r="I55" i="10"/>
  <c r="J55" i="10"/>
  <c r="K55" i="10"/>
  <c r="N55" i="10"/>
  <c r="Q55" i="10"/>
  <c r="R55" i="10"/>
  <c r="S55" i="10"/>
  <c r="AA55" i="10"/>
  <c r="AB55" i="10"/>
  <c r="AH55" i="10"/>
  <c r="AI55" i="10"/>
  <c r="F56" i="10"/>
  <c r="I56" i="10"/>
  <c r="J56" i="10"/>
  <c r="K56" i="10"/>
  <c r="N56" i="10"/>
  <c r="Q56" i="10"/>
  <c r="R56" i="10"/>
  <c r="S56" i="10"/>
  <c r="AA56" i="10"/>
  <c r="AB56" i="10"/>
  <c r="AH56" i="10"/>
  <c r="AI56" i="10"/>
  <c r="F57" i="10"/>
  <c r="I57" i="10"/>
  <c r="J57" i="10"/>
  <c r="J60" i="10" s="1"/>
  <c r="K57" i="10"/>
  <c r="N57" i="10"/>
  <c r="Q57" i="10"/>
  <c r="R57" i="10"/>
  <c r="S57" i="10"/>
  <c r="S60" i="10" s="1"/>
  <c r="AA57" i="10"/>
  <c r="AB57" i="10"/>
  <c r="AH57" i="10"/>
  <c r="AI57" i="10"/>
  <c r="F58" i="10"/>
  <c r="F60" i="10" s="1"/>
  <c r="I58" i="10"/>
  <c r="J58" i="10"/>
  <c r="K58" i="10"/>
  <c r="N58" i="10"/>
  <c r="Q58" i="10"/>
  <c r="R58" i="10"/>
  <c r="S58" i="10"/>
  <c r="AA58" i="10"/>
  <c r="AA60" i="10" s="1"/>
  <c r="AB58" i="10"/>
  <c r="AH58" i="10"/>
  <c r="AI58" i="10"/>
  <c r="AI60" i="10" s="1"/>
  <c r="F59" i="10"/>
  <c r="I59" i="10"/>
  <c r="J59" i="10"/>
  <c r="K59" i="10"/>
  <c r="N59" i="10"/>
  <c r="Q59" i="10"/>
  <c r="R59" i="10"/>
  <c r="S59" i="10"/>
  <c r="AA59" i="10"/>
  <c r="AB59" i="10"/>
  <c r="AH59" i="10"/>
  <c r="AI59" i="10"/>
  <c r="I60" i="10"/>
  <c r="Q60" i="10"/>
  <c r="N30" i="9"/>
  <c r="N29" i="9"/>
  <c r="M29" i="9"/>
  <c r="N28" i="9"/>
  <c r="E25" i="9"/>
  <c r="B25" i="9"/>
  <c r="H24" i="9"/>
  <c r="E24" i="9"/>
  <c r="B24" i="9"/>
  <c r="D23" i="9"/>
  <c r="D22" i="9"/>
  <c r="G21" i="9"/>
  <c r="D21" i="9"/>
  <c r="D20" i="9"/>
  <c r="D19" i="9"/>
  <c r="N5" i="9" s="1"/>
  <c r="O15" i="9"/>
  <c r="O14" i="9"/>
  <c r="M28" i="9"/>
  <c r="P12" i="9"/>
  <c r="E12" i="9"/>
  <c r="B12" i="9"/>
  <c r="E11" i="9"/>
  <c r="B11" i="9"/>
  <c r="M5" i="9"/>
  <c r="L5" i="9"/>
  <c r="O13" i="9" l="1"/>
  <c r="R12" i="9"/>
  <c r="U31" i="10"/>
  <c r="L29" i="10"/>
  <c r="U23" i="10"/>
  <c r="L21" i="10"/>
  <c r="U15" i="10"/>
  <c r="L13" i="10"/>
  <c r="U7" i="10"/>
  <c r="L5" i="10"/>
  <c r="L31" i="10"/>
  <c r="L23" i="10"/>
  <c r="L15" i="10"/>
  <c r="L7" i="10"/>
  <c r="L28" i="10"/>
  <c r="U22" i="10"/>
  <c r="L20" i="10"/>
  <c r="U14" i="10"/>
  <c r="L12" i="10"/>
  <c r="U6" i="10"/>
  <c r="L4" i="10"/>
  <c r="L38" i="10" s="1"/>
  <c r="I38" i="10" s="1"/>
  <c r="U27" i="10"/>
  <c r="L25" i="10"/>
  <c r="U19" i="10"/>
  <c r="L17" i="10"/>
  <c r="U11" i="10"/>
  <c r="L9" i="10"/>
  <c r="L36" i="10"/>
  <c r="L27" i="10"/>
  <c r="L19" i="10"/>
  <c r="L11" i="10"/>
  <c r="O29" i="9"/>
  <c r="R29" i="9" s="1"/>
  <c r="N20" i="9"/>
  <c r="P28" i="9"/>
  <c r="O28" i="9"/>
  <c r="N22" i="9"/>
  <c r="N21" i="9"/>
  <c r="N27" i="9"/>
  <c r="M30" i="9"/>
  <c r="M27" i="9"/>
  <c r="P29" i="9"/>
  <c r="M22" i="9"/>
  <c r="M20" i="9"/>
  <c r="M21" i="9"/>
  <c r="Q13" i="9" l="1"/>
  <c r="D5" i="8"/>
  <c r="Q28" i="9"/>
  <c r="R28" i="9" s="1"/>
  <c r="P30" i="9"/>
  <c r="O30" i="9"/>
  <c r="P20" i="9"/>
  <c r="O20" i="9"/>
  <c r="O22" i="9"/>
  <c r="R22" i="9" s="1"/>
  <c r="P22" i="9"/>
  <c r="P27" i="9"/>
  <c r="O27" i="9"/>
  <c r="R13" i="9" l="1"/>
  <c r="G5" i="8" s="1"/>
  <c r="F5" i="8"/>
  <c r="Q27" i="9"/>
  <c r="R27" i="9" s="1"/>
  <c r="Q30" i="9"/>
  <c r="R30" i="9" s="1"/>
  <c r="Q20" i="9"/>
  <c r="R20" i="9" s="1"/>
  <c r="R21" i="9"/>
  <c r="Q27" i="8" l="1"/>
  <c r="H27" i="8"/>
  <c r="Q38" i="8"/>
  <c r="H38" i="8"/>
  <c r="H13" i="8"/>
  <c r="Q13" i="8"/>
  <c r="J45" i="3"/>
  <c r="K45" i="3"/>
  <c r="J46" i="3"/>
  <c r="K46" i="3"/>
  <c r="J47" i="3"/>
  <c r="K47" i="3"/>
  <c r="J48" i="3"/>
  <c r="W4" i="7"/>
  <c r="Q33" i="7" s="1"/>
  <c r="Q42" i="7" s="1"/>
  <c r="R43" i="7"/>
  <c r="R42" i="7"/>
  <c r="R41" i="7"/>
  <c r="T33" i="7"/>
  <c r="T32" i="7"/>
  <c r="R33" i="7" l="1"/>
  <c r="P25" i="7"/>
  <c r="M39" i="8"/>
  <c r="N39" i="8"/>
  <c r="O39" i="8"/>
  <c r="F39" i="8"/>
  <c r="E39" i="8"/>
  <c r="D39" i="8"/>
  <c r="B39" i="8"/>
  <c r="K39" i="8"/>
  <c r="N5" i="1"/>
  <c r="B28" i="8"/>
  <c r="D28" i="8"/>
  <c r="E28" i="8"/>
  <c r="F28" i="8"/>
  <c r="G28" i="8"/>
  <c r="K28" i="8"/>
  <c r="M28" i="8"/>
  <c r="N28" i="8"/>
  <c r="O28" i="8"/>
  <c r="P28" i="8"/>
  <c r="K14" i="8"/>
  <c r="M14" i="8"/>
  <c r="N14" i="8"/>
  <c r="O14" i="8"/>
  <c r="P14" i="8"/>
  <c r="B4" i="8"/>
  <c r="F14" i="8"/>
  <c r="G14" i="8"/>
  <c r="E14" i="8"/>
  <c r="D14" i="8"/>
  <c r="B14" i="8"/>
  <c r="B6" i="8"/>
  <c r="E6" i="8"/>
  <c r="D6" i="8"/>
  <c r="N36" i="1"/>
  <c r="M37" i="1"/>
  <c r="M36" i="1"/>
  <c r="M26" i="1"/>
  <c r="R26" i="1" s="1"/>
  <c r="S26" i="1" s="1"/>
  <c r="L48" i="3" l="1"/>
  <c r="L46" i="3"/>
  <c r="L47" i="3"/>
  <c r="L45" i="3"/>
  <c r="M37" i="8" l="1"/>
  <c r="M26" i="8"/>
  <c r="Q26" i="1" l="1"/>
  <c r="J4" i="1"/>
  <c r="K5" i="1"/>
  <c r="K4" i="1"/>
  <c r="K3" i="1"/>
  <c r="N26" i="1"/>
  <c r="K35" i="3" l="1"/>
  <c r="E4" i="8"/>
  <c r="E7" i="8" s="1"/>
  <c r="S4" i="1"/>
  <c r="L4" i="1"/>
  <c r="N26" i="8" l="1"/>
  <c r="Q46" i="3"/>
  <c r="P26" i="1"/>
  <c r="J5" i="1"/>
  <c r="N4" i="1"/>
  <c r="O26" i="1"/>
  <c r="J27" i="1"/>
  <c r="J26" i="1"/>
  <c r="P47" i="3" l="1"/>
  <c r="N12" i="8"/>
  <c r="N37" i="8"/>
  <c r="P48" i="3"/>
  <c r="O37" i="8" s="1"/>
  <c r="J37" i="1"/>
  <c r="S5" i="1"/>
  <c r="L5" i="1"/>
  <c r="K36" i="1"/>
  <c r="K37" i="1"/>
  <c r="L37" i="1" s="1"/>
  <c r="J36" i="1"/>
  <c r="J3" i="1"/>
  <c r="L26" i="1"/>
  <c r="Q47" i="3" l="1"/>
  <c r="P12" i="8" s="1"/>
  <c r="O12" i="8"/>
  <c r="O26" i="8"/>
  <c r="Q48" i="3"/>
  <c r="P26" i="8" s="1"/>
  <c r="P37" i="8"/>
  <c r="Q45" i="3"/>
  <c r="L3" i="1"/>
  <c r="M3" i="1"/>
  <c r="N3" i="1"/>
  <c r="N37" i="1" s="1"/>
  <c r="L36" i="1"/>
  <c r="G6" i="8" l="1"/>
  <c r="F6" i="8"/>
  <c r="T35" i="7"/>
  <c r="T36" i="7"/>
  <c r="T34" i="7"/>
  <c r="R25" i="7"/>
  <c r="R34" i="7"/>
  <c r="R35" i="7"/>
  <c r="R36" i="7"/>
  <c r="R32" i="7"/>
  <c r="H28" i="8" l="1"/>
  <c r="H14" i="8"/>
  <c r="Q14" i="8"/>
  <c r="Q28" i="8"/>
  <c r="S4" i="7"/>
  <c r="T4" i="7"/>
  <c r="U4" i="7"/>
  <c r="V4" i="7"/>
  <c r="X4" i="7"/>
  <c r="Y4" i="7"/>
  <c r="Z4" i="7"/>
  <c r="AA4" i="7"/>
  <c r="S5" i="7"/>
  <c r="T5" i="7"/>
  <c r="U5" i="7"/>
  <c r="V5" i="7"/>
  <c r="W5" i="7"/>
  <c r="Q34" i="7" s="1"/>
  <c r="S34" i="7" s="1"/>
  <c r="U34" i="7" s="1"/>
  <c r="X5" i="7"/>
  <c r="Y5" i="7"/>
  <c r="Z5" i="7"/>
  <c r="AA5" i="7"/>
  <c r="S6" i="7"/>
  <c r="T6" i="7"/>
  <c r="U6" i="7"/>
  <c r="V6" i="7"/>
  <c r="W6" i="7"/>
  <c r="Q35" i="7" s="1"/>
  <c r="S35" i="7" s="1"/>
  <c r="U35" i="7" s="1"/>
  <c r="V35" i="7" s="1"/>
  <c r="X6" i="7"/>
  <c r="Y6" i="7"/>
  <c r="Z6" i="7"/>
  <c r="AA6" i="7"/>
  <c r="S7" i="7"/>
  <c r="T7" i="7"/>
  <c r="U7" i="7"/>
  <c r="V7" i="7"/>
  <c r="W7" i="7"/>
  <c r="Q36" i="7" s="1"/>
  <c r="S36" i="7" s="1"/>
  <c r="U36" i="7" s="1"/>
  <c r="X7" i="7"/>
  <c r="Y7" i="7"/>
  <c r="Z7" i="7"/>
  <c r="AA7" i="7"/>
  <c r="Q25" i="7" l="1"/>
  <c r="S33" i="7"/>
  <c r="U33" i="7" s="1"/>
  <c r="V33" i="7" s="1"/>
  <c r="Q43" i="7"/>
  <c r="S43" i="7" s="1"/>
  <c r="Q41" i="7"/>
  <c r="U8" i="7"/>
  <c r="S25" i="7"/>
  <c r="Z8" i="7"/>
  <c r="T8" i="7"/>
  <c r="V36" i="7"/>
  <c r="AA8" i="7"/>
  <c r="S8" i="7"/>
  <c r="V34" i="7"/>
  <c r="V8" i="7"/>
  <c r="W8" i="7"/>
  <c r="Q32" i="7" s="1"/>
  <c r="Y8" i="7"/>
  <c r="X8" i="7"/>
  <c r="T42" i="7" l="1"/>
  <c r="S41" i="7"/>
  <c r="T41" i="7"/>
  <c r="S32" i="7"/>
  <c r="S42" i="7"/>
  <c r="U42" i="7" s="1"/>
  <c r="V42" i="7" s="1"/>
  <c r="T43" i="7"/>
  <c r="U41" i="7" l="1"/>
  <c r="V41" i="7" s="1"/>
  <c r="U32" i="7"/>
  <c r="V32" i="7" s="1"/>
  <c r="U43" i="7"/>
  <c r="V43" i="7" s="1"/>
  <c r="D7" i="8" l="1"/>
  <c r="F7" i="8" s="1"/>
  <c r="G7" i="8" s="1"/>
  <c r="H29" i="8" s="1"/>
  <c r="M15" i="8" l="1"/>
  <c r="M40" i="8"/>
  <c r="M29" i="8"/>
  <c r="N29" i="8"/>
  <c r="N40" i="8"/>
  <c r="N15" i="8"/>
  <c r="M33" i="3"/>
  <c r="M32" i="3"/>
  <c r="J35" i="3"/>
  <c r="M5" i="1"/>
  <c r="O5" i="1" s="1"/>
  <c r="M4" i="1"/>
  <c r="O4" i="1" s="1"/>
  <c r="O29" i="8" l="1"/>
  <c r="L35" i="3"/>
  <c r="O40" i="8"/>
  <c r="O15" i="8"/>
  <c r="S37" i="1"/>
  <c r="O36" i="1"/>
  <c r="P37" i="1"/>
  <c r="P36" i="1"/>
  <c r="K34" i="3"/>
  <c r="L19" i="3"/>
  <c r="K32" i="3"/>
  <c r="N18" i="3"/>
  <c r="J34" i="3"/>
  <c r="G39" i="8" l="1"/>
  <c r="H39" i="8" s="1"/>
  <c r="P39" i="8"/>
  <c r="Q39" i="8" s="1"/>
  <c r="P15" i="8"/>
  <c r="Q15" i="8" s="1"/>
  <c r="P40" i="8"/>
  <c r="Q40" i="8" s="1"/>
  <c r="P29" i="8"/>
  <c r="Q29" i="8" s="1"/>
  <c r="E37" i="8"/>
  <c r="E40" i="8" s="1"/>
  <c r="E29" i="8"/>
  <c r="P35" i="3"/>
  <c r="Q35" i="3" s="1"/>
  <c r="D37" i="8"/>
  <c r="D40" i="8" s="1"/>
  <c r="D26" i="8"/>
  <c r="D29" i="8" s="1"/>
  <c r="O18" i="3"/>
  <c r="G4" i="8" s="1"/>
  <c r="F4" i="8"/>
  <c r="Q36" i="1"/>
  <c r="R36" i="1" s="1"/>
  <c r="L34" i="3"/>
  <c r="L32" i="3"/>
  <c r="N19" i="3"/>
  <c r="O19" i="3" s="1"/>
  <c r="N20" i="3"/>
  <c r="O20" i="3" s="1"/>
  <c r="F29" i="8" l="1"/>
  <c r="Q12" i="8"/>
  <c r="Q37" i="8"/>
  <c r="Q26" i="8"/>
  <c r="F40" i="8"/>
  <c r="G40" i="8" s="1"/>
  <c r="H40" i="8" s="1"/>
  <c r="B37" i="8"/>
  <c r="K37" i="8"/>
  <c r="F37" i="8"/>
  <c r="F26" i="8"/>
  <c r="B26" i="8"/>
  <c r="B12" i="8"/>
  <c r="K26" i="8"/>
  <c r="P32" i="3"/>
  <c r="P34" i="3"/>
  <c r="Q34" i="3" s="1"/>
  <c r="P33" i="3"/>
  <c r="G37" i="8" l="1"/>
  <c r="H37" i="8" s="1"/>
  <c r="G26" i="8"/>
  <c r="H26" i="8" s="1"/>
  <c r="E15" i="8"/>
  <c r="D15" i="8"/>
  <c r="S36" i="1"/>
  <c r="F15" i="8" l="1"/>
  <c r="S27" i="1"/>
  <c r="G15" i="8" l="1"/>
  <c r="H15" i="8" s="1"/>
</calcChain>
</file>

<file path=xl/sharedStrings.xml><?xml version="1.0" encoding="utf-8"?>
<sst xmlns="http://schemas.openxmlformats.org/spreadsheetml/2006/main" count="926" uniqueCount="390">
  <si>
    <t>表11 运输及煤化工分部营业成本</t>
  </si>
  <si>
    <t>铁路</t>
  </si>
  <si>
    <t>港口</t>
  </si>
  <si>
    <t>航运</t>
  </si>
  <si>
    <r>
      <rPr>
        <b/>
        <sz val="10"/>
        <color theme="1"/>
        <rFont val="Calibri"/>
        <family val="2"/>
        <scheme val="minor"/>
      </rPr>
      <t xml:space="preserve">2020
</t>
    </r>
    <r>
      <rPr>
        <sz val="10"/>
        <color theme="1"/>
        <rFont val="Calibri"/>
        <family val="2"/>
        <scheme val="minor"/>
      </rPr>
      <t>(百万元)</t>
    </r>
  </si>
  <si>
    <r>
      <rPr>
        <b/>
        <sz val="10"/>
        <color theme="1"/>
        <rFont val="Calibri"/>
        <family val="2"/>
        <scheme val="minor"/>
      </rPr>
      <t xml:space="preserve">2019
</t>
    </r>
    <r>
      <rPr>
        <sz val="10"/>
        <color theme="1"/>
        <rFont val="Calibri"/>
        <family val="2"/>
        <scheme val="minor"/>
      </rPr>
      <t>(百万元)</t>
    </r>
  </si>
  <si>
    <t>原材料、燃料及动力</t>
  </si>
  <si>
    <t>人工成本</t>
  </si>
  <si>
    <t>折旧及摊销</t>
  </si>
  <si>
    <t>外部运输费</t>
  </si>
  <si>
    <t>其他</t>
  </si>
  <si>
    <t>主业成本小计</t>
  </si>
  <si>
    <t>其他业务成本</t>
  </si>
  <si>
    <t>营业成本合计</t>
  </si>
  <si>
    <t>2020's estimated sales revenue &amp; cost by coal types</t>
  </si>
  <si>
    <t>Gross Revenue</t>
  </si>
  <si>
    <t>Estimated Sales Cost</t>
  </si>
  <si>
    <t>Gross Profit</t>
  </si>
  <si>
    <t>Gross Profitability</t>
  </si>
  <si>
    <t>Million Tonnes</t>
  </si>
  <si>
    <t>RMB/Tonne</t>
  </si>
  <si>
    <t>Million RMB</t>
  </si>
  <si>
    <t>%</t>
  </si>
  <si>
    <t>表4 运营数据</t>
  </si>
  <si>
    <t>分部</t>
  </si>
  <si>
    <t>单位</t>
  </si>
  <si>
    <t>百万吨</t>
  </si>
  <si>
    <t>自有铁路运输周转量</t>
  </si>
  <si>
    <t>十亿吨公里</t>
  </si>
  <si>
    <t>总装船量</t>
  </si>
  <si>
    <t>黄骅港装船量</t>
  </si>
  <si>
    <t>神华天津煤码头装船量</t>
  </si>
  <si>
    <t>航运货运量</t>
  </si>
  <si>
    <t>航运周转量</t>
  </si>
  <si>
    <t>十亿吨海里</t>
  </si>
  <si>
    <t>RMB/Tonnes</t>
  </si>
  <si>
    <t>Port</t>
  </si>
  <si>
    <t>Shipping</t>
  </si>
  <si>
    <t>内部运输 业务成本</t>
  </si>
  <si>
    <t>外部运输 业务成本</t>
  </si>
  <si>
    <t>-</t>
  </si>
  <si>
    <t xml:space="preserve">表3 分布业绩（百万元） </t>
  </si>
  <si>
    <t>合计</t>
  </si>
  <si>
    <t>对外交易收入</t>
  </si>
  <si>
    <t>分部间交易收入</t>
  </si>
  <si>
    <t>分部收入小计</t>
  </si>
  <si>
    <t>分部营业成本</t>
  </si>
  <si>
    <t>Million ton</t>
  </si>
  <si>
    <t>Coal Segment Revenue under different coal reduction scenario using 2020 data (For PPT)</t>
  </si>
  <si>
    <t>自产煤固定成本</t>
  </si>
  <si>
    <t>外购煤 - 单位采购成本</t>
  </si>
  <si>
    <t>运输 - 单位成本</t>
  </si>
  <si>
    <t>Sales Volume</t>
  </si>
  <si>
    <t>Average Coal Price</t>
  </si>
  <si>
    <t>Coal Sales</t>
  </si>
  <si>
    <t>Self-produced coals Sales</t>
  </si>
  <si>
    <t>Purchased Coals Sales</t>
  </si>
  <si>
    <t>Gross Revenue = Sales Volume * Average Coal Price</t>
  </si>
  <si>
    <t>Gross Profit = Gross Revenue - Sales Cost</t>
  </si>
  <si>
    <t>Sales Cost = Purchased Coal Sales Cost + Self-produced Coal Sales Cost</t>
  </si>
  <si>
    <t>Estimated Revenue&amp; Cost under different coal reduction scenario using 2020 data</t>
  </si>
  <si>
    <t>Scenario</t>
  </si>
  <si>
    <t>Self-Produced Coal Volume</t>
  </si>
  <si>
    <t>Purchased Coal Volume</t>
  </si>
  <si>
    <t>Total Coal Volume</t>
  </si>
  <si>
    <t>Sales Revenue</t>
  </si>
  <si>
    <t>Sales Cost</t>
  </si>
  <si>
    <t>Gross Sales Profit</t>
  </si>
  <si>
    <t>1. Reduced Self-produced Coal by 50%</t>
  </si>
  <si>
    <t>3. Reduce both coal by 50%</t>
  </si>
  <si>
    <t>表4 运营数据 (单位：百万吨)</t>
  </si>
  <si>
    <t>商业煤产量</t>
  </si>
  <si>
    <t>煤炭销售量</t>
  </si>
  <si>
    <t>自产煤</t>
  </si>
  <si>
    <t>外购煤</t>
  </si>
  <si>
    <t>内蒙古</t>
  </si>
  <si>
    <t>表7 煤炭分部营业成本</t>
  </si>
  <si>
    <t>外购煤成本</t>
  </si>
  <si>
    <t>其他成本</t>
  </si>
  <si>
    <t>运输成本</t>
  </si>
  <si>
    <t>Note:</t>
  </si>
  <si>
    <r>
      <rPr>
        <b/>
        <sz val="10"/>
        <color theme="1"/>
        <rFont val="Calibri"/>
        <family val="2"/>
        <scheme val="minor"/>
      </rPr>
      <t xml:space="preserve">成本
</t>
    </r>
    <r>
      <rPr>
        <sz val="10"/>
        <color theme="1"/>
        <rFont val="Calibri"/>
        <family val="2"/>
        <scheme val="minor"/>
      </rPr>
      <t>(百万元)</t>
    </r>
  </si>
  <si>
    <t>表12 煤炭销售价格</t>
  </si>
  <si>
    <r>
      <rPr>
        <b/>
        <sz val="10"/>
        <color theme="1"/>
        <rFont val="Calibri"/>
        <family val="2"/>
        <scheme val="minor"/>
      </rPr>
      <t>销售量</t>
    </r>
    <r>
      <rPr>
        <sz val="10"/>
        <color theme="1"/>
        <rFont val="Calibri"/>
        <family val="2"/>
        <scheme val="minor"/>
      </rPr>
      <t xml:space="preserve">
(百万吨)</t>
    </r>
  </si>
  <si>
    <t>占销售量合计比例</t>
  </si>
  <si>
    <r>
      <rPr>
        <b/>
        <sz val="10"/>
        <color theme="1"/>
        <rFont val="Calibri"/>
        <family val="2"/>
        <scheme val="minor"/>
      </rPr>
      <t>价格(不含税)</t>
    </r>
    <r>
      <rPr>
        <sz val="10"/>
        <color theme="1"/>
        <rFont val="Calibri"/>
        <family val="2"/>
        <scheme val="minor"/>
      </rPr>
      <t xml:space="preserve">
(元/吨)</t>
    </r>
  </si>
  <si>
    <t>销售量合计/平均价格(不含税)</t>
  </si>
  <si>
    <t>I. 按合同定价分类</t>
  </si>
  <si>
    <t>i. 通过销售集团销售</t>
  </si>
  <si>
    <t>1. 年度长协</t>
  </si>
  <si>
    <t>2. 月度长协</t>
  </si>
  <si>
    <t>3. 现货</t>
  </si>
  <si>
    <t>ii. 煤矿坑口直接销售</t>
  </si>
  <si>
    <t>II. 按内外部客户分类</t>
  </si>
  <si>
    <t>i. 对外部客户销售</t>
  </si>
  <si>
    <t>ii. 对内部发电分部销售</t>
  </si>
  <si>
    <t>iii. 对内部煤化工分部销售</t>
  </si>
  <si>
    <t>III. 按销售区域分类</t>
  </si>
  <si>
    <t>i. 国内销售</t>
  </si>
  <si>
    <t>1.自产煤及采购煤</t>
  </si>
  <si>
    <t>直达</t>
  </si>
  <si>
    <t>下水</t>
  </si>
  <si>
    <t>2.国内贸易煤销售</t>
  </si>
  <si>
    <t>3.对内部煤化工分部销售</t>
  </si>
  <si>
    <t>ii. 出口销售</t>
  </si>
  <si>
    <t>iii. 境外销售</t>
  </si>
  <si>
    <t>Total</t>
  </si>
  <si>
    <t>电厂</t>
  </si>
  <si>
    <t>地理位置</t>
  </si>
  <si>
    <t>准能电力</t>
  </si>
  <si>
    <t>神东电力</t>
  </si>
  <si>
    <t>沧东电力</t>
  </si>
  <si>
    <t>河北</t>
  </si>
  <si>
    <t>定州电力</t>
  </si>
  <si>
    <t>台山电力</t>
  </si>
  <si>
    <t>广东</t>
  </si>
  <si>
    <t>惠州热电</t>
  </si>
  <si>
    <t>福建能源</t>
  </si>
  <si>
    <t>福建</t>
  </si>
  <si>
    <t>锦界能源</t>
  </si>
  <si>
    <t>陕西</t>
  </si>
  <si>
    <t>寿光电力</t>
  </si>
  <si>
    <t>山东</t>
  </si>
  <si>
    <t>九江电力</t>
  </si>
  <si>
    <t>江西</t>
  </si>
  <si>
    <t>四川</t>
  </si>
  <si>
    <t>孟津电力</t>
  </si>
  <si>
    <t>河南</t>
  </si>
  <si>
    <t>柳州电力</t>
  </si>
  <si>
    <t>广西</t>
  </si>
  <si>
    <t>南苏EMM</t>
  </si>
  <si>
    <t>印尼</t>
  </si>
  <si>
    <t>燃煤电厂合计/加权平均</t>
  </si>
  <si>
    <t>北京燃气</t>
  </si>
  <si>
    <t>北京</t>
  </si>
  <si>
    <t>2020年</t>
  </si>
  <si>
    <t>2019年</t>
  </si>
  <si>
    <r>
      <rPr>
        <b/>
        <sz val="10"/>
        <color theme="1"/>
        <rFont val="Calibri"/>
        <family val="2"/>
        <scheme val="minor"/>
      </rPr>
      <t>单位成本</t>
    </r>
    <r>
      <rPr>
        <sz val="10"/>
        <color theme="1"/>
        <rFont val="Calibri"/>
        <family val="2"/>
        <scheme val="minor"/>
      </rPr>
      <t xml:space="preserve">
(元/兆瓦时)</t>
    </r>
  </si>
  <si>
    <t>售电成本</t>
  </si>
  <si>
    <t>燃煤电厂售电成本合计</t>
  </si>
  <si>
    <t>燃煤电厂固定成本</t>
  </si>
  <si>
    <t>燃气水电总成本</t>
  </si>
  <si>
    <t>Estimated Gas&amp;Hydro Gross Revenue</t>
  </si>
  <si>
    <t>2020's estimated sales revenue &amp; cost by power types</t>
  </si>
  <si>
    <t>Power Dispatched</t>
  </si>
  <si>
    <t>Average Tariff</t>
  </si>
  <si>
    <t>Estimated Gross Revenue</t>
  </si>
  <si>
    <t>TWh</t>
  </si>
  <si>
    <t>RMB/MWh</t>
  </si>
  <si>
    <t>All Power</t>
  </si>
  <si>
    <t>Coal Power</t>
  </si>
  <si>
    <t>Estimated Coal Power Gross Revenue</t>
  </si>
  <si>
    <t>Estimated Coal Sales Cost</t>
  </si>
  <si>
    <t>Estimated Coal Power Gross Profit</t>
  </si>
  <si>
    <t>Estimated Coal Power Gross Profitability</t>
  </si>
  <si>
    <t>水电</t>
  </si>
  <si>
    <t>2. Reduced Purchased Coal by 50%</t>
  </si>
  <si>
    <t>Gas Power</t>
  </si>
  <si>
    <t>Hydro Power</t>
  </si>
  <si>
    <t>Railway*</t>
  </si>
  <si>
    <t>风电</t>
  </si>
  <si>
    <t>湖南</t>
  </si>
  <si>
    <t>光伏发电</t>
  </si>
  <si>
    <t>青海</t>
  </si>
  <si>
    <t>火电</t>
  </si>
  <si>
    <t>天津</t>
  </si>
  <si>
    <t>云南</t>
  </si>
  <si>
    <t>新疆</t>
  </si>
  <si>
    <t>甘肃</t>
  </si>
  <si>
    <t>宁夏</t>
  </si>
  <si>
    <t xml:space="preserve"> </t>
  </si>
  <si>
    <t>江苏</t>
  </si>
  <si>
    <t>Data from annual report's "报告期内电量、收入及成本情况"</t>
  </si>
  <si>
    <t>浙江</t>
  </si>
  <si>
    <t>折旧</t>
  </si>
  <si>
    <t>安徽</t>
  </si>
  <si>
    <t>燃料</t>
  </si>
  <si>
    <t>类型</t>
  </si>
  <si>
    <t>成本（亿元）</t>
  </si>
  <si>
    <t>成本构成项目</t>
  </si>
  <si>
    <t>收入（亿元）</t>
  </si>
  <si>
    <t>山西</t>
  </si>
  <si>
    <t>辽宁</t>
  </si>
  <si>
    <t>2018年</t>
  </si>
  <si>
    <t>经营地区/ 发电类型</t>
  </si>
  <si>
    <t>外购电量(万千瓦时)</t>
  </si>
  <si>
    <t xml:space="preserve">售电量(万千瓦时) </t>
  </si>
  <si>
    <t>上网电量(万千瓦时)</t>
  </si>
  <si>
    <t>发电量（万千瓦时）</t>
  </si>
  <si>
    <t>售电价 (元/兆瓦时)</t>
  </si>
  <si>
    <t>发电量(万千瓦时)</t>
  </si>
  <si>
    <t>电量电价情况（2020售电量数据未提供）</t>
  </si>
  <si>
    <t>Thermal Power</t>
  </si>
  <si>
    <t>Wind Power</t>
  </si>
  <si>
    <t>Solar Power</t>
  </si>
  <si>
    <t>Power Sale (MWh)</t>
  </si>
  <si>
    <t>Reduced Thermal Power by 25%</t>
  </si>
  <si>
    <t>Reduced Thermal Power by 50%</t>
  </si>
  <si>
    <t>Reduced Thermal Power by 75%</t>
  </si>
  <si>
    <t>Estimated Thermal Power Gross Revenue</t>
  </si>
  <si>
    <t>Estimated Thermal Sales Cost</t>
  </si>
  <si>
    <t>Estimated Thermal Power Gross Profit</t>
  </si>
  <si>
    <t>Estimated Thermal Power Gross Profitability</t>
  </si>
  <si>
    <t>燃煤燃料成本</t>
  </si>
  <si>
    <t>2019's estimated sales revenue &amp; cost by power types</t>
  </si>
  <si>
    <t>Estimated Revenue&amp; Cost under different coal reduction scenario using 2019 data</t>
  </si>
  <si>
    <t>Sell volumn</t>
  </si>
  <si>
    <t>Estimated Cost</t>
  </si>
  <si>
    <t>Coal Price</t>
  </si>
  <si>
    <t>Gross Sale Revenue</t>
  </si>
  <si>
    <t>Gross Sale Revenue = Sell Volumn * Coal Price</t>
  </si>
  <si>
    <t>Direct Arrival Coal</t>
  </si>
  <si>
    <t>Seaborne Coal</t>
  </si>
  <si>
    <t>Direct Arrival Sell volumn</t>
  </si>
  <si>
    <t>Seaborne Sell Volumn</t>
  </si>
  <si>
    <t>Total Sell Volumn</t>
  </si>
  <si>
    <t>Railway Cost</t>
  </si>
  <si>
    <t>Port Cost</t>
  </si>
  <si>
    <t>Shipping Cost</t>
  </si>
  <si>
    <t>Total Coal Sell Volumn</t>
  </si>
  <si>
    <t>固定成本</t>
  </si>
  <si>
    <t>Transportation unit cost = transportation cost / coal sales volume</t>
  </si>
  <si>
    <t>外购煤单位采购成本 = 外购煤成本/外购煤销售量</t>
  </si>
  <si>
    <t>运输单位成本 = 运输成本/ 煤炭销售量</t>
  </si>
  <si>
    <t>总销售成本 = 自产煤固定成本 + 外购煤购买量 X 单位采购成本 + (自产煤销售量+外购煤销售量) X 单位运输成本</t>
  </si>
  <si>
    <t>Purcahsed coal unit purchasing cost = purchased coal cost / purchased coal sales volume</t>
  </si>
  <si>
    <t>Total Sales Cost = Self-produced Fixed cost + Purchased volume * Unit Purchasing Cost + (self-produced + purchased coal sales volume) * Unit Transportation Cost</t>
  </si>
  <si>
    <t>运输量</t>
  </si>
  <si>
    <t>原材料单位成本</t>
  </si>
  <si>
    <t>运输单位成本</t>
  </si>
  <si>
    <t># 铁路运输量 = 直达煤销售量+下水煤销售量+2020年非煤货物运输量(20.8百万吨)</t>
  </si>
  <si>
    <t>Railway Transport Volume =  Sales volume of direct arrival &amp; seborne coal + non-coal product transport volume in 2020</t>
  </si>
  <si>
    <t>固定成本 = 人工成本 + 折旧及摊销 + 其他内部运输业务成本 + 其他业务成本</t>
  </si>
  <si>
    <t>Fixed cost = personnel + depreciations + other internal transportation cost + other operation cost</t>
  </si>
  <si>
    <t>原材料单位成本 = 原材料、燃料及动力成本/销售量</t>
  </si>
  <si>
    <t>Raw material unit cost = raw matieral cost / coal sale volume</t>
  </si>
  <si>
    <t>Transportation unit cost = transportation cost / coal sell volume</t>
  </si>
  <si>
    <t>Transportation cost = external transport cost + external client transport cost</t>
  </si>
  <si>
    <t>运输成本 = 外部运输费+外部运输业务成本</t>
  </si>
  <si>
    <r>
      <rPr>
        <b/>
        <sz val="11"/>
        <color theme="1"/>
        <rFont val="Calibri"/>
        <family val="2"/>
        <scheme val="minor"/>
      </rPr>
      <t>Note:</t>
    </r>
    <r>
      <rPr>
        <sz val="11"/>
        <color theme="1"/>
        <rFont val="Calibri"/>
        <family val="2"/>
        <charset val="134"/>
        <scheme val="minor"/>
      </rPr>
      <t>No total transported volume or coal transported volume is provided by the annual report, therefore calculate railwy transported volume by adding up the sales volume of seabone &amp; direct arrival coal and non-coal products. The total transported volume in practice would be larger, and the unit transportation cost will be lower. 
注意：神华的铁路会运输本公司和其他公司的煤炭和非煤货物，然后年报中只给出了神华煤炭销售量及本公司非煤货物运输量，并不知道实际的煤炭运输量及总运输量。因此上述方式计算得出的铁路货物运输量会小于实际中的运输量，因此运输单位成本将会偏高。</t>
    </r>
  </si>
  <si>
    <r>
      <rPr>
        <b/>
        <sz val="11"/>
        <color theme="1"/>
        <rFont val="Calibri"/>
        <family val="2"/>
        <scheme val="minor"/>
      </rPr>
      <t>Note:</t>
    </r>
    <r>
      <rPr>
        <sz val="11"/>
        <color theme="1"/>
        <rFont val="Calibri"/>
        <family val="2"/>
        <charset val="134"/>
        <scheme val="minor"/>
      </rPr>
      <t xml:space="preserve"> The difference between "internal client transport (内部运输业务)" and "external client transport (外部运输业务)" is about who is paying for the transportation fee. The "external transport cost (外部运输费)" under "internal client transport" basically referes to "other transport cost" including ship renting fees and highway transport fees.
注意：内部运输业务和外部运输业务区别在于费用的付款方，内部客户付款则为内部运输业务。内部运输业务中的外部运输费基本上就是“其他运输费”包括了船舶租聘费和公路运输费。</t>
    </r>
  </si>
  <si>
    <t xml:space="preserve">% of seaborne coal loded at ports = </t>
  </si>
  <si>
    <t xml:space="preserve">% of seaborne coal shipped = </t>
  </si>
  <si>
    <t>Unit Variable Cost = Unit Transportation Cost + Unit Mateiral Cost</t>
  </si>
  <si>
    <t>Railway Cost = (Coal Sell volume + non-coal transport volume) * Unit Variable Cost + Fixed cost</t>
  </si>
  <si>
    <t>Port Cost = Fixed Cost + % of seaborne coal loaded at ports in 2020 * Seaborne coal sell volumn * Unit Variable Cost</t>
  </si>
  <si>
    <t>单位变动成本</t>
  </si>
  <si>
    <t>单位变动成本 = 单位运输成本 + 单位原材料成本</t>
  </si>
  <si>
    <t>Shipping Cost = Fixed Cost + % of seaborne coal shipped in 2020 * Seaborne coal sell volumn * Unit Variable Cost</t>
  </si>
  <si>
    <t>毛销售利润 = 销售量 * 煤价</t>
  </si>
  <si>
    <t>铁路运输费用 = （下水煤&amp;直达煤销售量+非煤货物运输量）X 单位变动成本 + 固定成本</t>
  </si>
  <si>
    <t>港口运输费用 = 固定成本 + 下水煤销售量 X 下水煤中装船量百分比 X 单位变动成本</t>
  </si>
  <si>
    <t>航运运输费用 = 固定成本 + 下水煤销售量 X 下水煤中航运量百分比 X 单位变动成本</t>
  </si>
  <si>
    <t>Reduce Coal by 50%</t>
  </si>
  <si>
    <t>Coal Production &amp; Sales</t>
  </si>
  <si>
    <t>Coal Power Generation</t>
  </si>
  <si>
    <t>Transportation</t>
  </si>
  <si>
    <t>Estimated Revenue</t>
  </si>
  <si>
    <t>2020 Data</t>
  </si>
  <si>
    <t>Change in Gross Profitability</t>
  </si>
  <si>
    <t>Sale/Transported Volume</t>
  </si>
  <si>
    <t>单位销售利润</t>
  </si>
  <si>
    <t>Unit Sale Revenue = Sale Revenue / Transport Volume</t>
  </si>
  <si>
    <t>单位销售利润 = 分部收入小计/运输量</t>
  </si>
  <si>
    <t>Million tons</t>
  </si>
  <si>
    <t>Same coal reduction scenario but with 2021's high coal price (588 RMB/ton)</t>
  </si>
  <si>
    <t>Coal price in "coal production segment" is 410 RMB/ton</t>
  </si>
  <si>
    <t>Coal price in "coal production segment" is 588 RMB/ton</t>
  </si>
  <si>
    <t>1. Reduced Coal Power by 25%</t>
  </si>
  <si>
    <t>2. Reduced Coal Power by 50%</t>
  </si>
  <si>
    <t>3. Reduced Coal Power by 75%</t>
  </si>
  <si>
    <t>1. Cut both coal by 50%</t>
  </si>
  <si>
    <t>2. Cut seaborne coal  till total coal sell reduce by 50%</t>
  </si>
  <si>
    <t>Cutting self-produced and purchased coal sale volume by 50% - See coal unit scenario 3</t>
  </si>
  <si>
    <t>Cutting coal power dispatch volume by 50% - See power unit scenario 2</t>
  </si>
  <si>
    <t>Cutting direct arrival &amp; seaborne coal transport sale volume by 50% - See transportation unit scenario 1</t>
  </si>
  <si>
    <t>4. Reduce total coal by 50% and cut purchased coal first</t>
  </si>
  <si>
    <t>5. Reduced Self-produced Coal by 50%</t>
  </si>
  <si>
    <t>6. Reduced Purchased Coal by 50%</t>
  </si>
  <si>
    <t>7. Reduce both coal by 50%</t>
  </si>
  <si>
    <t>Cutting total coal by 50% and cut purchased coal first - See coal unit scenario 4</t>
  </si>
  <si>
    <t>Note</t>
  </si>
  <si>
    <t>Reduce Coal by 50% but cut purchased coal first</t>
  </si>
  <si>
    <t>Reduce Coal by 50% but cut purchased coal first and seaborne coal first</t>
  </si>
  <si>
    <t>Others remain the same as the table above</t>
  </si>
  <si>
    <t>Cutting transported volume by half and cut seaborne coal first - See transportation unit scenario 2</t>
  </si>
  <si>
    <t>Exactly the left table but use 2021's high coal price in coal production &amp; sale segment - See coal unit scenario 8</t>
  </si>
  <si>
    <t>Weighted Tariff  (RMB/MWh)</t>
  </si>
  <si>
    <t>Note: Weighted tariff is calculated in the financial repory summary excel</t>
  </si>
  <si>
    <r>
      <rPr>
        <b/>
        <sz val="11"/>
        <color theme="1"/>
        <rFont val="Calibri"/>
        <family val="2"/>
        <scheme val="minor"/>
      </rPr>
      <t xml:space="preserve">Note: </t>
    </r>
    <r>
      <rPr>
        <sz val="11"/>
        <color theme="1"/>
        <rFont val="Calibri"/>
        <family val="2"/>
        <scheme val="minor"/>
      </rPr>
      <t xml:space="preserve">Starting from 2020, "other costs (其他成本)" reported in annual reports does not separate "other production cost (其他生产成本)" and "other operation cost (其他业务成本)." "Other production cost" is part of self-produced coal production cost, while "other operation cost" belongs to neither self-produced nor purchased coal. "Other production cost" takes up most of "other cost". In 2019, other production cost = 13,274 RMB, other operation cost = 3,722 RMB. Because the breakdown of "other cost" is not available, below analysis </t>
    </r>
    <r>
      <rPr>
        <b/>
        <sz val="11"/>
        <color theme="1"/>
        <rFont val="Calibri"/>
        <family val="2"/>
        <scheme val="minor"/>
      </rPr>
      <t xml:space="preserve">assumes that </t>
    </r>
    <r>
      <rPr>
        <b/>
        <i/>
        <sz val="11"/>
        <color theme="1"/>
        <rFont val="Calibri"/>
        <family val="2"/>
        <scheme val="minor"/>
      </rPr>
      <t>other costs is part of self-produced coal's production cost.</t>
    </r>
    <r>
      <rPr>
        <i/>
        <sz val="11"/>
        <color theme="1"/>
        <rFont val="Calibri"/>
        <family val="2"/>
        <scheme val="minor"/>
      </rPr>
      <t xml:space="preserve">
</t>
    </r>
    <r>
      <rPr>
        <sz val="11"/>
        <color theme="1"/>
        <rFont val="Calibri"/>
        <family val="2"/>
        <scheme val="minor"/>
      </rPr>
      <t>注意：从2020年报开始，“其他生产成本”和“其他业务成本”被合并为“其他成本”。“其他生产成本”属于自产煤固定成本，“其他业务成本”属于自产煤和外购煤以外的生产成本。因为“其他成本”中绝大多数为“其他生产成本”，</t>
    </r>
    <r>
      <rPr>
        <i/>
        <sz val="11"/>
        <color theme="1"/>
        <rFont val="Calibri"/>
        <family val="2"/>
        <scheme val="minor"/>
      </rPr>
      <t>在以下计算中假设“其他成本”完全为自产煤的固定成本。</t>
    </r>
  </si>
  <si>
    <t>Estimated Revenue&amp; Cost under different coal reduction scenario using 2020 sale volumn data</t>
  </si>
  <si>
    <r>
      <t xml:space="preserve">表8 </t>
    </r>
    <r>
      <rPr>
        <b/>
        <sz val="10"/>
        <color rgb="FFFF0000"/>
        <rFont val="Calibri"/>
        <family val="2"/>
        <scheme val="minor"/>
      </rPr>
      <t>发电分部</t>
    </r>
    <r>
      <rPr>
        <b/>
        <sz val="10"/>
        <color theme="1"/>
        <rFont val="Calibri"/>
        <family val="2"/>
        <scheme val="minor"/>
      </rPr>
      <t>营业成本（包含燃煤+燃气+水电）</t>
    </r>
  </si>
  <si>
    <t>Even though starting from 2021, 维修费 is account as part of 售电成本, the below analysis in 2022 June working paper does not include 维修费 at all.</t>
  </si>
  <si>
    <t>2021年</t>
  </si>
  <si>
    <r>
      <rPr>
        <b/>
        <sz val="10"/>
        <color theme="1"/>
        <rFont val="Calibri"/>
        <family val="2"/>
        <scheme val="minor"/>
      </rPr>
      <t xml:space="preserve">售电量
</t>
    </r>
    <r>
      <rPr>
        <sz val="10"/>
        <color theme="1"/>
        <rFont val="Calibri"/>
        <family val="2"/>
        <scheme val="minor"/>
      </rPr>
      <t>(亿千瓦时)</t>
    </r>
  </si>
  <si>
    <t>2020燃煤电厂固定成本</t>
  </si>
  <si>
    <t>2020燃料单位成本</t>
  </si>
  <si>
    <t>2021燃料单位成本</t>
  </si>
  <si>
    <t>2020燃煤加权平均售电价</t>
  </si>
  <si>
    <t>2021燃煤加权平均售电价</t>
  </si>
  <si>
    <t>维修费</t>
  </si>
  <si>
    <t>燃煤电厂固定成本 = 人工成本 + 折旧及摊销 + 其他成本</t>
  </si>
  <si>
    <t>Weighted Average Tariff</t>
  </si>
  <si>
    <t>营业成本合计（重述前）</t>
  </si>
  <si>
    <t>2021年起售电成本开始包含维修费，第4行中的售电成本包含维修费，重述前营业成本为不包含维修费的营业成本。</t>
  </si>
  <si>
    <t>营业成本 = 售电成本 + 其他业务成本</t>
  </si>
  <si>
    <r>
      <t>本集团合并抵销前</t>
    </r>
    <r>
      <rPr>
        <b/>
        <sz val="10"/>
        <color rgb="FFFF0000"/>
        <rFont val="Calibri"/>
        <family val="2"/>
        <scheme val="minor"/>
      </rPr>
      <t>燃煤电厂</t>
    </r>
    <r>
      <rPr>
        <b/>
        <sz val="10"/>
        <color theme="1"/>
        <rFont val="Calibri"/>
        <family val="2"/>
        <scheme val="minor"/>
      </rPr>
      <t>售电成本</t>
    </r>
  </si>
  <si>
    <r>
      <rPr>
        <b/>
        <sz val="10"/>
        <color theme="1"/>
        <rFont val="Calibri"/>
        <family val="2"/>
        <scheme val="minor"/>
      </rPr>
      <t>煤电售电量</t>
    </r>
    <r>
      <rPr>
        <sz val="10"/>
        <color theme="1"/>
        <rFont val="Calibri"/>
        <family val="2"/>
        <scheme val="minor"/>
      </rPr>
      <t xml:space="preserve">
(亿千瓦时)</t>
    </r>
  </si>
  <si>
    <t>燃煤电厂售电成本合计
（重述前）</t>
  </si>
  <si>
    <t>Estimated Revenue&amp; Cost under different coal reduction scenario using 2020 sale voumn and 2021 higher material cost &amp; higher coal power price</t>
  </si>
  <si>
    <t>2021年起售电成本开始包含维修费，重述前售电成本为不包含维修费的售电成本。</t>
  </si>
  <si>
    <t>4. Reduced Coal Power by 25%</t>
  </si>
  <si>
    <t>5. Reduced Coal Power by 50%</t>
  </si>
  <si>
    <t>6. Reduced Coal Power by 75%</t>
  </si>
  <si>
    <t>6. No reduction</t>
  </si>
  <si>
    <t>总计</t>
  </si>
  <si>
    <t>燃煤电厂</t>
  </si>
  <si>
    <t>年底权益装机容量
(兆瓦)</t>
  </si>
  <si>
    <t>年底总装机容量
(兆瓦)</t>
  </si>
  <si>
    <r>
      <rPr>
        <b/>
        <sz val="10"/>
        <color theme="1"/>
        <rFont val="Calibri"/>
        <family val="2"/>
        <scheme val="minor"/>
      </rPr>
      <t>加权售电电价</t>
    </r>
    <r>
      <rPr>
        <sz val="10"/>
        <color theme="1"/>
        <rFont val="Calibri"/>
        <family val="2"/>
        <scheme val="minor"/>
      </rPr>
      <t xml:space="preserve">
(元/兆瓦时)</t>
    </r>
  </si>
  <si>
    <r>
      <rPr>
        <b/>
        <sz val="10"/>
        <color theme="1"/>
        <rFont val="Calibri"/>
        <family val="2"/>
        <scheme val="minor"/>
      </rPr>
      <t>总售电量</t>
    </r>
    <r>
      <rPr>
        <sz val="10"/>
        <color theme="1"/>
        <rFont val="Calibri"/>
        <family val="2"/>
        <scheme val="minor"/>
      </rPr>
      <t xml:space="preserve">
(亿千瓦时)</t>
    </r>
  </si>
  <si>
    <t>/</t>
  </si>
  <si>
    <t>全部电厂合计</t>
  </si>
  <si>
    <t>–</t>
  </si>
  <si>
    <t>南方电网</t>
  </si>
  <si>
    <t>珠海风能</t>
  </si>
  <si>
    <t>风能</t>
  </si>
  <si>
    <t>四川省地方电网</t>
  </si>
  <si>
    <t>四川能源</t>
  </si>
  <si>
    <t>华东电网</t>
  </si>
  <si>
    <t>余姚电力</t>
  </si>
  <si>
    <t>燃气</t>
  </si>
  <si>
    <t>华北电网</t>
  </si>
  <si>
    <t>5,32 6</t>
  </si>
  <si>
    <t>PLN</t>
  </si>
  <si>
    <t>燃煤</t>
  </si>
  <si>
    <t>湖南电网</t>
  </si>
  <si>
    <t>永州电力</t>
  </si>
  <si>
    <t>广西电网</t>
  </si>
  <si>
    <t>华中电网</t>
  </si>
  <si>
    <t>四川电网</t>
  </si>
  <si>
    <t>盘山电力</t>
  </si>
  <si>
    <t>西北电网</t>
  </si>
  <si>
    <t>宁东电力</t>
  </si>
  <si>
    <t>浙江电网</t>
  </si>
  <si>
    <t>国华宁东</t>
  </si>
  <si>
    <t>神木电力</t>
  </si>
  <si>
    <t>z</t>
  </si>
  <si>
    <t>绥中电力</t>
  </si>
  <si>
    <t>徐州电力</t>
  </si>
  <si>
    <t>陈家港电力</t>
  </si>
  <si>
    <t>太仓电力</t>
  </si>
  <si>
    <t>神皖能源</t>
  </si>
  <si>
    <t>舟山电力</t>
  </si>
  <si>
    <t>浙能电力</t>
  </si>
  <si>
    <t>三河电力</t>
  </si>
  <si>
    <t>胜利能源</t>
  </si>
  <si>
    <t>西北/华北/
陕西省地方电网</t>
  </si>
  <si>
    <t>国华呼电</t>
  </si>
  <si>
    <t>国华准格尔</t>
  </si>
  <si>
    <r>
      <rPr>
        <b/>
        <sz val="10"/>
        <color theme="1"/>
        <rFont val="Calibri"/>
        <family val="2"/>
        <scheme val="minor"/>
      </rPr>
      <t>年底权益装机容量</t>
    </r>
    <r>
      <rPr>
        <sz val="10"/>
        <color theme="1"/>
        <rFont val="Calibri"/>
        <family val="2"/>
        <scheme val="minor"/>
      </rPr>
      <t xml:space="preserve">
(兆瓦)</t>
    </r>
  </si>
  <si>
    <r>
      <rPr>
        <b/>
        <sz val="10"/>
        <color theme="1"/>
        <rFont val="Calibri"/>
        <family val="2"/>
        <scheme val="minor"/>
      </rPr>
      <t>年底总装机容量</t>
    </r>
    <r>
      <rPr>
        <sz val="10"/>
        <color theme="1"/>
        <rFont val="Calibri"/>
        <family val="2"/>
        <scheme val="minor"/>
      </rPr>
      <t xml:space="preserve">
(兆瓦)</t>
    </r>
  </si>
  <si>
    <r>
      <rPr>
        <b/>
        <sz val="10"/>
        <color theme="1"/>
        <rFont val="Calibri"/>
        <family val="2"/>
        <scheme val="minor"/>
      </rPr>
      <t>售电电价</t>
    </r>
    <r>
      <rPr>
        <sz val="10"/>
        <color theme="1"/>
        <rFont val="Calibri"/>
        <family val="2"/>
        <scheme val="minor"/>
      </rPr>
      <t xml:space="preserve">
(元/兆瓦时)</t>
    </r>
  </si>
  <si>
    <r>
      <rPr>
        <b/>
        <sz val="10"/>
        <color theme="1"/>
        <rFont val="Calibri"/>
        <family val="2"/>
        <scheme val="minor"/>
      </rPr>
      <t>售电标准煤耗</t>
    </r>
    <r>
      <rPr>
        <sz val="10"/>
        <color theme="1"/>
        <rFont val="Calibri"/>
        <family val="2"/>
        <scheme val="minor"/>
      </rPr>
      <t xml:space="preserve">
(克/千瓦时)</t>
    </r>
  </si>
  <si>
    <r>
      <rPr>
        <b/>
        <sz val="10"/>
        <color theme="1"/>
        <rFont val="Calibri"/>
        <family val="2"/>
        <scheme val="minor"/>
      </rPr>
      <t>平均利用小时</t>
    </r>
    <r>
      <rPr>
        <sz val="10"/>
        <color theme="1"/>
        <rFont val="Calibri"/>
        <family val="2"/>
        <scheme val="minor"/>
      </rPr>
      <t xml:space="preserve">
(小时)</t>
    </r>
  </si>
  <si>
    <r>
      <rPr>
        <b/>
        <sz val="10"/>
        <color theme="1"/>
        <rFont val="Calibri"/>
        <family val="2"/>
        <scheme val="minor"/>
      </rPr>
      <t>总发电量</t>
    </r>
    <r>
      <rPr>
        <sz val="10"/>
        <color theme="1"/>
        <rFont val="Calibri"/>
        <family val="2"/>
        <scheme val="minor"/>
      </rPr>
      <t xml:space="preserve">
(亿千瓦时)</t>
    </r>
  </si>
  <si>
    <t>计算Q38中的加权平均售电电价</t>
  </si>
  <si>
    <r>
      <t xml:space="preserve">预测毛利润
</t>
    </r>
    <r>
      <rPr>
        <sz val="10"/>
        <color theme="1"/>
        <rFont val="Calibri"/>
        <family val="2"/>
        <scheme val="minor"/>
      </rPr>
      <t>(百万元)</t>
    </r>
  </si>
  <si>
    <t>计算I38中的加权平均售电电价</t>
  </si>
  <si>
    <t>所在电网</t>
  </si>
  <si>
    <t>电厂分类</t>
  </si>
  <si>
    <t>8. Reduce total coal by 50% and cut purchased coal first</t>
  </si>
  <si>
    <t>Reduce Coal by 50%, with 2021's high coal price and high coal power tariff &amp; coal power material cost</t>
  </si>
  <si>
    <t>Reduce Coal by 50% but cut purchased coal first, with 2021's high coal price and high coal power tariff &amp; coal power material cost</t>
  </si>
  <si>
    <t>Reduce Coal by 50% but cut purchased coal first and seaborne coal first, with 2021's high coal price and high coal power tariff &amp; coal power material cost</t>
  </si>
  <si>
    <t>Using 2021's high coal price in coal production &amp; sale segment - See coal unit scenario 7</t>
  </si>
  <si>
    <t>Using 2021's high coal power tariff &amp; coal power material cost - See power cost scenario 5</t>
  </si>
  <si>
    <t>燃料 - 单位成本</t>
  </si>
  <si>
    <t>Self-produced coal Fixed Cost = personnel + depreciations + other costs</t>
  </si>
  <si>
    <t>自产煤固定成本 = 人工成本 + 折旧及摊销 + 其他成本</t>
  </si>
  <si>
    <t>燃料单位成本 = 原材料、燃料及动力/煤炭销售量</t>
  </si>
  <si>
    <t>Material unit cost = material cost / coal sales volume</t>
  </si>
  <si>
    <t>Purchased Coal Sales Cost = Purchase Volumn * (Unit Purchase Cost + Unit Transportation Cost)</t>
  </si>
  <si>
    <t>Self-produced Coal Sales Cost = Fixed Cost + Self-produce Volume * (Unit Material Cost + Unit Transportation Cost)</t>
  </si>
  <si>
    <t>Fixed cost = personnel + depreciations + other production cost</t>
  </si>
  <si>
    <t>Coal Power Unit Material Cost = 187 RMB/MWh; Coal Power Weighted Average Tariff = 327 RMB/MWh</t>
  </si>
  <si>
    <t>Coal Power Unit Material Cost = 263.4 RMB/MWh; Coal Power Weighted Average Tariff = 343 RMB/MWh</t>
  </si>
  <si>
    <t>Purchased Coal
Variable Cost</t>
  </si>
  <si>
    <t>Fixed Cost
Variable Cost</t>
  </si>
  <si>
    <t>RMB/Ton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</si>
</sst>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 #,##0.00_ ;_ * \-#,##0.00_ ;_ * &quot;-&quot;??_ ;_ @_ "/>
    <numFmt numFmtId="165" formatCode="0.0"/>
    <numFmt numFmtId="166" formatCode="_ * #,##0.0_ ;_ * \-#,##0.0_ ;_ * &quot;-&quot;??_ ;_ @_ "/>
    <numFmt numFmtId="167" formatCode="_ * #,##0_ ;_ * \-#,##0_ ;_ * &quot;-&quot;??_ ;_ @_ "/>
    <numFmt numFmtId="168" formatCode="0.0%"/>
    <numFmt numFmtId="169" formatCode="#,##0.0"/>
  </numFmts>
  <fonts count="19">
    <font>
      <sz val="11"/>
      <color theme="1"/>
      <name val="Calibri"/>
      <family val="2"/>
      <charset val="134"/>
      <scheme val="minor"/>
    </font>
    <font>
      <sz val="11"/>
      <color theme="1"/>
      <name val="Calibri"/>
      <family val="2"/>
      <charset val="134"/>
      <scheme val="minor"/>
    </font>
    <font>
      <b/>
      <sz val="10"/>
      <color theme="1"/>
      <name val="Calibri"/>
      <family val="2"/>
      <scheme val="minor"/>
    </font>
    <font>
      <sz val="10"/>
      <color theme="1"/>
      <name val="Calibri"/>
      <family val="2"/>
      <scheme val="minor"/>
    </font>
    <font>
      <b/>
      <sz val="11"/>
      <color theme="1"/>
      <name val="Calibri"/>
      <family val="2"/>
      <scheme val="minor"/>
    </font>
    <font>
      <sz val="11"/>
      <name val="Calibri"/>
      <family val="2"/>
      <scheme val="minor"/>
    </font>
    <font>
      <sz val="11"/>
      <color rgb="FFFF0000"/>
      <name val="Calibri"/>
      <family val="2"/>
      <charset val="134"/>
      <scheme val="minor"/>
    </font>
    <font>
      <sz val="11"/>
      <color theme="1"/>
      <name val="Calibri"/>
      <family val="2"/>
      <scheme val="minor"/>
    </font>
    <font>
      <sz val="10"/>
      <name val="Arial"/>
      <family val="2"/>
      <charset val="134"/>
    </font>
    <font>
      <b/>
      <sz val="10"/>
      <color rgb="FFFFFFFF"/>
      <name val="Calibri"/>
      <family val="2"/>
      <charset val="134"/>
    </font>
    <font>
      <sz val="10"/>
      <color rgb="FF000000"/>
      <name val="Calibri"/>
      <family val="2"/>
      <charset val="134"/>
    </font>
    <font>
      <b/>
      <sz val="10.5"/>
      <color rgb="FF000000"/>
      <name val="宋体"/>
      <charset val="134"/>
    </font>
    <font>
      <sz val="10.5"/>
      <color rgb="FF000000"/>
      <name val="宋体"/>
      <charset val="134"/>
    </font>
    <font>
      <sz val="11"/>
      <name val="Calibri"/>
      <family val="2"/>
      <charset val="134"/>
      <scheme val="minor"/>
    </font>
    <font>
      <i/>
      <sz val="10"/>
      <color theme="1"/>
      <name val="Calibri"/>
      <family val="2"/>
      <scheme val="minor"/>
    </font>
    <font>
      <i/>
      <sz val="11"/>
      <color theme="1"/>
      <name val="Calibri"/>
      <family val="2"/>
      <scheme val="minor"/>
    </font>
    <font>
      <b/>
      <i/>
      <sz val="11"/>
      <color theme="1"/>
      <name val="Calibri"/>
      <family val="2"/>
      <scheme val="minor"/>
    </font>
    <font>
      <b/>
      <sz val="10"/>
      <color rgb="FFFF0000"/>
      <name val="Calibri"/>
      <family val="2"/>
      <scheme val="minor"/>
    </font>
    <font>
      <b/>
      <sz val="11"/>
      <name val="Calibri"/>
      <family val="2"/>
      <scheme val="minor"/>
    </font>
  </fonts>
  <fills count="22">
    <fill>
      <patternFill patternType="none"/>
    </fill>
    <fill>
      <patternFill patternType="gray125"/>
    </fill>
    <fill>
      <patternFill patternType="solid">
        <fgColor theme="7"/>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C000"/>
        <bgColor indexed="64"/>
      </patternFill>
    </fill>
    <fill>
      <patternFill patternType="solid">
        <fgColor theme="4" tint="0.79998168889431442"/>
        <bgColor indexed="64"/>
      </patternFill>
    </fill>
    <fill>
      <patternFill patternType="solid">
        <fgColor rgb="FFE48312"/>
        <bgColor indexed="64"/>
      </patternFill>
    </fill>
    <fill>
      <patternFill patternType="solid">
        <fgColor rgb="FFF5D8CA"/>
        <bgColor indexed="64"/>
      </patternFill>
    </fill>
    <fill>
      <patternFill patternType="solid">
        <fgColor rgb="FFFAECE6"/>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6" tint="0.59999389629810485"/>
        <bgColor indexed="64"/>
      </patternFill>
    </fill>
  </fills>
  <borders count="2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bottom style="medium">
        <color rgb="FFFFFFFF"/>
      </bottom>
      <diagonal/>
    </border>
    <border>
      <left/>
      <right/>
      <top/>
      <bottom style="medium">
        <color rgb="FFFFFFFF"/>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s>
  <cellStyleXfs count="4">
    <xf numFmtId="0" fontId="0" fillId="0" borderId="0"/>
    <xf numFmtId="9" fontId="1" fillId="0" borderId="0" applyFont="0" applyFill="0" applyBorder="0" applyAlignment="0" applyProtection="0"/>
    <xf numFmtId="0" fontId="7" fillId="0" borderId="0"/>
    <xf numFmtId="9" fontId="7" fillId="0" borderId="0" applyFont="0" applyFill="0" applyBorder="0" applyAlignment="0" applyProtection="0"/>
  </cellStyleXfs>
  <cellXfs count="394">
    <xf numFmtId="0" fontId="0" fillId="0" borderId="0" xfId="0"/>
    <xf numFmtId="0" fontId="3" fillId="0" borderId="7" xfId="0" applyFont="1" applyBorder="1" applyAlignment="1">
      <alignment horizontal="left" vertical="center"/>
    </xf>
    <xf numFmtId="0" fontId="2" fillId="0" borderId="7" xfId="0" applyFont="1" applyBorder="1" applyAlignment="1">
      <alignment horizontal="left" vertical="center"/>
    </xf>
    <xf numFmtId="0" fontId="2" fillId="0" borderId="9" xfId="0" applyFont="1" applyBorder="1" applyAlignment="1">
      <alignment horizontal="left" vertical="center"/>
    </xf>
    <xf numFmtId="0" fontId="0" fillId="0" borderId="12" xfId="0" applyBorder="1"/>
    <xf numFmtId="166" fontId="0" fillId="0" borderId="12" xfId="0" applyNumberFormat="1" applyBorder="1" applyAlignment="1">
      <alignment horizontal="right"/>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2" xfId="0" applyFont="1" applyBorder="1" applyAlignment="1">
      <alignment horizontal="left" vertical="center"/>
    </xf>
    <xf numFmtId="0" fontId="2" fillId="0" borderId="3" xfId="0" applyFont="1" applyBorder="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vertical="center"/>
    </xf>
    <xf numFmtId="0" fontId="3" fillId="0" borderId="8" xfId="0" applyFont="1" applyBorder="1" applyAlignment="1">
      <alignment horizontal="left" vertical="center"/>
    </xf>
    <xf numFmtId="0" fontId="3" fillId="0" borderId="7" xfId="0" applyFont="1" applyBorder="1" applyAlignment="1">
      <alignment horizontal="left" vertical="center" wrapText="1"/>
    </xf>
    <xf numFmtId="0" fontId="3" fillId="0" borderId="9" xfId="0" applyFont="1" applyBorder="1" applyAlignment="1">
      <alignment horizontal="left" vertical="center" wrapText="1"/>
    </xf>
    <xf numFmtId="0" fontId="3" fillId="0" borderId="10" xfId="0" applyFont="1" applyBorder="1" applyAlignment="1">
      <alignment horizontal="left" vertical="center" wrapText="1"/>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4" fillId="5" borderId="12" xfId="0" applyFont="1" applyFill="1" applyBorder="1"/>
    <xf numFmtId="166" fontId="0" fillId="0" borderId="12" xfId="0" applyNumberFormat="1" applyBorder="1"/>
    <xf numFmtId="1" fontId="0" fillId="0" borderId="0" xfId="0" applyNumberFormat="1"/>
    <xf numFmtId="166" fontId="0" fillId="0" borderId="0" xfId="0" applyNumberFormat="1"/>
    <xf numFmtId="169" fontId="3" fillId="0" borderId="0" xfId="0" applyNumberFormat="1" applyFont="1" applyAlignment="1">
      <alignment horizontal="right" vertical="center"/>
    </xf>
    <xf numFmtId="169" fontId="3" fillId="0" borderId="12" xfId="0" applyNumberFormat="1" applyFont="1" applyBorder="1" applyAlignment="1">
      <alignment horizontal="right" vertical="center"/>
    </xf>
    <xf numFmtId="169" fontId="3" fillId="0" borderId="0" xfId="0" applyNumberFormat="1" applyFont="1" applyAlignment="1">
      <alignment horizontal="left" vertical="center"/>
    </xf>
    <xf numFmtId="0" fontId="3" fillId="0" borderId="4" xfId="0" applyFont="1" applyBorder="1" applyAlignment="1">
      <alignment horizontal="left" vertical="center"/>
    </xf>
    <xf numFmtId="0" fontId="3" fillId="0" borderId="9" xfId="0" applyFont="1" applyBorder="1" applyAlignment="1">
      <alignment horizontal="left" vertical="center"/>
    </xf>
    <xf numFmtId="0" fontId="2" fillId="0" borderId="11" xfId="0" applyFont="1" applyBorder="1" applyAlignment="1">
      <alignment horizontal="left" vertical="center"/>
    </xf>
    <xf numFmtId="0" fontId="2" fillId="0" borderId="10" xfId="0" applyFont="1" applyBorder="1" applyAlignment="1">
      <alignment horizontal="left" vertical="center"/>
    </xf>
    <xf numFmtId="3" fontId="3" fillId="0" borderId="7" xfId="0" applyNumberFormat="1" applyFont="1" applyBorder="1" applyAlignment="1">
      <alignment horizontal="left" vertical="center"/>
    </xf>
    <xf numFmtId="3" fontId="3" fillId="0" borderId="8" xfId="0" applyNumberFormat="1" applyFont="1" applyBorder="1" applyAlignment="1">
      <alignment horizontal="left" vertical="center"/>
    </xf>
    <xf numFmtId="3" fontId="3" fillId="0" borderId="9" xfId="0" applyNumberFormat="1" applyFont="1" applyBorder="1" applyAlignment="1">
      <alignment horizontal="left" vertical="center"/>
    </xf>
    <xf numFmtId="3" fontId="3" fillId="0" borderId="11" xfId="0" applyNumberFormat="1" applyFont="1" applyBorder="1" applyAlignment="1">
      <alignment horizontal="left" vertical="center"/>
    </xf>
    <xf numFmtId="3" fontId="3" fillId="0" borderId="10" xfId="0" applyNumberFormat="1" applyFont="1" applyBorder="1" applyAlignment="1">
      <alignment horizontal="left" vertical="center"/>
    </xf>
    <xf numFmtId="3" fontId="2" fillId="0" borderId="7" xfId="0" applyNumberFormat="1" applyFont="1" applyBorder="1" applyAlignment="1">
      <alignment horizontal="left" vertical="center"/>
    </xf>
    <xf numFmtId="3" fontId="2" fillId="0" borderId="8" xfId="0" applyNumberFormat="1" applyFont="1" applyBorder="1" applyAlignment="1">
      <alignment horizontal="left" vertical="center"/>
    </xf>
    <xf numFmtId="3" fontId="2" fillId="0" borderId="0" xfId="0" applyNumberFormat="1" applyFont="1" applyAlignment="1">
      <alignment horizontal="left" vertical="center"/>
    </xf>
    <xf numFmtId="0" fontId="2" fillId="7" borderId="7" xfId="0" applyFont="1" applyFill="1" applyBorder="1" applyAlignment="1">
      <alignment horizontal="left" vertical="center"/>
    </xf>
    <xf numFmtId="3" fontId="2" fillId="7" borderId="7" xfId="0" applyNumberFormat="1" applyFont="1" applyFill="1" applyBorder="1" applyAlignment="1">
      <alignment horizontal="left" vertical="center"/>
    </xf>
    <xf numFmtId="3" fontId="2" fillId="7" borderId="8" xfId="0" applyNumberFormat="1" applyFont="1" applyFill="1" applyBorder="1" applyAlignment="1">
      <alignment horizontal="left" vertical="center"/>
    </xf>
    <xf numFmtId="3" fontId="2" fillId="7" borderId="0" xfId="0" applyNumberFormat="1" applyFont="1" applyFill="1" applyAlignment="1">
      <alignment horizontal="left" vertical="center"/>
    </xf>
    <xf numFmtId="0" fontId="3" fillId="0" borderId="12" xfId="0" applyFont="1" applyBorder="1" applyAlignment="1">
      <alignment vertical="center"/>
    </xf>
    <xf numFmtId="0" fontId="3" fillId="0" borderId="12" xfId="0" applyFont="1" applyBorder="1" applyAlignment="1">
      <alignment horizontal="left" vertical="center" wrapText="1"/>
    </xf>
    <xf numFmtId="0" fontId="3" fillId="0" borderId="12" xfId="0" applyFont="1" applyBorder="1" applyAlignment="1">
      <alignment horizontal="left" vertical="center" indent="1"/>
    </xf>
    <xf numFmtId="0" fontId="3" fillId="0" borderId="12" xfId="0" applyFont="1" applyBorder="1" applyAlignment="1">
      <alignment horizontal="left" vertical="center"/>
    </xf>
    <xf numFmtId="0" fontId="2" fillId="0" borderId="12" xfId="0" applyFont="1" applyBorder="1" applyAlignment="1">
      <alignment horizontal="left" vertical="center"/>
    </xf>
    <xf numFmtId="169" fontId="2" fillId="0" borderId="12" xfId="0" applyNumberFormat="1" applyFont="1" applyBorder="1" applyAlignment="1">
      <alignment horizontal="right" vertical="center"/>
    </xf>
    <xf numFmtId="3" fontId="0" fillId="0" borderId="12" xfId="0" applyNumberFormat="1" applyBorder="1"/>
    <xf numFmtId="4" fontId="3" fillId="0" borderId="12" xfId="0" applyNumberFormat="1" applyFont="1" applyBorder="1" applyAlignment="1">
      <alignment horizontal="right" vertical="center"/>
    </xf>
    <xf numFmtId="4" fontId="0" fillId="0" borderId="12" xfId="0" applyNumberFormat="1" applyBorder="1"/>
    <xf numFmtId="166" fontId="0" fillId="0" borderId="12" xfId="0" applyNumberFormat="1" applyBorder="1" applyAlignment="1">
      <alignment horizontal="left"/>
    </xf>
    <xf numFmtId="164" fontId="0" fillId="0" borderId="0" xfId="0" applyNumberFormat="1"/>
    <xf numFmtId="0" fontId="3" fillId="0" borderId="0" xfId="2" applyFont="1" applyAlignment="1">
      <alignment horizontal="left" vertical="center"/>
    </xf>
    <xf numFmtId="0" fontId="3" fillId="0" borderId="0" xfId="2" applyFont="1" applyAlignment="1">
      <alignment vertical="center"/>
    </xf>
    <xf numFmtId="0" fontId="7" fillId="0" borderId="0" xfId="2" applyAlignment="1">
      <alignment horizontal="center"/>
    </xf>
    <xf numFmtId="0" fontId="7" fillId="0" borderId="0" xfId="2"/>
    <xf numFmtId="0" fontId="3" fillId="0" borderId="12" xfId="2" applyFont="1" applyBorder="1" applyAlignment="1">
      <alignment horizontal="left" vertical="center"/>
    </xf>
    <xf numFmtId="0" fontId="2" fillId="0" borderId="12" xfId="2" applyFont="1" applyBorder="1" applyAlignment="1">
      <alignment horizontal="left" vertical="center"/>
    </xf>
    <xf numFmtId="0" fontId="4" fillId="5" borderId="12" xfId="2" applyFont="1" applyFill="1" applyBorder="1"/>
    <xf numFmtId="0" fontId="7" fillId="0" borderId="12" xfId="2" applyBorder="1"/>
    <xf numFmtId="1" fontId="7" fillId="0" borderId="12" xfId="2" applyNumberFormat="1" applyBorder="1"/>
    <xf numFmtId="166" fontId="7" fillId="0" borderId="12" xfId="2" applyNumberFormat="1" applyBorder="1"/>
    <xf numFmtId="0" fontId="3" fillId="0" borderId="12" xfId="2" applyFont="1" applyBorder="1" applyAlignment="1">
      <alignment horizontal="left" vertical="center" indent="1"/>
    </xf>
    <xf numFmtId="0" fontId="4" fillId="0" borderId="0" xfId="2" applyFont="1"/>
    <xf numFmtId="0" fontId="4" fillId="3" borderId="12" xfId="2" applyFont="1" applyFill="1" applyBorder="1" applyAlignment="1">
      <alignment wrapText="1"/>
    </xf>
    <xf numFmtId="0" fontId="7" fillId="0" borderId="0" xfId="2" applyAlignment="1">
      <alignment wrapText="1"/>
    </xf>
    <xf numFmtId="166" fontId="7" fillId="0" borderId="12" xfId="2" applyNumberFormat="1" applyBorder="1" applyAlignment="1">
      <alignment horizontal="right"/>
    </xf>
    <xf numFmtId="167" fontId="7" fillId="0" borderId="12" xfId="2" applyNumberFormat="1" applyBorder="1" applyAlignment="1">
      <alignment horizontal="right"/>
    </xf>
    <xf numFmtId="168" fontId="0" fillId="0" borderId="12" xfId="3" applyNumberFormat="1" applyFont="1" applyFill="1" applyBorder="1" applyAlignment="1">
      <alignment horizontal="right"/>
    </xf>
    <xf numFmtId="0" fontId="7" fillId="0" borderId="12" xfId="2" applyBorder="1" applyAlignment="1">
      <alignment horizontal="left" indent="1"/>
    </xf>
    <xf numFmtId="167" fontId="5" fillId="0" borderId="12" xfId="2" applyNumberFormat="1" applyFont="1" applyBorder="1" applyAlignment="1">
      <alignment horizontal="right"/>
    </xf>
    <xf numFmtId="0" fontId="2" fillId="0" borderId="4" xfId="2" applyFont="1" applyBorder="1" applyAlignment="1">
      <alignment horizontal="left" vertical="center"/>
    </xf>
    <xf numFmtId="0" fontId="3" fillId="0" borderId="7" xfId="2" applyFont="1" applyBorder="1" applyAlignment="1">
      <alignment horizontal="left" vertical="center" indent="1"/>
    </xf>
    <xf numFmtId="2" fontId="0" fillId="0" borderId="0" xfId="3" applyNumberFormat="1" applyFont="1" applyFill="1" applyBorder="1"/>
    <xf numFmtId="0" fontId="3" fillId="0" borderId="9" xfId="2" applyFont="1" applyBorder="1" applyAlignment="1">
      <alignment horizontal="left" vertical="center" indent="1"/>
    </xf>
    <xf numFmtId="0" fontId="4" fillId="3" borderId="12" xfId="2" applyFont="1" applyFill="1" applyBorder="1"/>
    <xf numFmtId="164" fontId="4" fillId="3" borderId="12" xfId="2" applyNumberFormat="1" applyFont="1" applyFill="1" applyBorder="1" applyAlignment="1">
      <alignment wrapText="1"/>
    </xf>
    <xf numFmtId="169" fontId="7" fillId="0" borderId="12" xfId="2" applyNumberFormat="1" applyBorder="1"/>
    <xf numFmtId="168" fontId="0" fillId="0" borderId="12" xfId="3" applyNumberFormat="1" applyFont="1" applyFill="1" applyBorder="1"/>
    <xf numFmtId="0" fontId="3" fillId="0" borderId="12" xfId="2" applyFont="1" applyBorder="1" applyAlignment="1">
      <alignment horizontal="center" vertical="center" wrapText="1"/>
    </xf>
    <xf numFmtId="0" fontId="3" fillId="0" borderId="0" xfId="2" applyFont="1"/>
    <xf numFmtId="164" fontId="7" fillId="0" borderId="0" xfId="2" applyNumberFormat="1"/>
    <xf numFmtId="0" fontId="3" fillId="0" borderId="12" xfId="2" applyFont="1" applyBorder="1" applyAlignment="1">
      <alignment horizontal="center" vertical="center"/>
    </xf>
    <xf numFmtId="0" fontId="3" fillId="0" borderId="13" xfId="2" applyFont="1" applyBorder="1" applyAlignment="1">
      <alignment vertical="center"/>
    </xf>
    <xf numFmtId="0" fontId="3" fillId="0" borderId="9" xfId="2" applyFont="1" applyBorder="1" applyAlignment="1">
      <alignment vertical="center"/>
    </xf>
    <xf numFmtId="0" fontId="3" fillId="0" borderId="1" xfId="2" applyFont="1" applyBorder="1" applyAlignment="1">
      <alignment horizontal="left" vertical="center" wrapText="1"/>
    </xf>
    <xf numFmtId="0" fontId="3" fillId="0" borderId="2" xfId="2" applyFont="1" applyBorder="1" applyAlignment="1">
      <alignment horizontal="left" vertical="center" wrapText="1"/>
    </xf>
    <xf numFmtId="0" fontId="3" fillId="0" borderId="3" xfId="2" applyFont="1" applyBorder="1" applyAlignment="1">
      <alignment horizontal="left" vertical="center" wrapText="1"/>
    </xf>
    <xf numFmtId="0" fontId="2" fillId="0" borderId="1" xfId="2" applyFont="1" applyBorder="1" applyAlignment="1">
      <alignment vertical="center"/>
    </xf>
    <xf numFmtId="165" fontId="3" fillId="0" borderId="1" xfId="2" applyNumberFormat="1" applyFont="1" applyBorder="1" applyAlignment="1">
      <alignment horizontal="right" vertical="center"/>
    </xf>
    <xf numFmtId="165" fontId="3" fillId="0" borderId="2" xfId="2" applyNumberFormat="1" applyFont="1" applyBorder="1" applyAlignment="1">
      <alignment horizontal="right" vertical="center"/>
    </xf>
    <xf numFmtId="165" fontId="3" fillId="0" borderId="3" xfId="2" applyNumberFormat="1" applyFont="1" applyBorder="1" applyAlignment="1">
      <alignment horizontal="right" vertical="center"/>
    </xf>
    <xf numFmtId="165" fontId="3" fillId="0" borderId="4" xfId="2" applyNumberFormat="1" applyFont="1" applyBorder="1" applyAlignment="1">
      <alignment horizontal="right" vertical="center"/>
    </xf>
    <xf numFmtId="165" fontId="3" fillId="0" borderId="5" xfId="2" applyNumberFormat="1" applyFont="1" applyBorder="1" applyAlignment="1">
      <alignment horizontal="right" vertical="center"/>
    </xf>
    <xf numFmtId="165" fontId="3" fillId="0" borderId="6" xfId="2" applyNumberFormat="1" applyFont="1" applyBorder="1" applyAlignment="1">
      <alignment horizontal="right" vertical="center"/>
    </xf>
    <xf numFmtId="165" fontId="3" fillId="0" borderId="7" xfId="2" applyNumberFormat="1" applyFont="1" applyBorder="1" applyAlignment="1">
      <alignment horizontal="right" vertical="center"/>
    </xf>
    <xf numFmtId="165" fontId="3" fillId="0" borderId="0" xfId="2" applyNumberFormat="1" applyFont="1" applyAlignment="1">
      <alignment horizontal="right" vertical="center"/>
    </xf>
    <xf numFmtId="165" fontId="3" fillId="0" borderId="8" xfId="2" applyNumberFormat="1" applyFont="1" applyBorder="1" applyAlignment="1">
      <alignment horizontal="right" vertical="center"/>
    </xf>
    <xf numFmtId="0" fontId="3" fillId="0" borderId="7" xfId="2" applyFont="1" applyBorder="1" applyAlignment="1">
      <alignment horizontal="left" vertical="center" indent="2"/>
    </xf>
    <xf numFmtId="165" fontId="3" fillId="0" borderId="9" xfId="2" applyNumberFormat="1" applyFont="1" applyBorder="1" applyAlignment="1">
      <alignment horizontal="right" vertical="center"/>
    </xf>
    <xf numFmtId="165" fontId="3" fillId="0" borderId="10" xfId="2" applyNumberFormat="1" applyFont="1" applyBorder="1" applyAlignment="1">
      <alignment horizontal="right" vertical="center"/>
    </xf>
    <xf numFmtId="165" fontId="3" fillId="0" borderId="11" xfId="2" applyNumberFormat="1" applyFont="1" applyBorder="1" applyAlignment="1">
      <alignment horizontal="right" vertical="center"/>
    </xf>
    <xf numFmtId="0" fontId="7" fillId="0" borderId="4" xfId="2" applyBorder="1"/>
    <xf numFmtId="0" fontId="7" fillId="0" borderId="5" xfId="2" applyBorder="1"/>
    <xf numFmtId="0" fontId="7" fillId="0" borderId="6" xfId="2" applyBorder="1"/>
    <xf numFmtId="0" fontId="3" fillId="0" borderId="7" xfId="2" applyFont="1" applyBorder="1" applyAlignment="1">
      <alignment horizontal="left" vertical="center" indent="3"/>
    </xf>
    <xf numFmtId="0" fontId="3" fillId="0" borderId="7" xfId="2" applyFont="1" applyBorder="1" applyAlignment="1">
      <alignment horizontal="left" wrapText="1"/>
    </xf>
    <xf numFmtId="0" fontId="3" fillId="0" borderId="8" xfId="2" applyFont="1" applyBorder="1" applyAlignment="1">
      <alignment horizontal="left" wrapText="1"/>
    </xf>
    <xf numFmtId="0" fontId="3" fillId="0" borderId="4" xfId="2" applyFont="1" applyBorder="1" applyAlignment="1">
      <alignment horizontal="left"/>
    </xf>
    <xf numFmtId="0" fontId="3" fillId="0" borderId="7" xfId="2" applyFont="1" applyBorder="1" applyAlignment="1">
      <alignment horizontal="left" indent="1"/>
    </xf>
    <xf numFmtId="0" fontId="3" fillId="0" borderId="7" xfId="2" applyFont="1" applyBorder="1" applyAlignment="1">
      <alignment horizontal="left"/>
    </xf>
    <xf numFmtId="0" fontId="2" fillId="0" borderId="1" xfId="2" applyFont="1" applyBorder="1" applyAlignment="1">
      <alignment horizontal="left"/>
    </xf>
    <xf numFmtId="0" fontId="3" fillId="0" borderId="4" xfId="2" applyFont="1" applyBorder="1" applyAlignment="1">
      <alignment horizontal="center"/>
    </xf>
    <xf numFmtId="0" fontId="3" fillId="0" borderId="9" xfId="2" applyFont="1" applyBorder="1" applyAlignment="1">
      <alignment horizontal="center"/>
    </xf>
    <xf numFmtId="0" fontId="3" fillId="0" borderId="9" xfId="2" applyFont="1" applyBorder="1" applyAlignment="1">
      <alignment horizontal="left" wrapText="1"/>
    </xf>
    <xf numFmtId="0" fontId="3" fillId="0" borderId="10" xfId="2" applyFont="1" applyBorder="1" applyAlignment="1">
      <alignment wrapText="1"/>
    </xf>
    <xf numFmtId="0" fontId="3" fillId="0" borderId="11" xfId="2" applyFont="1" applyBorder="1" applyAlignment="1">
      <alignment horizontal="left" wrapText="1"/>
    </xf>
    <xf numFmtId="0" fontId="3" fillId="0" borderId="10" xfId="2" applyFont="1" applyBorder="1" applyAlignment="1">
      <alignment horizontal="left" wrapText="1"/>
    </xf>
    <xf numFmtId="9" fontId="0" fillId="0" borderId="0" xfId="3" applyFont="1"/>
    <xf numFmtId="0" fontId="8" fillId="12" borderId="16" xfId="2" applyFont="1" applyFill="1" applyBorder="1" applyAlignment="1">
      <alignment wrapText="1"/>
    </xf>
    <xf numFmtId="0" fontId="9" fillId="12" borderId="16" xfId="2" applyFont="1" applyFill="1" applyBorder="1" applyAlignment="1">
      <alignment horizontal="left" vertical="center" wrapText="1" readingOrder="1"/>
    </xf>
    <xf numFmtId="0" fontId="8" fillId="13" borderId="17" xfId="2" applyFont="1" applyFill="1" applyBorder="1" applyAlignment="1">
      <alignment wrapText="1"/>
    </xf>
    <xf numFmtId="0" fontId="10" fillId="13" borderId="17" xfId="2" applyFont="1" applyFill="1" applyBorder="1" applyAlignment="1">
      <alignment horizontal="left" vertical="center" wrapText="1" readingOrder="1"/>
    </xf>
    <xf numFmtId="0" fontId="10" fillId="14" borderId="18" xfId="2" applyFont="1" applyFill="1" applyBorder="1" applyAlignment="1">
      <alignment horizontal="left" vertical="center" wrapText="1" readingOrder="1"/>
    </xf>
    <xf numFmtId="0" fontId="10" fillId="13" borderId="18" xfId="2" applyFont="1" applyFill="1" applyBorder="1" applyAlignment="1">
      <alignment horizontal="left" vertical="center" wrapText="1" indent="1" readingOrder="1"/>
    </xf>
    <xf numFmtId="0" fontId="10" fillId="14" borderId="18" xfId="2" applyFont="1" applyFill="1" applyBorder="1" applyAlignment="1">
      <alignment horizontal="left" vertical="center" wrapText="1" indent="1" readingOrder="1"/>
    </xf>
    <xf numFmtId="2" fontId="10" fillId="13" borderId="18" xfId="2" applyNumberFormat="1" applyFont="1" applyFill="1" applyBorder="1" applyAlignment="1">
      <alignment horizontal="left" vertical="center" wrapText="1" readingOrder="1"/>
    </xf>
    <xf numFmtId="10" fontId="3" fillId="0" borderId="0" xfId="2" applyNumberFormat="1" applyFont="1"/>
    <xf numFmtId="2" fontId="0" fillId="0" borderId="0" xfId="0" applyNumberFormat="1"/>
    <xf numFmtId="0" fontId="10" fillId="14" borderId="18" xfId="2" applyFont="1" applyFill="1" applyBorder="1" applyAlignment="1">
      <alignment horizontal="right" vertical="center" wrapText="1" readingOrder="1"/>
    </xf>
    <xf numFmtId="2" fontId="10" fillId="14" borderId="18" xfId="2" applyNumberFormat="1" applyFont="1" applyFill="1" applyBorder="1" applyAlignment="1">
      <alignment horizontal="right" vertical="center" wrapText="1" readingOrder="1"/>
    </xf>
    <xf numFmtId="10" fontId="10" fillId="14" borderId="18" xfId="2" applyNumberFormat="1" applyFont="1" applyFill="1" applyBorder="1" applyAlignment="1">
      <alignment horizontal="right" vertical="center" wrapText="1" readingOrder="1"/>
    </xf>
    <xf numFmtId="0" fontId="10" fillId="13" borderId="18" xfId="2" applyFont="1" applyFill="1" applyBorder="1" applyAlignment="1">
      <alignment horizontal="right" vertical="center" wrapText="1" readingOrder="1"/>
    </xf>
    <xf numFmtId="2" fontId="10" fillId="13" borderId="18" xfId="2" applyNumberFormat="1" applyFont="1" applyFill="1" applyBorder="1" applyAlignment="1">
      <alignment horizontal="right" vertical="center" wrapText="1" readingOrder="1"/>
    </xf>
    <xf numFmtId="10" fontId="10" fillId="13" borderId="18" xfId="2" applyNumberFormat="1" applyFont="1" applyFill="1" applyBorder="1" applyAlignment="1">
      <alignment horizontal="right" vertical="center" wrapText="1" readingOrder="1"/>
    </xf>
    <xf numFmtId="169" fontId="10" fillId="14" borderId="18" xfId="2" applyNumberFormat="1" applyFont="1" applyFill="1" applyBorder="1" applyAlignment="1">
      <alignment horizontal="right" vertical="center" wrapText="1" readingOrder="1"/>
    </xf>
    <xf numFmtId="169" fontId="10" fillId="13" borderId="18" xfId="2" applyNumberFormat="1" applyFont="1" applyFill="1" applyBorder="1" applyAlignment="1">
      <alignment horizontal="right" vertical="center" wrapText="1" readingOrder="1"/>
    </xf>
    <xf numFmtId="0" fontId="4" fillId="9" borderId="12" xfId="0" applyFont="1" applyFill="1" applyBorder="1" applyAlignment="1">
      <alignment wrapText="1"/>
    </xf>
    <xf numFmtId="166" fontId="6" fillId="0" borderId="12" xfId="0" applyNumberFormat="1" applyFont="1" applyBorder="1" applyAlignment="1">
      <alignment horizontal="left"/>
    </xf>
    <xf numFmtId="0" fontId="6" fillId="0" borderId="12" xfId="0" applyFont="1" applyBorder="1"/>
    <xf numFmtId="166" fontId="0" fillId="0" borderId="0" xfId="0" applyNumberFormat="1" applyAlignment="1">
      <alignment horizontal="right"/>
    </xf>
    <xf numFmtId="166" fontId="0" fillId="0" borderId="0" xfId="0" applyNumberFormat="1" applyAlignment="1">
      <alignment horizontal="right" vertical="center"/>
    </xf>
    <xf numFmtId="168" fontId="0" fillId="0" borderId="0" xfId="1" applyNumberFormat="1" applyFont="1" applyFill="1" applyBorder="1" applyAlignment="1">
      <alignment horizontal="right"/>
    </xf>
    <xf numFmtId="9" fontId="0" fillId="0" borderId="0" xfId="1" applyFont="1"/>
    <xf numFmtId="4" fontId="7" fillId="0" borderId="12" xfId="2" applyNumberFormat="1" applyBorder="1"/>
    <xf numFmtId="0" fontId="0" fillId="0" borderId="0" xfId="0" applyAlignment="1">
      <alignment horizontal="left"/>
    </xf>
    <xf numFmtId="0" fontId="11" fillId="0" borderId="22" xfId="0" applyFont="1" applyBorder="1" applyAlignment="1">
      <alignment horizontal="right" vertical="center" wrapText="1"/>
    </xf>
    <xf numFmtId="164" fontId="11" fillId="0" borderId="22" xfId="0" applyNumberFormat="1" applyFont="1" applyBorder="1" applyAlignment="1">
      <alignment horizontal="right" vertical="center" wrapText="1"/>
    </xf>
    <xf numFmtId="4" fontId="11" fillId="0" borderId="22" xfId="0" applyNumberFormat="1" applyFont="1" applyBorder="1" applyAlignment="1">
      <alignment vertical="center" wrapText="1"/>
    </xf>
    <xf numFmtId="0" fontId="11" fillId="0" borderId="23" xfId="0" applyFont="1" applyBorder="1" applyAlignment="1">
      <alignment horizontal="left" vertical="center" wrapText="1"/>
    </xf>
    <xf numFmtId="0" fontId="12" fillId="0" borderId="22" xfId="0" applyFont="1" applyBorder="1" applyAlignment="1">
      <alignment horizontal="right" vertical="center" wrapText="1"/>
    </xf>
    <xf numFmtId="164" fontId="12" fillId="0" borderId="22" xfId="0" applyNumberFormat="1" applyFont="1" applyBorder="1" applyAlignment="1">
      <alignment horizontal="right" vertical="center" wrapText="1"/>
    </xf>
    <xf numFmtId="4" fontId="12" fillId="0" borderId="22" xfId="0" applyNumberFormat="1" applyFont="1" applyBorder="1" applyAlignment="1">
      <alignment horizontal="right" vertical="center" wrapText="1"/>
    </xf>
    <xf numFmtId="0" fontId="12" fillId="0" borderId="23" xfId="0" applyFont="1" applyBorder="1" applyAlignment="1">
      <alignment horizontal="left" vertical="center" wrapText="1" indent="1"/>
    </xf>
    <xf numFmtId="0" fontId="12" fillId="16" borderId="22" xfId="0" applyFont="1" applyFill="1" applyBorder="1" applyAlignment="1">
      <alignment horizontal="right" vertical="center" wrapText="1"/>
    </xf>
    <xf numFmtId="164" fontId="12" fillId="16" borderId="22" xfId="0" applyNumberFormat="1" applyFont="1" applyFill="1" applyBorder="1" applyAlignment="1">
      <alignment horizontal="right" vertical="center" wrapText="1"/>
    </xf>
    <xf numFmtId="4" fontId="12" fillId="16" borderId="22" xfId="0" applyNumberFormat="1" applyFont="1" applyFill="1" applyBorder="1" applyAlignment="1">
      <alignment horizontal="right" vertical="center" wrapText="1"/>
    </xf>
    <xf numFmtId="0" fontId="11" fillId="16" borderId="23" xfId="0" applyFont="1" applyFill="1" applyBorder="1" applyAlignment="1">
      <alignment horizontal="left" vertical="center" wrapText="1"/>
    </xf>
    <xf numFmtId="0" fontId="12" fillId="0" borderId="24" xfId="0" applyFont="1" applyBorder="1" applyAlignment="1">
      <alignment horizontal="right" vertical="center" wrapText="1"/>
    </xf>
    <xf numFmtId="164" fontId="12" fillId="0" borderId="24" xfId="0" applyNumberFormat="1" applyFont="1" applyBorder="1" applyAlignment="1">
      <alignment horizontal="right" vertical="center" wrapText="1"/>
    </xf>
    <xf numFmtId="4" fontId="12" fillId="0" borderId="24" xfId="0" applyNumberFormat="1" applyFont="1" applyBorder="1" applyAlignment="1">
      <alignment horizontal="right" vertical="center" wrapText="1"/>
    </xf>
    <xf numFmtId="0" fontId="12" fillId="0" borderId="25" xfId="0" applyFont="1" applyBorder="1" applyAlignment="1">
      <alignment horizontal="left" vertical="center" wrapText="1" indent="1"/>
    </xf>
    <xf numFmtId="0" fontId="12" fillId="0" borderId="12" xfId="0" applyFont="1" applyBorder="1" applyAlignment="1">
      <alignment vertical="center" wrapText="1"/>
    </xf>
    <xf numFmtId="0" fontId="12" fillId="0" borderId="0" xfId="0" applyFont="1" applyAlignment="1">
      <alignment horizontal="center" vertical="center" wrapText="1"/>
    </xf>
    <xf numFmtId="0" fontId="12" fillId="0" borderId="12" xfId="0" applyFont="1" applyBorder="1" applyAlignment="1">
      <alignment horizontal="center" vertical="center" wrapText="1"/>
    </xf>
    <xf numFmtId="0" fontId="12" fillId="0" borderId="0" xfId="0" applyFont="1" applyAlignment="1">
      <alignment horizontal="right" vertical="center" wrapText="1"/>
    </xf>
    <xf numFmtId="4" fontId="12" fillId="0" borderId="0" xfId="0" applyNumberFormat="1" applyFont="1" applyAlignment="1">
      <alignment horizontal="left" vertical="center"/>
    </xf>
    <xf numFmtId="4" fontId="12" fillId="0" borderId="0" xfId="0" applyNumberFormat="1" applyFont="1" applyAlignment="1">
      <alignment horizontal="right" vertical="center" wrapText="1"/>
    </xf>
    <xf numFmtId="0" fontId="12" fillId="0" borderId="0" xfId="0" applyFont="1" applyAlignment="1">
      <alignment vertical="center" wrapText="1"/>
    </xf>
    <xf numFmtId="0" fontId="12" fillId="0" borderId="12" xfId="0" applyFont="1" applyBorder="1" applyAlignment="1">
      <alignment horizontal="right" vertical="center" wrapText="1"/>
    </xf>
    <xf numFmtId="0" fontId="12" fillId="0" borderId="12" xfId="0" applyFont="1" applyBorder="1" applyAlignment="1">
      <alignment horizontal="left" vertical="center" wrapText="1" indent="1"/>
    </xf>
    <xf numFmtId="4" fontId="12" fillId="0" borderId="12" xfId="0" applyNumberFormat="1" applyFont="1" applyBorder="1" applyAlignment="1">
      <alignment horizontal="right" vertical="center" wrapText="1"/>
    </xf>
    <xf numFmtId="0" fontId="11" fillId="0" borderId="22" xfId="0" applyFont="1" applyBorder="1" applyAlignment="1">
      <alignment horizontal="center" vertical="center" wrapText="1"/>
    </xf>
    <xf numFmtId="0" fontId="11" fillId="0" borderId="22" xfId="0" applyFont="1" applyBorder="1" applyAlignment="1">
      <alignment horizontal="left" vertical="center" wrapText="1" indent="1"/>
    </xf>
    <xf numFmtId="0" fontId="12" fillId="0" borderId="25" xfId="0" applyFont="1" applyBorder="1" applyAlignment="1">
      <alignment horizontal="left" vertical="center" wrapText="1"/>
    </xf>
    <xf numFmtId="0" fontId="8" fillId="12" borderId="12" xfId="2" applyFont="1" applyFill="1" applyBorder="1" applyAlignment="1">
      <alignment wrapText="1"/>
    </xf>
    <xf numFmtId="0" fontId="9" fillId="12" borderId="12" xfId="2" applyFont="1" applyFill="1" applyBorder="1" applyAlignment="1">
      <alignment horizontal="left" vertical="center" wrapText="1" readingOrder="1"/>
    </xf>
    <xf numFmtId="0" fontId="8" fillId="13" borderId="12" xfId="2" applyFont="1" applyFill="1" applyBorder="1" applyAlignment="1">
      <alignment wrapText="1"/>
    </xf>
    <xf numFmtId="0" fontId="10" fillId="13" borderId="12" xfId="2" applyFont="1" applyFill="1" applyBorder="1" applyAlignment="1">
      <alignment horizontal="left" vertical="center" wrapText="1" readingOrder="1"/>
    </xf>
    <xf numFmtId="0" fontId="10" fillId="14" borderId="12" xfId="2" applyFont="1" applyFill="1" applyBorder="1" applyAlignment="1">
      <alignment horizontal="left" vertical="center" wrapText="1" readingOrder="1"/>
    </xf>
    <xf numFmtId="4" fontId="10" fillId="14" borderId="12" xfId="2" applyNumberFormat="1" applyFont="1" applyFill="1" applyBorder="1" applyAlignment="1">
      <alignment vertical="center" wrapText="1" readingOrder="1"/>
    </xf>
    <xf numFmtId="10" fontId="10" fillId="14" borderId="12" xfId="1" applyNumberFormat="1" applyFont="1" applyFill="1" applyBorder="1" applyAlignment="1">
      <alignment horizontal="right" vertical="center" wrapText="1" readingOrder="1"/>
    </xf>
    <xf numFmtId="0" fontId="10" fillId="13" borderId="12" xfId="2" applyFont="1" applyFill="1" applyBorder="1" applyAlignment="1">
      <alignment horizontal="left" vertical="center" wrapText="1" indent="1" readingOrder="1"/>
    </xf>
    <xf numFmtId="4" fontId="10" fillId="13" borderId="12" xfId="2" applyNumberFormat="1" applyFont="1" applyFill="1" applyBorder="1" applyAlignment="1">
      <alignment vertical="center" wrapText="1" readingOrder="1"/>
    </xf>
    <xf numFmtId="10" fontId="10" fillId="13" borderId="12" xfId="1" applyNumberFormat="1" applyFont="1" applyFill="1" applyBorder="1" applyAlignment="1">
      <alignment horizontal="right" vertical="center" wrapText="1" readingOrder="1"/>
    </xf>
    <xf numFmtId="0" fontId="10" fillId="14" borderId="12" xfId="2" applyFont="1" applyFill="1" applyBorder="1" applyAlignment="1">
      <alignment horizontal="left" vertical="center" wrapText="1" indent="1" readingOrder="1"/>
    </xf>
    <xf numFmtId="169" fontId="10" fillId="14" borderId="12" xfId="2" applyNumberFormat="1" applyFont="1" applyFill="1" applyBorder="1" applyAlignment="1">
      <alignment horizontal="right" vertical="center" wrapText="1" readingOrder="1"/>
    </xf>
    <xf numFmtId="10" fontId="10" fillId="14" borderId="12" xfId="2" applyNumberFormat="1" applyFont="1" applyFill="1" applyBorder="1" applyAlignment="1">
      <alignment horizontal="right" vertical="center" wrapText="1" readingOrder="1"/>
    </xf>
    <xf numFmtId="2" fontId="10" fillId="13" borderId="12" xfId="2" applyNumberFormat="1" applyFont="1" applyFill="1" applyBorder="1" applyAlignment="1">
      <alignment horizontal="left" vertical="center" wrapText="1" readingOrder="1"/>
    </xf>
    <xf numFmtId="169" fontId="10" fillId="13" borderId="12" xfId="2" applyNumberFormat="1" applyFont="1" applyFill="1" applyBorder="1" applyAlignment="1">
      <alignment horizontal="right" vertical="center" wrapText="1" readingOrder="1"/>
    </xf>
    <xf numFmtId="9" fontId="10" fillId="13" borderId="12" xfId="1" applyFont="1" applyFill="1" applyBorder="1" applyAlignment="1">
      <alignment horizontal="right" vertical="center" wrapText="1" readingOrder="1"/>
    </xf>
    <xf numFmtId="4" fontId="6" fillId="0" borderId="12" xfId="0" applyNumberFormat="1" applyFont="1" applyBorder="1"/>
    <xf numFmtId="166" fontId="0" fillId="0" borderId="0" xfId="0" applyNumberFormat="1" applyAlignment="1">
      <alignment horizontal="left"/>
    </xf>
    <xf numFmtId="169" fontId="0" fillId="0" borderId="0" xfId="0" applyNumberFormat="1"/>
    <xf numFmtId="166" fontId="13" fillId="0" borderId="12" xfId="0" applyNumberFormat="1" applyFont="1" applyBorder="1"/>
    <xf numFmtId="166" fontId="13" fillId="0" borderId="12" xfId="0" applyNumberFormat="1" applyFont="1" applyBorder="1" applyAlignment="1">
      <alignment horizontal="right" vertical="center"/>
    </xf>
    <xf numFmtId="0" fontId="3" fillId="0" borderId="13" xfId="0" applyFont="1" applyBorder="1" applyAlignment="1">
      <alignment vertical="center"/>
    </xf>
    <xf numFmtId="0" fontId="3" fillId="0" borderId="9" xfId="0" applyFont="1" applyBorder="1" applyAlignment="1">
      <alignment vertical="center"/>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2" fillId="0" borderId="4" xfId="0" applyFont="1" applyBorder="1" applyAlignment="1">
      <alignment horizontal="left" vertical="center"/>
    </xf>
    <xf numFmtId="0" fontId="3" fillId="0" borderId="7" xfId="0" applyFont="1" applyBorder="1" applyAlignment="1">
      <alignment horizontal="left" vertical="center" indent="1"/>
    </xf>
    <xf numFmtId="165" fontId="3" fillId="0" borderId="7" xfId="0" applyNumberFormat="1" applyFont="1" applyBorder="1" applyAlignment="1">
      <alignment horizontal="right" vertical="center"/>
    </xf>
    <xf numFmtId="165" fontId="3" fillId="0" borderId="0" xfId="0" applyNumberFormat="1" applyFont="1" applyAlignment="1">
      <alignment horizontal="right" vertical="center"/>
    </xf>
    <xf numFmtId="165" fontId="3" fillId="0" borderId="8" xfId="0" applyNumberFormat="1" applyFont="1" applyBorder="1" applyAlignment="1">
      <alignment horizontal="right" vertical="center"/>
    </xf>
    <xf numFmtId="0" fontId="3" fillId="0" borderId="7" xfId="0" applyFont="1" applyBorder="1" applyAlignment="1">
      <alignment horizontal="left" vertical="center" indent="2"/>
    </xf>
    <xf numFmtId="0" fontId="3" fillId="0" borderId="9" xfId="0" applyFont="1" applyBorder="1" applyAlignment="1">
      <alignment horizontal="left" vertical="center" indent="1"/>
    </xf>
    <xf numFmtId="165" fontId="3" fillId="0" borderId="9" xfId="0" applyNumberFormat="1" applyFont="1" applyBorder="1" applyAlignment="1">
      <alignment horizontal="right" vertical="center"/>
    </xf>
    <xf numFmtId="165" fontId="3" fillId="0" borderId="10" xfId="0" applyNumberFormat="1" applyFont="1" applyBorder="1" applyAlignment="1">
      <alignment horizontal="right" vertical="center"/>
    </xf>
    <xf numFmtId="165" fontId="3" fillId="0" borderId="11" xfId="0" applyNumberFormat="1" applyFont="1" applyBorder="1" applyAlignment="1">
      <alignment horizontal="right" vertical="center"/>
    </xf>
    <xf numFmtId="0" fontId="0" fillId="0" borderId="4" xfId="0" applyBorder="1"/>
    <xf numFmtId="0" fontId="0" fillId="0" borderId="5" xfId="0" applyBorder="1"/>
    <xf numFmtId="0" fontId="0" fillId="0" borderId="6" xfId="0" applyBorder="1"/>
    <xf numFmtId="0" fontId="3" fillId="0" borderId="7" xfId="0" applyFont="1" applyBorder="1" applyAlignment="1">
      <alignment horizontal="left" vertical="center" indent="3"/>
    </xf>
    <xf numFmtId="4" fontId="13" fillId="0" borderId="12" xfId="0" applyNumberFormat="1" applyFont="1" applyBorder="1"/>
    <xf numFmtId="10" fontId="13" fillId="0" borderId="12" xfId="1" applyNumberFormat="1" applyFont="1" applyBorder="1" applyAlignment="1"/>
    <xf numFmtId="0" fontId="6" fillId="0" borderId="0" xfId="0" applyFont="1"/>
    <xf numFmtId="166" fontId="4" fillId="0" borderId="0" xfId="0" applyNumberFormat="1" applyFont="1" applyAlignment="1">
      <alignment horizontal="left"/>
    </xf>
    <xf numFmtId="0" fontId="4" fillId="9" borderId="14" xfId="0" applyFont="1" applyFill="1" applyBorder="1" applyAlignment="1">
      <alignment wrapText="1"/>
    </xf>
    <xf numFmtId="166" fontId="13" fillId="0" borderId="0" xfId="0" applyNumberFormat="1" applyFont="1"/>
    <xf numFmtId="164" fontId="13" fillId="0" borderId="0" xfId="0" applyNumberFormat="1" applyFont="1"/>
    <xf numFmtId="10" fontId="13" fillId="0" borderId="0" xfId="1" applyNumberFormat="1" applyFont="1" applyBorder="1" applyAlignment="1"/>
    <xf numFmtId="0" fontId="14" fillId="0" borderId="12" xfId="0" applyFont="1" applyBorder="1" applyAlignment="1">
      <alignment vertical="center"/>
    </xf>
    <xf numFmtId="169" fontId="14" fillId="0" borderId="12" xfId="0" applyNumberFormat="1" applyFont="1" applyBorder="1" applyAlignment="1">
      <alignment horizontal="right" vertical="center"/>
    </xf>
    <xf numFmtId="0" fontId="14" fillId="0" borderId="12" xfId="0" applyFont="1" applyBorder="1" applyAlignment="1">
      <alignment horizontal="left" vertical="center"/>
    </xf>
    <xf numFmtId="0" fontId="2" fillId="6" borderId="4" xfId="2" applyFont="1" applyFill="1" applyBorder="1" applyAlignment="1">
      <alignment vertical="center"/>
    </xf>
    <xf numFmtId="0" fontId="2" fillId="6" borderId="2" xfId="2" applyFont="1" applyFill="1" applyBorder="1" applyAlignment="1">
      <alignment vertical="center"/>
    </xf>
    <xf numFmtId="3" fontId="3" fillId="0" borderId="12" xfId="2" applyNumberFormat="1" applyFont="1" applyBorder="1" applyAlignment="1">
      <alignment vertical="center"/>
    </xf>
    <xf numFmtId="1" fontId="7" fillId="0" borderId="0" xfId="2" applyNumberFormat="1"/>
    <xf numFmtId="166" fontId="7" fillId="0" borderId="0" xfId="2" applyNumberFormat="1"/>
    <xf numFmtId="0" fontId="7" fillId="0" borderId="12" xfId="2" applyBorder="1" applyAlignment="1">
      <alignment wrapText="1"/>
    </xf>
    <xf numFmtId="0" fontId="0" fillId="0" borderId="0" xfId="0" applyAlignment="1">
      <alignment horizontal="left" wrapText="1"/>
    </xf>
    <xf numFmtId="0" fontId="0" fillId="0" borderId="0" xfId="0" applyAlignment="1">
      <alignment wrapText="1"/>
    </xf>
    <xf numFmtId="4" fontId="0" fillId="0" borderId="7" xfId="0" applyNumberFormat="1" applyBorder="1"/>
    <xf numFmtId="10" fontId="0" fillId="0" borderId="0" xfId="1" applyNumberFormat="1" applyFont="1"/>
    <xf numFmtId="165" fontId="0" fillId="0" borderId="12" xfId="0" applyNumberFormat="1" applyBorder="1"/>
    <xf numFmtId="0" fontId="4" fillId="0" borderId="0" xfId="0" applyFont="1"/>
    <xf numFmtId="0" fontId="0" fillId="0" borderId="12" xfId="0" applyBorder="1" applyAlignment="1">
      <alignment wrapText="1"/>
    </xf>
    <xf numFmtId="165" fontId="0" fillId="0" borderId="12" xfId="0" applyNumberFormat="1" applyBorder="1" applyAlignment="1">
      <alignment horizontal="right"/>
    </xf>
    <xf numFmtId="0" fontId="4" fillId="7" borderId="9" xfId="0" applyFont="1" applyFill="1" applyBorder="1"/>
    <xf numFmtId="0" fontId="4" fillId="7" borderId="10" xfId="0" applyFont="1" applyFill="1" applyBorder="1"/>
    <xf numFmtId="0" fontId="2" fillId="10" borderId="1" xfId="2" applyFont="1" applyFill="1" applyBorder="1"/>
    <xf numFmtId="0" fontId="2" fillId="10" borderId="2" xfId="2" applyFont="1" applyFill="1" applyBorder="1"/>
    <xf numFmtId="0" fontId="3" fillId="0" borderId="0" xfId="2" applyFont="1" applyAlignment="1">
      <alignment horizontal="left" wrapText="1"/>
    </xf>
    <xf numFmtId="3" fontId="3" fillId="0" borderId="4" xfId="2" applyNumberFormat="1" applyFont="1" applyBorder="1" applyAlignment="1">
      <alignment horizontal="right"/>
    </xf>
    <xf numFmtId="169" fontId="3" fillId="0" borderId="5" xfId="2" applyNumberFormat="1" applyFont="1" applyBorder="1" applyAlignment="1">
      <alignment horizontal="right"/>
    </xf>
    <xf numFmtId="169" fontId="3" fillId="0" borderId="6" xfId="2" applyNumberFormat="1" applyFont="1" applyBorder="1" applyAlignment="1">
      <alignment horizontal="right"/>
    </xf>
    <xf numFmtId="3" fontId="3" fillId="0" borderId="7" xfId="2" applyNumberFormat="1" applyFont="1" applyBorder="1" applyAlignment="1">
      <alignment horizontal="right"/>
    </xf>
    <xf numFmtId="169" fontId="3" fillId="0" borderId="0" xfId="2" applyNumberFormat="1" applyFont="1" applyAlignment="1">
      <alignment horizontal="right"/>
    </xf>
    <xf numFmtId="169" fontId="3" fillId="0" borderId="8" xfId="2" applyNumberFormat="1" applyFont="1" applyBorder="1" applyAlignment="1">
      <alignment horizontal="right"/>
    </xf>
    <xf numFmtId="3" fontId="2" fillId="0" borderId="1" xfId="2" applyNumberFormat="1" applyFont="1" applyBorder="1" applyAlignment="1">
      <alignment horizontal="right"/>
    </xf>
    <xf numFmtId="3" fontId="2" fillId="0" borderId="2" xfId="2" applyNumberFormat="1" applyFont="1" applyBorder="1" applyAlignment="1">
      <alignment horizontal="right"/>
    </xf>
    <xf numFmtId="3" fontId="2" fillId="0" borderId="3" xfId="2" applyNumberFormat="1" applyFont="1" applyBorder="1" applyAlignment="1">
      <alignment horizontal="right"/>
    </xf>
    <xf numFmtId="3" fontId="10" fillId="14" borderId="18" xfId="2" applyNumberFormat="1" applyFont="1" applyFill="1" applyBorder="1" applyAlignment="1">
      <alignment horizontal="right" vertical="center" wrapText="1" readingOrder="1"/>
    </xf>
    <xf numFmtId="3" fontId="10" fillId="13" borderId="18" xfId="2" applyNumberFormat="1" applyFont="1" applyFill="1" applyBorder="1" applyAlignment="1">
      <alignment horizontal="right" vertical="center" wrapText="1" readingOrder="1"/>
    </xf>
    <xf numFmtId="0" fontId="2" fillId="0" borderId="1" xfId="2" applyFont="1" applyBorder="1" applyAlignment="1">
      <alignment horizontal="left" wrapText="1"/>
    </xf>
    <xf numFmtId="3" fontId="3" fillId="0" borderId="1" xfId="2" applyNumberFormat="1" applyFont="1" applyBorder="1" applyAlignment="1">
      <alignment horizontal="right"/>
    </xf>
    <xf numFmtId="169" fontId="3" fillId="0" borderId="2" xfId="2" applyNumberFormat="1" applyFont="1" applyBorder="1" applyAlignment="1">
      <alignment horizontal="right"/>
    </xf>
    <xf numFmtId="169" fontId="3" fillId="0" borderId="3" xfId="2" applyNumberFormat="1" applyFont="1" applyBorder="1" applyAlignment="1">
      <alignment horizontal="right"/>
    </xf>
    <xf numFmtId="3" fontId="7" fillId="0" borderId="0" xfId="2" applyNumberFormat="1"/>
    <xf numFmtId="3" fontId="3" fillId="0" borderId="0" xfId="2" applyNumberFormat="1" applyFont="1"/>
    <xf numFmtId="3" fontId="2" fillId="0" borderId="0" xfId="2" applyNumberFormat="1" applyFont="1"/>
    <xf numFmtId="166" fontId="2" fillId="0" borderId="0" xfId="2" applyNumberFormat="1" applyFont="1"/>
    <xf numFmtId="0" fontId="2" fillId="0" borderId="0" xfId="2" applyFont="1"/>
    <xf numFmtId="169" fontId="2" fillId="0" borderId="0" xfId="2" applyNumberFormat="1" applyFont="1"/>
    <xf numFmtId="164" fontId="3" fillId="0" borderId="0" xfId="2" applyNumberFormat="1" applyFont="1"/>
    <xf numFmtId="169" fontId="3" fillId="0" borderId="0" xfId="2" applyNumberFormat="1" applyFont="1"/>
    <xf numFmtId="166" fontId="3" fillId="0" borderId="0" xfId="2" applyNumberFormat="1" applyFont="1"/>
    <xf numFmtId="0" fontId="2" fillId="0" borderId="0" xfId="2" applyFont="1" applyAlignment="1">
      <alignment wrapText="1"/>
    </xf>
    <xf numFmtId="0" fontId="3" fillId="0" borderId="0" xfId="2" applyFont="1" applyAlignment="1">
      <alignment wrapText="1"/>
    </xf>
    <xf numFmtId="0" fontId="2" fillId="0" borderId="0" xfId="2" applyFont="1" applyAlignment="1">
      <alignment horizontal="center"/>
    </xf>
    <xf numFmtId="167" fontId="2" fillId="17" borderId="0" xfId="2" applyNumberFormat="1" applyFont="1" applyFill="1"/>
    <xf numFmtId="167" fontId="2" fillId="19" borderId="0" xfId="2" applyNumberFormat="1" applyFont="1" applyFill="1"/>
    <xf numFmtId="166" fontId="2" fillId="19" borderId="0" xfId="2" applyNumberFormat="1" applyFont="1" applyFill="1"/>
    <xf numFmtId="166" fontId="2" fillId="3" borderId="0" xfId="2" applyNumberFormat="1" applyFont="1" applyFill="1"/>
    <xf numFmtId="166" fontId="2" fillId="3" borderId="0" xfId="2" applyNumberFormat="1" applyFont="1" applyFill="1" applyAlignment="1">
      <alignment horizontal="center"/>
    </xf>
    <xf numFmtId="166" fontId="2" fillId="9" borderId="0" xfId="2" applyNumberFormat="1" applyFont="1" applyFill="1"/>
    <xf numFmtId="166" fontId="2" fillId="9" borderId="0" xfId="2" applyNumberFormat="1" applyFont="1" applyFill="1" applyAlignment="1">
      <alignment horizontal="center"/>
    </xf>
    <xf numFmtId="167" fontId="3" fillId="20" borderId="0" xfId="2" applyNumberFormat="1" applyFont="1" applyFill="1" applyAlignment="1">
      <alignment horizontal="right"/>
    </xf>
    <xf numFmtId="167" fontId="3" fillId="20" borderId="0" xfId="2" applyNumberFormat="1" applyFont="1" applyFill="1" applyAlignment="1">
      <alignment horizontal="right" vertical="center"/>
    </xf>
    <xf numFmtId="167" fontId="3" fillId="21" borderId="0" xfId="2" applyNumberFormat="1" applyFont="1" applyFill="1"/>
    <xf numFmtId="167" fontId="3" fillId="21" borderId="0" xfId="2" applyNumberFormat="1" applyFont="1" applyFill="1" applyAlignment="1">
      <alignment horizontal="left" vertical="center"/>
    </xf>
    <xf numFmtId="166" fontId="3" fillId="21" borderId="0" xfId="2" applyNumberFormat="1" applyFont="1" applyFill="1"/>
    <xf numFmtId="166" fontId="3" fillId="7" borderId="0" xfId="2" applyNumberFormat="1" applyFont="1" applyFill="1"/>
    <xf numFmtId="166" fontId="3" fillId="8" borderId="0" xfId="2" applyNumberFormat="1" applyFont="1" applyFill="1"/>
    <xf numFmtId="167" fontId="2" fillId="17" borderId="0" xfId="2" applyNumberFormat="1" applyFont="1" applyFill="1" applyAlignment="1">
      <alignment horizontal="right"/>
    </xf>
    <xf numFmtId="167" fontId="2" fillId="17" borderId="0" xfId="2" applyNumberFormat="1" applyFont="1" applyFill="1" applyAlignment="1">
      <alignment horizontal="right" vertical="center"/>
    </xf>
    <xf numFmtId="167" fontId="2" fillId="19" borderId="0" xfId="2" applyNumberFormat="1" applyFont="1" applyFill="1" applyAlignment="1">
      <alignment horizontal="left" vertical="center"/>
    </xf>
    <xf numFmtId="168" fontId="3" fillId="0" borderId="0" xfId="3" applyNumberFormat="1" applyFont="1"/>
    <xf numFmtId="0" fontId="3" fillId="0" borderId="0" xfId="2" applyFont="1" applyAlignment="1">
      <alignment horizontal="left" vertical="center" wrapText="1"/>
    </xf>
    <xf numFmtId="0" fontId="3" fillId="20" borderId="0" xfId="2" applyFont="1" applyFill="1" applyAlignment="1">
      <alignment horizontal="left" vertical="center" wrapText="1"/>
    </xf>
    <xf numFmtId="0" fontId="3" fillId="21" borderId="0" xfId="2" applyFont="1" applyFill="1" applyAlignment="1">
      <alignment horizontal="left" vertical="center" wrapText="1"/>
    </xf>
    <xf numFmtId="0" fontId="2" fillId="7" borderId="0" xfId="2" applyFont="1" applyFill="1" applyAlignment="1">
      <alignment horizontal="left" vertical="center" wrapText="1"/>
    </xf>
    <xf numFmtId="0" fontId="3" fillId="7" borderId="0" xfId="2" applyFont="1" applyFill="1" applyAlignment="1">
      <alignment horizontal="left" vertical="center" wrapText="1"/>
    </xf>
    <xf numFmtId="0" fontId="2" fillId="8" borderId="0" xfId="2" applyFont="1" applyFill="1" applyAlignment="1">
      <alignment horizontal="left" vertical="center" wrapText="1"/>
    </xf>
    <xf numFmtId="0" fontId="3" fillId="8" borderId="0" xfId="2" applyFont="1" applyFill="1" applyAlignment="1">
      <alignment horizontal="left" vertical="center" wrapText="1"/>
    </xf>
    <xf numFmtId="0" fontId="2" fillId="0" borderId="0" xfId="2" applyFont="1" applyAlignment="1">
      <alignment horizontal="left" vertical="center"/>
    </xf>
    <xf numFmtId="0" fontId="2" fillId="0" borderId="0" xfId="2" applyFont="1" applyAlignment="1">
      <alignment vertical="center"/>
    </xf>
    <xf numFmtId="0" fontId="2" fillId="3" borderId="0" xfId="2" applyFont="1" applyFill="1" applyAlignment="1">
      <alignment horizontal="center"/>
    </xf>
    <xf numFmtId="0" fontId="2" fillId="9" borderId="0" xfId="2" applyFont="1" applyFill="1" applyAlignment="1">
      <alignment horizontal="center"/>
    </xf>
    <xf numFmtId="0" fontId="5" fillId="0" borderId="0" xfId="0" applyFont="1"/>
    <xf numFmtId="0" fontId="18" fillId="8" borderId="12" xfId="2" applyFont="1" applyFill="1" applyBorder="1"/>
    <xf numFmtId="0" fontId="18" fillId="8" borderId="1" xfId="2" applyFont="1" applyFill="1" applyBorder="1"/>
    <xf numFmtId="0" fontId="18" fillId="8" borderId="3" xfId="2" applyFont="1" applyFill="1" applyBorder="1"/>
    <xf numFmtId="0" fontId="18" fillId="8" borderId="12" xfId="2" applyFont="1" applyFill="1" applyBorder="1" applyAlignment="1">
      <alignment wrapText="1"/>
    </xf>
    <xf numFmtId="165" fontId="5" fillId="0" borderId="0" xfId="0" applyNumberFormat="1" applyFont="1" applyAlignment="1">
      <alignment horizontal="right"/>
    </xf>
    <xf numFmtId="166" fontId="5" fillId="0" borderId="0" xfId="0" applyNumberFormat="1" applyFont="1" applyAlignment="1">
      <alignment horizontal="right"/>
    </xf>
    <xf numFmtId="10" fontId="5" fillId="0" borderId="0" xfId="1" applyNumberFormat="1" applyFont="1" applyAlignment="1">
      <alignment horizontal="right"/>
    </xf>
    <xf numFmtId="0" fontId="18" fillId="0" borderId="0" xfId="0" applyFont="1"/>
    <xf numFmtId="165" fontId="18" fillId="0" borderId="0" xfId="0" applyNumberFormat="1" applyFont="1" applyAlignment="1">
      <alignment horizontal="right"/>
    </xf>
    <xf numFmtId="166" fontId="18" fillId="0" borderId="0" xfId="0" applyNumberFormat="1" applyFont="1" applyAlignment="1">
      <alignment horizontal="right"/>
    </xf>
    <xf numFmtId="10" fontId="18" fillId="0" borderId="0" xfId="1" applyNumberFormat="1" applyFont="1" applyAlignment="1">
      <alignment horizontal="right"/>
    </xf>
    <xf numFmtId="0" fontId="18" fillId="3" borderId="12" xfId="2" applyFont="1" applyFill="1" applyBorder="1"/>
    <xf numFmtId="0" fontId="18" fillId="3" borderId="12" xfId="2" applyFont="1" applyFill="1" applyBorder="1" applyAlignment="1">
      <alignment wrapText="1"/>
    </xf>
    <xf numFmtId="0" fontId="5" fillId="0" borderId="12" xfId="0" applyFont="1" applyBorder="1"/>
    <xf numFmtId="166" fontId="5" fillId="0" borderId="12" xfId="0" applyNumberFormat="1" applyFont="1" applyBorder="1" applyAlignment="1">
      <alignment horizontal="right"/>
    </xf>
    <xf numFmtId="10" fontId="5" fillId="0" borderId="12" xfId="1" applyNumberFormat="1" applyFont="1" applyBorder="1" applyAlignment="1">
      <alignment horizontal="right"/>
    </xf>
    <xf numFmtId="10" fontId="5" fillId="0" borderId="12" xfId="0" applyNumberFormat="1" applyFont="1" applyBorder="1"/>
    <xf numFmtId="10" fontId="5" fillId="0" borderId="12" xfId="1" applyNumberFormat="1" applyFont="1" applyBorder="1"/>
    <xf numFmtId="0" fontId="18" fillId="0" borderId="12" xfId="0" applyFont="1" applyBorder="1"/>
    <xf numFmtId="165" fontId="18" fillId="0" borderId="12" xfId="0" applyNumberFormat="1" applyFont="1" applyBorder="1" applyAlignment="1">
      <alignment horizontal="right"/>
    </xf>
    <xf numFmtId="166" fontId="18" fillId="0" borderId="12" xfId="0" applyNumberFormat="1" applyFont="1" applyBorder="1" applyAlignment="1">
      <alignment horizontal="right"/>
    </xf>
    <xf numFmtId="10" fontId="18" fillId="0" borderId="12" xfId="1" applyNumberFormat="1" applyFont="1" applyBorder="1" applyAlignment="1">
      <alignment horizontal="right"/>
    </xf>
    <xf numFmtId="10" fontId="18" fillId="0" borderId="12" xfId="0" applyNumberFormat="1" applyFont="1" applyBorder="1"/>
    <xf numFmtId="0" fontId="18" fillId="5" borderId="12" xfId="2" applyFont="1" applyFill="1" applyBorder="1"/>
    <xf numFmtId="0" fontId="18" fillId="5" borderId="12" xfId="2" applyFont="1" applyFill="1" applyBorder="1" applyAlignment="1">
      <alignment wrapText="1"/>
    </xf>
    <xf numFmtId="0" fontId="18" fillId="11" borderId="12" xfId="2" applyFont="1" applyFill="1" applyBorder="1"/>
    <xf numFmtId="0" fontId="18" fillId="11" borderId="12" xfId="2" applyFont="1" applyFill="1" applyBorder="1" applyAlignment="1">
      <alignment wrapText="1"/>
    </xf>
    <xf numFmtId="0" fontId="7" fillId="9" borderId="0" xfId="2" applyFill="1" applyAlignment="1">
      <alignment wrapText="1"/>
    </xf>
    <xf numFmtId="4" fontId="0" fillId="0" borderId="0" xfId="0" applyNumberFormat="1"/>
    <xf numFmtId="0" fontId="18" fillId="17" borderId="10" xfId="2" applyFont="1" applyFill="1" applyBorder="1" applyAlignment="1">
      <alignment horizontal="center"/>
    </xf>
    <xf numFmtId="0" fontId="18" fillId="2" borderId="12" xfId="2" applyFont="1" applyFill="1" applyBorder="1" applyAlignment="1">
      <alignment horizontal="center"/>
    </xf>
    <xf numFmtId="0" fontId="18" fillId="18" borderId="12" xfId="2" applyFont="1" applyFill="1" applyBorder="1" applyAlignment="1">
      <alignment horizontal="center"/>
    </xf>
    <xf numFmtId="0" fontId="18" fillId="15" borderId="12" xfId="2" applyFont="1" applyFill="1" applyBorder="1" applyAlignment="1">
      <alignment horizontal="center"/>
    </xf>
    <xf numFmtId="0" fontId="4" fillId="5" borderId="0" xfId="2" applyFont="1" applyFill="1" applyAlignment="1">
      <alignment horizontal="center"/>
    </xf>
    <xf numFmtId="0" fontId="4" fillId="2" borderId="10" xfId="2" applyFont="1" applyFill="1" applyBorder="1" applyAlignment="1">
      <alignment horizontal="center"/>
    </xf>
    <xf numFmtId="0" fontId="2" fillId="6" borderId="1" xfId="2" applyFont="1" applyFill="1" applyBorder="1" applyAlignment="1">
      <alignment horizontal="center" vertical="center"/>
    </xf>
    <xf numFmtId="0" fontId="2" fillId="6" borderId="2" xfId="2" applyFont="1" applyFill="1" applyBorder="1" applyAlignment="1">
      <alignment horizontal="center" vertical="center"/>
    </xf>
    <xf numFmtId="0" fontId="2" fillId="6" borderId="3" xfId="2" applyFont="1" applyFill="1" applyBorder="1" applyAlignment="1">
      <alignment horizontal="center" vertical="center"/>
    </xf>
    <xf numFmtId="0" fontId="2" fillId="8" borderId="1" xfId="2" applyFont="1" applyFill="1" applyBorder="1" applyAlignment="1">
      <alignment horizontal="center" vertical="center"/>
    </xf>
    <xf numFmtId="0" fontId="2" fillId="8" borderId="2" xfId="2" applyFont="1" applyFill="1" applyBorder="1" applyAlignment="1">
      <alignment horizontal="center" vertical="center"/>
    </xf>
    <xf numFmtId="0" fontId="2" fillId="8" borderId="3" xfId="2" applyFont="1" applyFill="1" applyBorder="1" applyAlignment="1">
      <alignment horizontal="center" vertical="center"/>
    </xf>
    <xf numFmtId="1" fontId="7" fillId="0" borderId="13" xfId="2" applyNumberFormat="1" applyBorder="1" applyAlignment="1">
      <alignment horizontal="center" vertical="center"/>
    </xf>
    <xf numFmtId="1" fontId="7" fillId="0" borderId="14" xfId="2" applyNumberFormat="1" applyBorder="1" applyAlignment="1">
      <alignment horizontal="center" vertical="center"/>
    </xf>
    <xf numFmtId="1" fontId="7" fillId="0" borderId="15" xfId="2" applyNumberFormat="1" applyBorder="1" applyAlignment="1">
      <alignment horizontal="center" vertical="center"/>
    </xf>
    <xf numFmtId="1" fontId="7" fillId="0" borderId="0" xfId="2" applyNumberFormat="1" applyAlignment="1">
      <alignment horizontal="left" wrapText="1"/>
    </xf>
    <xf numFmtId="0" fontId="2" fillId="0" borderId="2" xfId="2" applyFont="1" applyBorder="1" applyAlignment="1">
      <alignment horizontal="center" vertical="center"/>
    </xf>
    <xf numFmtId="0" fontId="2" fillId="0" borderId="3" xfId="2" applyFont="1" applyBorder="1" applyAlignment="1">
      <alignment horizontal="center" vertical="center"/>
    </xf>
    <xf numFmtId="0" fontId="2" fillId="0" borderId="1" xfId="2" applyFont="1" applyBorder="1" applyAlignment="1">
      <alignment horizontal="center" vertical="center"/>
    </xf>
    <xf numFmtId="3" fontId="10" fillId="14" borderId="19" xfId="2" applyNumberFormat="1" applyFont="1" applyFill="1" applyBorder="1" applyAlignment="1">
      <alignment horizontal="right" vertical="center" wrapText="1" readingOrder="1"/>
    </xf>
    <xf numFmtId="0" fontId="10" fillId="14" borderId="20" xfId="2" applyFont="1" applyFill="1" applyBorder="1" applyAlignment="1">
      <alignment horizontal="right" vertical="center" wrapText="1" readingOrder="1"/>
    </xf>
    <xf numFmtId="10" fontId="10" fillId="14" borderId="19" xfId="2" applyNumberFormat="1" applyFont="1" applyFill="1" applyBorder="1" applyAlignment="1">
      <alignment horizontal="right" vertical="center" wrapText="1" readingOrder="1"/>
    </xf>
    <xf numFmtId="10" fontId="10" fillId="14" borderId="20" xfId="2" applyNumberFormat="1" applyFont="1" applyFill="1" applyBorder="1" applyAlignment="1">
      <alignment horizontal="right" vertical="center" wrapText="1" readingOrder="1"/>
    </xf>
    <xf numFmtId="0" fontId="3" fillId="0" borderId="7" xfId="2" applyFont="1" applyBorder="1" applyAlignment="1">
      <alignment horizontal="center"/>
    </xf>
    <xf numFmtId="0" fontId="2" fillId="0" borderId="1" xfId="2" applyFont="1" applyBorder="1" applyAlignment="1">
      <alignment horizontal="center"/>
    </xf>
    <xf numFmtId="0" fontId="2" fillId="0" borderId="2" xfId="2" applyFont="1" applyBorder="1" applyAlignment="1">
      <alignment horizontal="center"/>
    </xf>
    <xf numFmtId="0" fontId="2" fillId="0" borderId="3" xfId="2" applyFont="1" applyBorder="1" applyAlignment="1">
      <alignment horizontal="center"/>
    </xf>
    <xf numFmtId="0" fontId="2" fillId="2" borderId="10" xfId="2" applyFont="1" applyFill="1" applyBorder="1" applyAlignment="1">
      <alignment horizontal="center"/>
    </xf>
    <xf numFmtId="0" fontId="4" fillId="2" borderId="21" xfId="2" applyFont="1" applyFill="1" applyBorder="1" applyAlignment="1">
      <alignment horizontal="center"/>
    </xf>
    <xf numFmtId="0" fontId="2" fillId="3" borderId="0" xfId="2" applyFont="1" applyFill="1" applyAlignment="1">
      <alignment horizontal="center"/>
    </xf>
    <xf numFmtId="0" fontId="2" fillId="19" borderId="0" xfId="2" applyFont="1" applyFill="1" applyAlignment="1">
      <alignment horizontal="center"/>
    </xf>
    <xf numFmtId="0" fontId="2" fillId="0" borderId="0" xfId="2" applyFont="1" applyAlignment="1">
      <alignment horizontal="center"/>
    </xf>
    <xf numFmtId="0" fontId="2" fillId="17" borderId="0" xfId="2" applyFont="1" applyFill="1" applyAlignment="1">
      <alignment horizontal="center"/>
    </xf>
    <xf numFmtId="0" fontId="2" fillId="9" borderId="0" xfId="2" applyFont="1" applyFill="1" applyAlignment="1">
      <alignment horizontal="center"/>
    </xf>
    <xf numFmtId="0" fontId="2" fillId="6" borderId="1" xfId="0" applyFont="1" applyFill="1" applyBorder="1" applyAlignment="1">
      <alignment horizontal="center" vertical="center"/>
    </xf>
    <xf numFmtId="0" fontId="2" fillId="6" borderId="2" xfId="0" applyFont="1" applyFill="1" applyBorder="1" applyAlignment="1">
      <alignment horizontal="center" vertical="center"/>
    </xf>
    <xf numFmtId="0" fontId="7" fillId="0" borderId="0" xfId="0" applyFont="1" applyAlignment="1">
      <alignment horizontal="left" wrapText="1"/>
    </xf>
    <xf numFmtId="0" fontId="0" fillId="0" borderId="0" xfId="0" applyAlignment="1">
      <alignment horizontal="left" wrapText="1"/>
    </xf>
    <xf numFmtId="10" fontId="0" fillId="0" borderId="12" xfId="1" applyNumberFormat="1" applyFont="1" applyBorder="1" applyAlignment="1">
      <alignment horizontal="right"/>
    </xf>
    <xf numFmtId="164" fontId="0" fillId="0" borderId="13" xfId="0" applyNumberFormat="1" applyBorder="1" applyAlignment="1">
      <alignment horizontal="center"/>
    </xf>
    <xf numFmtId="164" fontId="0" fillId="0" borderId="15" xfId="0" applyNumberFormat="1" applyBorder="1" applyAlignment="1">
      <alignment horizont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6" xfId="0" applyFont="1" applyFill="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vertical="center"/>
    </xf>
    <xf numFmtId="0" fontId="4" fillId="3" borderId="28" xfId="0" applyFont="1" applyFill="1" applyBorder="1" applyAlignment="1">
      <alignment horizontal="left"/>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24" xfId="0" applyFont="1" applyBorder="1" applyAlignment="1">
      <alignment horizontal="center" vertical="center" wrapText="1"/>
    </xf>
    <xf numFmtId="0" fontId="2" fillId="2" borderId="12" xfId="2" applyFont="1" applyFill="1" applyBorder="1" applyAlignment="1">
      <alignment horizontal="center"/>
    </xf>
    <xf numFmtId="0" fontId="4" fillId="2" borderId="12" xfId="2" applyFont="1" applyFill="1" applyBorder="1" applyAlignment="1">
      <alignment horizontal="center"/>
    </xf>
    <xf numFmtId="0" fontId="12" fillId="0" borderId="13"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12" xfId="0" applyFont="1" applyBorder="1" applyAlignment="1">
      <alignment vertical="center" wrapText="1"/>
    </xf>
    <xf numFmtId="0" fontId="12" fillId="0" borderId="12" xfId="0" applyFont="1" applyBorder="1" applyAlignment="1">
      <alignment horizontal="center" vertical="center" wrapText="1"/>
    </xf>
    <xf numFmtId="0" fontId="0" fillId="0" borderId="12"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166" fontId="2" fillId="0" borderId="0" xfId="2" applyNumberFormat="1" applyFont="1" applyAlignment="1">
      <alignment wrapText="1"/>
    </xf>
  </cellXfs>
  <cellStyles count="4">
    <cellStyle name="Normal" xfId="0" builtinId="0"/>
    <cellStyle name="Normal 2" xfId="2" xr:uid="{B1B0E237-F74B-4ADC-AE01-381E08E2D2E0}"/>
    <cellStyle name="Percent" xfId="1" builtinId="5"/>
    <cellStyle name="Percent 2" xfId="3" xr:uid="{FE54FDEA-18C1-4C8C-A69F-3B260C3A1A9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B0F35-AF6F-43B6-80A7-FF0C1E896F89}">
  <dimension ref="A1:Q43"/>
  <sheetViews>
    <sheetView topLeftCell="Q1" zoomScale="71" zoomScaleNormal="70" workbookViewId="0">
      <selection activeCell="J35" sqref="J35:Q40"/>
    </sheetView>
  </sheetViews>
  <sheetFormatPr baseColWidth="10" defaultColWidth="15.6640625" defaultRowHeight="15"/>
  <cols>
    <col min="1" max="1" width="20.5" style="301" customWidth="1"/>
    <col min="2" max="3" width="12.1640625" style="301" customWidth="1"/>
    <col min="4" max="4" width="19.6640625" style="301" customWidth="1"/>
    <col min="5" max="6" width="15.6640625" style="301"/>
    <col min="7" max="7" width="17.5" style="301" customWidth="1"/>
    <col min="8" max="8" width="17.1640625" style="301" customWidth="1"/>
    <col min="9" max="9" width="15.6640625" style="301"/>
    <col min="10" max="10" width="20.5" style="301" customWidth="1"/>
    <col min="11" max="12" width="12.1640625" style="301" customWidth="1"/>
    <col min="13" max="13" width="19.6640625" style="301" customWidth="1"/>
    <col min="14" max="15" width="15.6640625" style="301"/>
    <col min="16" max="16" width="17.5" style="301" customWidth="1"/>
    <col min="17" max="17" width="17.1640625" style="301" customWidth="1"/>
    <col min="18" max="16384" width="15.6640625" style="301"/>
  </cols>
  <sheetData>
    <row r="1" spans="1:17">
      <c r="A1" s="331" t="s">
        <v>258</v>
      </c>
      <c r="B1" s="331"/>
      <c r="C1" s="331"/>
      <c r="D1" s="331"/>
      <c r="E1" s="331"/>
      <c r="F1" s="331"/>
      <c r="G1" s="331"/>
    </row>
    <row r="2" spans="1:17" ht="16">
      <c r="A2" s="302"/>
      <c r="B2" s="303" t="s">
        <v>260</v>
      </c>
      <c r="C2" s="304"/>
      <c r="D2" s="305" t="s">
        <v>257</v>
      </c>
      <c r="E2" s="305" t="s">
        <v>207</v>
      </c>
      <c r="F2" s="305" t="s">
        <v>17</v>
      </c>
      <c r="G2" s="305" t="s">
        <v>18</v>
      </c>
    </row>
    <row r="3" spans="1:17">
      <c r="D3" s="301" t="s">
        <v>21</v>
      </c>
      <c r="E3" s="301" t="s">
        <v>21</v>
      </c>
      <c r="F3" s="301" t="s">
        <v>22</v>
      </c>
      <c r="G3" s="301" t="s">
        <v>22</v>
      </c>
    </row>
    <row r="4" spans="1:17">
      <c r="A4" s="301" t="s">
        <v>254</v>
      </c>
      <c r="B4" s="306">
        <f>'Coal Unit'!J18</f>
        <v>446.4</v>
      </c>
      <c r="C4" s="301" t="s">
        <v>264</v>
      </c>
      <c r="D4" s="307">
        <f>'Coal Unit'!L18</f>
        <v>183024</v>
      </c>
      <c r="E4" s="307">
        <f>'Coal Unit'!M18</f>
        <v>137871</v>
      </c>
      <c r="F4" s="307">
        <f>'Coal Unit'!N18</f>
        <v>45153</v>
      </c>
      <c r="G4" s="308">
        <f>'Coal Unit'!O18</f>
        <v>0.24670535011801731</v>
      </c>
    </row>
    <row r="5" spans="1:17">
      <c r="A5" s="301" t="s">
        <v>255</v>
      </c>
      <c r="B5" s="306">
        <f>'Power Cost'!M13</f>
        <v>123.27000000000001</v>
      </c>
      <c r="C5" s="301" t="s">
        <v>147</v>
      </c>
      <c r="D5" s="307">
        <f>'Power Cost'!O13</f>
        <v>40306.28</v>
      </c>
      <c r="E5" s="307">
        <f>'Power Cost'!P13</f>
        <v>31095</v>
      </c>
      <c r="F5" s="307">
        <f>'Power Cost'!Q13</f>
        <v>9211.2799999999988</v>
      </c>
      <c r="G5" s="308">
        <f>'Power Cost'!R13</f>
        <v>0.22853212948453688</v>
      </c>
    </row>
    <row r="6" spans="1:17">
      <c r="A6" s="301" t="s">
        <v>256</v>
      </c>
      <c r="B6" s="306">
        <f>Transportation!L26</f>
        <v>429.5</v>
      </c>
      <c r="C6" s="301" t="s">
        <v>264</v>
      </c>
      <c r="D6" s="307">
        <f>Transportation!M26</f>
        <v>48194</v>
      </c>
      <c r="E6" s="307">
        <f>Transportation!Q26</f>
        <v>21688</v>
      </c>
      <c r="F6" s="307">
        <f>Transportation!R26</f>
        <v>26506</v>
      </c>
      <c r="G6" s="308">
        <f>Transportation!S26</f>
        <v>0.54998547537037801</v>
      </c>
    </row>
    <row r="7" spans="1:17">
      <c r="A7" s="309" t="s">
        <v>106</v>
      </c>
      <c r="B7" s="310"/>
      <c r="C7" s="309"/>
      <c r="D7" s="311">
        <f>SUM(D4:D6)</f>
        <v>271524.28000000003</v>
      </c>
      <c r="E7" s="311">
        <f>SUM(E4:E6)</f>
        <v>190654</v>
      </c>
      <c r="F7" s="311">
        <f>D7-E7</f>
        <v>80870.280000000028</v>
      </c>
      <c r="G7" s="312">
        <f>F7/D7</f>
        <v>0.29783811598727017</v>
      </c>
    </row>
    <row r="9" spans="1:17">
      <c r="A9" s="332" t="s">
        <v>253</v>
      </c>
      <c r="B9" s="332"/>
      <c r="C9" s="332"/>
      <c r="D9" s="332"/>
      <c r="E9" s="332"/>
      <c r="F9" s="332"/>
      <c r="G9" s="332"/>
      <c r="H9" s="332"/>
      <c r="J9" s="332" t="s">
        <v>372</v>
      </c>
      <c r="K9" s="332"/>
      <c r="L9" s="332"/>
      <c r="M9" s="332"/>
      <c r="N9" s="332"/>
      <c r="O9" s="332"/>
      <c r="P9" s="332"/>
      <c r="Q9" s="332"/>
    </row>
    <row r="10" spans="1:17" ht="32">
      <c r="A10" s="313"/>
      <c r="B10" s="313" t="s">
        <v>260</v>
      </c>
      <c r="C10" s="313"/>
      <c r="D10" s="314" t="s">
        <v>257</v>
      </c>
      <c r="E10" s="314" t="s">
        <v>207</v>
      </c>
      <c r="F10" s="314" t="s">
        <v>17</v>
      </c>
      <c r="G10" s="314" t="s">
        <v>18</v>
      </c>
      <c r="H10" s="314" t="s">
        <v>259</v>
      </c>
      <c r="J10" s="313"/>
      <c r="K10" s="313" t="s">
        <v>260</v>
      </c>
      <c r="L10" s="313"/>
      <c r="M10" s="314" t="s">
        <v>257</v>
      </c>
      <c r="N10" s="314" t="s">
        <v>207</v>
      </c>
      <c r="O10" s="314" t="s">
        <v>17</v>
      </c>
      <c r="P10" s="314" t="s">
        <v>18</v>
      </c>
      <c r="Q10" s="314" t="s">
        <v>259</v>
      </c>
    </row>
    <row r="11" spans="1:17">
      <c r="A11" s="315"/>
      <c r="B11" s="315"/>
      <c r="C11" s="315"/>
      <c r="D11" s="315" t="s">
        <v>21</v>
      </c>
      <c r="E11" s="315" t="s">
        <v>21</v>
      </c>
      <c r="F11" s="315" t="s">
        <v>22</v>
      </c>
      <c r="G11" s="315" t="s">
        <v>22</v>
      </c>
      <c r="H11" s="315"/>
      <c r="J11" s="315"/>
      <c r="K11" s="315"/>
      <c r="L11" s="315"/>
      <c r="M11" s="315" t="s">
        <v>21</v>
      </c>
      <c r="N11" s="315" t="s">
        <v>21</v>
      </c>
      <c r="O11" s="315" t="s">
        <v>22</v>
      </c>
      <c r="P11" s="315" t="s">
        <v>22</v>
      </c>
      <c r="Q11" s="315"/>
    </row>
    <row r="12" spans="1:17">
      <c r="A12" s="315" t="s">
        <v>254</v>
      </c>
      <c r="B12" s="315">
        <f>'Coal Unit'!L34</f>
        <v>223.2</v>
      </c>
      <c r="C12" s="315" t="s">
        <v>264</v>
      </c>
      <c r="D12" s="316">
        <f>'Coal Unit'!N34</f>
        <v>91512</v>
      </c>
      <c r="E12" s="316">
        <f>'Coal Unit'!O34</f>
        <v>83773</v>
      </c>
      <c r="F12" s="316">
        <f>'Coal Unit'!P34</f>
        <v>7739</v>
      </c>
      <c r="G12" s="317">
        <f>'Coal Unit'!Q34</f>
        <v>8.4568144068537465E-2</v>
      </c>
      <c r="H12" s="318">
        <f>G12-$G$4</f>
        <v>-0.16213720604947984</v>
      </c>
      <c r="J12" s="315" t="s">
        <v>254</v>
      </c>
      <c r="K12" s="315">
        <f>'Coal Unit'!L47</f>
        <v>223.2</v>
      </c>
      <c r="L12" s="315" t="s">
        <v>264</v>
      </c>
      <c r="M12" s="316">
        <f>'Coal Unit'!N47</f>
        <v>131241.60000000001</v>
      </c>
      <c r="N12" s="316">
        <f>'Coal Unit'!O47</f>
        <v>83773</v>
      </c>
      <c r="O12" s="316">
        <f>'Coal Unit'!P47</f>
        <v>47468.600000000006</v>
      </c>
      <c r="P12" s="317">
        <f>'Coal Unit'!Q47</f>
        <v>0.36168867188452447</v>
      </c>
      <c r="Q12" s="319">
        <f>P12-$G$4</f>
        <v>0.11498332176650716</v>
      </c>
    </row>
    <row r="13" spans="1:17">
      <c r="A13" s="315" t="s">
        <v>255</v>
      </c>
      <c r="B13" s="315">
        <f>'Power Cost'!M21</f>
        <v>61.635000000000005</v>
      </c>
      <c r="C13" s="315" t="s">
        <v>147</v>
      </c>
      <c r="D13" s="316">
        <f>'Power Cost'!O21</f>
        <v>20154.645</v>
      </c>
      <c r="E13" s="316">
        <f>'Power Cost'!P21</f>
        <v>19543.5</v>
      </c>
      <c r="F13" s="316">
        <f>'Power Cost'!Q21</f>
        <v>611.14500000000044</v>
      </c>
      <c r="G13" s="317">
        <f>'Power Cost'!R21</f>
        <v>3.032278663305657E-2</v>
      </c>
      <c r="H13" s="318">
        <f>G13-$G$5</f>
        <v>-0.19820934285148031</v>
      </c>
      <c r="J13" s="315" t="s">
        <v>255</v>
      </c>
      <c r="K13" s="315">
        <f>'Power Cost'!M28</f>
        <v>61.635000000000005</v>
      </c>
      <c r="L13" s="315" t="s">
        <v>147</v>
      </c>
      <c r="M13" s="316">
        <f>'Power Cost'!O28</f>
        <v>21140.805</v>
      </c>
      <c r="N13" s="316">
        <f>'Power Cost'!P28</f>
        <v>24227.481667106305</v>
      </c>
      <c r="O13" s="316">
        <f>'Power Cost'!Q28</f>
        <v>-3086.6766671063051</v>
      </c>
      <c r="P13" s="317">
        <f>'Power Cost'!R28</f>
        <v>-0.14600563541011352</v>
      </c>
      <c r="Q13" s="319">
        <f>P13-$G$5</f>
        <v>-0.3745377648946504</v>
      </c>
    </row>
    <row r="14" spans="1:17">
      <c r="A14" s="315" t="s">
        <v>256</v>
      </c>
      <c r="B14" s="315">
        <f>Transportation!L36</f>
        <v>214.75</v>
      </c>
      <c r="C14" s="315" t="s">
        <v>264</v>
      </c>
      <c r="D14" s="316">
        <f>Transportation!M36</f>
        <v>23202.66466799911</v>
      </c>
      <c r="E14" s="316">
        <f>Transportation!Q36</f>
        <v>17470.005773928493</v>
      </c>
      <c r="F14" s="316">
        <f>Transportation!R36</f>
        <v>5732.658894070617</v>
      </c>
      <c r="G14" s="317">
        <f>Transportation!S36</f>
        <v>0.24706898867426397</v>
      </c>
      <c r="H14" s="318">
        <f>G14-$G$6</f>
        <v>-0.30291648669611404</v>
      </c>
      <c r="J14" s="315" t="s">
        <v>256</v>
      </c>
      <c r="K14" s="315">
        <f>Transportation!L36</f>
        <v>214.75</v>
      </c>
      <c r="L14" s="315" t="s">
        <v>264</v>
      </c>
      <c r="M14" s="316">
        <f>Transportation!M36</f>
        <v>23202.66466799911</v>
      </c>
      <c r="N14" s="316">
        <f>Transportation!Q36</f>
        <v>17470.005773928493</v>
      </c>
      <c r="O14" s="316">
        <f>Transportation!R36</f>
        <v>5732.658894070617</v>
      </c>
      <c r="P14" s="317">
        <f>Transportation!S36</f>
        <v>0.24706898867426397</v>
      </c>
      <c r="Q14" s="318">
        <f>P14-$G$6</f>
        <v>-0.30291648669611404</v>
      </c>
    </row>
    <row r="15" spans="1:17">
      <c r="A15" s="320" t="s">
        <v>106</v>
      </c>
      <c r="B15" s="321"/>
      <c r="C15" s="320"/>
      <c r="D15" s="322">
        <f>SUM(D12:D14)</f>
        <v>134869.3096679991</v>
      </c>
      <c r="E15" s="322">
        <f>SUM(E12:E14)</f>
        <v>120786.5057739285</v>
      </c>
      <c r="F15" s="322">
        <f>D15-E15</f>
        <v>14082.803894070603</v>
      </c>
      <c r="G15" s="323">
        <f>F15/D15</f>
        <v>0.104418150643297</v>
      </c>
      <c r="H15" s="324">
        <f>G15-$G$7</f>
        <v>-0.19341996534397315</v>
      </c>
      <c r="J15" s="320" t="s">
        <v>106</v>
      </c>
      <c r="K15" s="321"/>
      <c r="L15" s="320"/>
      <c r="M15" s="322">
        <f>SUM(M12:M14)</f>
        <v>175585.06966799911</v>
      </c>
      <c r="N15" s="322">
        <f>SUM(N12:N14)</f>
        <v>125470.4874410348</v>
      </c>
      <c r="O15" s="322">
        <f>M15-N15</f>
        <v>50114.58222696431</v>
      </c>
      <c r="P15" s="323">
        <f>O15/M15</f>
        <v>0.28541482668043638</v>
      </c>
      <c r="Q15" s="324">
        <f>P15-G7</f>
        <v>-1.2423289306833785E-2</v>
      </c>
    </row>
    <row r="17" spans="1:17">
      <c r="A17" s="301" t="s">
        <v>80</v>
      </c>
      <c r="B17" s="301" t="s">
        <v>273</v>
      </c>
      <c r="J17" s="301" t="s">
        <v>281</v>
      </c>
      <c r="K17" s="301" t="s">
        <v>375</v>
      </c>
    </row>
    <row r="18" spans="1:17">
      <c r="B18" s="309" t="s">
        <v>266</v>
      </c>
      <c r="K18" s="309" t="s">
        <v>267</v>
      </c>
    </row>
    <row r="19" spans="1:17">
      <c r="B19" s="301" t="s">
        <v>274</v>
      </c>
      <c r="K19" s="301" t="s">
        <v>376</v>
      </c>
    </row>
    <row r="20" spans="1:17">
      <c r="B20" s="309" t="s">
        <v>385</v>
      </c>
      <c r="K20" s="309" t="s">
        <v>386</v>
      </c>
    </row>
    <row r="21" spans="1:17">
      <c r="B21" s="301" t="s">
        <v>275</v>
      </c>
      <c r="K21" s="301" t="s">
        <v>275</v>
      </c>
    </row>
    <row r="23" spans="1:17">
      <c r="A23" s="334" t="s">
        <v>282</v>
      </c>
      <c r="B23" s="334"/>
      <c r="C23" s="334"/>
      <c r="D23" s="334"/>
      <c r="E23" s="334"/>
      <c r="F23" s="334"/>
      <c r="G23" s="334"/>
      <c r="H23" s="334"/>
      <c r="J23" s="334" t="s">
        <v>373</v>
      </c>
      <c r="K23" s="334"/>
      <c r="L23" s="334"/>
      <c r="M23" s="334"/>
      <c r="N23" s="334"/>
      <c r="O23" s="334"/>
      <c r="P23" s="334"/>
      <c r="Q23" s="334"/>
    </row>
    <row r="24" spans="1:17" ht="32">
      <c r="A24" s="325"/>
      <c r="B24" s="325" t="s">
        <v>260</v>
      </c>
      <c r="C24" s="325"/>
      <c r="D24" s="326" t="s">
        <v>257</v>
      </c>
      <c r="E24" s="326" t="s">
        <v>207</v>
      </c>
      <c r="F24" s="326" t="s">
        <v>17</v>
      </c>
      <c r="G24" s="326" t="s">
        <v>18</v>
      </c>
      <c r="H24" s="326" t="s">
        <v>259</v>
      </c>
      <c r="J24" s="325"/>
      <c r="K24" s="325" t="s">
        <v>260</v>
      </c>
      <c r="L24" s="325"/>
      <c r="M24" s="326" t="s">
        <v>257</v>
      </c>
      <c r="N24" s="326" t="s">
        <v>207</v>
      </c>
      <c r="O24" s="326" t="s">
        <v>17</v>
      </c>
      <c r="P24" s="326" t="s">
        <v>18</v>
      </c>
      <c r="Q24" s="326" t="s">
        <v>259</v>
      </c>
    </row>
    <row r="25" spans="1:17">
      <c r="A25" s="315"/>
      <c r="B25" s="315"/>
      <c r="C25" s="315"/>
      <c r="D25" s="315" t="s">
        <v>21</v>
      </c>
      <c r="E25" s="315" t="s">
        <v>21</v>
      </c>
      <c r="F25" s="315" t="s">
        <v>22</v>
      </c>
      <c r="G25" s="315" t="s">
        <v>22</v>
      </c>
      <c r="H25" s="315"/>
      <c r="J25" s="315"/>
      <c r="K25" s="315"/>
      <c r="L25" s="315"/>
      <c r="M25" s="315" t="s">
        <v>21</v>
      </c>
      <c r="N25" s="315" t="s">
        <v>21</v>
      </c>
      <c r="O25" s="315" t="s">
        <v>22</v>
      </c>
      <c r="P25" s="315" t="s">
        <v>22</v>
      </c>
      <c r="Q25" s="315"/>
    </row>
    <row r="26" spans="1:17">
      <c r="A26" s="315" t="s">
        <v>254</v>
      </c>
      <c r="B26" s="315">
        <f>'Coal Unit'!L34</f>
        <v>223.2</v>
      </c>
      <c r="C26" s="315" t="s">
        <v>264</v>
      </c>
      <c r="D26" s="316">
        <f>'Coal Unit'!N35</f>
        <v>91512</v>
      </c>
      <c r="E26" s="316">
        <f>'Coal Unit'!O35</f>
        <v>61408.264864864861</v>
      </c>
      <c r="F26" s="316">
        <f>'Coal Unit'!P35</f>
        <v>30103.735135135139</v>
      </c>
      <c r="G26" s="317">
        <f>'Coal Unit'!Q35</f>
        <v>0.32895942756288943</v>
      </c>
      <c r="H26" s="318">
        <f>G26-$G$4</f>
        <v>8.225407744487212E-2</v>
      </c>
      <c r="J26" s="315" t="s">
        <v>254</v>
      </c>
      <c r="K26" s="315">
        <f>'Coal Unit'!L34</f>
        <v>223.2</v>
      </c>
      <c r="L26" s="315" t="s">
        <v>264</v>
      </c>
      <c r="M26" s="316">
        <f>'Coal Unit'!N48</f>
        <v>131241.60000000001</v>
      </c>
      <c r="N26" s="316">
        <f>'Coal Unit'!O48</f>
        <v>61408.264864864861</v>
      </c>
      <c r="O26" s="316">
        <f>'Coal Unit'!P48</f>
        <v>69833.335135135145</v>
      </c>
      <c r="P26" s="317">
        <f>'Coal Unit'!Q48</f>
        <v>0.53209756003534814</v>
      </c>
      <c r="Q26" s="319">
        <f>P26-$G$4</f>
        <v>0.28539220991733083</v>
      </c>
    </row>
    <row r="27" spans="1:17">
      <c r="A27" s="315" t="s">
        <v>255</v>
      </c>
      <c r="B27" s="315">
        <f>'Power Cost'!M21</f>
        <v>61.635000000000005</v>
      </c>
      <c r="C27" s="315" t="s">
        <v>147</v>
      </c>
      <c r="D27" s="316">
        <f>'Power Cost'!O21</f>
        <v>20154.645</v>
      </c>
      <c r="E27" s="316">
        <f>'Power Cost'!P21</f>
        <v>19543.5</v>
      </c>
      <c r="F27" s="316">
        <f>'Power Cost'!Q21</f>
        <v>611.14500000000044</v>
      </c>
      <c r="G27" s="317">
        <f>'Power Cost'!R21</f>
        <v>3.032278663305657E-2</v>
      </c>
      <c r="H27" s="318">
        <f>G27-$G$5</f>
        <v>-0.19820934285148031</v>
      </c>
      <c r="J27" s="315" t="s">
        <v>255</v>
      </c>
      <c r="K27" s="315">
        <f>'Power Cost'!M28</f>
        <v>61.635000000000005</v>
      </c>
      <c r="L27" s="315" t="s">
        <v>147</v>
      </c>
      <c r="M27" s="316">
        <f>'Power Cost'!O28</f>
        <v>21140.805</v>
      </c>
      <c r="N27" s="316">
        <f>'Power Cost'!P28</f>
        <v>24227.481667106305</v>
      </c>
      <c r="O27" s="316">
        <f>'Power Cost'!Q28</f>
        <v>-3086.6766671063051</v>
      </c>
      <c r="P27" s="317">
        <f>'Power Cost'!R28</f>
        <v>-0.14600563541011352</v>
      </c>
      <c r="Q27" s="319">
        <f>P27-$G$5</f>
        <v>-0.3745377648946504</v>
      </c>
    </row>
    <row r="28" spans="1:17">
      <c r="A28" s="315" t="s">
        <v>256</v>
      </c>
      <c r="B28" s="315">
        <f>Transportation!L36</f>
        <v>214.75</v>
      </c>
      <c r="C28" s="315" t="s">
        <v>264</v>
      </c>
      <c r="D28" s="316">
        <f>Transportation!M36</f>
        <v>23202.66466799911</v>
      </c>
      <c r="E28" s="316">
        <f>Transportation!Q36</f>
        <v>17470.005773928493</v>
      </c>
      <c r="F28" s="316">
        <f>Transportation!R36</f>
        <v>5732.658894070617</v>
      </c>
      <c r="G28" s="317">
        <f>Transportation!S36</f>
        <v>0.24706898867426397</v>
      </c>
      <c r="H28" s="318">
        <f>G28-$G$6</f>
        <v>-0.30291648669611404</v>
      </c>
      <c r="J28" s="315" t="s">
        <v>256</v>
      </c>
      <c r="K28" s="315">
        <f>Transportation!L36</f>
        <v>214.75</v>
      </c>
      <c r="L28" s="315" t="s">
        <v>264</v>
      </c>
      <c r="M28" s="316">
        <f>Transportation!M36</f>
        <v>23202.66466799911</v>
      </c>
      <c r="N28" s="316">
        <f>Transportation!Q36</f>
        <v>17470.005773928493</v>
      </c>
      <c r="O28" s="316">
        <f>Transportation!R36</f>
        <v>5732.658894070617</v>
      </c>
      <c r="P28" s="317">
        <f>Transportation!S36</f>
        <v>0.24706898867426397</v>
      </c>
      <c r="Q28" s="318">
        <f>P28-$G$6</f>
        <v>-0.30291648669611404</v>
      </c>
    </row>
    <row r="29" spans="1:17">
      <c r="A29" s="320" t="s">
        <v>106</v>
      </c>
      <c r="B29" s="321"/>
      <c r="C29" s="320"/>
      <c r="D29" s="322">
        <f>SUM(D26:D28)</f>
        <v>134869.3096679991</v>
      </c>
      <c r="E29" s="322">
        <f>SUM(E26:E28)</f>
        <v>98421.770638793358</v>
      </c>
      <c r="F29" s="322">
        <f>D29-E29</f>
        <v>36447.539029205742</v>
      </c>
      <c r="G29" s="323">
        <f>F29/D29</f>
        <v>0.27024338686782629</v>
      </c>
      <c r="H29" s="324">
        <f>G29-$G$7</f>
        <v>-2.7594729119443884E-2</v>
      </c>
      <c r="J29" s="320" t="s">
        <v>106</v>
      </c>
      <c r="K29" s="321"/>
      <c r="L29" s="320"/>
      <c r="M29" s="322">
        <f>SUM(M26:M28)</f>
        <v>175585.06966799911</v>
      </c>
      <c r="N29" s="322">
        <f>SUM(N26:N28)</f>
        <v>103105.75230589966</v>
      </c>
      <c r="O29" s="322">
        <f>M29-N29</f>
        <v>72479.317362099449</v>
      </c>
      <c r="P29" s="323">
        <f>O29/M29</f>
        <v>0.41278747389595971</v>
      </c>
      <c r="Q29" s="324">
        <f>P29-G7</f>
        <v>0.11494935790868954</v>
      </c>
    </row>
    <row r="31" spans="1:17">
      <c r="A31" s="301" t="s">
        <v>80</v>
      </c>
      <c r="B31" s="301" t="s">
        <v>280</v>
      </c>
      <c r="J31" s="301" t="s">
        <v>80</v>
      </c>
      <c r="K31" s="301" t="s">
        <v>286</v>
      </c>
    </row>
    <row r="32" spans="1:17">
      <c r="B32" s="301" t="s">
        <v>284</v>
      </c>
    </row>
    <row r="34" spans="1:17">
      <c r="A34" s="333" t="s">
        <v>283</v>
      </c>
      <c r="B34" s="333"/>
      <c r="C34" s="333"/>
      <c r="D34" s="333"/>
      <c r="E34" s="333"/>
      <c r="F34" s="333"/>
      <c r="G34" s="333"/>
      <c r="H34" s="333"/>
      <c r="J34" s="333" t="s">
        <v>374</v>
      </c>
      <c r="K34" s="333"/>
      <c r="L34" s="333"/>
      <c r="M34" s="333"/>
      <c r="N34" s="333"/>
      <c r="O34" s="333"/>
      <c r="P34" s="333"/>
      <c r="Q34" s="333"/>
    </row>
    <row r="35" spans="1:17" ht="32">
      <c r="A35" s="327"/>
      <c r="B35" s="327" t="s">
        <v>260</v>
      </c>
      <c r="C35" s="327"/>
      <c r="D35" s="328" t="s">
        <v>257</v>
      </c>
      <c r="E35" s="328" t="s">
        <v>207</v>
      </c>
      <c r="F35" s="328" t="s">
        <v>17</v>
      </c>
      <c r="G35" s="328" t="s">
        <v>18</v>
      </c>
      <c r="H35" s="328" t="s">
        <v>259</v>
      </c>
      <c r="J35" s="327"/>
      <c r="K35" s="327" t="s">
        <v>260</v>
      </c>
      <c r="L35" s="327"/>
      <c r="M35" s="328" t="s">
        <v>257</v>
      </c>
      <c r="N35" s="328" t="s">
        <v>207</v>
      </c>
      <c r="O35" s="328" t="s">
        <v>17</v>
      </c>
      <c r="P35" s="328" t="s">
        <v>18</v>
      </c>
      <c r="Q35" s="328" t="s">
        <v>259</v>
      </c>
    </row>
    <row r="36" spans="1:17">
      <c r="A36" s="315"/>
      <c r="B36" s="315"/>
      <c r="C36" s="315"/>
      <c r="D36" s="315" t="s">
        <v>21</v>
      </c>
      <c r="E36" s="315" t="s">
        <v>21</v>
      </c>
      <c r="F36" s="315" t="s">
        <v>22</v>
      </c>
      <c r="G36" s="315" t="s">
        <v>22</v>
      </c>
      <c r="H36" s="315"/>
      <c r="J36" s="315"/>
      <c r="K36" s="315"/>
      <c r="L36" s="315"/>
      <c r="M36" s="315" t="s">
        <v>21</v>
      </c>
      <c r="N36" s="315" t="s">
        <v>21</v>
      </c>
      <c r="O36" s="315" t="s">
        <v>22</v>
      </c>
      <c r="P36" s="315" t="s">
        <v>22</v>
      </c>
      <c r="Q36" s="315"/>
    </row>
    <row r="37" spans="1:17">
      <c r="A37" s="315" t="s">
        <v>254</v>
      </c>
      <c r="B37" s="315">
        <f>'Coal Unit'!L34</f>
        <v>223.2</v>
      </c>
      <c r="C37" s="315" t="s">
        <v>264</v>
      </c>
      <c r="D37" s="316">
        <f>'Coal Unit'!N35</f>
        <v>91512</v>
      </c>
      <c r="E37" s="316">
        <f>'Coal Unit'!O35</f>
        <v>61408.264864864861</v>
      </c>
      <c r="F37" s="316">
        <f>'Coal Unit'!P35</f>
        <v>30103.735135135139</v>
      </c>
      <c r="G37" s="317">
        <f>'Coal Unit'!Q35</f>
        <v>0.32895942756288943</v>
      </c>
      <c r="H37" s="318">
        <f>G37-$G$4</f>
        <v>8.225407744487212E-2</v>
      </c>
      <c r="J37" s="315" t="s">
        <v>254</v>
      </c>
      <c r="K37" s="315">
        <f>'Coal Unit'!L34</f>
        <v>223.2</v>
      </c>
      <c r="L37" s="315" t="s">
        <v>264</v>
      </c>
      <c r="M37" s="316">
        <f>'Coal Unit'!N48</f>
        <v>131241.60000000001</v>
      </c>
      <c r="N37" s="316">
        <f>'Coal Unit'!O48</f>
        <v>61408.264864864861</v>
      </c>
      <c r="O37" s="316">
        <f>'Coal Unit'!P48</f>
        <v>69833.335135135145</v>
      </c>
      <c r="P37" s="317">
        <f>'Coal Unit'!Q48</f>
        <v>0.53209756003534814</v>
      </c>
      <c r="Q37" s="319">
        <f>P37-$G$4</f>
        <v>0.28539220991733083</v>
      </c>
    </row>
    <row r="38" spans="1:17">
      <c r="A38" s="315" t="s">
        <v>255</v>
      </c>
      <c r="B38" s="315">
        <f>'Power Cost'!M21</f>
        <v>61.635000000000005</v>
      </c>
      <c r="C38" s="315" t="s">
        <v>147</v>
      </c>
      <c r="D38" s="316">
        <f>'Power Cost'!O21</f>
        <v>20154.645</v>
      </c>
      <c r="E38" s="316">
        <f>'Power Cost'!P21</f>
        <v>19543.5</v>
      </c>
      <c r="F38" s="316">
        <f>'Power Cost'!Q21</f>
        <v>611.14500000000044</v>
      </c>
      <c r="G38" s="317">
        <f>'Power Cost'!R21</f>
        <v>3.032278663305657E-2</v>
      </c>
      <c r="H38" s="318">
        <f>G38-$G$5</f>
        <v>-0.19820934285148031</v>
      </c>
      <c r="J38" s="315" t="s">
        <v>255</v>
      </c>
      <c r="K38" s="315">
        <f>'Power Cost'!M28</f>
        <v>61.635000000000005</v>
      </c>
      <c r="L38" s="315" t="s">
        <v>147</v>
      </c>
      <c r="M38" s="316">
        <f>'Power Cost'!O28</f>
        <v>21140.805</v>
      </c>
      <c r="N38" s="316">
        <f>'Power Cost'!P28</f>
        <v>24227.481667106305</v>
      </c>
      <c r="O38" s="316">
        <f>'Power Cost'!Q28</f>
        <v>-3086.6766671063051</v>
      </c>
      <c r="P38" s="317">
        <f>'Power Cost'!R28</f>
        <v>-0.14600563541011352</v>
      </c>
      <c r="Q38" s="319">
        <f>P38-$G$5</f>
        <v>-0.3745377648946504</v>
      </c>
    </row>
    <row r="39" spans="1:17">
      <c r="A39" s="315" t="s">
        <v>256</v>
      </c>
      <c r="B39" s="315">
        <f>Transportation!L36</f>
        <v>214.75</v>
      </c>
      <c r="C39" s="315" t="s">
        <v>264</v>
      </c>
      <c r="D39" s="316">
        <f>Transportation!M37</f>
        <v>19034.913439385418</v>
      </c>
      <c r="E39" s="316">
        <f>Transportation!Q37</f>
        <v>16539.779708109494</v>
      </c>
      <c r="F39" s="316">
        <f>Transportation!R37</f>
        <v>2495.1337312759242</v>
      </c>
      <c r="G39" s="317">
        <f>Transportation!S37</f>
        <v>0.13108195838249553</v>
      </c>
      <c r="H39" s="318">
        <f>G39-$G$6</f>
        <v>-0.41890351698788247</v>
      </c>
      <c r="J39" s="315" t="s">
        <v>256</v>
      </c>
      <c r="K39" s="315">
        <f>Transportation!L36</f>
        <v>214.75</v>
      </c>
      <c r="L39" s="315" t="s">
        <v>264</v>
      </c>
      <c r="M39" s="316">
        <f>Transportation!M37</f>
        <v>19034.913439385418</v>
      </c>
      <c r="N39" s="316">
        <f>Transportation!Q37</f>
        <v>16539.779708109494</v>
      </c>
      <c r="O39" s="316">
        <f>Transportation!R37</f>
        <v>2495.1337312759242</v>
      </c>
      <c r="P39" s="317">
        <f>Transportation!S37</f>
        <v>0.13108195838249553</v>
      </c>
      <c r="Q39" s="318">
        <f>P39-$G$6</f>
        <v>-0.41890351698788247</v>
      </c>
    </row>
    <row r="40" spans="1:17">
      <c r="A40" s="320" t="s">
        <v>106</v>
      </c>
      <c r="B40" s="321"/>
      <c r="C40" s="320"/>
      <c r="D40" s="322">
        <f>SUM(D37:D39)</f>
        <v>130701.55843938542</v>
      </c>
      <c r="E40" s="322">
        <f>SUM(E37:E39)</f>
        <v>97491.544572974351</v>
      </c>
      <c r="F40" s="322">
        <f>D40-E40</f>
        <v>33210.013866411071</v>
      </c>
      <c r="G40" s="323">
        <f>F40/D40</f>
        <v>0.25409041990736975</v>
      </c>
      <c r="H40" s="324">
        <f>G40-$G$7</f>
        <v>-4.3747696079900422E-2</v>
      </c>
      <c r="J40" s="320" t="s">
        <v>106</v>
      </c>
      <c r="K40" s="321"/>
      <c r="L40" s="320"/>
      <c r="M40" s="322">
        <f>SUM(M37:M39)</f>
        <v>171417.31843938542</v>
      </c>
      <c r="N40" s="322">
        <f>SUM(N37:N39)</f>
        <v>102175.52624008065</v>
      </c>
      <c r="O40" s="322">
        <f>M40-N40</f>
        <v>69241.792199304764</v>
      </c>
      <c r="P40" s="323">
        <f>O40/M40</f>
        <v>0.40393696990301031</v>
      </c>
      <c r="Q40" s="324">
        <f>P40-G7</f>
        <v>0.10609885391574014</v>
      </c>
    </row>
    <row r="42" spans="1:17">
      <c r="A42" s="301" t="s">
        <v>80</v>
      </c>
      <c r="B42" s="301" t="s">
        <v>285</v>
      </c>
      <c r="J42" s="301" t="s">
        <v>80</v>
      </c>
      <c r="K42" s="301" t="s">
        <v>286</v>
      </c>
    </row>
    <row r="43" spans="1:17">
      <c r="B43" s="301" t="s">
        <v>284</v>
      </c>
    </row>
  </sheetData>
  <mergeCells count="7">
    <mergeCell ref="A1:G1"/>
    <mergeCell ref="A9:H9"/>
    <mergeCell ref="A34:H34"/>
    <mergeCell ref="J34:Q34"/>
    <mergeCell ref="J9:Q9"/>
    <mergeCell ref="A23:H23"/>
    <mergeCell ref="J23:Q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B84D5-59B4-4ED0-966F-8CD917C28E8C}">
  <dimension ref="A1:T125"/>
  <sheetViews>
    <sheetView tabSelected="1" zoomScale="85" zoomScaleNormal="85" workbookViewId="0">
      <selection activeCell="B12" sqref="B12:D12"/>
    </sheetView>
  </sheetViews>
  <sheetFormatPr baseColWidth="10" defaultColWidth="9" defaultRowHeight="15"/>
  <cols>
    <col min="1" max="1" width="26.6640625" style="55" customWidth="1"/>
    <col min="2" max="2" width="14.83203125" style="55" customWidth="1"/>
    <col min="3" max="3" width="12.33203125" style="55" customWidth="1"/>
    <col min="4" max="4" width="11.6640625" style="55" customWidth="1"/>
    <col min="5" max="5" width="13.5" style="55" customWidth="1"/>
    <col min="6" max="6" width="23.33203125" style="55" customWidth="1"/>
    <col min="7" max="7" width="13" style="55" customWidth="1"/>
    <col min="8" max="8" width="17.33203125" style="55" customWidth="1"/>
    <col min="9" max="9" width="31.83203125" style="55" customWidth="1"/>
    <col min="10" max="10" width="20.5" style="55" customWidth="1"/>
    <col min="11" max="11" width="19" style="55" customWidth="1"/>
    <col min="12" max="12" width="13.33203125" style="55" customWidth="1"/>
    <col min="13" max="13" width="18" style="55" customWidth="1"/>
    <col min="14" max="14" width="13.6640625" style="55" customWidth="1"/>
    <col min="15" max="15" width="18" style="55" customWidth="1"/>
    <col min="16" max="17" width="13.6640625" style="55" customWidth="1"/>
    <col min="18" max="18" width="6.1640625" style="55" bestFit="1" customWidth="1"/>
    <col min="19" max="19" width="15.83203125" style="55" customWidth="1"/>
    <col min="20" max="20" width="17.6640625" style="55" customWidth="1"/>
    <col min="21" max="21" width="9" style="55"/>
    <col min="22" max="22" width="16.5" style="55" customWidth="1"/>
    <col min="23" max="23" width="16.83203125" style="55" customWidth="1"/>
    <col min="24" max="24" width="6.1640625" style="55" bestFit="1" customWidth="1"/>
    <col min="25" max="16384" width="9" style="55"/>
  </cols>
  <sheetData>
    <row r="1" spans="1:20">
      <c r="A1" s="340" t="s">
        <v>70</v>
      </c>
      <c r="B1" s="341"/>
      <c r="C1" s="342"/>
      <c r="E1" s="337" t="s">
        <v>76</v>
      </c>
      <c r="F1" s="338"/>
      <c r="G1" s="339"/>
      <c r="H1" s="53"/>
      <c r="I1" s="335" t="s">
        <v>48</v>
      </c>
      <c r="J1" s="335"/>
      <c r="K1" s="335"/>
      <c r="L1" s="335"/>
      <c r="M1" s="335"/>
      <c r="N1" s="335"/>
      <c r="O1" s="335"/>
      <c r="P1" s="335"/>
      <c r="Q1" s="335"/>
      <c r="R1" s="54"/>
    </row>
    <row r="2" spans="1:20" s="54" customFormat="1" ht="32">
      <c r="A2" s="56"/>
      <c r="B2" s="57">
        <v>2020</v>
      </c>
      <c r="C2" s="57">
        <v>2019</v>
      </c>
      <c r="E2" s="82"/>
      <c r="F2" s="79" t="s">
        <v>4</v>
      </c>
      <c r="G2" s="79" t="s">
        <v>5</v>
      </c>
      <c r="I2" s="58" t="s">
        <v>49</v>
      </c>
      <c r="J2" s="58" t="s">
        <v>50</v>
      </c>
      <c r="K2" s="58" t="s">
        <v>51</v>
      </c>
      <c r="L2" s="58" t="s">
        <v>377</v>
      </c>
      <c r="M2" s="55"/>
      <c r="N2" s="329" t="s">
        <v>387</v>
      </c>
      <c r="O2" s="329" t="s">
        <v>388</v>
      </c>
      <c r="P2" s="55"/>
      <c r="Q2" s="55"/>
      <c r="R2" s="55"/>
      <c r="T2" s="55"/>
    </row>
    <row r="3" spans="1:20">
      <c r="A3" s="57" t="s">
        <v>71</v>
      </c>
      <c r="B3" s="56">
        <v>291.60000000000002</v>
      </c>
      <c r="C3" s="56">
        <v>282.7</v>
      </c>
      <c r="E3" s="56" t="s">
        <v>77</v>
      </c>
      <c r="F3" s="228">
        <v>48742</v>
      </c>
      <c r="G3" s="228">
        <v>53831</v>
      </c>
      <c r="I3" s="59" t="s">
        <v>21</v>
      </c>
      <c r="J3" s="59" t="s">
        <v>35</v>
      </c>
      <c r="K3" s="59" t="s">
        <v>35</v>
      </c>
      <c r="L3" s="59" t="s">
        <v>35</v>
      </c>
      <c r="N3" s="55" t="s">
        <v>389</v>
      </c>
      <c r="O3" s="55" t="s">
        <v>389</v>
      </c>
    </row>
    <row r="4" spans="1:20">
      <c r="A4" s="57" t="s">
        <v>72</v>
      </c>
      <c r="B4" s="56">
        <v>446.4</v>
      </c>
      <c r="C4" s="56">
        <v>447.1</v>
      </c>
      <c r="E4" s="56" t="s">
        <v>6</v>
      </c>
      <c r="F4" s="228">
        <v>7897</v>
      </c>
      <c r="G4" s="228">
        <v>7458</v>
      </c>
      <c r="I4" s="60">
        <f>F5+F6+F8</f>
        <v>29675</v>
      </c>
      <c r="J4" s="61">
        <f>F3/B6</f>
        <v>324.08244680851061</v>
      </c>
      <c r="K4" s="61">
        <f>F7/B4</f>
        <v>115.49507168458781</v>
      </c>
      <c r="L4" s="61">
        <f>F4/B5</f>
        <v>26.679054054054053</v>
      </c>
      <c r="N4" s="81">
        <f>K4+J4</f>
        <v>439.57751849309841</v>
      </c>
      <c r="O4" s="81">
        <f>K4+L4</f>
        <v>142.17412573864186</v>
      </c>
    </row>
    <row r="5" spans="1:20">
      <c r="A5" s="62" t="s">
        <v>73</v>
      </c>
      <c r="B5" s="56">
        <v>296</v>
      </c>
      <c r="C5" s="56">
        <v>284.8</v>
      </c>
      <c r="E5" s="56" t="s">
        <v>7</v>
      </c>
      <c r="F5" s="228">
        <v>8119</v>
      </c>
      <c r="G5" s="228">
        <v>7686</v>
      </c>
      <c r="I5" s="229"/>
      <c r="J5" s="230"/>
      <c r="K5" s="230"/>
    </row>
    <row r="6" spans="1:20">
      <c r="A6" s="62" t="s">
        <v>74</v>
      </c>
      <c r="B6" s="56">
        <v>150.4</v>
      </c>
      <c r="C6" s="56">
        <v>162.30000000000001</v>
      </c>
      <c r="E6" s="56" t="s">
        <v>8</v>
      </c>
      <c r="F6" s="228">
        <v>5318</v>
      </c>
      <c r="G6" s="228">
        <v>5410</v>
      </c>
      <c r="I6" s="229" t="s">
        <v>378</v>
      </c>
      <c r="J6" s="230"/>
      <c r="K6" s="230"/>
      <c r="L6" s="55" t="s">
        <v>379</v>
      </c>
    </row>
    <row r="7" spans="1:20">
      <c r="E7" s="56" t="s">
        <v>79</v>
      </c>
      <c r="F7" s="228">
        <v>51557</v>
      </c>
      <c r="G7" s="228">
        <v>52497</v>
      </c>
      <c r="I7" s="229" t="s">
        <v>225</v>
      </c>
      <c r="J7" s="230"/>
      <c r="K7" s="230"/>
      <c r="L7" s="55" t="s">
        <v>222</v>
      </c>
    </row>
    <row r="8" spans="1:20">
      <c r="E8" s="56" t="s">
        <v>78</v>
      </c>
      <c r="F8" s="228">
        <v>16238</v>
      </c>
      <c r="G8" s="228">
        <v>16996</v>
      </c>
      <c r="I8" s="229" t="s">
        <v>221</v>
      </c>
      <c r="J8" s="230"/>
      <c r="K8" s="230"/>
      <c r="L8" s="55" t="s">
        <v>223</v>
      </c>
    </row>
    <row r="9" spans="1:20">
      <c r="E9" s="57" t="s">
        <v>13</v>
      </c>
      <c r="F9" s="228">
        <v>137871</v>
      </c>
      <c r="G9" s="228">
        <v>143878</v>
      </c>
      <c r="I9" s="229" t="s">
        <v>381</v>
      </c>
      <c r="J9" s="230"/>
      <c r="K9" s="230"/>
      <c r="L9" s="55" t="s">
        <v>380</v>
      </c>
    </row>
    <row r="10" spans="1:20">
      <c r="E10" s="52"/>
      <c r="F10" s="52"/>
      <c r="G10" s="52"/>
      <c r="I10" s="346" t="s">
        <v>289</v>
      </c>
      <c r="J10" s="346"/>
      <c r="K10" s="346"/>
      <c r="L10" s="346"/>
      <c r="M10" s="346"/>
      <c r="N10" s="346"/>
      <c r="O10" s="346"/>
      <c r="P10" s="346"/>
      <c r="Q10" s="346"/>
    </row>
    <row r="11" spans="1:20">
      <c r="A11" s="226" t="s">
        <v>82</v>
      </c>
      <c r="B11" s="227"/>
      <c r="C11" s="227"/>
      <c r="D11" s="227"/>
      <c r="E11" s="227"/>
      <c r="F11" s="227"/>
      <c r="G11" s="227"/>
      <c r="I11" s="346"/>
      <c r="J11" s="346"/>
      <c r="K11" s="346"/>
      <c r="L11" s="346"/>
      <c r="M11" s="346"/>
      <c r="N11" s="346"/>
      <c r="O11" s="346"/>
      <c r="P11" s="346"/>
      <c r="Q11" s="346"/>
    </row>
    <row r="12" spans="1:20">
      <c r="A12" s="83"/>
      <c r="B12" s="347">
        <v>2020</v>
      </c>
      <c r="C12" s="347"/>
      <c r="D12" s="348"/>
      <c r="E12" s="349">
        <v>2019</v>
      </c>
      <c r="F12" s="347"/>
      <c r="G12" s="348"/>
      <c r="I12" s="346"/>
      <c r="J12" s="346"/>
      <c r="K12" s="346"/>
      <c r="L12" s="346"/>
      <c r="M12" s="346"/>
      <c r="N12" s="346"/>
      <c r="O12" s="346"/>
      <c r="P12" s="346"/>
      <c r="Q12" s="346"/>
    </row>
    <row r="13" spans="1:20" ht="45.75" customHeight="1">
      <c r="A13" s="84"/>
      <c r="B13" s="85" t="s">
        <v>83</v>
      </c>
      <c r="C13" s="86" t="s">
        <v>84</v>
      </c>
      <c r="D13" s="87" t="s">
        <v>85</v>
      </c>
      <c r="E13" s="85" t="s">
        <v>83</v>
      </c>
      <c r="F13" s="86" t="s">
        <v>84</v>
      </c>
      <c r="G13" s="87" t="s">
        <v>85</v>
      </c>
      <c r="I13" s="346"/>
      <c r="J13" s="346"/>
      <c r="K13" s="346"/>
      <c r="L13" s="346"/>
      <c r="M13" s="346"/>
      <c r="N13" s="346"/>
      <c r="O13" s="346"/>
      <c r="P13" s="346"/>
      <c r="Q13" s="346"/>
    </row>
    <row r="14" spans="1:20">
      <c r="A14" s="88" t="s">
        <v>86</v>
      </c>
      <c r="B14" s="89">
        <v>446.4</v>
      </c>
      <c r="C14" s="90">
        <v>100</v>
      </c>
      <c r="D14" s="91">
        <v>410</v>
      </c>
      <c r="E14" s="89">
        <v>447.1</v>
      </c>
      <c r="F14" s="90">
        <v>100</v>
      </c>
      <c r="G14" s="91">
        <v>426</v>
      </c>
      <c r="I14" s="229"/>
      <c r="J14" s="230"/>
      <c r="K14" s="230"/>
    </row>
    <row r="15" spans="1:20">
      <c r="A15" s="71" t="s">
        <v>87</v>
      </c>
      <c r="B15" s="92"/>
      <c r="C15" s="93"/>
      <c r="D15" s="94"/>
      <c r="E15" s="92"/>
      <c r="F15" s="93"/>
      <c r="G15" s="94"/>
      <c r="I15" s="336" t="s">
        <v>14</v>
      </c>
      <c r="J15" s="336"/>
      <c r="K15" s="336"/>
      <c r="L15" s="336"/>
      <c r="M15" s="336"/>
      <c r="N15" s="336"/>
      <c r="O15" s="336"/>
      <c r="P15" s="63"/>
      <c r="Q15" s="63"/>
    </row>
    <row r="16" spans="1:20" ht="16">
      <c r="A16" s="72" t="s">
        <v>88</v>
      </c>
      <c r="B16" s="95">
        <v>430.1</v>
      </c>
      <c r="C16" s="96">
        <v>96.348566308243733</v>
      </c>
      <c r="D16" s="97">
        <v>419</v>
      </c>
      <c r="E16" s="95">
        <v>431</v>
      </c>
      <c r="F16" s="96">
        <v>96.4</v>
      </c>
      <c r="G16" s="97">
        <v>434</v>
      </c>
      <c r="I16" s="64"/>
      <c r="J16" s="64" t="s">
        <v>52</v>
      </c>
      <c r="K16" s="64" t="s">
        <v>53</v>
      </c>
      <c r="L16" s="64" t="s">
        <v>15</v>
      </c>
      <c r="M16" s="64" t="s">
        <v>16</v>
      </c>
      <c r="N16" s="64" t="s">
        <v>17</v>
      </c>
      <c r="O16" s="64" t="s">
        <v>18</v>
      </c>
      <c r="P16" s="65"/>
      <c r="Q16" s="54"/>
    </row>
    <row r="17" spans="1:19" s="54" customFormat="1">
      <c r="A17" s="98" t="s">
        <v>89</v>
      </c>
      <c r="B17" s="95">
        <v>190</v>
      </c>
      <c r="C17" s="96">
        <v>42.562724014336922</v>
      </c>
      <c r="D17" s="97">
        <v>380</v>
      </c>
      <c r="E17" s="95">
        <v>193.3</v>
      </c>
      <c r="F17" s="96">
        <v>43.2</v>
      </c>
      <c r="G17" s="97">
        <v>392</v>
      </c>
      <c r="H17" s="55"/>
      <c r="I17" s="59"/>
      <c r="J17" s="59" t="s">
        <v>19</v>
      </c>
      <c r="K17" s="59" t="s">
        <v>20</v>
      </c>
      <c r="L17" s="59" t="s">
        <v>21</v>
      </c>
      <c r="M17" s="59" t="s">
        <v>21</v>
      </c>
      <c r="N17" s="59" t="s">
        <v>21</v>
      </c>
      <c r="O17" s="59" t="s">
        <v>22</v>
      </c>
      <c r="P17" s="55"/>
      <c r="Q17" s="55"/>
      <c r="R17" s="55"/>
      <c r="S17" s="55"/>
    </row>
    <row r="18" spans="1:19">
      <c r="A18" s="98" t="s">
        <v>90</v>
      </c>
      <c r="B18" s="95">
        <v>163.5</v>
      </c>
      <c r="C18" s="96">
        <v>36.626344086021504</v>
      </c>
      <c r="D18" s="97">
        <v>465</v>
      </c>
      <c r="E18" s="95">
        <v>176.9</v>
      </c>
      <c r="F18" s="96">
        <v>39.6</v>
      </c>
      <c r="G18" s="97">
        <v>478</v>
      </c>
      <c r="I18" s="59" t="s">
        <v>54</v>
      </c>
      <c r="J18" s="66">
        <f>$B$4</f>
        <v>446.4</v>
      </c>
      <c r="K18" s="343">
        <f>$D$26</f>
        <v>410</v>
      </c>
      <c r="L18" s="67">
        <f>$K$18*$J18</f>
        <v>183024</v>
      </c>
      <c r="M18" s="67">
        <f>M19+M20</f>
        <v>137871</v>
      </c>
      <c r="N18" s="67">
        <f>L18-M18</f>
        <v>45153</v>
      </c>
      <c r="O18" s="68">
        <f>N18/L18</f>
        <v>0.24670535011801731</v>
      </c>
    </row>
    <row r="19" spans="1:19">
      <c r="A19" s="98" t="s">
        <v>91</v>
      </c>
      <c r="B19" s="95">
        <v>76.599999999999994</v>
      </c>
      <c r="C19" s="96">
        <v>17.159498207885303</v>
      </c>
      <c r="D19" s="97">
        <v>418</v>
      </c>
      <c r="E19" s="95">
        <v>60.8</v>
      </c>
      <c r="F19" s="96">
        <v>13.6</v>
      </c>
      <c r="G19" s="97">
        <v>440</v>
      </c>
      <c r="I19" s="69" t="s">
        <v>55</v>
      </c>
      <c r="J19" s="66">
        <f>$B$5</f>
        <v>296</v>
      </c>
      <c r="K19" s="344"/>
      <c r="L19" s="67">
        <f>$K$18*$J19</f>
        <v>121360</v>
      </c>
      <c r="M19" s="70">
        <f>J19*($K$4+$L$4)+$I$4</f>
        <v>71758.541218637984</v>
      </c>
      <c r="N19" s="67">
        <f>L19-M19</f>
        <v>49601.458781362016</v>
      </c>
      <c r="O19" s="68">
        <f>N19/L19</f>
        <v>0.40871340459263361</v>
      </c>
    </row>
    <row r="20" spans="1:19">
      <c r="A20" s="74" t="s">
        <v>92</v>
      </c>
      <c r="B20" s="99">
        <v>16.3</v>
      </c>
      <c r="C20" s="100">
        <v>3.6514336917562726</v>
      </c>
      <c r="D20" s="101">
        <v>176</v>
      </c>
      <c r="E20" s="99">
        <v>16.100000000000001</v>
      </c>
      <c r="F20" s="100">
        <v>3.6</v>
      </c>
      <c r="G20" s="101">
        <v>204</v>
      </c>
      <c r="I20" s="69" t="s">
        <v>56</v>
      </c>
      <c r="J20" s="66">
        <f>$B$6</f>
        <v>150.4</v>
      </c>
      <c r="K20" s="345"/>
      <c r="L20" s="67">
        <f>$K$18*$J20</f>
        <v>61664</v>
      </c>
      <c r="M20" s="70">
        <f>J20*($J$4+$K$4)</f>
        <v>66112.458781362002</v>
      </c>
      <c r="N20" s="67">
        <f>L20-M20</f>
        <v>-4448.4587813620019</v>
      </c>
      <c r="O20" s="68">
        <f>N20/L20</f>
        <v>-7.2140289007557118E-2</v>
      </c>
      <c r="R20" s="54"/>
    </row>
    <row r="21" spans="1:19">
      <c r="A21" s="71" t="s">
        <v>93</v>
      </c>
      <c r="B21" s="92"/>
      <c r="C21" s="93"/>
      <c r="D21" s="94"/>
      <c r="E21" s="92"/>
      <c r="F21" s="93"/>
      <c r="G21" s="94"/>
      <c r="M21" s="73"/>
    </row>
    <row r="22" spans="1:19">
      <c r="A22" s="72" t="s">
        <v>94</v>
      </c>
      <c r="B22" s="95">
        <v>394</v>
      </c>
      <c r="C22" s="96">
        <v>88.261648745519722</v>
      </c>
      <c r="D22" s="97">
        <v>416</v>
      </c>
      <c r="E22" s="95">
        <v>389.9</v>
      </c>
      <c r="F22" s="96">
        <v>87.2</v>
      </c>
      <c r="G22" s="97">
        <v>432</v>
      </c>
      <c r="I22" s="55" t="s">
        <v>57</v>
      </c>
      <c r="S22" s="54"/>
    </row>
    <row r="23" spans="1:19">
      <c r="A23" s="72" t="s">
        <v>95</v>
      </c>
      <c r="B23" s="95">
        <v>47.7</v>
      </c>
      <c r="C23" s="96">
        <v>10.685483870967744</v>
      </c>
      <c r="D23" s="97">
        <v>374</v>
      </c>
      <c r="E23" s="95">
        <v>53</v>
      </c>
      <c r="F23" s="96">
        <v>11.9</v>
      </c>
      <c r="G23" s="97">
        <v>387</v>
      </c>
      <c r="I23" s="55" t="s">
        <v>58</v>
      </c>
      <c r="N23" s="81"/>
      <c r="O23" s="81"/>
    </row>
    <row r="24" spans="1:19">
      <c r="A24" s="74" t="s">
        <v>96</v>
      </c>
      <c r="B24" s="99">
        <v>4.7</v>
      </c>
      <c r="C24" s="100">
        <v>1.0528673835125448</v>
      </c>
      <c r="D24" s="101">
        <v>322</v>
      </c>
      <c r="E24" s="99">
        <v>4.2</v>
      </c>
      <c r="F24" s="100">
        <v>0.9</v>
      </c>
      <c r="G24" s="101">
        <v>363</v>
      </c>
      <c r="I24" s="55" t="s">
        <v>59</v>
      </c>
    </row>
    <row r="25" spans="1:19">
      <c r="A25" s="71" t="s">
        <v>97</v>
      </c>
      <c r="B25" s="102"/>
      <c r="C25" s="103"/>
      <c r="D25" s="104"/>
      <c r="E25" s="102"/>
      <c r="F25" s="103"/>
      <c r="G25" s="104"/>
      <c r="I25" s="55" t="s">
        <v>382</v>
      </c>
    </row>
    <row r="26" spans="1:19">
      <c r="A26" s="72" t="s">
        <v>98</v>
      </c>
      <c r="B26" s="95">
        <v>444.3</v>
      </c>
      <c r="C26" s="96">
        <v>99.5</v>
      </c>
      <c r="D26" s="97">
        <v>410</v>
      </c>
      <c r="E26" s="95">
        <v>442.3</v>
      </c>
      <c r="F26" s="96">
        <v>98.9</v>
      </c>
      <c r="G26" s="97">
        <v>425</v>
      </c>
      <c r="I26" s="55" t="s">
        <v>383</v>
      </c>
    </row>
    <row r="27" spans="1:19">
      <c r="A27" s="98" t="s">
        <v>99</v>
      </c>
      <c r="B27" s="95">
        <v>429.5</v>
      </c>
      <c r="C27" s="96">
        <v>96.2</v>
      </c>
      <c r="D27" s="97">
        <v>411</v>
      </c>
      <c r="E27" s="95">
        <v>430.6</v>
      </c>
      <c r="F27" s="96">
        <v>96.3</v>
      </c>
      <c r="G27" s="97">
        <v>427</v>
      </c>
      <c r="I27" s="55" t="s">
        <v>384</v>
      </c>
    </row>
    <row r="28" spans="1:19">
      <c r="A28" s="105" t="s">
        <v>100</v>
      </c>
      <c r="B28" s="95">
        <v>162.1</v>
      </c>
      <c r="C28" s="96">
        <v>36.299999999999997</v>
      </c>
      <c r="D28" s="97">
        <v>317</v>
      </c>
      <c r="E28" s="95">
        <v>162.6</v>
      </c>
      <c r="F28" s="96">
        <v>36.4</v>
      </c>
      <c r="G28" s="97">
        <v>329</v>
      </c>
    </row>
    <row r="29" spans="1:19">
      <c r="A29" s="105" t="s">
        <v>101</v>
      </c>
      <c r="B29" s="95">
        <v>267.39999999999998</v>
      </c>
      <c r="C29" s="96">
        <v>59.9</v>
      </c>
      <c r="D29" s="97">
        <v>468</v>
      </c>
      <c r="E29" s="95">
        <v>268</v>
      </c>
      <c r="F29" s="96">
        <v>59.9</v>
      </c>
      <c r="G29" s="97">
        <v>486</v>
      </c>
      <c r="I29" s="336" t="s">
        <v>60</v>
      </c>
      <c r="J29" s="336"/>
      <c r="K29" s="336"/>
      <c r="L29" s="336"/>
      <c r="M29" s="336"/>
      <c r="N29" s="336"/>
      <c r="O29" s="336"/>
      <c r="P29" s="336"/>
      <c r="Q29" s="336"/>
    </row>
    <row r="30" spans="1:19" ht="32">
      <c r="A30" s="98" t="s">
        <v>102</v>
      </c>
      <c r="B30" s="95">
        <v>9.6999999999999993</v>
      </c>
      <c r="C30" s="96">
        <v>2.2000000000000002</v>
      </c>
      <c r="D30" s="97">
        <v>353</v>
      </c>
      <c r="E30" s="95">
        <v>8.1999999999999993</v>
      </c>
      <c r="F30" s="96">
        <v>1.8</v>
      </c>
      <c r="G30" s="97">
        <v>343</v>
      </c>
      <c r="I30" s="75" t="s">
        <v>61</v>
      </c>
      <c r="J30" s="64" t="s">
        <v>62</v>
      </c>
      <c r="K30" s="64" t="s">
        <v>63</v>
      </c>
      <c r="L30" s="64" t="s">
        <v>64</v>
      </c>
      <c r="M30" s="64" t="s">
        <v>53</v>
      </c>
      <c r="N30" s="76" t="s">
        <v>65</v>
      </c>
      <c r="O30" s="64" t="s">
        <v>66</v>
      </c>
      <c r="P30" s="64" t="s">
        <v>67</v>
      </c>
      <c r="Q30" s="64" t="s">
        <v>18</v>
      </c>
    </row>
    <row r="31" spans="1:19">
      <c r="A31" s="98" t="s">
        <v>103</v>
      </c>
      <c r="B31" s="95">
        <v>5.0999999999999996</v>
      </c>
      <c r="C31" s="96">
        <v>1.1000000000000001</v>
      </c>
      <c r="D31" s="97">
        <v>418</v>
      </c>
      <c r="E31" s="95">
        <v>3.5</v>
      </c>
      <c r="F31" s="96">
        <v>0.8</v>
      </c>
      <c r="G31" s="97">
        <v>441</v>
      </c>
      <c r="I31" s="59"/>
      <c r="J31" s="59" t="s">
        <v>19</v>
      </c>
      <c r="K31" s="59" t="s">
        <v>19</v>
      </c>
      <c r="L31" s="59" t="s">
        <v>19</v>
      </c>
      <c r="M31" s="59" t="s">
        <v>20</v>
      </c>
      <c r="N31" s="59" t="s">
        <v>21</v>
      </c>
      <c r="O31" s="59" t="s">
        <v>21</v>
      </c>
      <c r="P31" s="59" t="s">
        <v>21</v>
      </c>
      <c r="Q31" s="59" t="s">
        <v>22</v>
      </c>
    </row>
    <row r="32" spans="1:19">
      <c r="A32" s="72" t="s">
        <v>104</v>
      </c>
      <c r="B32" s="95">
        <v>0.7</v>
      </c>
      <c r="C32" s="96">
        <v>0.2</v>
      </c>
      <c r="D32" s="97">
        <v>556</v>
      </c>
      <c r="E32" s="95">
        <v>1.7</v>
      </c>
      <c r="F32" s="96">
        <v>0.4</v>
      </c>
      <c r="G32" s="97">
        <v>626</v>
      </c>
      <c r="I32" s="59" t="s">
        <v>68</v>
      </c>
      <c r="J32" s="77">
        <f>J19*0.5</f>
        <v>148</v>
      </c>
      <c r="K32" s="77">
        <f>J20</f>
        <v>150.4</v>
      </c>
      <c r="L32" s="77">
        <f>J32+K32</f>
        <v>298.39999999999998</v>
      </c>
      <c r="M32" s="77">
        <f>$D$26</f>
        <v>410</v>
      </c>
      <c r="N32" s="77">
        <f>M32*L32</f>
        <v>122343.99999999999</v>
      </c>
      <c r="O32" s="77">
        <f>$I$4+L32*$K$4+$J$4*K32+J32*$L$4</f>
        <v>116829.22939068099</v>
      </c>
      <c r="P32" s="77">
        <f>N32-O32</f>
        <v>5514.7706093189918</v>
      </c>
      <c r="Q32" s="78">
        <f>P32/N32</f>
        <v>4.5075938413972019E-2</v>
      </c>
    </row>
    <row r="33" spans="1:17">
      <c r="A33" s="74" t="s">
        <v>105</v>
      </c>
      <c r="B33" s="99">
        <v>1.4</v>
      </c>
      <c r="C33" s="100">
        <v>0.3</v>
      </c>
      <c r="D33" s="101">
        <v>435</v>
      </c>
      <c r="E33" s="99">
        <v>3.1</v>
      </c>
      <c r="F33" s="100">
        <v>0.7</v>
      </c>
      <c r="G33" s="101">
        <v>446</v>
      </c>
      <c r="I33" s="59" t="s">
        <v>156</v>
      </c>
      <c r="J33" s="77">
        <f>J19</f>
        <v>296</v>
      </c>
      <c r="K33" s="77">
        <f>J20*0.5</f>
        <v>75.2</v>
      </c>
      <c r="L33" s="77">
        <f>J33+K33</f>
        <v>371.2</v>
      </c>
      <c r="M33" s="77">
        <f>$D$26</f>
        <v>410</v>
      </c>
      <c r="N33" s="77">
        <f>M33*L33</f>
        <v>152192</v>
      </c>
      <c r="O33" s="77">
        <f>$I$4+L33*$K$4+$J$4*K33+J33*$L$4</f>
        <v>104814.77060931899</v>
      </c>
      <c r="P33" s="77">
        <f>N33-O33</f>
        <v>47377.229390681008</v>
      </c>
      <c r="Q33" s="78">
        <f>P33/N33</f>
        <v>0.31129907873397422</v>
      </c>
    </row>
    <row r="34" spans="1:17">
      <c r="B34" s="96"/>
      <c r="C34" s="96"/>
      <c r="D34" s="96"/>
      <c r="E34" s="96"/>
      <c r="F34" s="96"/>
      <c r="G34" s="96"/>
      <c r="I34" s="59" t="s">
        <v>69</v>
      </c>
      <c r="J34" s="77">
        <f>J19*0.5</f>
        <v>148</v>
      </c>
      <c r="K34" s="77">
        <f>J20*0.5</f>
        <v>75.2</v>
      </c>
      <c r="L34" s="77">
        <f>J34+K34</f>
        <v>223.2</v>
      </c>
      <c r="M34" s="77">
        <v>410</v>
      </c>
      <c r="N34" s="77">
        <f>M34*L34</f>
        <v>91512</v>
      </c>
      <c r="O34" s="77">
        <f>$I$4+L34*$K$4+$J$4*K34+J34*$L$4</f>
        <v>83773</v>
      </c>
      <c r="P34" s="77">
        <f>N34-O34</f>
        <v>7739</v>
      </c>
      <c r="Q34" s="78">
        <f>P34/N34</f>
        <v>8.4568144068537465E-2</v>
      </c>
    </row>
    <row r="35" spans="1:17" ht="32">
      <c r="I35" s="231" t="s">
        <v>276</v>
      </c>
      <c r="J35" s="77">
        <f>IF(K35 = 0, J19-(0.5*J18-J20),J19)</f>
        <v>223.20000000000002</v>
      </c>
      <c r="K35" s="77">
        <f>IF(J20-0.5*J18&lt;0, 0, J20-0.5*J18)</f>
        <v>0</v>
      </c>
      <c r="L35" s="77">
        <f>J35+K35</f>
        <v>223.20000000000002</v>
      </c>
      <c r="M35" s="77">
        <v>410</v>
      </c>
      <c r="N35" s="77">
        <f>M35*L35</f>
        <v>91512</v>
      </c>
      <c r="O35" s="77">
        <f>$I$4+L35*$K$4+$J$4*K35+J35*$L$4</f>
        <v>61408.264864864861</v>
      </c>
      <c r="P35" s="77">
        <f>N35-O35</f>
        <v>30103.735135135139</v>
      </c>
      <c r="Q35" s="78">
        <f>P35/N35</f>
        <v>0.32895942756288943</v>
      </c>
    </row>
    <row r="37" spans="1:17">
      <c r="I37" s="55" t="s">
        <v>226</v>
      </c>
    </row>
    <row r="38" spans="1:17">
      <c r="I38" s="55" t="s">
        <v>224</v>
      </c>
    </row>
    <row r="40" spans="1:17">
      <c r="I40" s="335" t="s">
        <v>265</v>
      </c>
      <c r="J40" s="335"/>
      <c r="K40" s="335"/>
      <c r="L40" s="335"/>
      <c r="M40" s="335"/>
      <c r="N40" s="335"/>
      <c r="O40" s="335"/>
      <c r="P40" s="335"/>
      <c r="Q40" s="335"/>
    </row>
    <row r="41" spans="1:17">
      <c r="O41" s="81"/>
    </row>
    <row r="42" spans="1:17">
      <c r="I42" s="336" t="s">
        <v>290</v>
      </c>
      <c r="J42" s="336"/>
      <c r="K42" s="336"/>
      <c r="L42" s="336"/>
      <c r="M42" s="336"/>
      <c r="N42" s="336"/>
      <c r="O42" s="336"/>
      <c r="P42" s="336"/>
      <c r="Q42" s="336"/>
    </row>
    <row r="43" spans="1:17" ht="32">
      <c r="I43" s="75" t="s">
        <v>61</v>
      </c>
      <c r="J43" s="64" t="s">
        <v>62</v>
      </c>
      <c r="K43" s="64" t="s">
        <v>63</v>
      </c>
      <c r="L43" s="64" t="s">
        <v>64</v>
      </c>
      <c r="M43" s="64" t="s">
        <v>53</v>
      </c>
      <c r="N43" s="76" t="s">
        <v>65</v>
      </c>
      <c r="O43" s="64" t="s">
        <v>66</v>
      </c>
      <c r="P43" s="64" t="s">
        <v>67</v>
      </c>
      <c r="Q43" s="64" t="s">
        <v>18</v>
      </c>
    </row>
    <row r="44" spans="1:17">
      <c r="I44" s="59"/>
      <c r="J44" s="59" t="s">
        <v>19</v>
      </c>
      <c r="K44" s="59" t="s">
        <v>19</v>
      </c>
      <c r="L44" s="59" t="s">
        <v>19</v>
      </c>
      <c r="M44" s="59" t="s">
        <v>20</v>
      </c>
      <c r="N44" s="59" t="s">
        <v>21</v>
      </c>
      <c r="O44" s="59" t="s">
        <v>21</v>
      </c>
      <c r="P44" s="59" t="s">
        <v>21</v>
      </c>
      <c r="Q44" s="59" t="s">
        <v>22</v>
      </c>
    </row>
    <row r="45" spans="1:17">
      <c r="I45" s="59" t="s">
        <v>277</v>
      </c>
      <c r="J45" s="77">
        <f>J19*0.5</f>
        <v>148</v>
      </c>
      <c r="K45" s="77">
        <f>J20</f>
        <v>150.4</v>
      </c>
      <c r="L45" s="77">
        <f>J45+K45</f>
        <v>298.39999999999998</v>
      </c>
      <c r="M45" s="77">
        <v>588</v>
      </c>
      <c r="N45" s="77">
        <f>M45*L45</f>
        <v>175459.19999999998</v>
      </c>
      <c r="O45" s="77">
        <f>$I$4+L45*$K$4+$J$4*K45+J45*$L$4</f>
        <v>116829.22939068099</v>
      </c>
      <c r="P45" s="77">
        <f>N45-O45</f>
        <v>58629.970609318989</v>
      </c>
      <c r="Q45" s="78">
        <f>P45/N45</f>
        <v>0.33415158971042269</v>
      </c>
    </row>
    <row r="46" spans="1:17">
      <c r="I46" s="59" t="s">
        <v>278</v>
      </c>
      <c r="J46" s="77">
        <f>J19</f>
        <v>296</v>
      </c>
      <c r="K46" s="77">
        <f>J20*0.5</f>
        <v>75.2</v>
      </c>
      <c r="L46" s="77">
        <f>J46+K46</f>
        <v>371.2</v>
      </c>
      <c r="M46" s="77">
        <v>588</v>
      </c>
      <c r="N46" s="77">
        <f>M46*L46</f>
        <v>218265.60000000001</v>
      </c>
      <c r="O46" s="77">
        <f>$I$4+L46*$K$4+$J$4*K46+J46*$L$4</f>
        <v>104814.77060931899</v>
      </c>
      <c r="P46" s="77">
        <f>N46-O46</f>
        <v>113450.82939068101</v>
      </c>
      <c r="Q46" s="78">
        <f>P46/N46</f>
        <v>0.51978337122607043</v>
      </c>
    </row>
    <row r="47" spans="1:17">
      <c r="I47" s="59" t="s">
        <v>279</v>
      </c>
      <c r="J47" s="77">
        <f>J19*0.5</f>
        <v>148</v>
      </c>
      <c r="K47" s="77">
        <f>J20*0.5</f>
        <v>75.2</v>
      </c>
      <c r="L47" s="77">
        <f>J47+K47</f>
        <v>223.2</v>
      </c>
      <c r="M47" s="77">
        <v>588</v>
      </c>
      <c r="N47" s="77">
        <f>M47*L47</f>
        <v>131241.60000000001</v>
      </c>
      <c r="O47" s="77">
        <f>$I$4+L47*$K$4+$J$4*K47+J47*$L$4</f>
        <v>83773</v>
      </c>
      <c r="P47" s="77">
        <f>N47-O47</f>
        <v>47468.600000000006</v>
      </c>
      <c r="Q47" s="78">
        <f>P47/N47</f>
        <v>0.36168867188452447</v>
      </c>
    </row>
    <row r="48" spans="1:17" ht="32">
      <c r="I48" s="231" t="s">
        <v>371</v>
      </c>
      <c r="J48" s="77">
        <f>IF(K35 = 0, J19-(0.5*J18-J20),J19)</f>
        <v>223.20000000000002</v>
      </c>
      <c r="K48" s="77">
        <f>IF(J20-0.5*J18&lt;0, 0, J20-0.5*J18)</f>
        <v>0</v>
      </c>
      <c r="L48" s="77">
        <f>J48+K48</f>
        <v>223.20000000000002</v>
      </c>
      <c r="M48" s="77">
        <v>588</v>
      </c>
      <c r="N48" s="77">
        <f>M48*L48</f>
        <v>131241.60000000001</v>
      </c>
      <c r="O48" s="77">
        <f>$I$4+L48*$K$4+$J$4*K48+J48*$L$4</f>
        <v>61408.264864864861</v>
      </c>
      <c r="P48" s="77">
        <f>N48-O48</f>
        <v>69833.335135135145</v>
      </c>
      <c r="Q48" s="78">
        <f>P48/N48</f>
        <v>0.53209756003534814</v>
      </c>
    </row>
    <row r="125" ht="20" customHeight="1"/>
  </sheetData>
  <mergeCells count="11">
    <mergeCell ref="I40:Q40"/>
    <mergeCell ref="I42:Q42"/>
    <mergeCell ref="I29:Q29"/>
    <mergeCell ref="E1:G1"/>
    <mergeCell ref="A1:C1"/>
    <mergeCell ref="K18:K20"/>
    <mergeCell ref="I10:Q13"/>
    <mergeCell ref="B12:D12"/>
    <mergeCell ref="E12:G12"/>
    <mergeCell ref="I1:Q1"/>
    <mergeCell ref="I15:O1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5A09F-79A7-443B-999B-23B20A9ABAAD}">
  <dimension ref="A1:R34"/>
  <sheetViews>
    <sheetView topLeftCell="I1" zoomScale="65" zoomScaleNormal="55" workbookViewId="0">
      <selection activeCell="M40" sqref="M40"/>
    </sheetView>
  </sheetViews>
  <sheetFormatPr baseColWidth="10" defaultColWidth="10.6640625" defaultRowHeight="15"/>
  <cols>
    <col min="1" max="1" width="22" style="55" customWidth="1"/>
    <col min="2" max="11" width="10.6640625" style="55"/>
    <col min="12" max="12" width="26.83203125" style="55" customWidth="1"/>
    <col min="13" max="14" width="18.6640625" style="55" customWidth="1"/>
    <col min="15" max="15" width="24.33203125" style="55" customWidth="1"/>
    <col min="16" max="18" width="18.6640625" style="55" customWidth="1"/>
    <col min="19" max="16384" width="10.6640625" style="55"/>
  </cols>
  <sheetData>
    <row r="1" spans="1:18">
      <c r="A1" s="242" t="s">
        <v>291</v>
      </c>
      <c r="B1" s="243"/>
      <c r="C1" s="243"/>
      <c r="D1" s="243"/>
      <c r="E1" s="243"/>
      <c r="F1" s="243"/>
      <c r="G1" s="243"/>
      <c r="H1" s="243"/>
      <c r="I1" s="243"/>
      <c r="J1" s="243"/>
      <c r="L1" s="63" t="s">
        <v>80</v>
      </c>
      <c r="M1" s="63" t="s">
        <v>292</v>
      </c>
    </row>
    <row r="2" spans="1:18">
      <c r="A2" s="354"/>
      <c r="B2" s="355" t="s">
        <v>293</v>
      </c>
      <c r="C2" s="356"/>
      <c r="D2" s="357"/>
      <c r="E2" s="355" t="s">
        <v>135</v>
      </c>
      <c r="F2" s="356"/>
      <c r="G2" s="357"/>
      <c r="H2" s="356" t="s">
        <v>136</v>
      </c>
      <c r="I2" s="356"/>
      <c r="J2" s="357"/>
    </row>
    <row r="3" spans="1:18" ht="30">
      <c r="A3" s="354"/>
      <c r="B3" s="106" t="s">
        <v>81</v>
      </c>
      <c r="C3" s="244" t="s">
        <v>294</v>
      </c>
      <c r="D3" s="107" t="s">
        <v>137</v>
      </c>
      <c r="E3" s="106" t="s">
        <v>81</v>
      </c>
      <c r="F3" s="244" t="s">
        <v>294</v>
      </c>
      <c r="G3" s="107" t="s">
        <v>137</v>
      </c>
      <c r="H3" s="106" t="s">
        <v>81</v>
      </c>
      <c r="I3" s="244" t="s">
        <v>294</v>
      </c>
      <c r="J3" s="107" t="s">
        <v>137</v>
      </c>
      <c r="L3" s="58" t="s">
        <v>295</v>
      </c>
      <c r="M3" s="58" t="s">
        <v>296</v>
      </c>
      <c r="N3" s="58" t="s">
        <v>297</v>
      </c>
      <c r="O3" s="58" t="s">
        <v>298</v>
      </c>
      <c r="P3" s="58" t="s">
        <v>299</v>
      </c>
    </row>
    <row r="4" spans="1:18">
      <c r="A4" s="108" t="s">
        <v>138</v>
      </c>
      <c r="B4" s="245">
        <v>54360</v>
      </c>
      <c r="C4" s="246">
        <v>1561.3</v>
      </c>
      <c r="D4" s="247">
        <v>348.1</v>
      </c>
      <c r="E4" s="245">
        <v>35246</v>
      </c>
      <c r="F4" s="246">
        <v>1276.5</v>
      </c>
      <c r="G4" s="247">
        <v>276.10000000000002</v>
      </c>
      <c r="H4" s="245"/>
      <c r="I4" s="246"/>
      <c r="J4" s="247"/>
      <c r="L4" s="59" t="s">
        <v>21</v>
      </c>
      <c r="M4" s="59" t="s">
        <v>148</v>
      </c>
      <c r="N4" s="59" t="s">
        <v>148</v>
      </c>
      <c r="O4" s="59" t="s">
        <v>148</v>
      </c>
      <c r="P4" s="59" t="s">
        <v>148</v>
      </c>
    </row>
    <row r="5" spans="1:18">
      <c r="A5" s="109" t="s">
        <v>6</v>
      </c>
      <c r="B5" s="248">
        <v>41686</v>
      </c>
      <c r="C5" s="249">
        <v>1561.3</v>
      </c>
      <c r="D5" s="250">
        <v>267</v>
      </c>
      <c r="E5" s="248">
        <v>24827</v>
      </c>
      <c r="F5" s="249">
        <v>1276.5</v>
      </c>
      <c r="G5" s="250">
        <v>194.5</v>
      </c>
      <c r="H5" s="248">
        <v>28739</v>
      </c>
      <c r="I5" s="249">
        <v>1440.4</v>
      </c>
      <c r="J5" s="250">
        <v>199.5</v>
      </c>
      <c r="L5" s="77">
        <f>E20+E22+E23</f>
        <v>7992</v>
      </c>
      <c r="M5" s="77">
        <f>G19</f>
        <v>187.41786322706253</v>
      </c>
      <c r="N5" s="77">
        <f>D19</f>
        <v>263.41334740174096</v>
      </c>
      <c r="O5" s="77">
        <f>'Power Sale'!Q33</f>
        <v>327</v>
      </c>
      <c r="P5" s="77">
        <f>'Power Sale'!I33</f>
        <v>343</v>
      </c>
    </row>
    <row r="6" spans="1:18">
      <c r="A6" s="109" t="s">
        <v>7</v>
      </c>
      <c r="B6" s="248">
        <v>3277</v>
      </c>
      <c r="C6" s="249">
        <v>1561.3</v>
      </c>
      <c r="D6" s="250">
        <v>21</v>
      </c>
      <c r="E6" s="248">
        <v>2307</v>
      </c>
      <c r="F6" s="249">
        <v>1276.5</v>
      </c>
      <c r="G6" s="250">
        <v>18.100000000000001</v>
      </c>
      <c r="H6" s="248">
        <v>2371</v>
      </c>
      <c r="I6" s="249">
        <v>1440.4</v>
      </c>
      <c r="J6" s="250">
        <v>16.5</v>
      </c>
      <c r="R6" s="118"/>
    </row>
    <row r="7" spans="1:18">
      <c r="A7" s="109" t="s">
        <v>300</v>
      </c>
      <c r="B7" s="248">
        <v>1808</v>
      </c>
      <c r="C7" s="249">
        <v>1561.3</v>
      </c>
      <c r="D7" s="250">
        <v>11.6</v>
      </c>
      <c r="E7" s="248">
        <v>2086</v>
      </c>
      <c r="F7" s="249">
        <v>1276.5</v>
      </c>
      <c r="G7" s="250">
        <v>16.3</v>
      </c>
      <c r="H7" s="248"/>
      <c r="I7" s="249"/>
      <c r="J7" s="250"/>
      <c r="L7" s="55" t="s">
        <v>301</v>
      </c>
      <c r="N7" s="118"/>
      <c r="Q7" s="118"/>
    </row>
    <row r="8" spans="1:18">
      <c r="A8" s="109" t="s">
        <v>8</v>
      </c>
      <c r="B8" s="248">
        <v>5254</v>
      </c>
      <c r="C8" s="249">
        <v>1561.3</v>
      </c>
      <c r="D8" s="250">
        <v>33.700000000000003</v>
      </c>
      <c r="E8" s="248">
        <v>5056</v>
      </c>
      <c r="F8" s="249">
        <v>1276.5</v>
      </c>
      <c r="G8" s="250">
        <v>39.6</v>
      </c>
      <c r="H8" s="248">
        <v>5481</v>
      </c>
      <c r="I8" s="249">
        <v>1440.4</v>
      </c>
      <c r="J8" s="250">
        <v>38.1</v>
      </c>
    </row>
    <row r="9" spans="1:18" ht="16" thickBot="1">
      <c r="A9" s="109" t="s">
        <v>78</v>
      </c>
      <c r="B9" s="248">
        <v>2315</v>
      </c>
      <c r="C9" s="249">
        <v>1561.3</v>
      </c>
      <c r="D9" s="250">
        <v>14.8</v>
      </c>
      <c r="E9" s="248">
        <v>970</v>
      </c>
      <c r="F9" s="249">
        <v>1276.5</v>
      </c>
      <c r="G9" s="250">
        <v>7.6</v>
      </c>
      <c r="H9" s="248">
        <v>1238</v>
      </c>
      <c r="I9" s="249">
        <v>1440.4</v>
      </c>
      <c r="J9" s="250">
        <v>8.5</v>
      </c>
      <c r="L9" s="358" t="s">
        <v>143</v>
      </c>
      <c r="M9" s="358"/>
      <c r="N9" s="358"/>
      <c r="O9" s="358"/>
      <c r="P9" s="358"/>
      <c r="Q9" s="358"/>
      <c r="R9" s="358"/>
    </row>
    <row r="10" spans="1:18" ht="16" thickBot="1">
      <c r="A10" s="110" t="s">
        <v>12</v>
      </c>
      <c r="B10" s="248">
        <v>4833</v>
      </c>
      <c r="C10" s="249">
        <v>1561.3</v>
      </c>
      <c r="D10" s="250"/>
      <c r="E10" s="248">
        <v>2852</v>
      </c>
      <c r="F10" s="249">
        <v>1277.5</v>
      </c>
      <c r="G10" s="250"/>
      <c r="H10" s="248">
        <v>52</v>
      </c>
      <c r="I10" s="249">
        <v>1440.4</v>
      </c>
      <c r="J10" s="250"/>
      <c r="L10" s="119"/>
      <c r="M10" s="120" t="s">
        <v>144</v>
      </c>
      <c r="N10" s="120" t="s">
        <v>302</v>
      </c>
      <c r="O10" s="120" t="s">
        <v>146</v>
      </c>
      <c r="P10" s="120" t="s">
        <v>16</v>
      </c>
      <c r="Q10" s="120" t="s">
        <v>17</v>
      </c>
      <c r="R10" s="120" t="s">
        <v>18</v>
      </c>
    </row>
    <row r="11" spans="1:18" ht="17" thickTop="1" thickBot="1">
      <c r="A11" s="111" t="s">
        <v>303</v>
      </c>
      <c r="B11" s="251">
        <f>SUM(B5:B6)+SUM(B8:B10)</f>
        <v>57365</v>
      </c>
      <c r="C11" s="251"/>
      <c r="D11" s="251"/>
      <c r="E11" s="251">
        <f>SUM(E5:E6)+SUM(E8:E10)</f>
        <v>36012</v>
      </c>
      <c r="F11" s="252"/>
      <c r="G11" s="253"/>
      <c r="H11" s="252">
        <v>37881</v>
      </c>
      <c r="I11" s="252"/>
      <c r="J11" s="252"/>
      <c r="L11" s="121"/>
      <c r="M11" s="122" t="s">
        <v>147</v>
      </c>
      <c r="N11" s="122" t="s">
        <v>148</v>
      </c>
      <c r="O11" s="122" t="s">
        <v>21</v>
      </c>
      <c r="P11" s="122" t="s">
        <v>21</v>
      </c>
      <c r="Q11" s="122" t="s">
        <v>21</v>
      </c>
      <c r="R11" s="121"/>
    </row>
    <row r="12" spans="1:18" ht="16" thickBot="1">
      <c r="A12" s="111" t="s">
        <v>13</v>
      </c>
      <c r="B12" s="251">
        <f>SUM(B5:B10)</f>
        <v>59173</v>
      </c>
      <c r="C12" s="251"/>
      <c r="D12" s="251"/>
      <c r="E12" s="251">
        <f>SUM(E5:E10)</f>
        <v>38098</v>
      </c>
      <c r="F12" s="252"/>
      <c r="G12" s="253"/>
      <c r="H12" s="252"/>
      <c r="I12" s="252"/>
      <c r="J12" s="252"/>
      <c r="L12" s="123" t="s">
        <v>149</v>
      </c>
      <c r="M12" s="129">
        <f>'Power Sale'!N38/10</f>
        <v>127.65</v>
      </c>
      <c r="N12" s="130">
        <f>'Power Sale'!Q38</f>
        <v>333.4405797101449</v>
      </c>
      <c r="O12" s="135">
        <f>'Power Sale'!T38</f>
        <v>42563.69</v>
      </c>
      <c r="P12" s="254">
        <f>SUM(E5:E9)-E7</f>
        <v>33160</v>
      </c>
      <c r="Q12" s="254">
        <f>O12-P12</f>
        <v>9403.6900000000023</v>
      </c>
      <c r="R12" s="131">
        <f>Q12/O12</f>
        <v>0.22093220771037478</v>
      </c>
    </row>
    <row r="13" spans="1:18" ht="16" thickBot="1">
      <c r="A13" s="55" t="s">
        <v>304</v>
      </c>
      <c r="E13" s="80"/>
      <c r="F13" s="80"/>
      <c r="G13" s="80"/>
      <c r="H13" s="80"/>
      <c r="I13" s="80"/>
      <c r="J13" s="80"/>
      <c r="L13" s="124" t="s">
        <v>150</v>
      </c>
      <c r="M13" s="132">
        <f>'Power Sale'!N33/10</f>
        <v>123.27000000000001</v>
      </c>
      <c r="N13" s="133">
        <f>O5</f>
        <v>327</v>
      </c>
      <c r="O13" s="136">
        <f>'Power Sale'!T33</f>
        <v>40306.28</v>
      </c>
      <c r="P13" s="255">
        <f>E24</f>
        <v>31095</v>
      </c>
      <c r="Q13" s="255">
        <f>O13-P13</f>
        <v>9211.2799999999988</v>
      </c>
      <c r="R13" s="134">
        <f>Q13/O13</f>
        <v>0.22853212948453688</v>
      </c>
    </row>
    <row r="14" spans="1:18" ht="16" thickBot="1">
      <c r="A14" s="55" t="s">
        <v>305</v>
      </c>
      <c r="E14" s="80"/>
      <c r="F14" s="80"/>
      <c r="G14" s="80"/>
      <c r="H14" s="80"/>
      <c r="I14" s="80"/>
      <c r="J14" s="80"/>
      <c r="L14" s="125" t="s">
        <v>157</v>
      </c>
      <c r="M14" s="129">
        <f>'Power Sale'!N34/10</f>
        <v>3.75</v>
      </c>
      <c r="N14" s="130">
        <f>'Power Sale'!Q34</f>
        <v>563</v>
      </c>
      <c r="O14" s="135">
        <f>M14*N14</f>
        <v>2111.25</v>
      </c>
      <c r="P14" s="350">
        <f>P12-P13</f>
        <v>2065</v>
      </c>
      <c r="Q14" s="350">
        <f>(O14+O15)-P14</f>
        <v>192.40999999999985</v>
      </c>
      <c r="R14" s="352">
        <f>Q14/O14</f>
        <v>9.1135583185316685E-2</v>
      </c>
    </row>
    <row r="15" spans="1:18" ht="16" thickBot="1">
      <c r="E15" s="80"/>
      <c r="F15" s="80"/>
      <c r="G15" s="80"/>
      <c r="H15" s="80"/>
      <c r="I15" s="80"/>
      <c r="J15" s="80"/>
      <c r="L15" s="124" t="s">
        <v>158</v>
      </c>
      <c r="M15" s="132">
        <f>'Power Sale'!N36/10</f>
        <v>0.63</v>
      </c>
      <c r="N15" s="133">
        <f>'Power Sale'!Q36</f>
        <v>232</v>
      </c>
      <c r="O15" s="136">
        <f>M15*N15</f>
        <v>146.16</v>
      </c>
      <c r="P15" s="351"/>
      <c r="Q15" s="351"/>
      <c r="R15" s="353"/>
    </row>
    <row r="16" spans="1:18">
      <c r="A16" s="242" t="s">
        <v>306</v>
      </c>
      <c r="B16" s="243"/>
      <c r="C16" s="243"/>
      <c r="D16" s="243"/>
      <c r="E16" s="243"/>
      <c r="F16" s="243"/>
      <c r="G16" s="243"/>
      <c r="H16" s="243"/>
      <c r="I16" s="243"/>
      <c r="J16" s="243"/>
    </row>
    <row r="17" spans="1:18" ht="16" thickBot="1">
      <c r="A17" s="112"/>
      <c r="B17" s="355" t="s">
        <v>293</v>
      </c>
      <c r="C17" s="356"/>
      <c r="D17" s="357"/>
      <c r="E17" s="355" t="s">
        <v>135</v>
      </c>
      <c r="F17" s="356"/>
      <c r="G17" s="357"/>
      <c r="H17" s="356" t="s">
        <v>136</v>
      </c>
      <c r="I17" s="356"/>
      <c r="J17" s="357"/>
      <c r="L17" s="359" t="s">
        <v>60</v>
      </c>
      <c r="M17" s="359"/>
      <c r="N17" s="359"/>
      <c r="O17" s="359"/>
      <c r="P17" s="359"/>
      <c r="Q17" s="359"/>
      <c r="R17" s="359"/>
    </row>
    <row r="18" spans="1:18" ht="31" thickBot="1">
      <c r="A18" s="113"/>
      <c r="B18" s="114" t="s">
        <v>81</v>
      </c>
      <c r="C18" s="115" t="s">
        <v>307</v>
      </c>
      <c r="D18" s="116" t="s">
        <v>137</v>
      </c>
      <c r="E18" s="114" t="s">
        <v>81</v>
      </c>
      <c r="F18" s="115" t="s">
        <v>307</v>
      </c>
      <c r="G18" s="116" t="s">
        <v>137</v>
      </c>
      <c r="H18" s="117" t="s">
        <v>81</v>
      </c>
      <c r="I18" s="115" t="s">
        <v>307</v>
      </c>
      <c r="J18" s="117" t="s">
        <v>137</v>
      </c>
      <c r="L18" s="120" t="s">
        <v>61</v>
      </c>
      <c r="M18" s="120" t="s">
        <v>144</v>
      </c>
      <c r="N18" s="120" t="s">
        <v>302</v>
      </c>
      <c r="O18" s="120" t="s">
        <v>151</v>
      </c>
      <c r="P18" s="120" t="s">
        <v>152</v>
      </c>
      <c r="Q18" s="120" t="s">
        <v>153</v>
      </c>
      <c r="R18" s="120" t="s">
        <v>154</v>
      </c>
    </row>
    <row r="19" spans="1:18" ht="17" thickTop="1" thickBot="1">
      <c r="A19" s="108" t="s">
        <v>6</v>
      </c>
      <c r="B19" s="245">
        <v>39944</v>
      </c>
      <c r="C19" s="246">
        <v>1516.4</v>
      </c>
      <c r="D19" s="247">
        <f>B19/C19*10</f>
        <v>263.41334740174096</v>
      </c>
      <c r="E19" s="245">
        <v>23103</v>
      </c>
      <c r="F19" s="246">
        <v>1232.7</v>
      </c>
      <c r="G19" s="247">
        <v>187.41786322706253</v>
      </c>
      <c r="H19" s="245">
        <v>26802</v>
      </c>
      <c r="I19" s="246">
        <v>1265.4000000000001</v>
      </c>
      <c r="J19" s="247">
        <v>211.80654338549076</v>
      </c>
      <c r="L19" s="122"/>
      <c r="M19" s="122" t="s">
        <v>147</v>
      </c>
      <c r="N19" s="122" t="s">
        <v>148</v>
      </c>
      <c r="O19" s="122" t="s">
        <v>21</v>
      </c>
      <c r="P19" s="122" t="s">
        <v>21</v>
      </c>
      <c r="Q19" s="122" t="s">
        <v>21</v>
      </c>
      <c r="R19" s="121"/>
    </row>
    <row r="20" spans="1:18" ht="16" thickBot="1">
      <c r="A20" s="110" t="s">
        <v>7</v>
      </c>
      <c r="B20" s="248">
        <v>3195</v>
      </c>
      <c r="C20" s="249">
        <v>1516.4</v>
      </c>
      <c r="D20" s="250">
        <f>B20/C20*10</f>
        <v>21.069638617778949</v>
      </c>
      <c r="E20" s="248">
        <v>2265</v>
      </c>
      <c r="F20" s="249">
        <v>1232.7</v>
      </c>
      <c r="G20" s="250">
        <v>18.37430031637868</v>
      </c>
      <c r="H20" s="248">
        <v>2328</v>
      </c>
      <c r="I20" s="249">
        <v>1265.4000000000001</v>
      </c>
      <c r="J20" s="250">
        <v>18.397344713134185</v>
      </c>
      <c r="L20" s="123" t="s">
        <v>268</v>
      </c>
      <c r="M20" s="135">
        <f>$M$13*0.75</f>
        <v>92.452500000000015</v>
      </c>
      <c r="N20" s="135">
        <f>$O$5</f>
        <v>327</v>
      </c>
      <c r="O20" s="135">
        <f>M20*N20</f>
        <v>30231.967500000006</v>
      </c>
      <c r="P20" s="135">
        <f>M20*$M$5+$L$5</f>
        <v>25319.25</v>
      </c>
      <c r="Q20" s="135">
        <f>O20-P20</f>
        <v>4912.7175000000061</v>
      </c>
      <c r="R20" s="131">
        <f>Q20/O20</f>
        <v>0.16250075354837573</v>
      </c>
    </row>
    <row r="21" spans="1:18" ht="16" thickBot="1">
      <c r="A21" s="110" t="s">
        <v>300</v>
      </c>
      <c r="B21" s="248">
        <v>1688</v>
      </c>
      <c r="C21" s="249">
        <v>1516.4</v>
      </c>
      <c r="D21" s="250">
        <f>B21/C21*10</f>
        <v>11.13162753890794</v>
      </c>
      <c r="E21" s="248">
        <v>1989</v>
      </c>
      <c r="F21" s="249">
        <v>1232.7</v>
      </c>
      <c r="G21" s="250">
        <f>E21/F21*10</f>
        <v>16.135312728157704</v>
      </c>
      <c r="H21" s="248"/>
      <c r="I21" s="249"/>
      <c r="J21" s="250"/>
      <c r="L21" s="126" t="s">
        <v>269</v>
      </c>
      <c r="M21" s="136">
        <f>$M$13*0.5</f>
        <v>61.635000000000005</v>
      </c>
      <c r="N21" s="136">
        <f>$N$13</f>
        <v>327</v>
      </c>
      <c r="O21" s="136">
        <f>M21*N21</f>
        <v>20154.645</v>
      </c>
      <c r="P21" s="136">
        <f>M21*$M$5+$L$5</f>
        <v>19543.5</v>
      </c>
      <c r="Q21" s="136">
        <f>O21-P21</f>
        <v>611.14500000000044</v>
      </c>
      <c r="R21" s="134">
        <f>Q21/O21</f>
        <v>3.032278663305657E-2</v>
      </c>
    </row>
    <row r="22" spans="1:18" ht="16" thickBot="1">
      <c r="A22" s="110" t="s">
        <v>8</v>
      </c>
      <c r="B22" s="248">
        <v>5078</v>
      </c>
      <c r="C22" s="249">
        <v>1516.4</v>
      </c>
      <c r="D22" s="250">
        <f>B22/C22*10</f>
        <v>33.487206541809549</v>
      </c>
      <c r="E22" s="248">
        <v>4886</v>
      </c>
      <c r="F22" s="249">
        <v>1232.7</v>
      </c>
      <c r="G22" s="250">
        <v>39.636570130607609</v>
      </c>
      <c r="H22" s="248">
        <v>5294</v>
      </c>
      <c r="I22" s="249">
        <v>1265.4000000000001</v>
      </c>
      <c r="J22" s="250">
        <v>41.836573415520782</v>
      </c>
      <c r="L22" s="123" t="s">
        <v>270</v>
      </c>
      <c r="M22" s="135">
        <f>$M$13*0.25</f>
        <v>30.817500000000003</v>
      </c>
      <c r="N22" s="135">
        <f>$N$13</f>
        <v>327</v>
      </c>
      <c r="O22" s="135">
        <f>M22*N22</f>
        <v>10077.3225</v>
      </c>
      <c r="P22" s="135">
        <f>M22*$M$5+$L$5</f>
        <v>13767.75</v>
      </c>
      <c r="Q22" s="135">
        <v>-3842</v>
      </c>
      <c r="R22" s="131">
        <f>Q22/O22</f>
        <v>-0.38125206373022197</v>
      </c>
    </row>
    <row r="23" spans="1:18">
      <c r="A23" s="110" t="s">
        <v>78</v>
      </c>
      <c r="B23" s="248">
        <v>2161</v>
      </c>
      <c r="C23" s="249">
        <v>1516.4</v>
      </c>
      <c r="D23" s="250">
        <f>B23/C23*10</f>
        <v>14.25085729359008</v>
      </c>
      <c r="E23" s="248">
        <v>841</v>
      </c>
      <c r="F23" s="249">
        <v>1232.7</v>
      </c>
      <c r="G23" s="250">
        <v>6.8224223249776905</v>
      </c>
      <c r="H23" s="248">
        <v>1125</v>
      </c>
      <c r="I23" s="249">
        <v>1265.4000000000001</v>
      </c>
      <c r="J23" s="250">
        <v>8.8904694167852067</v>
      </c>
      <c r="L23" s="80"/>
      <c r="M23" s="80"/>
      <c r="N23" s="80"/>
      <c r="O23" s="80"/>
      <c r="P23" s="80"/>
      <c r="Q23" s="80"/>
      <c r="R23" s="127"/>
    </row>
    <row r="24" spans="1:18" ht="31" thickBot="1">
      <c r="A24" s="256" t="s">
        <v>308</v>
      </c>
      <c r="B24" s="257">
        <f>SUM(B22:B23)+SUM(B19:B20)</f>
        <v>50378</v>
      </c>
      <c r="C24" s="258"/>
      <c r="D24" s="259"/>
      <c r="E24" s="257">
        <f>SUM(E22:E23)+SUM(E19:E20)</f>
        <v>31095</v>
      </c>
      <c r="F24" s="258"/>
      <c r="G24" s="259"/>
      <c r="H24" s="257">
        <f>SUM(H22:H23)+SUM(H19:H20)</f>
        <v>35549</v>
      </c>
      <c r="I24" s="258"/>
      <c r="J24" s="259"/>
      <c r="L24" s="359" t="s">
        <v>309</v>
      </c>
      <c r="M24" s="359"/>
      <c r="N24" s="359"/>
      <c r="O24" s="359"/>
      <c r="P24" s="359"/>
      <c r="Q24" s="359"/>
      <c r="R24" s="359"/>
    </row>
    <row r="25" spans="1:18" ht="31" thickBot="1">
      <c r="A25" s="111" t="s">
        <v>139</v>
      </c>
      <c r="B25" s="257">
        <f>SUM(B19:B23)</f>
        <v>52066</v>
      </c>
      <c r="C25" s="258"/>
      <c r="D25" s="259"/>
      <c r="E25" s="257">
        <f>SUM(E19:E23)</f>
        <v>33084</v>
      </c>
      <c r="F25" s="258"/>
      <c r="G25" s="259"/>
      <c r="H25" s="257"/>
      <c r="I25" s="258"/>
      <c r="J25" s="259"/>
      <c r="L25" s="120" t="s">
        <v>61</v>
      </c>
      <c r="M25" s="120" t="s">
        <v>144</v>
      </c>
      <c r="N25" s="120" t="s">
        <v>302</v>
      </c>
      <c r="O25" s="120" t="s">
        <v>151</v>
      </c>
      <c r="P25" s="120" t="s">
        <v>152</v>
      </c>
      <c r="Q25" s="120" t="s">
        <v>153</v>
      </c>
      <c r="R25" s="120" t="s">
        <v>154</v>
      </c>
    </row>
    <row r="26" spans="1:18" ht="17" thickTop="1" thickBot="1">
      <c r="A26" s="55" t="s">
        <v>310</v>
      </c>
      <c r="L26" s="122"/>
      <c r="M26" s="122" t="s">
        <v>147</v>
      </c>
      <c r="N26" s="122" t="s">
        <v>148</v>
      </c>
      <c r="O26" s="122" t="s">
        <v>21</v>
      </c>
      <c r="P26" s="122" t="s">
        <v>21</v>
      </c>
      <c r="Q26" s="122" t="s">
        <v>21</v>
      </c>
      <c r="R26" s="121"/>
    </row>
    <row r="27" spans="1:18" ht="16" thickBot="1">
      <c r="L27" s="123" t="s">
        <v>311</v>
      </c>
      <c r="M27" s="135">
        <f>$M$13*0.75</f>
        <v>92.452500000000015</v>
      </c>
      <c r="N27" s="135">
        <f>$P$5</f>
        <v>343</v>
      </c>
      <c r="O27" s="135">
        <f>M27*N27</f>
        <v>31711.207500000004</v>
      </c>
      <c r="P27" s="135">
        <f>M27*$N$5+$L$5</f>
        <v>32345.22250065946</v>
      </c>
      <c r="Q27" s="135">
        <f>O27-P27</f>
        <v>-634.01500065945584</v>
      </c>
      <c r="R27" s="131">
        <f>Q27/O27</f>
        <v>-1.9993404560815154E-2</v>
      </c>
    </row>
    <row r="28" spans="1:18" ht="16" thickBot="1">
      <c r="L28" s="126" t="s">
        <v>312</v>
      </c>
      <c r="M28" s="136">
        <f>$M$13*0.5</f>
        <v>61.635000000000005</v>
      </c>
      <c r="N28" s="136">
        <f>$P$5</f>
        <v>343</v>
      </c>
      <c r="O28" s="136">
        <f>M28*N28</f>
        <v>21140.805</v>
      </c>
      <c r="P28" s="136">
        <f>M28*$N$5+$L$5</f>
        <v>24227.481667106305</v>
      </c>
      <c r="Q28" s="136">
        <f>O28-P28</f>
        <v>-3086.6766671063051</v>
      </c>
      <c r="R28" s="134">
        <f>Q28/O28</f>
        <v>-0.14600563541011352</v>
      </c>
    </row>
    <row r="29" spans="1:18" ht="16" thickBot="1">
      <c r="L29" s="123" t="s">
        <v>313</v>
      </c>
      <c r="M29" s="135">
        <f>$M$13*0.25</f>
        <v>30.817500000000003</v>
      </c>
      <c r="N29" s="135">
        <f>$P$5</f>
        <v>343</v>
      </c>
      <c r="O29" s="135">
        <f>M29*N29</f>
        <v>10570.4025</v>
      </c>
      <c r="P29" s="135">
        <f>M29*$N$5+$L$5</f>
        <v>16109.740833553153</v>
      </c>
      <c r="Q29" s="135">
        <v>-3842</v>
      </c>
      <c r="R29" s="131">
        <f>Q29/O29</f>
        <v>-0.36346771090315622</v>
      </c>
    </row>
    <row r="30" spans="1:18" ht="16" thickBot="1">
      <c r="L30" s="126" t="s">
        <v>314</v>
      </c>
      <c r="M30" s="136">
        <f>$M$13</f>
        <v>123.27000000000001</v>
      </c>
      <c r="N30" s="136">
        <f>$P$5</f>
        <v>343</v>
      </c>
      <c r="O30" s="136">
        <f>M30*N30</f>
        <v>42281.61</v>
      </c>
      <c r="P30" s="136">
        <f>M30*$N$5+$L$5</f>
        <v>40462.963334212611</v>
      </c>
      <c r="Q30" s="136">
        <f>O30-P30</f>
        <v>1818.6466657873898</v>
      </c>
      <c r="R30" s="134">
        <f>Q30/O30</f>
        <v>4.3012710863833938E-2</v>
      </c>
    </row>
    <row r="34" spans="2:2">
      <c r="B34" s="260"/>
    </row>
  </sheetData>
  <mergeCells count="13">
    <mergeCell ref="B17:D17"/>
    <mergeCell ref="E17:G17"/>
    <mergeCell ref="H17:J17"/>
    <mergeCell ref="L17:R17"/>
    <mergeCell ref="L24:R24"/>
    <mergeCell ref="P14:P15"/>
    <mergeCell ref="Q14:Q15"/>
    <mergeCell ref="R14:R15"/>
    <mergeCell ref="A2:A3"/>
    <mergeCell ref="B2:D2"/>
    <mergeCell ref="E2:G2"/>
    <mergeCell ref="H2:J2"/>
    <mergeCell ref="L9:R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49AE5-DFFC-4583-8EE2-27734E8BDDF2}">
  <dimension ref="A1:AM137"/>
  <sheetViews>
    <sheetView topLeftCell="I1" zoomScale="111" zoomScaleNormal="70" workbookViewId="0">
      <selection activeCell="S11" sqref="S11"/>
    </sheetView>
  </sheetViews>
  <sheetFormatPr baseColWidth="10" defaultColWidth="9" defaultRowHeight="14"/>
  <cols>
    <col min="1" max="1" width="12" style="80" bestFit="1" customWidth="1"/>
    <col min="2" max="2" width="11" style="80" bestFit="1" customWidth="1"/>
    <col min="3" max="3" width="14.33203125" style="80" customWidth="1"/>
    <col min="4" max="4" width="11" style="80" bestFit="1" customWidth="1"/>
    <col min="5" max="5" width="12.6640625" style="80" hidden="1" customWidth="1"/>
    <col min="6" max="6" width="12.6640625" style="80" customWidth="1"/>
    <col min="7" max="8" width="12.6640625" style="80" hidden="1" customWidth="1"/>
    <col min="9" max="9" width="12.6640625" style="80" customWidth="1"/>
    <col min="10" max="11" width="15.6640625" style="80" customWidth="1"/>
    <col min="12" max="12" width="15.6640625" style="80" hidden="1" customWidth="1"/>
    <col min="13" max="13" width="12.6640625" style="80" hidden="1" customWidth="1"/>
    <col min="14" max="14" width="12.6640625" style="80" customWidth="1"/>
    <col min="15" max="16" width="12.6640625" style="80" hidden="1" customWidth="1"/>
    <col min="17" max="17" width="12.6640625" style="80" customWidth="1"/>
    <col min="18" max="21" width="15.6640625" style="80" customWidth="1"/>
    <col min="22" max="23" width="12.6640625" style="80" customWidth="1"/>
    <col min="24" max="25" width="12.6640625" style="80" hidden="1" customWidth="1"/>
    <col min="26" max="26" width="12.6640625" style="80" customWidth="1"/>
    <col min="27" max="28" width="15.6640625" style="80" customWidth="1"/>
    <col min="29" max="29" width="12.6640625" style="80" hidden="1" customWidth="1"/>
    <col min="30" max="30" width="12.6640625" style="80" customWidth="1"/>
    <col min="31" max="32" width="12.6640625" style="80" hidden="1" customWidth="1"/>
    <col min="33" max="33" width="12.6640625" style="80" customWidth="1"/>
    <col min="34" max="35" width="15.6640625" style="80" customWidth="1"/>
    <col min="36" max="16384" width="9" style="80"/>
  </cols>
  <sheetData>
    <row r="1" spans="1:39">
      <c r="E1" s="364">
        <v>2021</v>
      </c>
      <c r="F1" s="364"/>
      <c r="G1" s="364"/>
      <c r="H1" s="364"/>
      <c r="I1" s="364"/>
      <c r="J1" s="364"/>
      <c r="K1" s="364"/>
      <c r="L1" s="300"/>
      <c r="M1" s="360">
        <v>2020</v>
      </c>
      <c r="N1" s="360"/>
      <c r="O1" s="360"/>
      <c r="P1" s="360"/>
      <c r="Q1" s="360"/>
      <c r="R1" s="360"/>
      <c r="S1" s="360"/>
      <c r="T1" s="299"/>
      <c r="U1" s="299"/>
      <c r="V1" s="361">
        <v>2019</v>
      </c>
      <c r="W1" s="361"/>
      <c r="X1" s="361"/>
      <c r="Y1" s="361"/>
      <c r="Z1" s="361"/>
      <c r="AA1" s="361"/>
      <c r="AB1" s="361"/>
      <c r="AC1" s="363">
        <v>2018</v>
      </c>
      <c r="AD1" s="363"/>
      <c r="AE1" s="363"/>
      <c r="AF1" s="363"/>
      <c r="AG1" s="363"/>
      <c r="AH1" s="363"/>
      <c r="AI1" s="363"/>
    </row>
    <row r="2" spans="1:39" s="53" customFormat="1" ht="29" customHeight="1">
      <c r="A2" s="298" t="s">
        <v>370</v>
      </c>
      <c r="B2" s="297" t="s">
        <v>107</v>
      </c>
      <c r="C2" s="297" t="s">
        <v>369</v>
      </c>
      <c r="D2" s="297" t="s">
        <v>108</v>
      </c>
      <c r="E2" s="296" t="s">
        <v>365</v>
      </c>
      <c r="F2" s="296" t="s">
        <v>320</v>
      </c>
      <c r="G2" s="296" t="s">
        <v>364</v>
      </c>
      <c r="H2" s="296" t="s">
        <v>363</v>
      </c>
      <c r="I2" s="296" t="s">
        <v>362</v>
      </c>
      <c r="J2" s="296" t="s">
        <v>361</v>
      </c>
      <c r="K2" s="296" t="s">
        <v>360</v>
      </c>
      <c r="L2" s="295" t="s">
        <v>368</v>
      </c>
      <c r="M2" s="294" t="s">
        <v>365</v>
      </c>
      <c r="N2" s="294" t="s">
        <v>320</v>
      </c>
      <c r="O2" s="294" t="s">
        <v>364</v>
      </c>
      <c r="P2" s="294" t="s">
        <v>363</v>
      </c>
      <c r="Q2" s="294" t="s">
        <v>362</v>
      </c>
      <c r="R2" s="294" t="s">
        <v>361</v>
      </c>
      <c r="S2" s="294" t="s">
        <v>360</v>
      </c>
      <c r="T2" s="293" t="s">
        <v>367</v>
      </c>
      <c r="U2" s="293" t="s">
        <v>366</v>
      </c>
      <c r="V2" s="292" t="s">
        <v>365</v>
      </c>
      <c r="W2" s="292" t="s">
        <v>320</v>
      </c>
      <c r="X2" s="292" t="s">
        <v>364</v>
      </c>
      <c r="Y2" s="292" t="s">
        <v>363</v>
      </c>
      <c r="Z2" s="292" t="s">
        <v>362</v>
      </c>
      <c r="AA2" s="292" t="s">
        <v>361</v>
      </c>
      <c r="AB2" s="292" t="s">
        <v>360</v>
      </c>
      <c r="AC2" s="291" t="s">
        <v>365</v>
      </c>
      <c r="AD2" s="291" t="s">
        <v>320</v>
      </c>
      <c r="AE2" s="291" t="s">
        <v>364</v>
      </c>
      <c r="AF2" s="291" t="s">
        <v>363</v>
      </c>
      <c r="AG2" s="291" t="s">
        <v>362</v>
      </c>
      <c r="AH2" s="291" t="s">
        <v>361</v>
      </c>
      <c r="AI2" s="291" t="s">
        <v>360</v>
      </c>
    </row>
    <row r="3" spans="1:39">
      <c r="A3" s="80" t="s">
        <v>335</v>
      </c>
      <c r="B3" s="52" t="s">
        <v>109</v>
      </c>
      <c r="C3" s="52" t="s">
        <v>332</v>
      </c>
      <c r="D3" s="52" t="s">
        <v>75</v>
      </c>
      <c r="E3" s="285">
        <v>36.299999999999997</v>
      </c>
      <c r="F3" s="285">
        <v>32.9</v>
      </c>
      <c r="G3" s="285">
        <v>5504</v>
      </c>
      <c r="H3" s="285">
        <v>347</v>
      </c>
      <c r="I3" s="285">
        <v>299</v>
      </c>
      <c r="J3" s="285">
        <v>660</v>
      </c>
      <c r="K3" s="285">
        <v>381</v>
      </c>
      <c r="L3" s="285">
        <f t="shared" ref="L3:L32" si="0">F3/F$38*I3</f>
        <v>6.3005828476269761</v>
      </c>
      <c r="M3" s="284">
        <v>32.9</v>
      </c>
      <c r="N3" s="284">
        <v>29.9</v>
      </c>
      <c r="O3" s="284">
        <v>4482</v>
      </c>
      <c r="P3" s="284">
        <v>390</v>
      </c>
      <c r="Q3" s="284">
        <v>219</v>
      </c>
      <c r="R3" s="284">
        <v>660</v>
      </c>
      <c r="S3" s="284">
        <v>381</v>
      </c>
      <c r="T3" s="284">
        <f t="shared" ref="T3:T32" si="1">N3*Q3/10</f>
        <v>654.80999999999995</v>
      </c>
      <c r="U3" s="284">
        <f t="shared" ref="U3:U32" si="2">N3/N$38*Q3</f>
        <v>5.1297297297297302</v>
      </c>
      <c r="V3" s="283">
        <v>31.4</v>
      </c>
      <c r="W3" s="283">
        <v>28.5</v>
      </c>
      <c r="X3" s="283">
        <v>4757</v>
      </c>
      <c r="Y3" s="283">
        <v>358</v>
      </c>
      <c r="Z3" s="283">
        <v>230</v>
      </c>
      <c r="AA3" s="282">
        <v>660</v>
      </c>
      <c r="AB3" s="281">
        <v>381</v>
      </c>
      <c r="AC3" s="279">
        <v>32.6</v>
      </c>
      <c r="AD3" s="279">
        <v>29.2</v>
      </c>
      <c r="AE3" s="279">
        <v>3392</v>
      </c>
      <c r="AF3" s="279">
        <v>367</v>
      </c>
      <c r="AG3" s="279">
        <v>213</v>
      </c>
      <c r="AH3" s="279">
        <v>960</v>
      </c>
      <c r="AI3" s="279">
        <v>554</v>
      </c>
    </row>
    <row r="4" spans="1:39" hidden="1">
      <c r="A4" s="80" t="s">
        <v>335</v>
      </c>
      <c r="B4" s="52" t="s">
        <v>359</v>
      </c>
      <c r="C4" s="52" t="s">
        <v>332</v>
      </c>
      <c r="D4" s="52" t="s">
        <v>75</v>
      </c>
      <c r="E4" s="285"/>
      <c r="F4" s="285"/>
      <c r="G4" s="285"/>
      <c r="H4" s="285"/>
      <c r="I4" s="285"/>
      <c r="J4" s="285"/>
      <c r="K4" s="285"/>
      <c r="L4" s="285">
        <f t="shared" si="0"/>
        <v>0</v>
      </c>
      <c r="M4" s="284"/>
      <c r="N4" s="284"/>
      <c r="O4" s="284"/>
      <c r="P4" s="284"/>
      <c r="Q4" s="284"/>
      <c r="R4" s="284"/>
      <c r="S4" s="284"/>
      <c r="T4" s="284">
        <f t="shared" si="1"/>
        <v>0</v>
      </c>
      <c r="U4" s="284">
        <f t="shared" si="2"/>
        <v>0</v>
      </c>
      <c r="V4" s="283"/>
      <c r="W4" s="283"/>
      <c r="X4" s="283"/>
      <c r="Y4" s="283"/>
      <c r="Z4" s="283"/>
      <c r="AA4" s="282"/>
      <c r="AB4" s="281"/>
      <c r="AC4" s="279">
        <v>71.400000000000006</v>
      </c>
      <c r="AD4" s="279">
        <v>64.5</v>
      </c>
      <c r="AE4" s="279">
        <v>5411</v>
      </c>
      <c r="AF4" s="279">
        <v>310</v>
      </c>
      <c r="AG4" s="279">
        <v>236</v>
      </c>
      <c r="AH4" s="279">
        <v>1320</v>
      </c>
      <c r="AI4" s="279">
        <v>639</v>
      </c>
    </row>
    <row r="5" spans="1:39" hidden="1">
      <c r="A5" s="80" t="s">
        <v>335</v>
      </c>
      <c r="B5" s="52" t="s">
        <v>358</v>
      </c>
      <c r="C5" s="52" t="s">
        <v>332</v>
      </c>
      <c r="D5" s="52" t="s">
        <v>75</v>
      </c>
      <c r="E5" s="285"/>
      <c r="F5" s="285"/>
      <c r="G5" s="285"/>
      <c r="H5" s="285"/>
      <c r="I5" s="285"/>
      <c r="J5" s="285"/>
      <c r="K5" s="285"/>
      <c r="L5" s="285">
        <f t="shared" si="0"/>
        <v>0</v>
      </c>
      <c r="M5" s="284"/>
      <c r="N5" s="284"/>
      <c r="O5" s="284"/>
      <c r="P5" s="284"/>
      <c r="Q5" s="284"/>
      <c r="R5" s="284"/>
      <c r="S5" s="284"/>
      <c r="T5" s="284">
        <f t="shared" si="1"/>
        <v>0</v>
      </c>
      <c r="U5" s="284">
        <f t="shared" si="2"/>
        <v>0</v>
      </c>
      <c r="V5" s="283"/>
      <c r="W5" s="283"/>
      <c r="X5" s="283"/>
      <c r="Y5" s="283"/>
      <c r="Z5" s="283"/>
      <c r="AA5" s="282"/>
      <c r="AB5" s="281"/>
      <c r="AC5" s="279">
        <v>60.2</v>
      </c>
      <c r="AD5" s="279">
        <v>54.3</v>
      </c>
      <c r="AE5" s="279">
        <v>5019</v>
      </c>
      <c r="AF5" s="279">
        <v>321</v>
      </c>
      <c r="AG5" s="279">
        <v>236</v>
      </c>
      <c r="AH5" s="279">
        <v>1200</v>
      </c>
      <c r="AI5" s="279">
        <v>960</v>
      </c>
    </row>
    <row r="6" spans="1:39" ht="30">
      <c r="A6" s="80" t="s">
        <v>335</v>
      </c>
      <c r="B6" s="52" t="s">
        <v>110</v>
      </c>
      <c r="C6" s="290" t="s">
        <v>357</v>
      </c>
      <c r="D6" s="52" t="s">
        <v>75</v>
      </c>
      <c r="E6" s="285">
        <v>240.3</v>
      </c>
      <c r="F6" s="285">
        <v>222.1</v>
      </c>
      <c r="G6" s="285">
        <v>4792</v>
      </c>
      <c r="H6" s="285">
        <v>320</v>
      </c>
      <c r="I6" s="285">
        <v>323</v>
      </c>
      <c r="J6" s="285">
        <v>5014</v>
      </c>
      <c r="K6" s="285">
        <v>4528</v>
      </c>
      <c r="L6" s="285">
        <f t="shared" si="0"/>
        <v>45.947799910331135</v>
      </c>
      <c r="M6" s="284">
        <v>223.7</v>
      </c>
      <c r="N6" s="284">
        <v>207</v>
      </c>
      <c r="O6" s="284">
        <v>3914</v>
      </c>
      <c r="P6" s="284">
        <v>324</v>
      </c>
      <c r="Q6" s="284">
        <v>290</v>
      </c>
      <c r="R6" s="284">
        <v>5714</v>
      </c>
      <c r="S6" s="284">
        <v>5228</v>
      </c>
      <c r="T6" s="284">
        <f t="shared" si="1"/>
        <v>6003</v>
      </c>
      <c r="U6" s="284">
        <f t="shared" si="2"/>
        <v>47.027027027027032</v>
      </c>
      <c r="V6" s="283">
        <v>222.4</v>
      </c>
      <c r="W6" s="283">
        <v>206.3</v>
      </c>
      <c r="X6" s="283">
        <v>3825</v>
      </c>
      <c r="Y6" s="283">
        <v>325</v>
      </c>
      <c r="Z6" s="283">
        <v>294</v>
      </c>
      <c r="AA6" s="281">
        <v>5814</v>
      </c>
      <c r="AB6" s="281">
        <v>5328</v>
      </c>
      <c r="AC6" s="279">
        <v>334.5</v>
      </c>
      <c r="AD6" s="279">
        <v>306.8</v>
      </c>
      <c r="AE6" s="279">
        <v>3723</v>
      </c>
      <c r="AF6" s="279">
        <v>337</v>
      </c>
      <c r="AG6" s="279">
        <v>255</v>
      </c>
      <c r="AH6" s="279">
        <v>8984</v>
      </c>
      <c r="AI6" s="279">
        <v>8726</v>
      </c>
    </row>
    <row r="7" spans="1:39" ht="15">
      <c r="A7" s="80" t="s">
        <v>335</v>
      </c>
      <c r="B7" s="52" t="s">
        <v>356</v>
      </c>
      <c r="C7" s="290" t="s">
        <v>332</v>
      </c>
      <c r="D7" s="52" t="s">
        <v>75</v>
      </c>
      <c r="E7" s="285">
        <v>9.4</v>
      </c>
      <c r="F7" s="285">
        <v>8.4</v>
      </c>
      <c r="G7" s="285">
        <v>712</v>
      </c>
      <c r="H7" s="285">
        <v>352</v>
      </c>
      <c r="I7" s="285">
        <v>278</v>
      </c>
      <c r="J7" s="285">
        <v>1320</v>
      </c>
      <c r="K7" s="285">
        <v>1320</v>
      </c>
      <c r="L7" s="285">
        <f t="shared" si="0"/>
        <v>1.4956766796900018</v>
      </c>
      <c r="M7" s="284"/>
      <c r="N7" s="284">
        <v>0</v>
      </c>
      <c r="O7" s="284"/>
      <c r="P7" s="284"/>
      <c r="Q7" s="284">
        <v>0</v>
      </c>
      <c r="R7" s="284">
        <v>0</v>
      </c>
      <c r="S7" s="284">
        <v>0</v>
      </c>
      <c r="T7" s="284">
        <f t="shared" si="1"/>
        <v>0</v>
      </c>
      <c r="U7" s="284">
        <f t="shared" si="2"/>
        <v>0</v>
      </c>
      <c r="V7" s="283"/>
      <c r="W7" s="283">
        <v>0</v>
      </c>
      <c r="X7" s="283"/>
      <c r="Y7" s="283"/>
      <c r="Z7" s="283">
        <v>0</v>
      </c>
      <c r="AA7" s="281">
        <v>0</v>
      </c>
      <c r="AB7" s="281">
        <v>0</v>
      </c>
      <c r="AC7" s="279"/>
      <c r="AD7" s="279">
        <v>0</v>
      </c>
      <c r="AE7" s="279"/>
      <c r="AF7" s="279"/>
      <c r="AG7" s="279">
        <v>0</v>
      </c>
      <c r="AH7" s="279">
        <v>0</v>
      </c>
      <c r="AI7" s="279">
        <v>0</v>
      </c>
    </row>
    <row r="8" spans="1:39">
      <c r="A8" s="80" t="s">
        <v>335</v>
      </c>
      <c r="B8" s="52" t="s">
        <v>111</v>
      </c>
      <c r="C8" s="52" t="s">
        <v>332</v>
      </c>
      <c r="D8" s="52" t="s">
        <v>112</v>
      </c>
      <c r="E8" s="285">
        <v>114.4</v>
      </c>
      <c r="F8" s="285">
        <v>108.8</v>
      </c>
      <c r="G8" s="285">
        <v>4539</v>
      </c>
      <c r="H8" s="285">
        <v>297</v>
      </c>
      <c r="I8" s="285">
        <v>323</v>
      </c>
      <c r="J8" s="285">
        <v>2520</v>
      </c>
      <c r="K8" s="285">
        <v>1285</v>
      </c>
      <c r="L8" s="285">
        <f t="shared" si="0"/>
        <v>22.50842246845577</v>
      </c>
      <c r="M8" s="284">
        <v>114.2</v>
      </c>
      <c r="N8" s="284">
        <v>108.7</v>
      </c>
      <c r="O8" s="284">
        <v>4532</v>
      </c>
      <c r="P8" s="284">
        <v>298</v>
      </c>
      <c r="Q8" s="284">
        <v>318</v>
      </c>
      <c r="R8" s="284">
        <v>2520</v>
      </c>
      <c r="S8" s="284">
        <v>1285</v>
      </c>
      <c r="T8" s="284">
        <f t="shared" si="1"/>
        <v>3456.66</v>
      </c>
      <c r="U8" s="284">
        <f t="shared" si="2"/>
        <v>27.079200940070507</v>
      </c>
      <c r="V8" s="283">
        <v>129</v>
      </c>
      <c r="W8" s="283">
        <v>123</v>
      </c>
      <c r="X8" s="283">
        <v>5120</v>
      </c>
      <c r="Y8" s="283">
        <v>299</v>
      </c>
      <c r="Z8" s="283">
        <v>318</v>
      </c>
      <c r="AA8" s="282">
        <v>2520</v>
      </c>
      <c r="AB8" s="281">
        <v>1285</v>
      </c>
      <c r="AC8" s="279">
        <v>132.1</v>
      </c>
      <c r="AD8" s="279">
        <v>126</v>
      </c>
      <c r="AE8" s="279">
        <v>5244</v>
      </c>
      <c r="AF8" s="279">
        <v>300</v>
      </c>
      <c r="AG8" s="279">
        <v>315</v>
      </c>
      <c r="AH8" s="279">
        <v>2520</v>
      </c>
      <c r="AI8" s="279">
        <v>1285</v>
      </c>
    </row>
    <row r="9" spans="1:39" hidden="1">
      <c r="A9" s="80" t="s">
        <v>335</v>
      </c>
      <c r="B9" s="52" t="s">
        <v>355</v>
      </c>
      <c r="C9" s="52" t="s">
        <v>332</v>
      </c>
      <c r="D9" s="52" t="s">
        <v>112</v>
      </c>
      <c r="E9" s="285"/>
      <c r="F9" s="285"/>
      <c r="G9" s="285"/>
      <c r="H9" s="285"/>
      <c r="I9" s="285"/>
      <c r="J9" s="285"/>
      <c r="K9" s="285"/>
      <c r="L9" s="285">
        <f t="shared" si="0"/>
        <v>0</v>
      </c>
      <c r="M9" s="284"/>
      <c r="N9" s="284"/>
      <c r="O9" s="284"/>
      <c r="P9" s="284"/>
      <c r="Q9" s="284"/>
      <c r="R9" s="284"/>
      <c r="S9" s="284"/>
      <c r="T9" s="284">
        <f t="shared" si="1"/>
        <v>0</v>
      </c>
      <c r="U9" s="284">
        <f t="shared" si="2"/>
        <v>0</v>
      </c>
      <c r="V9" s="283"/>
      <c r="W9" s="283"/>
      <c r="X9" s="283"/>
      <c r="Y9" s="283"/>
      <c r="Z9" s="283"/>
      <c r="AA9" s="282"/>
      <c r="AB9" s="281"/>
      <c r="AC9" s="279">
        <v>68.099999999999994</v>
      </c>
      <c r="AD9" s="279">
        <v>63.5</v>
      </c>
      <c r="AE9" s="279">
        <v>5119</v>
      </c>
      <c r="AF9" s="279">
        <v>291</v>
      </c>
      <c r="AG9" s="279">
        <v>327</v>
      </c>
      <c r="AH9" s="279">
        <v>1330</v>
      </c>
      <c r="AI9" s="279">
        <v>512</v>
      </c>
    </row>
    <row r="10" spans="1:39">
      <c r="A10" s="80" t="s">
        <v>335</v>
      </c>
      <c r="B10" s="52" t="s">
        <v>113</v>
      </c>
      <c r="C10" s="52" t="s">
        <v>332</v>
      </c>
      <c r="D10" s="52" t="s">
        <v>112</v>
      </c>
      <c r="E10" s="285">
        <v>117.6</v>
      </c>
      <c r="F10" s="285">
        <v>108.8</v>
      </c>
      <c r="G10" s="285">
        <v>4666</v>
      </c>
      <c r="H10" s="285">
        <v>304</v>
      </c>
      <c r="I10" s="285">
        <v>324</v>
      </c>
      <c r="J10" s="285">
        <v>2520</v>
      </c>
      <c r="K10" s="285">
        <v>1021</v>
      </c>
      <c r="L10" s="285">
        <f t="shared" si="0"/>
        <v>22.578107986933961</v>
      </c>
      <c r="M10" s="284">
        <v>114.2</v>
      </c>
      <c r="N10" s="284">
        <v>105.6</v>
      </c>
      <c r="O10" s="284">
        <v>4533</v>
      </c>
      <c r="P10" s="284">
        <v>305</v>
      </c>
      <c r="Q10" s="284">
        <v>322</v>
      </c>
      <c r="R10" s="284">
        <v>2520</v>
      </c>
      <c r="S10" s="284">
        <v>1021</v>
      </c>
      <c r="T10" s="284">
        <f t="shared" si="1"/>
        <v>3400.3199999999997</v>
      </c>
      <c r="U10" s="284">
        <f t="shared" si="2"/>
        <v>26.637837837837836</v>
      </c>
      <c r="V10" s="283">
        <v>128.19999999999999</v>
      </c>
      <c r="W10" s="283">
        <v>118.8</v>
      </c>
      <c r="X10" s="283">
        <v>5092</v>
      </c>
      <c r="Y10" s="283">
        <v>305</v>
      </c>
      <c r="Z10" s="283">
        <v>315</v>
      </c>
      <c r="AA10" s="282">
        <v>2520</v>
      </c>
      <c r="AB10" s="281">
        <v>1021</v>
      </c>
      <c r="AC10" s="279">
        <v>139.19999999999999</v>
      </c>
      <c r="AD10" s="279">
        <v>128.80000000000001</v>
      </c>
      <c r="AE10" s="279">
        <v>5522</v>
      </c>
      <c r="AF10" s="279">
        <v>307</v>
      </c>
      <c r="AG10" s="279">
        <v>320</v>
      </c>
      <c r="AH10" s="279">
        <v>2520</v>
      </c>
      <c r="AI10" s="279">
        <v>1021</v>
      </c>
    </row>
    <row r="11" spans="1:39">
      <c r="A11" s="80" t="s">
        <v>335</v>
      </c>
      <c r="B11" s="52" t="s">
        <v>114</v>
      </c>
      <c r="C11" s="52" t="s">
        <v>324</v>
      </c>
      <c r="D11" s="52" t="s">
        <v>115</v>
      </c>
      <c r="E11" s="285">
        <v>267.10000000000002</v>
      </c>
      <c r="F11" s="285">
        <v>252.4</v>
      </c>
      <c r="G11" s="285">
        <v>5218</v>
      </c>
      <c r="H11" s="285">
        <v>307</v>
      </c>
      <c r="I11" s="285">
        <v>394</v>
      </c>
      <c r="J11" s="285">
        <v>5120</v>
      </c>
      <c r="K11" s="285">
        <v>4096</v>
      </c>
      <c r="L11" s="285">
        <f t="shared" si="0"/>
        <v>63.69410106962146</v>
      </c>
      <c r="M11" s="284">
        <v>177.2</v>
      </c>
      <c r="N11" s="284">
        <v>166.4</v>
      </c>
      <c r="O11" s="284">
        <v>3462</v>
      </c>
      <c r="P11" s="284">
        <v>312</v>
      </c>
      <c r="Q11" s="284">
        <v>369</v>
      </c>
      <c r="R11" s="284">
        <v>5120</v>
      </c>
      <c r="S11" s="284">
        <v>4096</v>
      </c>
      <c r="T11" s="284">
        <f t="shared" si="1"/>
        <v>6140.16</v>
      </c>
      <c r="U11" s="284">
        <f t="shared" si="2"/>
        <v>48.101527614571097</v>
      </c>
      <c r="V11" s="283">
        <v>173.3</v>
      </c>
      <c r="W11" s="283">
        <v>162.4</v>
      </c>
      <c r="X11" s="283">
        <v>3404</v>
      </c>
      <c r="Y11" s="283">
        <v>313</v>
      </c>
      <c r="Z11" s="283">
        <v>391</v>
      </c>
      <c r="AA11" s="282">
        <v>5090</v>
      </c>
      <c r="AB11" s="281">
        <v>4072</v>
      </c>
      <c r="AC11" s="279">
        <v>238.9</v>
      </c>
      <c r="AD11" s="279">
        <v>225.5</v>
      </c>
      <c r="AE11" s="279">
        <v>4694</v>
      </c>
      <c r="AF11" s="279">
        <v>309</v>
      </c>
      <c r="AG11" s="279">
        <v>354</v>
      </c>
      <c r="AH11" s="279">
        <v>5090</v>
      </c>
      <c r="AI11" s="279">
        <v>4072</v>
      </c>
    </row>
    <row r="12" spans="1:39">
      <c r="A12" s="80" t="s">
        <v>335</v>
      </c>
      <c r="B12" s="52" t="s">
        <v>116</v>
      </c>
      <c r="C12" s="52" t="s">
        <v>324</v>
      </c>
      <c r="D12" s="52" t="s">
        <v>115</v>
      </c>
      <c r="E12" s="285">
        <v>38</v>
      </c>
      <c r="F12" s="285">
        <v>34.299999999999997</v>
      </c>
      <c r="G12" s="285">
        <v>5760</v>
      </c>
      <c r="H12" s="285">
        <v>307</v>
      </c>
      <c r="I12" s="285">
        <v>371</v>
      </c>
      <c r="J12" s="285">
        <v>660</v>
      </c>
      <c r="K12" s="285">
        <v>660</v>
      </c>
      <c r="L12" s="285">
        <f t="shared" si="0"/>
        <v>8.1504515467879326</v>
      </c>
      <c r="M12" s="284">
        <v>39.5</v>
      </c>
      <c r="N12" s="284">
        <v>35.799999999999997</v>
      </c>
      <c r="O12" s="284">
        <v>5992</v>
      </c>
      <c r="P12" s="284">
        <v>311</v>
      </c>
      <c r="Q12" s="284">
        <v>347</v>
      </c>
      <c r="R12" s="284">
        <v>660</v>
      </c>
      <c r="S12" s="284">
        <v>660</v>
      </c>
      <c r="T12" s="284">
        <f t="shared" si="1"/>
        <v>1242.2599999999998</v>
      </c>
      <c r="U12" s="284">
        <f t="shared" si="2"/>
        <v>9.731766549157852</v>
      </c>
      <c r="V12" s="283">
        <v>37.9</v>
      </c>
      <c r="W12" s="283">
        <v>34.1</v>
      </c>
      <c r="X12" s="283">
        <v>5737</v>
      </c>
      <c r="Y12" s="283">
        <v>315</v>
      </c>
      <c r="Z12" s="283">
        <v>377</v>
      </c>
      <c r="AA12" s="282">
        <v>660</v>
      </c>
      <c r="AB12" s="281">
        <v>660</v>
      </c>
      <c r="AC12" s="279">
        <v>34.200000000000003</v>
      </c>
      <c r="AD12" s="279">
        <v>31</v>
      </c>
      <c r="AE12" s="279">
        <v>5187</v>
      </c>
      <c r="AF12" s="279">
        <v>324</v>
      </c>
      <c r="AG12" s="279">
        <v>358</v>
      </c>
      <c r="AH12" s="279">
        <v>660</v>
      </c>
      <c r="AI12" s="279">
        <v>660</v>
      </c>
    </row>
    <row r="13" spans="1:39" hidden="1">
      <c r="A13" s="80" t="s">
        <v>335</v>
      </c>
      <c r="B13" s="52" t="s">
        <v>354</v>
      </c>
      <c r="C13" s="52" t="s">
        <v>329</v>
      </c>
      <c r="D13" s="52" t="s">
        <v>173</v>
      </c>
      <c r="E13" s="285"/>
      <c r="F13" s="285"/>
      <c r="G13" s="285"/>
      <c r="H13" s="285"/>
      <c r="I13" s="285"/>
      <c r="J13" s="285"/>
      <c r="K13" s="285"/>
      <c r="L13" s="285">
        <f t="shared" si="0"/>
        <v>0</v>
      </c>
      <c r="M13" s="284"/>
      <c r="N13" s="284"/>
      <c r="O13" s="284"/>
      <c r="P13" s="284"/>
      <c r="Q13" s="284"/>
      <c r="R13" s="284"/>
      <c r="S13" s="284"/>
      <c r="T13" s="284">
        <f t="shared" si="1"/>
        <v>0</v>
      </c>
      <c r="U13" s="284">
        <f t="shared" si="2"/>
        <v>0</v>
      </c>
      <c r="V13" s="283"/>
      <c r="W13" s="283"/>
      <c r="X13" s="283"/>
      <c r="Y13" s="283"/>
      <c r="Z13" s="283"/>
      <c r="AA13" s="282"/>
      <c r="AB13" s="281"/>
      <c r="AC13" s="279">
        <v>223.5</v>
      </c>
      <c r="AD13" s="279">
        <v>212.3</v>
      </c>
      <c r="AE13" s="279">
        <v>4944</v>
      </c>
      <c r="AF13" s="279">
        <v>299</v>
      </c>
      <c r="AG13" s="279">
        <v>353</v>
      </c>
      <c r="AH13" s="279">
        <v>4520</v>
      </c>
      <c r="AI13" s="279">
        <v>2712</v>
      </c>
    </row>
    <row r="14" spans="1:39" hidden="1">
      <c r="A14" s="80" t="s">
        <v>335</v>
      </c>
      <c r="B14" s="52" t="s">
        <v>353</v>
      </c>
      <c r="C14" s="52" t="s">
        <v>329</v>
      </c>
      <c r="D14" s="52" t="s">
        <v>173</v>
      </c>
      <c r="E14" s="285"/>
      <c r="F14" s="285"/>
      <c r="G14" s="285"/>
      <c r="H14" s="285"/>
      <c r="I14" s="285"/>
      <c r="J14" s="285"/>
      <c r="K14" s="285"/>
      <c r="L14" s="285">
        <f t="shared" si="0"/>
        <v>0</v>
      </c>
      <c r="M14" s="284"/>
      <c r="N14" s="284"/>
      <c r="O14" s="284"/>
      <c r="P14" s="284"/>
      <c r="Q14" s="284"/>
      <c r="R14" s="284"/>
      <c r="S14" s="284"/>
      <c r="T14" s="284">
        <f t="shared" si="1"/>
        <v>0</v>
      </c>
      <c r="U14" s="284">
        <f t="shared" si="2"/>
        <v>0</v>
      </c>
      <c r="V14" s="283"/>
      <c r="W14" s="283"/>
      <c r="X14" s="283"/>
      <c r="Y14" s="283"/>
      <c r="Z14" s="283"/>
      <c r="AA14" s="282"/>
      <c r="AB14" s="281"/>
      <c r="AC14" s="279">
        <v>47.6</v>
      </c>
      <c r="AD14" s="279">
        <v>44.3</v>
      </c>
      <c r="AE14" s="279">
        <v>5236</v>
      </c>
      <c r="AF14" s="279">
        <v>331</v>
      </c>
      <c r="AG14" s="279">
        <v>361</v>
      </c>
      <c r="AH14" s="279">
        <v>910</v>
      </c>
      <c r="AI14" s="279">
        <v>464</v>
      </c>
    </row>
    <row r="15" spans="1:39" hidden="1">
      <c r="A15" s="80" t="s">
        <v>335</v>
      </c>
      <c r="B15" s="52" t="s">
        <v>352</v>
      </c>
      <c r="C15" s="52" t="s">
        <v>329</v>
      </c>
      <c r="D15" s="52" t="s">
        <v>175</v>
      </c>
      <c r="E15" s="285"/>
      <c r="F15" s="285"/>
      <c r="G15" s="285"/>
      <c r="H15" s="285"/>
      <c r="I15" s="285"/>
      <c r="J15" s="285"/>
      <c r="K15" s="285"/>
      <c r="L15" s="285">
        <f t="shared" si="0"/>
        <v>0</v>
      </c>
      <c r="M15" s="284"/>
      <c r="N15" s="284"/>
      <c r="O15" s="284"/>
      <c r="P15" s="284"/>
      <c r="Q15" s="284"/>
      <c r="R15" s="284"/>
      <c r="S15" s="284"/>
      <c r="T15" s="284">
        <f t="shared" si="1"/>
        <v>0</v>
      </c>
      <c r="U15" s="284">
        <f t="shared" si="2"/>
        <v>0</v>
      </c>
      <c r="V15" s="283"/>
      <c r="W15" s="283"/>
      <c r="X15" s="283"/>
      <c r="Y15" s="283"/>
      <c r="Z15" s="283"/>
      <c r="AA15" s="282"/>
      <c r="AB15" s="281"/>
      <c r="AC15" s="279">
        <v>236.6</v>
      </c>
      <c r="AD15" s="279">
        <v>226</v>
      </c>
      <c r="AE15" s="279">
        <v>5066</v>
      </c>
      <c r="AF15" s="279">
        <v>299</v>
      </c>
      <c r="AG15" s="279">
        <v>322</v>
      </c>
      <c r="AH15" s="279">
        <v>5920</v>
      </c>
      <c r="AI15" s="279">
        <v>3019</v>
      </c>
      <c r="AL15" s="289"/>
      <c r="AM15" s="289"/>
    </row>
    <row r="16" spans="1:39" hidden="1">
      <c r="A16" s="80" t="s">
        <v>335</v>
      </c>
      <c r="B16" s="52" t="s">
        <v>351</v>
      </c>
      <c r="C16" s="52" t="s">
        <v>329</v>
      </c>
      <c r="D16" s="52" t="s">
        <v>171</v>
      </c>
      <c r="E16" s="285"/>
      <c r="F16" s="285"/>
      <c r="G16" s="285"/>
      <c r="H16" s="285"/>
      <c r="I16" s="285"/>
      <c r="J16" s="285"/>
      <c r="K16" s="285"/>
      <c r="L16" s="285">
        <f t="shared" si="0"/>
        <v>0</v>
      </c>
      <c r="M16" s="284"/>
      <c r="N16" s="284"/>
      <c r="O16" s="284"/>
      <c r="P16" s="284"/>
      <c r="Q16" s="284"/>
      <c r="R16" s="284"/>
      <c r="S16" s="284"/>
      <c r="T16" s="284">
        <f t="shared" si="1"/>
        <v>0</v>
      </c>
      <c r="U16" s="284">
        <f t="shared" si="2"/>
        <v>0</v>
      </c>
      <c r="V16" s="283"/>
      <c r="W16" s="283"/>
      <c r="X16" s="283"/>
      <c r="Y16" s="283"/>
      <c r="Z16" s="283"/>
      <c r="AA16" s="282"/>
      <c r="AB16" s="281"/>
      <c r="AC16" s="279">
        <v>70.7</v>
      </c>
      <c r="AD16" s="279">
        <v>67.599999999999994</v>
      </c>
      <c r="AE16" s="279">
        <v>5608</v>
      </c>
      <c r="AF16" s="279">
        <v>294</v>
      </c>
      <c r="AG16" s="279">
        <v>309</v>
      </c>
      <c r="AH16" s="279">
        <v>1260</v>
      </c>
      <c r="AI16" s="279">
        <v>630</v>
      </c>
      <c r="AL16" s="289"/>
      <c r="AM16" s="289"/>
    </row>
    <row r="17" spans="1:39" hidden="1">
      <c r="A17" s="80" t="s">
        <v>335</v>
      </c>
      <c r="B17" s="52" t="s">
        <v>350</v>
      </c>
      <c r="C17" s="52" t="s">
        <v>329</v>
      </c>
      <c r="D17" s="52" t="s">
        <v>171</v>
      </c>
      <c r="E17" s="285"/>
      <c r="F17" s="285"/>
      <c r="G17" s="285"/>
      <c r="H17" s="285"/>
      <c r="I17" s="285"/>
      <c r="J17" s="285"/>
      <c r="K17" s="285"/>
      <c r="L17" s="285">
        <f t="shared" si="0"/>
        <v>0</v>
      </c>
      <c r="M17" s="284"/>
      <c r="N17" s="284"/>
      <c r="O17" s="284"/>
      <c r="P17" s="284"/>
      <c r="Q17" s="284"/>
      <c r="R17" s="284"/>
      <c r="S17" s="284"/>
      <c r="T17" s="284">
        <f t="shared" si="1"/>
        <v>0</v>
      </c>
      <c r="U17" s="284">
        <f t="shared" si="2"/>
        <v>0</v>
      </c>
      <c r="V17" s="283"/>
      <c r="W17" s="283"/>
      <c r="X17" s="283"/>
      <c r="Y17" s="283"/>
      <c r="Z17" s="283"/>
      <c r="AA17" s="282"/>
      <c r="AB17" s="281"/>
      <c r="AC17" s="279">
        <v>68.5</v>
      </c>
      <c r="AD17" s="279">
        <v>65.5</v>
      </c>
      <c r="AE17" s="279">
        <v>5187</v>
      </c>
      <c r="AF17" s="279">
        <v>284</v>
      </c>
      <c r="AG17" s="279">
        <v>318</v>
      </c>
      <c r="AH17" s="279">
        <v>1320</v>
      </c>
      <c r="AI17" s="279">
        <v>726</v>
      </c>
      <c r="AL17" s="289"/>
      <c r="AM17" s="289"/>
    </row>
    <row r="18" spans="1:39" hidden="1">
      <c r="A18" s="80" t="s">
        <v>335</v>
      </c>
      <c r="B18" s="52" t="s">
        <v>349</v>
      </c>
      <c r="C18" s="52" t="s">
        <v>329</v>
      </c>
      <c r="D18" s="52" t="s">
        <v>171</v>
      </c>
      <c r="E18" s="285"/>
      <c r="F18" s="285"/>
      <c r="G18" s="285"/>
      <c r="H18" s="285"/>
      <c r="I18" s="285"/>
      <c r="J18" s="285"/>
      <c r="K18" s="285"/>
      <c r="L18" s="285">
        <f t="shared" si="0"/>
        <v>0</v>
      </c>
      <c r="M18" s="284"/>
      <c r="N18" s="284"/>
      <c r="O18" s="284"/>
      <c r="P18" s="284"/>
      <c r="Q18" s="284"/>
      <c r="R18" s="284"/>
      <c r="S18" s="284"/>
      <c r="T18" s="284">
        <f t="shared" si="1"/>
        <v>0</v>
      </c>
      <c r="U18" s="284">
        <f t="shared" si="2"/>
        <v>0</v>
      </c>
      <c r="V18" s="283"/>
      <c r="W18" s="283"/>
      <c r="X18" s="283"/>
      <c r="Y18" s="283"/>
      <c r="Z18" s="283"/>
      <c r="AA18" s="282"/>
      <c r="AB18" s="281"/>
      <c r="AC18" s="279">
        <v>93</v>
      </c>
      <c r="AD18" s="279">
        <v>88.4</v>
      </c>
      <c r="AE18" s="279">
        <v>4651</v>
      </c>
      <c r="AF18" s="279">
        <v>289</v>
      </c>
      <c r="AG18" s="279">
        <v>340</v>
      </c>
      <c r="AH18" s="279">
        <v>2000</v>
      </c>
      <c r="AI18" s="279">
        <v>2000</v>
      </c>
      <c r="AL18" s="289"/>
      <c r="AM18" s="289"/>
    </row>
    <row r="19" spans="1:39" hidden="1">
      <c r="A19" s="80" t="s">
        <v>335</v>
      </c>
      <c r="B19" s="52" t="s">
        <v>348</v>
      </c>
      <c r="C19" s="52" t="s">
        <v>329</v>
      </c>
      <c r="D19" s="52" t="s">
        <v>182</v>
      </c>
      <c r="E19" s="285"/>
      <c r="F19" s="285"/>
      <c r="G19" s="285"/>
      <c r="H19" s="285"/>
      <c r="I19" s="285"/>
      <c r="J19" s="285"/>
      <c r="K19" s="285"/>
      <c r="L19" s="285">
        <f t="shared" si="0"/>
        <v>0</v>
      </c>
      <c r="M19" s="284"/>
      <c r="N19" s="284"/>
      <c r="O19" s="284"/>
      <c r="P19" s="284"/>
      <c r="Q19" s="284"/>
      <c r="R19" s="284"/>
      <c r="S19" s="284"/>
      <c r="T19" s="284">
        <f t="shared" si="1"/>
        <v>0</v>
      </c>
      <c r="U19" s="284">
        <f t="shared" si="2"/>
        <v>0</v>
      </c>
      <c r="V19" s="283"/>
      <c r="W19" s="283"/>
      <c r="X19" s="283"/>
      <c r="Y19" s="283"/>
      <c r="Z19" s="283"/>
      <c r="AA19" s="282"/>
      <c r="AB19" s="281"/>
      <c r="AC19" s="279">
        <v>175.7</v>
      </c>
      <c r="AD19" s="279">
        <v>164.9</v>
      </c>
      <c r="AE19" s="279">
        <v>4672</v>
      </c>
      <c r="AF19" s="279">
        <v>310</v>
      </c>
      <c r="AG19" s="279">
        <v>309</v>
      </c>
      <c r="AH19" s="279">
        <v>3760</v>
      </c>
      <c r="AI19" s="279">
        <v>1880</v>
      </c>
      <c r="AL19" s="289"/>
      <c r="AM19" s="289"/>
    </row>
    <row r="20" spans="1:39">
      <c r="A20" s="80" t="s">
        <v>335</v>
      </c>
      <c r="B20" s="52" t="s">
        <v>117</v>
      </c>
      <c r="C20" s="52" t="s">
        <v>329</v>
      </c>
      <c r="D20" s="52" t="s">
        <v>118</v>
      </c>
      <c r="E20" s="285">
        <v>171.9</v>
      </c>
      <c r="F20" s="285">
        <v>164.6</v>
      </c>
      <c r="G20" s="285">
        <v>6014</v>
      </c>
      <c r="H20" s="285">
        <v>294</v>
      </c>
      <c r="I20" s="285">
        <v>357</v>
      </c>
      <c r="J20" s="285">
        <v>3810</v>
      </c>
      <c r="K20" s="285">
        <v>2378</v>
      </c>
      <c r="L20" s="285">
        <f t="shared" si="0"/>
        <v>37.636712995580602</v>
      </c>
      <c r="M20" s="284">
        <v>143.4</v>
      </c>
      <c r="N20" s="284">
        <v>137.4</v>
      </c>
      <c r="O20" s="284">
        <v>5104</v>
      </c>
      <c r="P20" s="284">
        <v>294</v>
      </c>
      <c r="Q20" s="284">
        <v>347</v>
      </c>
      <c r="R20" s="284">
        <v>2810</v>
      </c>
      <c r="S20" s="284">
        <v>1459</v>
      </c>
      <c r="T20" s="284">
        <f t="shared" si="1"/>
        <v>4767.7800000000007</v>
      </c>
      <c r="U20" s="284">
        <f t="shared" si="2"/>
        <v>37.35041128084606</v>
      </c>
      <c r="V20" s="283">
        <v>132.1</v>
      </c>
      <c r="W20" s="283">
        <v>126.5</v>
      </c>
      <c r="X20" s="283">
        <v>4702</v>
      </c>
      <c r="Y20" s="283">
        <v>296</v>
      </c>
      <c r="Z20" s="283">
        <v>345</v>
      </c>
      <c r="AA20" s="282">
        <v>2810</v>
      </c>
      <c r="AB20" s="281">
        <v>1375</v>
      </c>
      <c r="AC20" s="279">
        <v>155.5</v>
      </c>
      <c r="AD20" s="279">
        <v>148.9</v>
      </c>
      <c r="AE20" s="279">
        <v>5241</v>
      </c>
      <c r="AF20" s="279">
        <v>282</v>
      </c>
      <c r="AG20" s="279">
        <v>341</v>
      </c>
      <c r="AH20" s="279">
        <v>2800</v>
      </c>
      <c r="AI20" s="279">
        <v>1375</v>
      </c>
      <c r="AJ20" s="80" t="s">
        <v>347</v>
      </c>
      <c r="AL20" s="289"/>
    </row>
    <row r="21" spans="1:39">
      <c r="A21" s="80" t="s">
        <v>335</v>
      </c>
      <c r="B21" s="52" t="s">
        <v>119</v>
      </c>
      <c r="C21" s="52" t="s">
        <v>332</v>
      </c>
      <c r="D21" s="52" t="s">
        <v>120</v>
      </c>
      <c r="E21" s="285">
        <v>214.5</v>
      </c>
      <c r="F21" s="285">
        <v>198.3</v>
      </c>
      <c r="G21" s="285">
        <v>5765</v>
      </c>
      <c r="H21" s="285">
        <v>312</v>
      </c>
      <c r="I21" s="285">
        <v>267</v>
      </c>
      <c r="J21" s="285">
        <v>3720</v>
      </c>
      <c r="K21" s="285">
        <v>2604</v>
      </c>
      <c r="L21" s="285">
        <f t="shared" si="0"/>
        <v>33.911548068916929</v>
      </c>
      <c r="M21" s="284">
        <v>136.5</v>
      </c>
      <c r="N21" s="284">
        <v>124.8</v>
      </c>
      <c r="O21" s="284">
        <v>5687</v>
      </c>
      <c r="P21" s="284">
        <v>321</v>
      </c>
      <c r="Q21" s="284">
        <v>277</v>
      </c>
      <c r="R21" s="284">
        <v>3720</v>
      </c>
      <c r="S21" s="284">
        <v>2400</v>
      </c>
      <c r="T21" s="284">
        <f t="shared" si="1"/>
        <v>3456.96</v>
      </c>
      <c r="U21" s="284">
        <f>N21/N$38*Q21</f>
        <v>27.081551116333724</v>
      </c>
      <c r="V21" s="283">
        <v>151.30000000000001</v>
      </c>
      <c r="W21" s="283">
        <v>139.1</v>
      </c>
      <c r="X21" s="283">
        <v>6302</v>
      </c>
      <c r="Y21" s="283">
        <v>313</v>
      </c>
      <c r="Z21" s="283">
        <v>272</v>
      </c>
      <c r="AA21" s="282">
        <v>2400</v>
      </c>
      <c r="AB21" s="281">
        <v>1680</v>
      </c>
      <c r="AC21" s="279">
        <v>165.4</v>
      </c>
      <c r="AD21" s="279">
        <v>152</v>
      </c>
      <c r="AE21" s="279">
        <v>6892</v>
      </c>
      <c r="AF21" s="279">
        <v>322</v>
      </c>
      <c r="AG21" s="279">
        <v>267</v>
      </c>
      <c r="AH21" s="279">
        <v>2400</v>
      </c>
      <c r="AI21" s="279">
        <v>1680</v>
      </c>
    </row>
    <row r="22" spans="1:39" hidden="1">
      <c r="A22" s="80" t="s">
        <v>335</v>
      </c>
      <c r="B22" s="52" t="s">
        <v>346</v>
      </c>
      <c r="C22" s="52" t="s">
        <v>342</v>
      </c>
      <c r="D22" s="52" t="s">
        <v>120</v>
      </c>
      <c r="E22" s="285"/>
      <c r="F22" s="285"/>
      <c r="G22" s="285"/>
      <c r="H22" s="285"/>
      <c r="I22" s="285"/>
      <c r="J22" s="285"/>
      <c r="K22" s="285"/>
      <c r="L22" s="285">
        <f t="shared" si="0"/>
        <v>0</v>
      </c>
      <c r="M22" s="284"/>
      <c r="N22" s="284"/>
      <c r="O22" s="284"/>
      <c r="P22" s="284"/>
      <c r="Q22" s="284"/>
      <c r="R22" s="284"/>
      <c r="S22" s="284"/>
      <c r="T22" s="284">
        <f t="shared" si="1"/>
        <v>0</v>
      </c>
      <c r="U22" s="284">
        <f t="shared" si="2"/>
        <v>0</v>
      </c>
      <c r="V22" s="283"/>
      <c r="W22" s="283"/>
      <c r="X22" s="283"/>
      <c r="Y22" s="283"/>
      <c r="Z22" s="283"/>
      <c r="AA22" s="282"/>
      <c r="AB22" s="281"/>
      <c r="AC22" s="279">
        <v>0.7</v>
      </c>
      <c r="AD22" s="279">
        <v>0.6</v>
      </c>
      <c r="AE22" s="279" t="s">
        <v>323</v>
      </c>
      <c r="AF22" s="279">
        <v>377</v>
      </c>
      <c r="AG22" s="279">
        <v>306</v>
      </c>
      <c r="AH22" s="279" t="s">
        <v>323</v>
      </c>
      <c r="AI22" s="279" t="s">
        <v>323</v>
      </c>
    </row>
    <row r="23" spans="1:39">
      <c r="A23" s="80" t="s">
        <v>335</v>
      </c>
      <c r="B23" s="52" t="s">
        <v>121</v>
      </c>
      <c r="C23" s="52" t="s">
        <v>332</v>
      </c>
      <c r="D23" s="52" t="s">
        <v>122</v>
      </c>
      <c r="E23" s="285">
        <v>109.8</v>
      </c>
      <c r="F23" s="285">
        <v>104.7</v>
      </c>
      <c r="G23" s="285">
        <v>5434</v>
      </c>
      <c r="H23" s="285">
        <v>275</v>
      </c>
      <c r="I23" s="285">
        <v>357</v>
      </c>
      <c r="J23" s="285">
        <v>2020</v>
      </c>
      <c r="K23" s="285">
        <v>1212</v>
      </c>
      <c r="L23" s="285">
        <f t="shared" si="0"/>
        <v>23.940242105937358</v>
      </c>
      <c r="M23" s="284">
        <v>102.1</v>
      </c>
      <c r="N23" s="284">
        <v>97.2</v>
      </c>
      <c r="O23" s="284">
        <v>5053</v>
      </c>
      <c r="P23" s="284">
        <v>278</v>
      </c>
      <c r="Q23" s="284">
        <v>343</v>
      </c>
      <c r="R23" s="284">
        <v>2020</v>
      </c>
      <c r="S23" s="284">
        <v>1212</v>
      </c>
      <c r="T23" s="284">
        <f t="shared" si="1"/>
        <v>3333.96</v>
      </c>
      <c r="U23" s="284">
        <f t="shared" si="2"/>
        <v>26.117978848413632</v>
      </c>
      <c r="V23" s="283">
        <v>108.6</v>
      </c>
      <c r="W23" s="283">
        <v>103.5</v>
      </c>
      <c r="X23" s="283">
        <v>5377</v>
      </c>
      <c r="Y23" s="283">
        <v>279</v>
      </c>
      <c r="Z23" s="283">
        <v>348</v>
      </c>
      <c r="AA23" s="282">
        <v>2020</v>
      </c>
      <c r="AB23" s="281">
        <v>1212</v>
      </c>
      <c r="AC23" s="279">
        <v>33.5</v>
      </c>
      <c r="AD23" s="279">
        <v>30.4</v>
      </c>
      <c r="AE23" s="279">
        <v>2659</v>
      </c>
      <c r="AF23" s="279">
        <v>332</v>
      </c>
      <c r="AG23" s="279">
        <v>386</v>
      </c>
      <c r="AH23" s="279">
        <v>1260</v>
      </c>
      <c r="AI23" s="279">
        <v>604</v>
      </c>
    </row>
    <row r="24" spans="1:39" hidden="1">
      <c r="A24" s="80" t="s">
        <v>335</v>
      </c>
      <c r="B24" s="52" t="s">
        <v>345</v>
      </c>
      <c r="C24" s="52" t="s">
        <v>344</v>
      </c>
      <c r="D24" s="52" t="s">
        <v>169</v>
      </c>
      <c r="E24" s="285"/>
      <c r="F24" s="285"/>
      <c r="G24" s="285"/>
      <c r="H24" s="285"/>
      <c r="I24" s="285"/>
      <c r="J24" s="285"/>
      <c r="K24" s="285"/>
      <c r="L24" s="285">
        <f t="shared" si="0"/>
        <v>0</v>
      </c>
      <c r="M24" s="284"/>
      <c r="N24" s="284"/>
      <c r="O24" s="284"/>
      <c r="P24" s="284"/>
      <c r="Q24" s="284"/>
      <c r="R24" s="284"/>
      <c r="S24" s="284"/>
      <c r="T24" s="284">
        <f t="shared" si="1"/>
        <v>0</v>
      </c>
      <c r="U24" s="284">
        <f t="shared" si="2"/>
        <v>0</v>
      </c>
      <c r="V24" s="283"/>
      <c r="W24" s="283"/>
      <c r="X24" s="283"/>
      <c r="Y24" s="283"/>
      <c r="Z24" s="283"/>
      <c r="AA24" s="282"/>
      <c r="AB24" s="281"/>
      <c r="AC24" s="279">
        <v>50.4</v>
      </c>
      <c r="AD24" s="279">
        <v>47.5</v>
      </c>
      <c r="AE24" s="279">
        <v>4197</v>
      </c>
      <c r="AF24" s="279">
        <v>307</v>
      </c>
      <c r="AG24" s="279">
        <v>300</v>
      </c>
      <c r="AH24" s="279">
        <v>1200</v>
      </c>
      <c r="AI24" s="279">
        <v>612</v>
      </c>
    </row>
    <row r="25" spans="1:39" hidden="1">
      <c r="A25" s="80" t="s">
        <v>335</v>
      </c>
      <c r="B25" s="52" t="s">
        <v>343</v>
      </c>
      <c r="C25" s="52" t="s">
        <v>342</v>
      </c>
      <c r="D25" s="52" t="s">
        <v>169</v>
      </c>
      <c r="E25" s="285"/>
      <c r="F25" s="285"/>
      <c r="G25" s="285"/>
      <c r="H25" s="285"/>
      <c r="I25" s="285"/>
      <c r="J25" s="285"/>
      <c r="K25" s="285"/>
      <c r="L25" s="285">
        <f t="shared" si="0"/>
        <v>0</v>
      </c>
      <c r="M25" s="284"/>
      <c r="N25" s="284"/>
      <c r="O25" s="284"/>
      <c r="P25" s="284"/>
      <c r="Q25" s="284"/>
      <c r="R25" s="284"/>
      <c r="S25" s="284"/>
      <c r="T25" s="284">
        <f t="shared" si="1"/>
        <v>0</v>
      </c>
      <c r="U25" s="284">
        <f t="shared" si="2"/>
        <v>0</v>
      </c>
      <c r="V25" s="283"/>
      <c r="W25" s="283"/>
      <c r="X25" s="283"/>
      <c r="Y25" s="283"/>
      <c r="Z25" s="283"/>
      <c r="AA25" s="282"/>
      <c r="AB25" s="281"/>
      <c r="AC25" s="279">
        <v>115.2</v>
      </c>
      <c r="AD25" s="279">
        <v>109.9</v>
      </c>
      <c r="AE25" s="279">
        <v>5705</v>
      </c>
      <c r="AF25" s="279">
        <v>280</v>
      </c>
      <c r="AG25" s="279">
        <v>339</v>
      </c>
      <c r="AH25" s="279">
        <v>2020</v>
      </c>
      <c r="AI25" s="279">
        <v>1212</v>
      </c>
    </row>
    <row r="26" spans="1:39" hidden="1">
      <c r="A26" s="80" t="s">
        <v>335</v>
      </c>
      <c r="B26" s="52" t="s">
        <v>341</v>
      </c>
      <c r="C26" s="52" t="s">
        <v>332</v>
      </c>
      <c r="D26" s="52" t="s">
        <v>165</v>
      </c>
      <c r="E26" s="285"/>
      <c r="F26" s="285"/>
      <c r="G26" s="285"/>
      <c r="H26" s="285"/>
      <c r="I26" s="285"/>
      <c r="J26" s="285"/>
      <c r="K26" s="285"/>
      <c r="L26" s="285">
        <f t="shared" si="0"/>
        <v>0</v>
      </c>
      <c r="M26" s="284"/>
      <c r="N26" s="284"/>
      <c r="O26" s="284"/>
      <c r="P26" s="284"/>
      <c r="Q26" s="284"/>
      <c r="R26" s="284"/>
      <c r="S26" s="284"/>
      <c r="T26" s="284">
        <f t="shared" si="1"/>
        <v>0</v>
      </c>
      <c r="U26" s="284">
        <f t="shared" si="2"/>
        <v>0</v>
      </c>
      <c r="V26" s="283"/>
      <c r="W26" s="283"/>
      <c r="X26" s="283"/>
      <c r="Y26" s="283"/>
      <c r="Z26" s="283"/>
      <c r="AA26" s="282"/>
      <c r="AB26" s="281"/>
      <c r="AC26" s="279">
        <v>68.7</v>
      </c>
      <c r="AD26" s="279">
        <v>64.8</v>
      </c>
      <c r="AE26" s="279">
        <v>5202</v>
      </c>
      <c r="AF26" s="279">
        <v>302</v>
      </c>
      <c r="AG26" s="279">
        <v>226</v>
      </c>
      <c r="AH26" s="279">
        <v>1320</v>
      </c>
      <c r="AI26" s="279">
        <v>749</v>
      </c>
    </row>
    <row r="27" spans="1:39">
      <c r="A27" s="80" t="s">
        <v>335</v>
      </c>
      <c r="B27" s="52" t="s">
        <v>123</v>
      </c>
      <c r="C27" s="52" t="s">
        <v>339</v>
      </c>
      <c r="D27" s="52" t="s">
        <v>124</v>
      </c>
      <c r="E27" s="285">
        <v>120.5</v>
      </c>
      <c r="F27" s="285">
        <v>115</v>
      </c>
      <c r="G27" s="285">
        <v>6023</v>
      </c>
      <c r="H27" s="285">
        <v>276</v>
      </c>
      <c r="I27" s="285">
        <v>364</v>
      </c>
      <c r="J27" s="285">
        <v>2000</v>
      </c>
      <c r="K27" s="285">
        <v>2000</v>
      </c>
      <c r="L27" s="285">
        <f t="shared" si="0"/>
        <v>26.810990840965861</v>
      </c>
      <c r="M27" s="284">
        <v>103.3</v>
      </c>
      <c r="N27" s="284">
        <v>98.6</v>
      </c>
      <c r="O27" s="284">
        <v>5163</v>
      </c>
      <c r="P27" s="284">
        <v>278</v>
      </c>
      <c r="Q27" s="284">
        <v>363</v>
      </c>
      <c r="R27" s="284">
        <v>2000</v>
      </c>
      <c r="S27" s="284">
        <v>2000</v>
      </c>
      <c r="T27" s="284">
        <f>N27*Q27/10</f>
        <v>3579.1799999999994</v>
      </c>
      <c r="U27" s="284">
        <f t="shared" si="2"/>
        <v>28.039012925969445</v>
      </c>
      <c r="V27" s="283">
        <v>107.8</v>
      </c>
      <c r="W27" s="283">
        <v>103.1</v>
      </c>
      <c r="X27" s="283">
        <v>5392</v>
      </c>
      <c r="Y27" s="283">
        <v>278</v>
      </c>
      <c r="Z27" s="283">
        <v>359</v>
      </c>
      <c r="AA27" s="282">
        <v>2000</v>
      </c>
      <c r="AB27" s="281">
        <v>2000</v>
      </c>
      <c r="AC27" s="279">
        <v>27.8</v>
      </c>
      <c r="AD27" s="279">
        <v>24.6</v>
      </c>
      <c r="AE27" s="279">
        <v>4207</v>
      </c>
      <c r="AF27" s="279">
        <v>363</v>
      </c>
      <c r="AG27" s="279">
        <v>234</v>
      </c>
      <c r="AH27" s="279">
        <v>660</v>
      </c>
      <c r="AI27" s="279">
        <v>660</v>
      </c>
    </row>
    <row r="28" spans="1:39">
      <c r="A28" s="80" t="s">
        <v>335</v>
      </c>
      <c r="B28" s="52" t="s">
        <v>328</v>
      </c>
      <c r="C28" s="52" t="s">
        <v>340</v>
      </c>
      <c r="D28" s="52" t="s">
        <v>125</v>
      </c>
      <c r="E28" s="285">
        <v>61</v>
      </c>
      <c r="F28" s="285">
        <v>56.1</v>
      </c>
      <c r="G28" s="285">
        <v>3468</v>
      </c>
      <c r="H28" s="285">
        <v>325</v>
      </c>
      <c r="I28" s="285">
        <v>424</v>
      </c>
      <c r="J28" s="285">
        <v>3260</v>
      </c>
      <c r="K28" s="285">
        <v>2102</v>
      </c>
      <c r="L28" s="285">
        <f t="shared" si="0"/>
        <v>15.23499647729456</v>
      </c>
      <c r="M28" s="284">
        <v>39.6</v>
      </c>
      <c r="N28" s="284">
        <v>36</v>
      </c>
      <c r="O28" s="284">
        <v>3139</v>
      </c>
      <c r="P28" s="284">
        <v>334</v>
      </c>
      <c r="Q28" s="284">
        <v>382</v>
      </c>
      <c r="R28" s="284">
        <v>1260</v>
      </c>
      <c r="S28" s="284">
        <v>604</v>
      </c>
      <c r="T28" s="284">
        <f>N28*Q28/10</f>
        <v>1375.2</v>
      </c>
      <c r="U28" s="284">
        <f>N28/N$38*Q28</f>
        <v>10.773207990599296</v>
      </c>
      <c r="V28" s="283">
        <v>38.700000000000003</v>
      </c>
      <c r="W28" s="283">
        <v>35.200000000000003</v>
      </c>
      <c r="X28" s="283">
        <v>3072</v>
      </c>
      <c r="Y28" s="283">
        <v>337</v>
      </c>
      <c r="Z28" s="283">
        <v>392</v>
      </c>
      <c r="AA28" s="282">
        <v>1260</v>
      </c>
      <c r="AB28" s="281">
        <v>604</v>
      </c>
      <c r="AC28" s="279">
        <v>51</v>
      </c>
      <c r="AD28" s="279">
        <v>47.7</v>
      </c>
      <c r="AE28" s="279">
        <v>4807</v>
      </c>
      <c r="AF28" s="279">
        <v>312</v>
      </c>
      <c r="AG28" s="279">
        <v>355</v>
      </c>
      <c r="AH28" s="279">
        <v>1060</v>
      </c>
      <c r="AI28" s="279">
        <v>482</v>
      </c>
    </row>
    <row r="29" spans="1:39">
      <c r="A29" s="80" t="s">
        <v>335</v>
      </c>
      <c r="B29" s="52" t="s">
        <v>126</v>
      </c>
      <c r="C29" s="52" t="s">
        <v>339</v>
      </c>
      <c r="D29" s="52" t="s">
        <v>127</v>
      </c>
      <c r="E29" s="285">
        <v>48.8</v>
      </c>
      <c r="F29" s="285">
        <v>45.6</v>
      </c>
      <c r="G29" s="285">
        <v>4068</v>
      </c>
      <c r="H29" s="285">
        <v>303</v>
      </c>
      <c r="I29" s="285">
        <v>295</v>
      </c>
      <c r="J29" s="285">
        <v>1200</v>
      </c>
      <c r="K29" s="285">
        <v>612</v>
      </c>
      <c r="L29" s="285">
        <f t="shared" si="0"/>
        <v>8.6158970089028362</v>
      </c>
      <c r="M29" s="284">
        <v>44.1</v>
      </c>
      <c r="N29" s="284">
        <v>41.2</v>
      </c>
      <c r="O29" s="284">
        <v>3672</v>
      </c>
      <c r="P29" s="284">
        <v>304</v>
      </c>
      <c r="Q29" s="284">
        <v>301</v>
      </c>
      <c r="R29" s="284">
        <v>1200</v>
      </c>
      <c r="S29" s="284">
        <v>612</v>
      </c>
      <c r="T29" s="284">
        <f t="shared" si="1"/>
        <v>1240.1200000000001</v>
      </c>
      <c r="U29" s="284">
        <f t="shared" si="2"/>
        <v>9.7150019584802205</v>
      </c>
      <c r="V29" s="283">
        <v>51.8</v>
      </c>
      <c r="W29" s="283">
        <v>48.8</v>
      </c>
      <c r="X29" s="283">
        <v>4318</v>
      </c>
      <c r="Y29" s="283">
        <v>303</v>
      </c>
      <c r="Z29" s="283">
        <v>308</v>
      </c>
      <c r="AA29" s="282">
        <v>1200</v>
      </c>
      <c r="AB29" s="281">
        <v>612</v>
      </c>
      <c r="AC29" s="279">
        <v>19.8</v>
      </c>
      <c r="AD29" s="279">
        <v>18.600000000000001</v>
      </c>
      <c r="AE29" s="279">
        <v>2832</v>
      </c>
      <c r="AF29" s="279">
        <v>321</v>
      </c>
      <c r="AG29" s="279">
        <v>345</v>
      </c>
      <c r="AH29" s="279">
        <v>700</v>
      </c>
      <c r="AI29" s="279">
        <v>490</v>
      </c>
    </row>
    <row r="30" spans="1:39">
      <c r="A30" s="80" t="s">
        <v>335</v>
      </c>
      <c r="B30" s="52" t="s">
        <v>128</v>
      </c>
      <c r="C30" s="52" t="s">
        <v>338</v>
      </c>
      <c r="D30" s="52" t="s">
        <v>129</v>
      </c>
      <c r="E30" s="285">
        <v>40.799999999999997</v>
      </c>
      <c r="F30" s="285">
        <v>38.700000000000003</v>
      </c>
      <c r="G30" s="285">
        <v>5826</v>
      </c>
      <c r="H30" s="285">
        <v>314</v>
      </c>
      <c r="I30" s="285">
        <v>366</v>
      </c>
      <c r="J30" s="285">
        <v>700</v>
      </c>
      <c r="K30" s="285">
        <v>490</v>
      </c>
      <c r="L30" s="285">
        <f t="shared" si="0"/>
        <v>9.0720553384999683</v>
      </c>
      <c r="M30" s="284">
        <v>32</v>
      </c>
      <c r="N30" s="284">
        <v>30.4</v>
      </c>
      <c r="O30" s="284">
        <v>4572</v>
      </c>
      <c r="P30" s="284">
        <v>316</v>
      </c>
      <c r="Q30" s="284">
        <v>309</v>
      </c>
      <c r="R30" s="284">
        <v>700</v>
      </c>
      <c r="S30" s="284">
        <v>490</v>
      </c>
      <c r="T30" s="284">
        <f>N30*Q30/10</f>
        <v>939.36</v>
      </c>
      <c r="U30" s="284">
        <f>N30/N$38*Q30</f>
        <v>7.3588719153936548</v>
      </c>
      <c r="V30" s="283">
        <v>23.2</v>
      </c>
      <c r="W30" s="283">
        <v>21.9</v>
      </c>
      <c r="X30" s="283">
        <v>3309</v>
      </c>
      <c r="Y30" s="283">
        <v>319</v>
      </c>
      <c r="Z30" s="283">
        <v>344</v>
      </c>
      <c r="AA30" s="282">
        <v>700</v>
      </c>
      <c r="AB30" s="281">
        <v>490</v>
      </c>
      <c r="AC30" s="279">
        <v>57.1</v>
      </c>
      <c r="AD30" s="279">
        <v>54.5</v>
      </c>
      <c r="AE30" s="279">
        <v>2857</v>
      </c>
      <c r="AF30" s="279">
        <v>281</v>
      </c>
      <c r="AG30" s="279">
        <v>354</v>
      </c>
      <c r="AH30" s="279">
        <v>2000</v>
      </c>
      <c r="AI30" s="279">
        <v>2000</v>
      </c>
    </row>
    <row r="31" spans="1:39">
      <c r="A31" s="80" t="s">
        <v>335</v>
      </c>
      <c r="B31" s="80" t="s">
        <v>337</v>
      </c>
      <c r="C31" s="52" t="s">
        <v>336</v>
      </c>
      <c r="D31" s="52" t="s">
        <v>161</v>
      </c>
      <c r="E31" s="285">
        <v>10.6</v>
      </c>
      <c r="F31" s="285">
        <v>10.199999999999999</v>
      </c>
      <c r="G31" s="285">
        <v>664</v>
      </c>
      <c r="H31" s="285">
        <v>280</v>
      </c>
      <c r="I31" s="285">
        <v>467</v>
      </c>
      <c r="J31" s="285">
        <v>2000</v>
      </c>
      <c r="K31" s="285">
        <v>1600</v>
      </c>
      <c r="L31" s="285">
        <f t="shared" si="0"/>
        <v>3.0509191058733101</v>
      </c>
      <c r="M31" s="284"/>
      <c r="N31" s="284">
        <v>0</v>
      </c>
      <c r="O31" s="284"/>
      <c r="P31" s="284"/>
      <c r="Q31" s="284">
        <v>0</v>
      </c>
      <c r="R31" s="284">
        <v>0</v>
      </c>
      <c r="S31" s="284">
        <v>0</v>
      </c>
      <c r="T31" s="284">
        <f t="shared" si="1"/>
        <v>0</v>
      </c>
      <c r="U31" s="284">
        <f t="shared" si="2"/>
        <v>0</v>
      </c>
      <c r="V31" s="283"/>
      <c r="W31" s="283">
        <v>0</v>
      </c>
      <c r="X31" s="283"/>
      <c r="Y31" s="283"/>
      <c r="Z31" s="283">
        <v>0</v>
      </c>
      <c r="AA31" s="282">
        <v>0</v>
      </c>
      <c r="AB31" s="281">
        <v>0</v>
      </c>
      <c r="AC31" s="279"/>
      <c r="AD31" s="279">
        <v>0</v>
      </c>
      <c r="AE31" s="279"/>
      <c r="AF31" s="279"/>
      <c r="AG31" s="279">
        <v>0</v>
      </c>
      <c r="AH31" s="279">
        <v>0</v>
      </c>
      <c r="AI31" s="279">
        <v>0</v>
      </c>
    </row>
    <row r="32" spans="1:39">
      <c r="A32" s="80" t="s">
        <v>335</v>
      </c>
      <c r="B32" s="52" t="s">
        <v>130</v>
      </c>
      <c r="C32" s="52" t="s">
        <v>334</v>
      </c>
      <c r="D32" s="52" t="s">
        <v>131</v>
      </c>
      <c r="E32" s="285">
        <v>17.600000000000001</v>
      </c>
      <c r="F32" s="285">
        <v>15.5</v>
      </c>
      <c r="G32" s="285">
        <v>5858</v>
      </c>
      <c r="H32" s="285">
        <v>365</v>
      </c>
      <c r="I32" s="285">
        <v>465</v>
      </c>
      <c r="J32" s="285">
        <v>300</v>
      </c>
      <c r="K32" s="285">
        <v>210</v>
      </c>
      <c r="L32" s="285">
        <f t="shared" si="0"/>
        <v>4.6163453532312806</v>
      </c>
      <c r="M32" s="284">
        <v>15.8</v>
      </c>
      <c r="N32" s="284">
        <v>13.7</v>
      </c>
      <c r="O32" s="284">
        <v>5266</v>
      </c>
      <c r="P32" s="284">
        <v>366</v>
      </c>
      <c r="Q32" s="284">
        <v>523</v>
      </c>
      <c r="R32" s="284">
        <v>300</v>
      </c>
      <c r="S32" s="284">
        <v>210</v>
      </c>
      <c r="T32" s="284">
        <f t="shared" si="1"/>
        <v>716.51</v>
      </c>
      <c r="U32" s="284">
        <f>N32/N$38*Q32</f>
        <v>5.613082647865256</v>
      </c>
      <c r="V32" s="283">
        <v>16</v>
      </c>
      <c r="W32" s="283">
        <v>14</v>
      </c>
      <c r="X32" s="283" t="s">
        <v>333</v>
      </c>
      <c r="Y32" s="283">
        <v>366</v>
      </c>
      <c r="Z32" s="283">
        <v>523</v>
      </c>
      <c r="AA32" s="282">
        <v>300</v>
      </c>
      <c r="AB32" s="281">
        <v>210</v>
      </c>
      <c r="AC32" s="279">
        <v>15.9</v>
      </c>
      <c r="AD32" s="279">
        <v>13.9</v>
      </c>
      <c r="AE32" s="279">
        <v>5302</v>
      </c>
      <c r="AF32" s="279">
        <v>367</v>
      </c>
      <c r="AG32" s="279">
        <v>510</v>
      </c>
      <c r="AH32" s="279">
        <v>300</v>
      </c>
      <c r="AI32" s="279">
        <v>210</v>
      </c>
    </row>
    <row r="33" spans="1:35">
      <c r="A33" s="362" t="s">
        <v>132</v>
      </c>
      <c r="B33" s="362"/>
      <c r="C33" s="362"/>
      <c r="D33" s="362"/>
      <c r="E33" s="277">
        <v>1618.6</v>
      </c>
      <c r="F33" s="277">
        <v>1516.4</v>
      </c>
      <c r="G33" s="277">
        <v>4764</v>
      </c>
      <c r="H33" s="277">
        <v>305</v>
      </c>
      <c r="I33" s="277">
        <v>343</v>
      </c>
      <c r="J33" s="277">
        <f>SUM(J3:J32)</f>
        <v>36824</v>
      </c>
      <c r="K33" s="277">
        <f>SUM(K3:K32)</f>
        <v>26499</v>
      </c>
      <c r="L33" s="277"/>
      <c r="M33" s="275">
        <v>1318.4999999999995</v>
      </c>
      <c r="N33" s="275">
        <v>1232.7</v>
      </c>
      <c r="O33" s="275">
        <v>4412</v>
      </c>
      <c r="P33" s="275">
        <v>307</v>
      </c>
      <c r="Q33" s="275">
        <v>327</v>
      </c>
      <c r="R33" s="275">
        <v>31204</v>
      </c>
      <c r="S33" s="275">
        <v>21658</v>
      </c>
      <c r="T33" s="275">
        <f>SUM(T3:T32)</f>
        <v>40306.28</v>
      </c>
      <c r="U33" s="275"/>
      <c r="V33" s="274">
        <v>1351.6999999999998</v>
      </c>
      <c r="W33" s="274">
        <v>1265.2</v>
      </c>
      <c r="X33" s="274">
        <v>4513</v>
      </c>
      <c r="Y33" s="274">
        <v>308</v>
      </c>
      <c r="Z33" s="274">
        <v>331</v>
      </c>
      <c r="AA33" s="288">
        <v>29954</v>
      </c>
      <c r="AB33" s="273">
        <v>20930</v>
      </c>
      <c r="AC33" s="286">
        <v>2787.8</v>
      </c>
      <c r="AD33" s="286">
        <v>2612</v>
      </c>
      <c r="AE33" s="286">
        <v>4877</v>
      </c>
      <c r="AF33" s="286">
        <v>308</v>
      </c>
      <c r="AG33" s="286">
        <v>313</v>
      </c>
      <c r="AH33" s="287">
        <v>59994</v>
      </c>
      <c r="AI33" s="286">
        <v>39934</v>
      </c>
    </row>
    <row r="34" spans="1:35">
      <c r="A34" s="80" t="s">
        <v>331</v>
      </c>
      <c r="B34" s="52" t="s">
        <v>133</v>
      </c>
      <c r="C34" s="52" t="s">
        <v>332</v>
      </c>
      <c r="D34" s="52" t="s">
        <v>134</v>
      </c>
      <c r="E34" s="285">
        <v>38.5</v>
      </c>
      <c r="F34" s="285">
        <v>37.700000000000003</v>
      </c>
      <c r="G34" s="285">
        <v>4057</v>
      </c>
      <c r="H34" s="285">
        <v>193</v>
      </c>
      <c r="I34" s="285">
        <v>565</v>
      </c>
      <c r="J34" s="285">
        <v>950</v>
      </c>
      <c r="K34" s="285">
        <v>950</v>
      </c>
      <c r="L34" s="285">
        <f>F34/F$38*I34</f>
        <v>13.642797668609491</v>
      </c>
      <c r="M34" s="284">
        <v>38.4</v>
      </c>
      <c r="N34" s="284">
        <v>37.5</v>
      </c>
      <c r="O34" s="284">
        <v>4045</v>
      </c>
      <c r="P34" s="284">
        <v>192</v>
      </c>
      <c r="Q34" s="284">
        <v>563</v>
      </c>
      <c r="R34" s="284">
        <v>950</v>
      </c>
      <c r="S34" s="284">
        <v>950</v>
      </c>
      <c r="T34" s="284">
        <f>N34*Q34/10</f>
        <v>2111.25</v>
      </c>
      <c r="U34" s="284">
        <f>N34/N$38*Q34</f>
        <v>16.53936545240893</v>
      </c>
      <c r="V34" s="283">
        <v>39</v>
      </c>
      <c r="W34" s="283">
        <v>38.1</v>
      </c>
      <c r="X34" s="283">
        <v>4108</v>
      </c>
      <c r="Y34" s="283">
        <v>198</v>
      </c>
      <c r="Z34" s="283">
        <v>573</v>
      </c>
      <c r="AA34" s="282">
        <v>950</v>
      </c>
      <c r="AB34" s="282">
        <v>950</v>
      </c>
      <c r="AC34" s="279">
        <v>39.200000000000003</v>
      </c>
      <c r="AD34" s="279">
        <v>38.299999999999997</v>
      </c>
      <c r="AE34" s="279">
        <v>4131</v>
      </c>
      <c r="AF34" s="279">
        <v>200</v>
      </c>
      <c r="AG34" s="279">
        <v>589</v>
      </c>
      <c r="AH34" s="279">
        <v>950</v>
      </c>
      <c r="AI34" s="279">
        <v>950</v>
      </c>
    </row>
    <row r="35" spans="1:35" hidden="1">
      <c r="A35" s="80" t="s">
        <v>331</v>
      </c>
      <c r="B35" s="52" t="s">
        <v>330</v>
      </c>
      <c r="C35" s="52" t="s">
        <v>329</v>
      </c>
      <c r="D35" s="80" t="s">
        <v>173</v>
      </c>
      <c r="E35" s="285"/>
      <c r="F35" s="285"/>
      <c r="G35" s="285"/>
      <c r="H35" s="285"/>
      <c r="I35" s="285"/>
      <c r="J35" s="285"/>
      <c r="K35" s="285"/>
      <c r="L35" s="285"/>
      <c r="M35" s="284"/>
      <c r="N35" s="284"/>
      <c r="O35" s="284"/>
      <c r="P35" s="284"/>
      <c r="Q35" s="284"/>
      <c r="R35" s="284"/>
      <c r="S35" s="284"/>
      <c r="T35" s="284"/>
      <c r="U35" s="284"/>
      <c r="V35" s="283"/>
      <c r="W35" s="283"/>
      <c r="X35" s="283"/>
      <c r="Y35" s="283"/>
      <c r="Z35" s="283"/>
      <c r="AA35" s="282"/>
      <c r="AB35" s="281"/>
      <c r="AC35" s="279">
        <v>19.3</v>
      </c>
      <c r="AD35" s="279">
        <v>18.8</v>
      </c>
      <c r="AE35" s="279">
        <v>2474</v>
      </c>
      <c r="AF35" s="279">
        <v>232</v>
      </c>
      <c r="AG35" s="279">
        <v>503</v>
      </c>
      <c r="AH35" s="280">
        <v>780</v>
      </c>
      <c r="AI35" s="280">
        <v>624</v>
      </c>
    </row>
    <row r="36" spans="1:35">
      <c r="A36" s="80" t="s">
        <v>155</v>
      </c>
      <c r="B36" s="52" t="s">
        <v>328</v>
      </c>
      <c r="C36" s="52" t="s">
        <v>327</v>
      </c>
      <c r="D36" s="52" t="s">
        <v>125</v>
      </c>
      <c r="E36" s="285">
        <v>7.4</v>
      </c>
      <c r="F36" s="285">
        <v>7.2</v>
      </c>
      <c r="G36" s="285">
        <v>5921</v>
      </c>
      <c r="H36" s="285" t="s">
        <v>321</v>
      </c>
      <c r="I36" s="285">
        <v>224</v>
      </c>
      <c r="J36" s="285">
        <v>125</v>
      </c>
      <c r="K36" s="285">
        <v>62</v>
      </c>
      <c r="L36" s="285">
        <f>F36/F$38*I36</f>
        <v>1.0329853327355407</v>
      </c>
      <c r="M36" s="284">
        <v>6.4</v>
      </c>
      <c r="N36" s="284">
        <v>6.3</v>
      </c>
      <c r="O36" s="284">
        <v>5124</v>
      </c>
      <c r="P36" s="284" t="s">
        <v>40</v>
      </c>
      <c r="Q36" s="284">
        <v>232</v>
      </c>
      <c r="R36" s="284">
        <v>125</v>
      </c>
      <c r="S36" s="284">
        <v>48</v>
      </c>
      <c r="T36" s="284">
        <f>N36*Q36/10</f>
        <v>146.16</v>
      </c>
      <c r="U36" s="284">
        <f>N36/N$38*Q36</f>
        <v>1.145005875440658</v>
      </c>
      <c r="V36" s="283">
        <v>7</v>
      </c>
      <c r="W36" s="283">
        <v>0</v>
      </c>
      <c r="X36" s="283">
        <v>6</v>
      </c>
      <c r="Y36" s="283">
        <v>8</v>
      </c>
      <c r="Z36" s="283">
        <v>556</v>
      </c>
      <c r="AA36" s="282">
        <v>125</v>
      </c>
      <c r="AB36" s="281">
        <v>48</v>
      </c>
      <c r="AC36" s="279">
        <v>6.9</v>
      </c>
      <c r="AD36" s="279">
        <v>6.8</v>
      </c>
      <c r="AE36" s="279">
        <v>5517</v>
      </c>
      <c r="AF36" s="279" t="s">
        <v>323</v>
      </c>
      <c r="AG36" s="279">
        <v>222</v>
      </c>
      <c r="AH36" s="280">
        <v>125</v>
      </c>
      <c r="AI36" s="279">
        <v>48</v>
      </c>
    </row>
    <row r="37" spans="1:35" hidden="1">
      <c r="A37" s="80" t="s">
        <v>326</v>
      </c>
      <c r="B37" s="52" t="s">
        <v>325</v>
      </c>
      <c r="C37" s="52" t="s">
        <v>324</v>
      </c>
      <c r="D37" s="52" t="s">
        <v>115</v>
      </c>
      <c r="E37" s="285"/>
      <c r="F37" s="285"/>
      <c r="G37" s="285"/>
      <c r="H37" s="285"/>
      <c r="I37" s="285"/>
      <c r="J37" s="285"/>
      <c r="K37" s="285"/>
      <c r="L37" s="285"/>
      <c r="M37" s="284"/>
      <c r="N37" s="284"/>
      <c r="O37" s="284"/>
      <c r="P37" s="284"/>
      <c r="Q37" s="284"/>
      <c r="R37" s="284"/>
      <c r="S37" s="284"/>
      <c r="T37" s="284"/>
      <c r="U37" s="284"/>
      <c r="V37" s="283"/>
      <c r="W37" s="283"/>
      <c r="X37" s="283"/>
      <c r="Y37" s="283"/>
      <c r="Z37" s="283"/>
      <c r="AA37" s="282"/>
      <c r="AB37" s="281"/>
      <c r="AC37" s="279" t="s">
        <v>323</v>
      </c>
      <c r="AD37" s="279" t="s">
        <v>323</v>
      </c>
      <c r="AE37" s="279" t="s">
        <v>323</v>
      </c>
      <c r="AF37" s="279" t="s">
        <v>323</v>
      </c>
      <c r="AG37" s="279" t="s">
        <v>323</v>
      </c>
      <c r="AH37" s="280" t="s">
        <v>323</v>
      </c>
      <c r="AI37" s="279" t="s">
        <v>323</v>
      </c>
    </row>
    <row r="38" spans="1:35">
      <c r="A38" s="362" t="s">
        <v>322</v>
      </c>
      <c r="B38" s="362"/>
      <c r="C38" s="362"/>
      <c r="D38" s="362"/>
      <c r="E38" s="277">
        <f>SUM(E33:E35)</f>
        <v>1657.1</v>
      </c>
      <c r="F38" s="277">
        <f>SUM(F33:F36)</f>
        <v>1561.3000000000002</v>
      </c>
      <c r="G38" s="278" t="s">
        <v>321</v>
      </c>
      <c r="H38" s="278" t="s">
        <v>321</v>
      </c>
      <c r="I38" s="278">
        <f>L38</f>
        <v>348.24063280599506</v>
      </c>
      <c r="J38" s="277">
        <f>SUM(J33:J36)</f>
        <v>37899</v>
      </c>
      <c r="K38" s="277">
        <f>SUM(K33:K36)</f>
        <v>27511</v>
      </c>
      <c r="L38" s="277">
        <f>SUM(L3:L32)+SUM(L34:L37)</f>
        <v>348.24063280599506</v>
      </c>
      <c r="M38" s="275">
        <f>SUM(M33:M35)</f>
        <v>1356.8999999999996</v>
      </c>
      <c r="N38" s="275">
        <f>SUM(N33:N36)</f>
        <v>1276.5</v>
      </c>
      <c r="O38" s="276" t="s">
        <v>321</v>
      </c>
      <c r="P38" s="276" t="s">
        <v>321</v>
      </c>
      <c r="Q38" s="276">
        <f>U38</f>
        <v>333.4405797101449</v>
      </c>
      <c r="R38" s="275">
        <f>SUM(R33:R36)</f>
        <v>32279</v>
      </c>
      <c r="S38" s="275">
        <f>SUM(S33:S36)</f>
        <v>22656</v>
      </c>
      <c r="T38" s="275">
        <f>SUM(T33:T36)</f>
        <v>42563.69</v>
      </c>
      <c r="U38" s="275">
        <f>SUM(U3:U32)+SUM(U34:U37)</f>
        <v>333.4405797101449</v>
      </c>
      <c r="V38" s="274">
        <f>SUM(V33:V35)</f>
        <v>1390.6999999999998</v>
      </c>
      <c r="W38" s="274">
        <f>SUM(W33:W35)</f>
        <v>1303.3</v>
      </c>
      <c r="X38" s="274" t="s">
        <v>321</v>
      </c>
      <c r="Y38" s="274" t="s">
        <v>321</v>
      </c>
      <c r="Z38" s="274" t="s">
        <v>321</v>
      </c>
      <c r="AA38" s="273">
        <f>SUM(AA33:AA36)</f>
        <v>31029</v>
      </c>
      <c r="AB38" s="273">
        <f>SUM(AB33:AB36)</f>
        <v>21928</v>
      </c>
      <c r="AC38" s="272">
        <f>SUM(AC33:AC36)</f>
        <v>2853.2000000000003</v>
      </c>
      <c r="AD38" s="272">
        <f>SUM(AD33:AD36)</f>
        <v>2675.9000000000005</v>
      </c>
      <c r="AE38" s="272" t="s">
        <v>321</v>
      </c>
      <c r="AF38" s="272" t="s">
        <v>321</v>
      </c>
      <c r="AG38" s="272" t="s">
        <v>321</v>
      </c>
      <c r="AH38" s="272">
        <f>SUM(AH33:AH36)</f>
        <v>61849</v>
      </c>
      <c r="AI38" s="272">
        <f>SUM(AI33:AI36)</f>
        <v>41556</v>
      </c>
    </row>
    <row r="39" spans="1:35">
      <c r="B39" s="52"/>
      <c r="C39" s="52"/>
      <c r="D39" s="52"/>
    </row>
    <row r="40" spans="1:35" ht="14.25" customHeight="1">
      <c r="E40" s="362">
        <v>2021</v>
      </c>
      <c r="F40" s="362"/>
      <c r="G40" s="362"/>
      <c r="H40" s="362"/>
      <c r="I40" s="362"/>
      <c r="J40" s="362"/>
      <c r="K40" s="362"/>
      <c r="L40" s="271"/>
      <c r="M40" s="362">
        <v>2020</v>
      </c>
      <c r="N40" s="362">
        <v>2020</v>
      </c>
      <c r="O40" s="362"/>
      <c r="P40" s="362"/>
      <c r="Q40" s="362"/>
      <c r="R40" s="362"/>
      <c r="S40" s="362"/>
      <c r="T40" s="271"/>
      <c r="U40" s="271"/>
      <c r="V40" s="362">
        <v>2019</v>
      </c>
      <c r="W40" s="362">
        <v>2019</v>
      </c>
      <c r="X40" s="362"/>
      <c r="Y40" s="362"/>
      <c r="Z40" s="362"/>
      <c r="AA40" s="362"/>
      <c r="AB40" s="362"/>
      <c r="AC40" s="362">
        <v>2018</v>
      </c>
      <c r="AD40" s="362"/>
      <c r="AE40" s="362"/>
      <c r="AF40" s="362"/>
      <c r="AG40" s="362"/>
      <c r="AH40" s="362">
        <v>2018</v>
      </c>
      <c r="AI40" s="362"/>
    </row>
    <row r="41" spans="1:35" ht="30">
      <c r="D41" s="264" t="s">
        <v>108</v>
      </c>
      <c r="F41" s="270" t="s">
        <v>320</v>
      </c>
      <c r="I41" s="270" t="s">
        <v>319</v>
      </c>
      <c r="J41" s="269" t="s">
        <v>318</v>
      </c>
      <c r="K41" s="269" t="s">
        <v>317</v>
      </c>
      <c r="L41" s="269"/>
      <c r="M41" s="264"/>
      <c r="N41" s="270" t="s">
        <v>320</v>
      </c>
      <c r="Q41" s="270" t="s">
        <v>319</v>
      </c>
      <c r="R41" s="269" t="s">
        <v>318</v>
      </c>
      <c r="S41" s="269" t="s">
        <v>317</v>
      </c>
      <c r="T41" s="269"/>
      <c r="U41" s="393"/>
      <c r="V41" s="264"/>
      <c r="W41" s="264"/>
      <c r="X41" s="264"/>
      <c r="Y41" s="264"/>
      <c r="Z41" s="264"/>
      <c r="AA41" s="269" t="s">
        <v>318</v>
      </c>
      <c r="AB41" s="269" t="s">
        <v>317</v>
      </c>
      <c r="AC41" s="264"/>
      <c r="AD41" s="264"/>
      <c r="AE41" s="264"/>
      <c r="AF41" s="264"/>
      <c r="AG41" s="264"/>
      <c r="AH41" s="269" t="s">
        <v>318</v>
      </c>
      <c r="AI41" s="269" t="s">
        <v>317</v>
      </c>
    </row>
    <row r="42" spans="1:35">
      <c r="C42" s="264" t="s">
        <v>316</v>
      </c>
      <c r="D42" s="80" t="s">
        <v>75</v>
      </c>
      <c r="F42" s="267">
        <f t="shared" ref="F42:F59" si="3">SUMIFS(F$3:F$32,$D$3:$D$32,$D42)</f>
        <v>263.39999999999998</v>
      </c>
      <c r="I42" s="266">
        <f>F3/SUM(F$3:F$7)*I3+F6/SUM(F$3:F$7)*I6+F7/SUM(F$3:F$7)*I7</f>
        <v>318.56719817767657</v>
      </c>
      <c r="J42" s="261">
        <f t="shared" ref="J42:K59" si="4">SUMIFS(J$3:J$32,$D$3:$D$32,$D42)</f>
        <v>6994</v>
      </c>
      <c r="K42" s="261">
        <f t="shared" si="4"/>
        <v>6229</v>
      </c>
      <c r="L42" s="261"/>
      <c r="N42" s="267">
        <f t="shared" ref="N42:N59" si="5">SUMIFS(N$3:N$32,$D$3:$D$32,$D42)</f>
        <v>236.9</v>
      </c>
      <c r="Q42" s="266">
        <f>N3/SUM(N$3:N$7)*Q3+N6/SUM(N$3:N$7)*Q6+N7/SUM(N$3:N$7)*Q7</f>
        <v>281.03883495145629</v>
      </c>
      <c r="R42" s="261">
        <f t="shared" ref="R42:S59" si="6">SUMIFS(R$3:R$32,$D$3:$D$32,$D42)</f>
        <v>6374</v>
      </c>
      <c r="S42" s="261">
        <f t="shared" si="6"/>
        <v>5609</v>
      </c>
      <c r="T42" s="261"/>
      <c r="U42" s="261"/>
      <c r="AA42" s="261">
        <f t="shared" ref="AA42:AB59" si="7">SUMIFS(AA$3:AA$32,$D$3:$D$32,$D42)</f>
        <v>6474</v>
      </c>
      <c r="AB42" s="261">
        <f t="shared" si="7"/>
        <v>5709</v>
      </c>
      <c r="AC42" s="261"/>
      <c r="AD42" s="261"/>
      <c r="AE42" s="261"/>
      <c r="AF42" s="261"/>
      <c r="AG42" s="261"/>
      <c r="AH42" s="261">
        <f>SUMIFS(AH$3:AH$32,$D$3:$D$32,$D42)</f>
        <v>12464</v>
      </c>
      <c r="AI42" s="261">
        <f>SUMIFS(AI$3:AI$32,$D$3:$D$32,$D42)</f>
        <v>10879</v>
      </c>
    </row>
    <row r="43" spans="1:35">
      <c r="D43" s="80" t="s">
        <v>112</v>
      </c>
      <c r="F43" s="267">
        <f t="shared" si="3"/>
        <v>217.6</v>
      </c>
      <c r="I43" s="266">
        <f>F8/SUM(F$8:F$10)*I8+F10/SUM(F$8:F$10)*I10</f>
        <v>323.5</v>
      </c>
      <c r="J43" s="261">
        <f t="shared" si="4"/>
        <v>5040</v>
      </c>
      <c r="K43" s="261">
        <f t="shared" si="4"/>
        <v>2306</v>
      </c>
      <c r="L43" s="261"/>
      <c r="N43" s="267">
        <f t="shared" si="5"/>
        <v>214.3</v>
      </c>
      <c r="Q43" s="266">
        <f>N8/SUM(N$8:N$10)*Q8+N10/SUM(N$8:N$10)*Q10</f>
        <v>319.97106859542697</v>
      </c>
      <c r="R43" s="261">
        <f t="shared" si="6"/>
        <v>5040</v>
      </c>
      <c r="S43" s="261">
        <f t="shared" si="6"/>
        <v>2306</v>
      </c>
      <c r="T43" s="261"/>
      <c r="U43" s="261"/>
      <c r="AA43" s="261">
        <f t="shared" si="7"/>
        <v>5040</v>
      </c>
      <c r="AB43" s="261">
        <f t="shared" si="7"/>
        <v>2306</v>
      </c>
      <c r="AH43" s="261">
        <f t="shared" ref="AH43:AH59" si="8">SUMIFS(AH$3:AH$32,D$3:D$32,$D43)</f>
        <v>6370</v>
      </c>
      <c r="AI43" s="261">
        <f t="shared" ref="AI43:AI59" si="9">SUMIFS(AI$3:AI$32,$D$3:$D$32,$D43)</f>
        <v>2818</v>
      </c>
    </row>
    <row r="44" spans="1:35">
      <c r="D44" s="80" t="s">
        <v>115</v>
      </c>
      <c r="F44" s="267">
        <f t="shared" si="3"/>
        <v>286.7</v>
      </c>
      <c r="I44" s="266">
        <f>F11/SUM(F$11:F$12)*I11+F12/SUM(F$11:F$12)*I12</f>
        <v>391.24834321590515</v>
      </c>
      <c r="J44" s="261">
        <f t="shared" si="4"/>
        <v>5780</v>
      </c>
      <c r="K44" s="261">
        <f t="shared" si="4"/>
        <v>4756</v>
      </c>
      <c r="L44" s="261"/>
      <c r="N44" s="267">
        <f t="shared" si="5"/>
        <v>202.2</v>
      </c>
      <c r="Q44" s="266">
        <f>N11/SUM(N$11:N$12)*Q11+N12/SUM(N$11:N$12)*Q12</f>
        <v>365.10484668644909</v>
      </c>
      <c r="R44" s="261">
        <f t="shared" si="6"/>
        <v>5780</v>
      </c>
      <c r="S44" s="261">
        <f t="shared" si="6"/>
        <v>4756</v>
      </c>
      <c r="T44" s="261"/>
      <c r="U44" s="261"/>
      <c r="AA44" s="261">
        <f t="shared" si="7"/>
        <v>5750</v>
      </c>
      <c r="AB44" s="261">
        <f t="shared" si="7"/>
        <v>4732</v>
      </c>
      <c r="AH44" s="261">
        <f t="shared" si="8"/>
        <v>5750</v>
      </c>
      <c r="AI44" s="261">
        <f t="shared" si="9"/>
        <v>4732</v>
      </c>
    </row>
    <row r="45" spans="1:35" hidden="1">
      <c r="D45" s="80" t="s">
        <v>173</v>
      </c>
      <c r="F45" s="267">
        <f t="shared" si="3"/>
        <v>0</v>
      </c>
      <c r="I45" s="266"/>
      <c r="J45" s="261">
        <f t="shared" si="4"/>
        <v>0</v>
      </c>
      <c r="K45" s="261">
        <f t="shared" si="4"/>
        <v>0</v>
      </c>
      <c r="L45" s="261"/>
      <c r="N45" s="267">
        <f t="shared" si="5"/>
        <v>0</v>
      </c>
      <c r="Q45" s="266"/>
      <c r="R45" s="261">
        <f t="shared" si="6"/>
        <v>0</v>
      </c>
      <c r="S45" s="261">
        <f t="shared" si="6"/>
        <v>0</v>
      </c>
      <c r="T45" s="261"/>
      <c r="U45" s="261"/>
      <c r="AA45" s="261">
        <f t="shared" si="7"/>
        <v>0</v>
      </c>
      <c r="AB45" s="261">
        <f t="shared" si="7"/>
        <v>0</v>
      </c>
      <c r="AH45" s="261">
        <f t="shared" si="8"/>
        <v>5430</v>
      </c>
      <c r="AI45" s="261">
        <f t="shared" si="9"/>
        <v>3176</v>
      </c>
    </row>
    <row r="46" spans="1:35" hidden="1">
      <c r="D46" s="80" t="s">
        <v>175</v>
      </c>
      <c r="F46" s="267">
        <f t="shared" si="3"/>
        <v>0</v>
      </c>
      <c r="I46" s="266"/>
      <c r="J46" s="261">
        <f t="shared" si="4"/>
        <v>0</v>
      </c>
      <c r="K46" s="261">
        <f t="shared" si="4"/>
        <v>0</v>
      </c>
      <c r="L46" s="261"/>
      <c r="N46" s="267">
        <f t="shared" si="5"/>
        <v>0</v>
      </c>
      <c r="Q46" s="266"/>
      <c r="R46" s="261">
        <f t="shared" si="6"/>
        <v>0</v>
      </c>
      <c r="S46" s="261">
        <f t="shared" si="6"/>
        <v>0</v>
      </c>
      <c r="T46" s="261"/>
      <c r="U46" s="261"/>
      <c r="AA46" s="261">
        <f t="shared" si="7"/>
        <v>0</v>
      </c>
      <c r="AB46" s="261">
        <f t="shared" si="7"/>
        <v>0</v>
      </c>
      <c r="AH46" s="261">
        <f t="shared" si="8"/>
        <v>5920</v>
      </c>
      <c r="AI46" s="261">
        <f t="shared" si="9"/>
        <v>3019</v>
      </c>
    </row>
    <row r="47" spans="1:35" hidden="1">
      <c r="D47" s="80" t="s">
        <v>171</v>
      </c>
      <c r="F47" s="267">
        <f t="shared" si="3"/>
        <v>0</v>
      </c>
      <c r="J47" s="261">
        <f t="shared" si="4"/>
        <v>0</v>
      </c>
      <c r="K47" s="261">
        <f t="shared" si="4"/>
        <v>0</v>
      </c>
      <c r="L47" s="261"/>
      <c r="N47" s="267">
        <f t="shared" si="5"/>
        <v>0</v>
      </c>
      <c r="R47" s="261">
        <f t="shared" si="6"/>
        <v>0</v>
      </c>
      <c r="S47" s="261">
        <f t="shared" si="6"/>
        <v>0</v>
      </c>
      <c r="T47" s="261"/>
      <c r="U47" s="261"/>
      <c r="AA47" s="261">
        <f t="shared" si="7"/>
        <v>0</v>
      </c>
      <c r="AB47" s="261">
        <f t="shared" si="7"/>
        <v>0</v>
      </c>
      <c r="AH47" s="261">
        <f t="shared" si="8"/>
        <v>4580</v>
      </c>
      <c r="AI47" s="261">
        <f t="shared" si="9"/>
        <v>3356</v>
      </c>
    </row>
    <row r="48" spans="1:35" hidden="1">
      <c r="D48" s="80" t="s">
        <v>182</v>
      </c>
      <c r="F48" s="267">
        <f t="shared" si="3"/>
        <v>0</v>
      </c>
      <c r="J48" s="261">
        <f t="shared" si="4"/>
        <v>0</v>
      </c>
      <c r="K48" s="261">
        <f t="shared" si="4"/>
        <v>0</v>
      </c>
      <c r="L48" s="261"/>
      <c r="N48" s="267">
        <f t="shared" si="5"/>
        <v>0</v>
      </c>
      <c r="R48" s="261">
        <f t="shared" si="6"/>
        <v>0</v>
      </c>
      <c r="S48" s="261">
        <f t="shared" si="6"/>
        <v>0</v>
      </c>
      <c r="T48" s="261"/>
      <c r="U48" s="261"/>
      <c r="AA48" s="261">
        <f t="shared" si="7"/>
        <v>0</v>
      </c>
      <c r="AB48" s="261">
        <f t="shared" si="7"/>
        <v>0</v>
      </c>
      <c r="AH48" s="261">
        <f t="shared" si="8"/>
        <v>3760</v>
      </c>
      <c r="AI48" s="261">
        <f t="shared" si="9"/>
        <v>1880</v>
      </c>
    </row>
    <row r="49" spans="3:35">
      <c r="D49" s="80" t="s">
        <v>118</v>
      </c>
      <c r="F49" s="267">
        <f t="shared" si="3"/>
        <v>164.6</v>
      </c>
      <c r="I49" s="268">
        <f>I20</f>
        <v>357</v>
      </c>
      <c r="J49" s="261">
        <f t="shared" si="4"/>
        <v>3810</v>
      </c>
      <c r="K49" s="261">
        <f t="shared" si="4"/>
        <v>2378</v>
      </c>
      <c r="L49" s="261"/>
      <c r="N49" s="267">
        <f t="shared" si="5"/>
        <v>137.4</v>
      </c>
      <c r="Q49" s="268">
        <f>Q20</f>
        <v>347</v>
      </c>
      <c r="R49" s="261">
        <f t="shared" si="6"/>
        <v>2810</v>
      </c>
      <c r="S49" s="261">
        <f t="shared" si="6"/>
        <v>1459</v>
      </c>
      <c r="T49" s="261"/>
      <c r="U49" s="261"/>
      <c r="AA49" s="261">
        <f t="shared" si="7"/>
        <v>2810</v>
      </c>
      <c r="AB49" s="261">
        <f t="shared" si="7"/>
        <v>1375</v>
      </c>
      <c r="AH49" s="261">
        <f t="shared" si="8"/>
        <v>2800</v>
      </c>
      <c r="AI49" s="261">
        <f t="shared" si="9"/>
        <v>1375</v>
      </c>
    </row>
    <row r="50" spans="3:35">
      <c r="D50" s="80" t="s">
        <v>120</v>
      </c>
      <c r="F50" s="267">
        <f t="shared" si="3"/>
        <v>198.3</v>
      </c>
      <c r="I50" s="266">
        <f>F21/SUM(F$11:F$12)*I21+F22/SUM(F$11:F$12)*I22</f>
        <v>184.6742239274503</v>
      </c>
      <c r="J50" s="261">
        <f t="shared" si="4"/>
        <v>3720</v>
      </c>
      <c r="K50" s="261">
        <f t="shared" si="4"/>
        <v>2604</v>
      </c>
      <c r="L50" s="261"/>
      <c r="N50" s="267">
        <f t="shared" si="5"/>
        <v>124.8</v>
      </c>
      <c r="Q50" s="266">
        <f>N21/SUM(N$11:N$12)*Q21+N22/SUM(N$11:N$12)*Q22</f>
        <v>170.96735905044511</v>
      </c>
      <c r="R50" s="261">
        <f t="shared" si="6"/>
        <v>3720</v>
      </c>
      <c r="S50" s="261">
        <f t="shared" si="6"/>
        <v>2400</v>
      </c>
      <c r="T50" s="261"/>
      <c r="U50" s="261"/>
      <c r="AA50" s="261">
        <f t="shared" si="7"/>
        <v>2400</v>
      </c>
      <c r="AB50" s="261">
        <f t="shared" si="7"/>
        <v>1680</v>
      </c>
      <c r="AH50" s="261">
        <f t="shared" si="8"/>
        <v>2400</v>
      </c>
      <c r="AI50" s="261">
        <f t="shared" si="9"/>
        <v>1680</v>
      </c>
    </row>
    <row r="51" spans="3:35">
      <c r="D51" s="80" t="s">
        <v>122</v>
      </c>
      <c r="F51" s="267">
        <f t="shared" si="3"/>
        <v>104.7</v>
      </c>
      <c r="I51" s="268">
        <f>I23</f>
        <v>357</v>
      </c>
      <c r="J51" s="261">
        <f t="shared" si="4"/>
        <v>2020</v>
      </c>
      <c r="K51" s="261">
        <f t="shared" si="4"/>
        <v>1212</v>
      </c>
      <c r="L51" s="261"/>
      <c r="N51" s="267">
        <f t="shared" si="5"/>
        <v>97.2</v>
      </c>
      <c r="Q51" s="268">
        <f>Q23</f>
        <v>343</v>
      </c>
      <c r="R51" s="261">
        <f t="shared" si="6"/>
        <v>2020</v>
      </c>
      <c r="S51" s="261">
        <f t="shared" si="6"/>
        <v>1212</v>
      </c>
      <c r="T51" s="261"/>
      <c r="U51" s="261"/>
      <c r="AA51" s="261">
        <f t="shared" si="7"/>
        <v>2020</v>
      </c>
      <c r="AB51" s="261">
        <f t="shared" si="7"/>
        <v>1212</v>
      </c>
      <c r="AH51" s="261">
        <f t="shared" si="8"/>
        <v>1260</v>
      </c>
      <c r="AI51" s="261">
        <f t="shared" si="9"/>
        <v>604</v>
      </c>
    </row>
    <row r="52" spans="3:35" hidden="1">
      <c r="D52" s="80" t="s">
        <v>169</v>
      </c>
      <c r="F52" s="267">
        <f t="shared" si="3"/>
        <v>0</v>
      </c>
      <c r="J52" s="261">
        <f t="shared" si="4"/>
        <v>0</v>
      </c>
      <c r="K52" s="261">
        <f t="shared" si="4"/>
        <v>0</v>
      </c>
      <c r="L52" s="261"/>
      <c r="N52" s="267">
        <f t="shared" si="5"/>
        <v>0</v>
      </c>
      <c r="R52" s="261">
        <f t="shared" si="6"/>
        <v>0</v>
      </c>
      <c r="S52" s="261">
        <f t="shared" si="6"/>
        <v>0</v>
      </c>
      <c r="T52" s="261"/>
      <c r="U52" s="261"/>
      <c r="AA52" s="261">
        <f t="shared" si="7"/>
        <v>0</v>
      </c>
      <c r="AB52" s="261">
        <f t="shared" si="7"/>
        <v>0</v>
      </c>
      <c r="AH52" s="261">
        <f t="shared" si="8"/>
        <v>3220</v>
      </c>
      <c r="AI52" s="261">
        <f t="shared" si="9"/>
        <v>1824</v>
      </c>
    </row>
    <row r="53" spans="3:35" hidden="1">
      <c r="D53" s="80" t="s">
        <v>165</v>
      </c>
      <c r="F53" s="267">
        <f t="shared" si="3"/>
        <v>0</v>
      </c>
      <c r="J53" s="261">
        <f t="shared" si="4"/>
        <v>0</v>
      </c>
      <c r="K53" s="261">
        <f t="shared" si="4"/>
        <v>0</v>
      </c>
      <c r="L53" s="261"/>
      <c r="N53" s="267">
        <f t="shared" si="5"/>
        <v>0</v>
      </c>
      <c r="R53" s="261">
        <f t="shared" si="6"/>
        <v>0</v>
      </c>
      <c r="S53" s="261">
        <f t="shared" si="6"/>
        <v>0</v>
      </c>
      <c r="T53" s="261"/>
      <c r="U53" s="261"/>
      <c r="AA53" s="261">
        <f t="shared" si="7"/>
        <v>0</v>
      </c>
      <c r="AB53" s="261">
        <f t="shared" si="7"/>
        <v>0</v>
      </c>
      <c r="AH53" s="261">
        <f t="shared" si="8"/>
        <v>1320</v>
      </c>
      <c r="AI53" s="261">
        <f t="shared" si="9"/>
        <v>749</v>
      </c>
    </row>
    <row r="54" spans="3:35">
      <c r="D54" s="80" t="s">
        <v>124</v>
      </c>
      <c r="F54" s="267">
        <f t="shared" si="3"/>
        <v>115</v>
      </c>
      <c r="I54" s="266">
        <f t="shared" ref="I54:I60" si="10">I27</f>
        <v>364</v>
      </c>
      <c r="J54" s="261">
        <f t="shared" si="4"/>
        <v>2000</v>
      </c>
      <c r="K54" s="261">
        <f t="shared" si="4"/>
        <v>2000</v>
      </c>
      <c r="L54" s="261"/>
      <c r="N54" s="267">
        <f t="shared" si="5"/>
        <v>98.6</v>
      </c>
      <c r="Q54" s="266">
        <f t="shared" ref="Q54:Q60" si="11">Q27</f>
        <v>363</v>
      </c>
      <c r="R54" s="261">
        <f t="shared" si="6"/>
        <v>2000</v>
      </c>
      <c r="S54" s="261">
        <f t="shared" si="6"/>
        <v>2000</v>
      </c>
      <c r="T54" s="261"/>
      <c r="U54" s="261"/>
      <c r="AA54" s="261">
        <f t="shared" si="7"/>
        <v>2000</v>
      </c>
      <c r="AB54" s="261">
        <f t="shared" si="7"/>
        <v>2000</v>
      </c>
      <c r="AH54" s="261">
        <f t="shared" si="8"/>
        <v>660</v>
      </c>
      <c r="AI54" s="261">
        <f t="shared" si="9"/>
        <v>660</v>
      </c>
    </row>
    <row r="55" spans="3:35">
      <c r="D55" s="80" t="s">
        <v>125</v>
      </c>
      <c r="F55" s="267">
        <f t="shared" si="3"/>
        <v>56.1</v>
      </c>
      <c r="I55" s="266">
        <f t="shared" si="10"/>
        <v>424</v>
      </c>
      <c r="J55" s="261">
        <f t="shared" si="4"/>
        <v>3260</v>
      </c>
      <c r="K55" s="261">
        <f t="shared" si="4"/>
        <v>2102</v>
      </c>
      <c r="L55" s="261"/>
      <c r="N55" s="267">
        <f t="shared" si="5"/>
        <v>36</v>
      </c>
      <c r="Q55" s="266">
        <f t="shared" si="11"/>
        <v>382</v>
      </c>
      <c r="R55" s="261">
        <f t="shared" si="6"/>
        <v>1260</v>
      </c>
      <c r="S55" s="261">
        <f t="shared" si="6"/>
        <v>604</v>
      </c>
      <c r="T55" s="261"/>
      <c r="U55" s="261"/>
      <c r="AA55" s="261">
        <f t="shared" si="7"/>
        <v>1260</v>
      </c>
      <c r="AB55" s="261">
        <f t="shared" si="7"/>
        <v>604</v>
      </c>
      <c r="AH55" s="261">
        <f t="shared" si="8"/>
        <v>1060</v>
      </c>
      <c r="AI55" s="261">
        <f t="shared" si="9"/>
        <v>482</v>
      </c>
    </row>
    <row r="56" spans="3:35">
      <c r="D56" s="80" t="s">
        <v>127</v>
      </c>
      <c r="F56" s="267">
        <f t="shared" si="3"/>
        <v>45.6</v>
      </c>
      <c r="I56" s="266">
        <f t="shared" si="10"/>
        <v>295</v>
      </c>
      <c r="J56" s="261">
        <f t="shared" si="4"/>
        <v>1200</v>
      </c>
      <c r="K56" s="261">
        <f t="shared" si="4"/>
        <v>612</v>
      </c>
      <c r="L56" s="261"/>
      <c r="N56" s="267">
        <f t="shared" si="5"/>
        <v>41.2</v>
      </c>
      <c r="Q56" s="266">
        <f t="shared" si="11"/>
        <v>301</v>
      </c>
      <c r="R56" s="261">
        <f t="shared" si="6"/>
        <v>1200</v>
      </c>
      <c r="S56" s="261">
        <f t="shared" si="6"/>
        <v>612</v>
      </c>
      <c r="T56" s="261"/>
      <c r="U56" s="261"/>
      <c r="AA56" s="261">
        <f t="shared" si="7"/>
        <v>1200</v>
      </c>
      <c r="AB56" s="261">
        <f t="shared" si="7"/>
        <v>612</v>
      </c>
      <c r="AH56" s="261">
        <f t="shared" si="8"/>
        <v>700</v>
      </c>
      <c r="AI56" s="261">
        <f t="shared" si="9"/>
        <v>490</v>
      </c>
    </row>
    <row r="57" spans="3:35">
      <c r="D57" s="80" t="s">
        <v>129</v>
      </c>
      <c r="F57" s="267">
        <f t="shared" si="3"/>
        <v>38.700000000000003</v>
      </c>
      <c r="I57" s="266">
        <f t="shared" si="10"/>
        <v>366</v>
      </c>
      <c r="J57" s="261">
        <f t="shared" si="4"/>
        <v>700</v>
      </c>
      <c r="K57" s="261">
        <f t="shared" si="4"/>
        <v>490</v>
      </c>
      <c r="L57" s="261"/>
      <c r="N57" s="267">
        <f t="shared" si="5"/>
        <v>30.4</v>
      </c>
      <c r="Q57" s="266">
        <f t="shared" si="11"/>
        <v>309</v>
      </c>
      <c r="R57" s="261">
        <f t="shared" si="6"/>
        <v>700</v>
      </c>
      <c r="S57" s="261">
        <f t="shared" si="6"/>
        <v>490</v>
      </c>
      <c r="T57" s="261"/>
      <c r="U57" s="261"/>
      <c r="AA57" s="261">
        <f t="shared" si="7"/>
        <v>700</v>
      </c>
      <c r="AB57" s="261">
        <f t="shared" si="7"/>
        <v>490</v>
      </c>
      <c r="AH57" s="261">
        <f t="shared" si="8"/>
        <v>2000</v>
      </c>
      <c r="AI57" s="261">
        <f t="shared" si="9"/>
        <v>2000</v>
      </c>
    </row>
    <row r="58" spans="3:35">
      <c r="D58" s="80" t="s">
        <v>161</v>
      </c>
      <c r="F58" s="267">
        <f t="shared" si="3"/>
        <v>10.199999999999999</v>
      </c>
      <c r="I58" s="266">
        <f t="shared" si="10"/>
        <v>467</v>
      </c>
      <c r="J58" s="261">
        <f t="shared" si="4"/>
        <v>2000</v>
      </c>
      <c r="K58" s="261">
        <f t="shared" si="4"/>
        <v>1600</v>
      </c>
      <c r="L58" s="261"/>
      <c r="N58" s="267">
        <f t="shared" si="5"/>
        <v>0</v>
      </c>
      <c r="Q58" s="266">
        <f t="shared" si="11"/>
        <v>0</v>
      </c>
      <c r="R58" s="261">
        <f t="shared" si="6"/>
        <v>0</v>
      </c>
      <c r="S58" s="261">
        <f t="shared" si="6"/>
        <v>0</v>
      </c>
      <c r="T58" s="261"/>
      <c r="U58" s="261"/>
      <c r="AA58" s="261">
        <f t="shared" si="7"/>
        <v>0</v>
      </c>
      <c r="AB58" s="261">
        <f t="shared" si="7"/>
        <v>0</v>
      </c>
      <c r="AH58" s="261">
        <f t="shared" si="8"/>
        <v>0</v>
      </c>
      <c r="AI58" s="261">
        <f t="shared" si="9"/>
        <v>0</v>
      </c>
    </row>
    <row r="59" spans="3:35">
      <c r="D59" s="80" t="s">
        <v>131</v>
      </c>
      <c r="F59" s="267">
        <f t="shared" si="3"/>
        <v>15.5</v>
      </c>
      <c r="I59" s="266">
        <f t="shared" si="10"/>
        <v>465</v>
      </c>
      <c r="J59" s="261">
        <f t="shared" si="4"/>
        <v>300</v>
      </c>
      <c r="K59" s="261">
        <f t="shared" si="4"/>
        <v>210</v>
      </c>
      <c r="L59" s="261"/>
      <c r="N59" s="267">
        <f t="shared" si="5"/>
        <v>13.7</v>
      </c>
      <c r="Q59" s="266">
        <f t="shared" si="11"/>
        <v>523</v>
      </c>
      <c r="R59" s="261">
        <f t="shared" si="6"/>
        <v>300</v>
      </c>
      <c r="S59" s="261">
        <f t="shared" si="6"/>
        <v>210</v>
      </c>
      <c r="T59" s="261"/>
      <c r="U59" s="261"/>
      <c r="AA59" s="261">
        <f t="shared" si="7"/>
        <v>300</v>
      </c>
      <c r="AB59" s="261">
        <f t="shared" si="7"/>
        <v>210</v>
      </c>
      <c r="AH59" s="261">
        <f t="shared" si="8"/>
        <v>300</v>
      </c>
      <c r="AI59" s="261">
        <f t="shared" si="9"/>
        <v>210</v>
      </c>
    </row>
    <row r="60" spans="3:35">
      <c r="C60" s="362" t="s">
        <v>315</v>
      </c>
      <c r="D60" s="362"/>
      <c r="F60" s="265">
        <f>SUM(F42:F59)</f>
        <v>1516.4</v>
      </c>
      <c r="G60" s="264"/>
      <c r="H60" s="264"/>
      <c r="I60" s="263">
        <f t="shared" si="10"/>
        <v>343</v>
      </c>
      <c r="J60" s="262">
        <f>SUM(J42:J59)</f>
        <v>36824</v>
      </c>
      <c r="K60" s="262">
        <f>SUM(K42:K59)</f>
        <v>26499</v>
      </c>
      <c r="L60" s="262"/>
      <c r="M60" s="264"/>
      <c r="N60" s="265">
        <f>SUM(N42:N59)</f>
        <v>1232.7000000000003</v>
      </c>
      <c r="O60" s="264"/>
      <c r="P60" s="264"/>
      <c r="Q60" s="263">
        <f t="shared" si="11"/>
        <v>327</v>
      </c>
      <c r="R60" s="262">
        <f>SUM(R42:R59)</f>
        <v>31204</v>
      </c>
      <c r="S60" s="262">
        <f>SUM(S42:S59)</f>
        <v>21658</v>
      </c>
      <c r="T60" s="262"/>
      <c r="U60" s="262"/>
      <c r="AA60" s="261">
        <f>SUM(AA42:AA59)</f>
        <v>29954</v>
      </c>
      <c r="AB60" s="261">
        <f>SUM(AB42:AB59)</f>
        <v>20930</v>
      </c>
      <c r="AC60" s="261"/>
      <c r="AD60" s="261"/>
      <c r="AE60" s="261"/>
      <c r="AF60" s="261"/>
      <c r="AG60" s="261"/>
      <c r="AH60" s="261">
        <f>SUM(AH42:AH59)</f>
        <v>59994</v>
      </c>
      <c r="AI60" s="261">
        <f>SUM(AI42:AI59)</f>
        <v>39934</v>
      </c>
    </row>
    <row r="137" spans="5:5">
      <c r="E137" s="261"/>
    </row>
  </sheetData>
  <mergeCells count="11">
    <mergeCell ref="E40:K40"/>
    <mergeCell ref="M40:S40"/>
    <mergeCell ref="V40:AB40"/>
    <mergeCell ref="AC40:AI40"/>
    <mergeCell ref="C60:D60"/>
    <mergeCell ref="M1:S1"/>
    <mergeCell ref="V1:AB1"/>
    <mergeCell ref="A33:D33"/>
    <mergeCell ref="A38:D38"/>
    <mergeCell ref="AC1:AI1"/>
    <mergeCell ref="E1:K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9D3DB-1C08-43C1-9770-DCE81EAF27DD}">
  <dimension ref="A1:AE53"/>
  <sheetViews>
    <sheetView topLeftCell="I1" zoomScale="55" zoomScaleNormal="55" workbookViewId="0">
      <selection activeCell="N37" sqref="N37"/>
    </sheetView>
  </sheetViews>
  <sheetFormatPr baseColWidth="10" defaultColWidth="8.83203125" defaultRowHeight="15"/>
  <cols>
    <col min="1" max="1" width="27.33203125" customWidth="1"/>
    <col min="2" max="2" width="18.1640625" customWidth="1"/>
    <col min="3" max="3" width="20.33203125" bestFit="1" customWidth="1"/>
    <col min="4" max="4" width="13.33203125" customWidth="1"/>
    <col min="5" max="5" width="19.1640625" customWidth="1"/>
    <col min="6" max="6" width="18.5" bestFit="1" customWidth="1"/>
    <col min="7" max="7" width="13.5" customWidth="1"/>
    <col min="8" max="8" width="13.6640625" customWidth="1"/>
    <col min="9" max="9" width="26.33203125" customWidth="1"/>
    <col min="10" max="10" width="15.6640625" customWidth="1"/>
    <col min="11" max="11" width="13.5" customWidth="1"/>
    <col min="12" max="12" width="12.33203125" customWidth="1"/>
    <col min="13" max="13" width="12.5" bestFit="1" customWidth="1"/>
    <col min="14" max="14" width="13.6640625" customWidth="1"/>
    <col min="15" max="16" width="17" customWidth="1"/>
    <col min="17" max="17" width="16.33203125" customWidth="1"/>
    <col min="18" max="18" width="17.5" customWidth="1"/>
    <col min="19" max="19" width="18" customWidth="1"/>
    <col min="21" max="21" width="40.33203125" customWidth="1"/>
  </cols>
  <sheetData>
    <row r="1" spans="1:19">
      <c r="A1" s="365" t="s">
        <v>0</v>
      </c>
      <c r="B1" s="366"/>
      <c r="C1" s="366"/>
      <c r="D1" s="366"/>
      <c r="E1" s="366"/>
      <c r="F1" s="366"/>
      <c r="G1" s="366"/>
      <c r="I1" s="4"/>
      <c r="J1" s="18" t="s">
        <v>227</v>
      </c>
      <c r="K1" s="18" t="s">
        <v>220</v>
      </c>
      <c r="L1" s="18" t="s">
        <v>261</v>
      </c>
      <c r="M1" s="18" t="s">
        <v>228</v>
      </c>
      <c r="N1" s="18" t="s">
        <v>229</v>
      </c>
      <c r="O1" s="18" t="s">
        <v>246</v>
      </c>
    </row>
    <row r="2" spans="1:19">
      <c r="A2" s="41"/>
      <c r="B2" s="375" t="s">
        <v>1</v>
      </c>
      <c r="C2" s="376"/>
      <c r="D2" s="375" t="s">
        <v>2</v>
      </c>
      <c r="E2" s="376"/>
      <c r="F2" s="375" t="s">
        <v>3</v>
      </c>
      <c r="G2" s="376"/>
      <c r="I2" s="4"/>
      <c r="J2" s="49" t="s">
        <v>47</v>
      </c>
      <c r="K2" s="49" t="s">
        <v>21</v>
      </c>
      <c r="L2" s="49" t="s">
        <v>21</v>
      </c>
      <c r="M2" s="49" t="s">
        <v>35</v>
      </c>
      <c r="N2" s="49" t="s">
        <v>35</v>
      </c>
      <c r="O2" s="49" t="s">
        <v>35</v>
      </c>
    </row>
    <row r="3" spans="1:19" ht="30">
      <c r="A3" s="41"/>
      <c r="B3" s="42" t="s">
        <v>4</v>
      </c>
      <c r="C3" s="42" t="s">
        <v>5</v>
      </c>
      <c r="D3" s="42" t="s">
        <v>4</v>
      </c>
      <c r="E3" s="42" t="s">
        <v>5</v>
      </c>
      <c r="F3" s="42" t="s">
        <v>4</v>
      </c>
      <c r="G3" s="42" t="s">
        <v>5</v>
      </c>
      <c r="I3" s="139" t="s">
        <v>159</v>
      </c>
      <c r="J3" s="138">
        <f>J26+J27+20.8</f>
        <v>450.3</v>
      </c>
      <c r="K3" s="215">
        <f>B6+B7+B9+B12</f>
        <v>10550</v>
      </c>
      <c r="L3" s="215">
        <f>B20/J3</f>
        <v>85.993781923162331</v>
      </c>
      <c r="M3" s="191">
        <f>B5/J3</f>
        <v>5.2675993781923163</v>
      </c>
      <c r="N3" s="191">
        <f>(B8+B10)/J3</f>
        <v>7.2329558072396178</v>
      </c>
      <c r="O3" s="49">
        <f>N3+M3</f>
        <v>12.500555185431935</v>
      </c>
      <c r="Q3" s="330"/>
    </row>
    <row r="4" spans="1:19">
      <c r="A4" s="223" t="s">
        <v>38</v>
      </c>
      <c r="B4" s="224">
        <v>12551</v>
      </c>
      <c r="C4" s="224">
        <v>12509</v>
      </c>
      <c r="D4" s="224">
        <v>2149</v>
      </c>
      <c r="E4" s="224">
        <v>2159</v>
      </c>
      <c r="F4" s="224">
        <v>1148</v>
      </c>
      <c r="G4" s="224">
        <v>1268</v>
      </c>
      <c r="I4" s="4" t="s">
        <v>36</v>
      </c>
      <c r="J4" s="5">
        <f>C39</f>
        <v>249.2</v>
      </c>
      <c r="K4" s="48">
        <f>D6+D7+D9+D12</f>
        <v>2195</v>
      </c>
      <c r="L4" s="48">
        <f>D20/J4</f>
        <v>25.51765650080257</v>
      </c>
      <c r="M4" s="49">
        <f>D5/C39</f>
        <v>1.4646869983948636</v>
      </c>
      <c r="N4" s="49">
        <f>D10/C39</f>
        <v>0.89486356340288931</v>
      </c>
      <c r="O4" s="49">
        <f>N4+M4</f>
        <v>2.3595505617977528</v>
      </c>
      <c r="Q4" s="234" t="s">
        <v>241</v>
      </c>
      <c r="S4" s="235">
        <f>J4/B30</f>
        <v>0.93193717277486909</v>
      </c>
    </row>
    <row r="5" spans="1:19">
      <c r="A5" s="43" t="s">
        <v>6</v>
      </c>
      <c r="B5" s="23">
        <v>2372</v>
      </c>
      <c r="C5" s="23">
        <v>2459</v>
      </c>
      <c r="D5" s="23">
        <v>365</v>
      </c>
      <c r="E5" s="23">
        <v>366</v>
      </c>
      <c r="F5" s="23">
        <v>231</v>
      </c>
      <c r="G5" s="23">
        <v>255</v>
      </c>
      <c r="I5" s="4" t="s">
        <v>37</v>
      </c>
      <c r="J5" s="5">
        <f>C42</f>
        <v>113</v>
      </c>
      <c r="K5" s="48">
        <f>F6+F7+F9+F12</f>
        <v>246</v>
      </c>
      <c r="L5" s="48">
        <f>F20/J5</f>
        <v>27.539823008849556</v>
      </c>
      <c r="M5" s="49">
        <f>F5/C42</f>
        <v>2.0442477876106193</v>
      </c>
      <c r="N5" s="49">
        <f>(F8+F10)/C42</f>
        <v>19.911504424778762</v>
      </c>
      <c r="O5" s="49">
        <f>N5+M5</f>
        <v>21.955752212389381</v>
      </c>
      <c r="Q5" t="s">
        <v>242</v>
      </c>
      <c r="S5" s="235">
        <f>J5/B30</f>
        <v>0.42258788332086766</v>
      </c>
    </row>
    <row r="6" spans="1:19">
      <c r="A6" s="43" t="s">
        <v>7</v>
      </c>
      <c r="B6" s="23">
        <v>4185</v>
      </c>
      <c r="C6" s="23">
        <v>4043</v>
      </c>
      <c r="D6" s="23">
        <v>344</v>
      </c>
      <c r="E6" s="23">
        <v>352</v>
      </c>
      <c r="F6" s="23">
        <v>3</v>
      </c>
      <c r="G6" s="23">
        <v>1</v>
      </c>
      <c r="J6" s="22"/>
      <c r="K6" s="24"/>
      <c r="L6" s="20"/>
    </row>
    <row r="7" spans="1:19">
      <c r="A7" s="43" t="s">
        <v>8</v>
      </c>
      <c r="B7" s="23">
        <v>4050</v>
      </c>
      <c r="C7" s="23">
        <v>3994</v>
      </c>
      <c r="D7" s="23">
        <v>781</v>
      </c>
      <c r="E7" s="23">
        <v>838</v>
      </c>
      <c r="F7" s="23">
        <v>113</v>
      </c>
      <c r="G7" s="23">
        <v>114</v>
      </c>
      <c r="I7" s="237" t="s">
        <v>231</v>
      </c>
      <c r="K7" s="21"/>
      <c r="L7" s="20"/>
      <c r="P7" t="s">
        <v>230</v>
      </c>
    </row>
    <row r="8" spans="1:19">
      <c r="A8" s="43" t="s">
        <v>9</v>
      </c>
      <c r="B8" s="23">
        <v>665</v>
      </c>
      <c r="C8" s="23">
        <v>913</v>
      </c>
      <c r="D8" s="23"/>
      <c r="E8" s="23"/>
      <c r="F8" s="23">
        <v>671</v>
      </c>
      <c r="G8" s="23">
        <v>752</v>
      </c>
      <c r="I8" s="367" t="s">
        <v>239</v>
      </c>
      <c r="J8" s="368"/>
      <c r="K8" s="368"/>
      <c r="L8" s="368"/>
      <c r="M8" s="368"/>
      <c r="N8" s="368"/>
      <c r="O8" s="368"/>
      <c r="P8" s="368"/>
      <c r="Q8" s="368"/>
      <c r="R8" s="368"/>
      <c r="S8" s="368"/>
    </row>
    <row r="9" spans="1:19">
      <c r="A9" s="43" t="s">
        <v>10</v>
      </c>
      <c r="B9" s="23">
        <v>1279</v>
      </c>
      <c r="C9" s="23">
        <v>1100</v>
      </c>
      <c r="D9" s="23">
        <v>659</v>
      </c>
      <c r="E9" s="23">
        <v>603</v>
      </c>
      <c r="F9" s="23">
        <v>130</v>
      </c>
      <c r="G9" s="23">
        <v>146</v>
      </c>
      <c r="I9" s="368"/>
      <c r="J9" s="368"/>
      <c r="K9" s="368"/>
      <c r="L9" s="368"/>
      <c r="M9" s="368"/>
      <c r="N9" s="368"/>
      <c r="O9" s="368"/>
      <c r="P9" s="368"/>
      <c r="Q9" s="368"/>
      <c r="R9" s="368"/>
      <c r="S9" s="368"/>
    </row>
    <row r="10" spans="1:19">
      <c r="A10" s="225" t="s">
        <v>39</v>
      </c>
      <c r="B10" s="224">
        <v>2592</v>
      </c>
      <c r="C10" s="224">
        <v>2597</v>
      </c>
      <c r="D10" s="224">
        <v>223</v>
      </c>
      <c r="E10" s="224">
        <v>236</v>
      </c>
      <c r="F10" s="224">
        <v>1579</v>
      </c>
      <c r="G10" s="224">
        <v>1613</v>
      </c>
      <c r="I10" s="368"/>
      <c r="J10" s="368"/>
      <c r="K10" s="368"/>
      <c r="L10" s="368"/>
      <c r="M10" s="368"/>
      <c r="N10" s="368"/>
      <c r="O10" s="368"/>
      <c r="P10" s="368"/>
      <c r="Q10" s="368"/>
      <c r="R10" s="368"/>
      <c r="S10" s="368"/>
    </row>
    <row r="11" spans="1:19">
      <c r="A11" s="45" t="s">
        <v>11</v>
      </c>
      <c r="B11" s="23">
        <v>15142</v>
      </c>
      <c r="C11" s="23">
        <v>15106</v>
      </c>
      <c r="D11" s="23">
        <v>2372</v>
      </c>
      <c r="E11" s="23">
        <v>2395</v>
      </c>
      <c r="F11" s="23"/>
      <c r="G11" s="23"/>
      <c r="I11" s="368"/>
      <c r="J11" s="368"/>
      <c r="K11" s="368"/>
      <c r="L11" s="368"/>
      <c r="M11" s="368"/>
      <c r="N11" s="368"/>
      <c r="O11" s="368"/>
      <c r="P11" s="368"/>
      <c r="Q11" s="368"/>
      <c r="R11" s="368"/>
      <c r="S11" s="368"/>
    </row>
    <row r="12" spans="1:19">
      <c r="A12" s="44" t="s">
        <v>12</v>
      </c>
      <c r="B12" s="23">
        <v>1036</v>
      </c>
      <c r="C12" s="23">
        <v>1119</v>
      </c>
      <c r="D12" s="23">
        <v>411</v>
      </c>
      <c r="E12" s="23">
        <v>113</v>
      </c>
      <c r="F12" s="23"/>
      <c r="G12" s="23"/>
      <c r="O12" s="232"/>
      <c r="P12" s="232"/>
      <c r="Q12" s="232"/>
      <c r="R12" s="232"/>
      <c r="S12" s="232"/>
    </row>
    <row r="13" spans="1:19">
      <c r="A13" s="45" t="s">
        <v>13</v>
      </c>
      <c r="B13" s="46">
        <v>16178</v>
      </c>
      <c r="C13" s="46">
        <v>16225</v>
      </c>
      <c r="D13" s="46">
        <v>2783</v>
      </c>
      <c r="E13" s="46">
        <v>2508</v>
      </c>
      <c r="F13" s="46">
        <v>2727</v>
      </c>
      <c r="G13" s="46">
        <v>2881</v>
      </c>
      <c r="I13" t="s">
        <v>262</v>
      </c>
      <c r="N13" t="s">
        <v>263</v>
      </c>
      <c r="O13" s="232"/>
      <c r="P13" s="232"/>
      <c r="Q13" s="232"/>
      <c r="R13" s="232"/>
      <c r="S13" s="232"/>
    </row>
    <row r="14" spans="1:19">
      <c r="B14" s="193"/>
      <c r="I14" s="145" t="s">
        <v>233</v>
      </c>
      <c r="J14" s="232"/>
      <c r="K14" s="232"/>
      <c r="L14" s="232"/>
      <c r="M14" s="232"/>
      <c r="N14" s="145" t="s">
        <v>232</v>
      </c>
      <c r="P14" s="232"/>
      <c r="Q14" s="232"/>
      <c r="R14" s="232"/>
      <c r="S14" s="232"/>
    </row>
    <row r="15" spans="1:19">
      <c r="A15" s="365" t="s">
        <v>41</v>
      </c>
      <c r="B15" s="366"/>
      <c r="C15" s="366"/>
      <c r="D15" s="366"/>
      <c r="E15" s="366"/>
      <c r="F15" s="366"/>
      <c r="G15" s="366"/>
      <c r="I15" t="s">
        <v>243</v>
      </c>
      <c r="J15" s="232"/>
      <c r="K15" s="232"/>
      <c r="L15" s="232"/>
      <c r="M15" s="232"/>
      <c r="N15" s="145" t="s">
        <v>247</v>
      </c>
      <c r="P15" s="232"/>
      <c r="Q15" s="232"/>
      <c r="R15" s="232"/>
      <c r="S15" s="232"/>
    </row>
    <row r="16" spans="1:19">
      <c r="A16" s="25"/>
      <c r="B16" s="377" t="s">
        <v>1</v>
      </c>
      <c r="C16" s="378"/>
      <c r="D16" s="377" t="s">
        <v>2</v>
      </c>
      <c r="E16" s="378"/>
      <c r="F16" s="377" t="s">
        <v>3</v>
      </c>
      <c r="G16" s="378"/>
      <c r="I16" s="145" t="s">
        <v>235</v>
      </c>
      <c r="J16" s="232"/>
      <c r="K16" s="232"/>
      <c r="L16" s="232"/>
      <c r="M16" s="232"/>
      <c r="N16" s="145" t="s">
        <v>234</v>
      </c>
      <c r="O16" s="232"/>
      <c r="P16" s="232"/>
      <c r="Q16" s="232"/>
      <c r="R16" s="232"/>
      <c r="S16" s="232"/>
    </row>
    <row r="17" spans="1:19">
      <c r="A17" s="26"/>
      <c r="B17" s="3">
        <v>2020</v>
      </c>
      <c r="C17" s="27">
        <v>2019</v>
      </c>
      <c r="D17" s="28">
        <v>2020</v>
      </c>
      <c r="E17" s="28">
        <v>2019</v>
      </c>
      <c r="F17" s="3">
        <v>2020</v>
      </c>
      <c r="G17" s="27">
        <v>2019</v>
      </c>
      <c r="I17" s="229" t="s">
        <v>236</v>
      </c>
      <c r="J17" s="230"/>
      <c r="K17" s="230"/>
      <c r="M17" s="232"/>
      <c r="N17" s="55" t="s">
        <v>223</v>
      </c>
      <c r="O17" s="232"/>
      <c r="P17" s="232"/>
      <c r="Q17" s="232"/>
      <c r="R17" s="232"/>
      <c r="S17" s="232"/>
    </row>
    <row r="18" spans="1:19">
      <c r="A18" s="1" t="s">
        <v>43</v>
      </c>
      <c r="B18" s="29">
        <v>5804</v>
      </c>
      <c r="C18" s="30">
        <v>6464</v>
      </c>
      <c r="D18" s="11">
        <v>974</v>
      </c>
      <c r="E18" s="11">
        <v>652</v>
      </c>
      <c r="F18" s="29">
        <v>1747</v>
      </c>
      <c r="G18" s="30">
        <v>1813</v>
      </c>
      <c r="I18" s="145" t="s">
        <v>237</v>
      </c>
      <c r="J18" s="232"/>
      <c r="K18" s="232"/>
      <c r="L18" s="232"/>
      <c r="M18" s="232"/>
      <c r="N18" s="145" t="s">
        <v>238</v>
      </c>
      <c r="O18" s="232"/>
      <c r="P18" s="232"/>
      <c r="Q18" s="232"/>
      <c r="R18" s="232"/>
      <c r="S18" s="232"/>
    </row>
    <row r="19" spans="1:19">
      <c r="A19" s="26" t="s">
        <v>44</v>
      </c>
      <c r="B19" s="31">
        <v>32919</v>
      </c>
      <c r="C19" s="32">
        <v>33237</v>
      </c>
      <c r="D19" s="33">
        <v>5385</v>
      </c>
      <c r="E19" s="33">
        <v>5274</v>
      </c>
      <c r="F19" s="31">
        <v>1365</v>
      </c>
      <c r="G19" s="32">
        <v>1484</v>
      </c>
      <c r="I19" s="367" t="s">
        <v>240</v>
      </c>
      <c r="J19" s="367"/>
      <c r="K19" s="367"/>
      <c r="L19" s="367"/>
      <c r="M19" s="367"/>
      <c r="N19" s="367"/>
      <c r="O19" s="367"/>
      <c r="P19" s="367"/>
      <c r="Q19" s="367"/>
      <c r="R19" s="367"/>
      <c r="S19" s="367"/>
    </row>
    <row r="20" spans="1:19">
      <c r="A20" s="2" t="s">
        <v>45</v>
      </c>
      <c r="B20" s="34">
        <v>38723</v>
      </c>
      <c r="C20" s="35">
        <v>39701</v>
      </c>
      <c r="D20" s="36">
        <v>6359</v>
      </c>
      <c r="E20" s="36">
        <v>5926</v>
      </c>
      <c r="F20" s="34">
        <v>3112</v>
      </c>
      <c r="G20" s="35">
        <v>3297</v>
      </c>
      <c r="I20" s="367"/>
      <c r="J20" s="367"/>
      <c r="K20" s="367"/>
      <c r="L20" s="367"/>
      <c r="M20" s="367"/>
      <c r="N20" s="367"/>
      <c r="O20" s="367"/>
      <c r="P20" s="367"/>
      <c r="Q20" s="367"/>
      <c r="R20" s="367"/>
      <c r="S20" s="367"/>
    </row>
    <row r="21" spans="1:19">
      <c r="A21" s="37" t="s">
        <v>46</v>
      </c>
      <c r="B21" s="38">
        <v>-16179</v>
      </c>
      <c r="C21" s="39">
        <v>-16225</v>
      </c>
      <c r="D21" s="40">
        <v>-2783</v>
      </c>
      <c r="E21" s="40">
        <v>-2508</v>
      </c>
      <c r="F21" s="38">
        <v>-2727</v>
      </c>
      <c r="G21" s="39">
        <v>-2881</v>
      </c>
      <c r="I21" s="367"/>
      <c r="J21" s="367"/>
      <c r="K21" s="367"/>
      <c r="L21" s="367"/>
      <c r="M21" s="367"/>
      <c r="N21" s="367"/>
      <c r="O21" s="367"/>
      <c r="P21" s="367"/>
      <c r="Q21" s="367"/>
      <c r="R21" s="367"/>
      <c r="S21" s="367"/>
    </row>
    <row r="23" spans="1:19">
      <c r="A23" s="365" t="s">
        <v>82</v>
      </c>
      <c r="B23" s="366"/>
      <c r="C23" s="366"/>
      <c r="D23" s="366"/>
      <c r="E23" s="366"/>
      <c r="F23" s="366"/>
      <c r="G23" s="366"/>
      <c r="I23" s="240" t="s">
        <v>14</v>
      </c>
      <c r="J23" s="241"/>
      <c r="K23" s="241"/>
      <c r="L23" s="241"/>
      <c r="M23" s="241"/>
      <c r="N23" s="241"/>
      <c r="O23" s="241"/>
      <c r="P23" s="241"/>
      <c r="Q23" s="241"/>
      <c r="R23" s="241"/>
      <c r="S23" s="241"/>
    </row>
    <row r="24" spans="1:19" ht="32">
      <c r="A24" s="196"/>
      <c r="B24" s="375">
        <v>2020</v>
      </c>
      <c r="C24" s="379"/>
      <c r="D24" s="376"/>
      <c r="E24" s="375">
        <v>2019</v>
      </c>
      <c r="F24" s="379"/>
      <c r="G24" s="376"/>
      <c r="I24" s="137"/>
      <c r="J24" s="137" t="s">
        <v>206</v>
      </c>
      <c r="K24" s="137" t="s">
        <v>208</v>
      </c>
      <c r="L24" s="137" t="s">
        <v>219</v>
      </c>
      <c r="M24" s="137" t="s">
        <v>209</v>
      </c>
      <c r="N24" s="219" t="s">
        <v>216</v>
      </c>
      <c r="O24" s="219" t="s">
        <v>217</v>
      </c>
      <c r="P24" s="137" t="s">
        <v>218</v>
      </c>
      <c r="Q24" s="137" t="s">
        <v>207</v>
      </c>
      <c r="R24" s="137" t="s">
        <v>17</v>
      </c>
      <c r="S24" s="137" t="s">
        <v>18</v>
      </c>
    </row>
    <row r="25" spans="1:19" ht="30">
      <c r="A25" s="197"/>
      <c r="B25" s="198" t="s">
        <v>83</v>
      </c>
      <c r="C25" s="199" t="s">
        <v>84</v>
      </c>
      <c r="D25" s="200" t="s">
        <v>85</v>
      </c>
      <c r="E25" s="198" t="s">
        <v>83</v>
      </c>
      <c r="F25" s="199" t="s">
        <v>84</v>
      </c>
      <c r="G25" s="200" t="s">
        <v>85</v>
      </c>
      <c r="I25" s="4"/>
      <c r="J25" s="50" t="s">
        <v>47</v>
      </c>
      <c r="K25" s="19" t="s">
        <v>35</v>
      </c>
      <c r="L25" s="50" t="s">
        <v>47</v>
      </c>
      <c r="M25" s="19" t="s">
        <v>21</v>
      </c>
      <c r="N25" s="19" t="s">
        <v>21</v>
      </c>
      <c r="O25" s="19" t="s">
        <v>21</v>
      </c>
      <c r="P25" s="19" t="s">
        <v>21</v>
      </c>
      <c r="Q25" s="19" t="s">
        <v>21</v>
      </c>
      <c r="R25" s="19" t="s">
        <v>21</v>
      </c>
      <c r="S25" s="4" t="s">
        <v>22</v>
      </c>
    </row>
    <row r="26" spans="1:19">
      <c r="A26" s="201" t="s">
        <v>97</v>
      </c>
      <c r="B26" s="211"/>
      <c r="C26" s="212"/>
      <c r="D26" s="213"/>
      <c r="E26" s="211"/>
      <c r="F26" s="212"/>
      <c r="G26" s="213"/>
      <c r="I26" s="4" t="s">
        <v>211</v>
      </c>
      <c r="J26" s="5">
        <f>B29</f>
        <v>162.1</v>
      </c>
      <c r="K26" s="194">
        <v>317</v>
      </c>
      <c r="L26" s="370">
        <f>J26+J27</f>
        <v>429.5</v>
      </c>
      <c r="M26" s="370">
        <f>J3*L3+J4*L4+J5*L5</f>
        <v>48194</v>
      </c>
      <c r="N26" s="370">
        <f>B13</f>
        <v>16178</v>
      </c>
      <c r="O26" s="370">
        <f>D13</f>
        <v>2783</v>
      </c>
      <c r="P26" s="370">
        <f>F13</f>
        <v>2727</v>
      </c>
      <c r="Q26" s="370">
        <f>B13+D13+F13</f>
        <v>21688</v>
      </c>
      <c r="R26" s="370">
        <f>M26-Q26</f>
        <v>26506</v>
      </c>
      <c r="S26" s="369">
        <f>R26/M26</f>
        <v>0.54998547537037801</v>
      </c>
    </row>
    <row r="27" spans="1:19">
      <c r="A27" s="202" t="s">
        <v>98</v>
      </c>
      <c r="B27" s="203">
        <v>444.3</v>
      </c>
      <c r="C27" s="204">
        <v>99.5</v>
      </c>
      <c r="D27" s="205">
        <v>410</v>
      </c>
      <c r="E27" s="203">
        <v>442.3</v>
      </c>
      <c r="F27" s="204">
        <v>98.9</v>
      </c>
      <c r="G27" s="205">
        <v>425</v>
      </c>
      <c r="I27" s="4" t="s">
        <v>212</v>
      </c>
      <c r="J27" s="5">
        <f>B30</f>
        <v>267.39999999999998</v>
      </c>
      <c r="K27" s="195">
        <v>468</v>
      </c>
      <c r="L27" s="371"/>
      <c r="M27" s="371"/>
      <c r="N27" s="371"/>
      <c r="O27" s="371"/>
      <c r="P27" s="371"/>
      <c r="Q27" s="371"/>
      <c r="R27" s="371"/>
      <c r="S27" s="369" t="e">
        <f>R27/M27</f>
        <v>#DIV/0!</v>
      </c>
    </row>
    <row r="28" spans="1:19">
      <c r="A28" s="206" t="s">
        <v>99</v>
      </c>
      <c r="B28" s="203">
        <v>429.5</v>
      </c>
      <c r="C28" s="204">
        <v>96.2</v>
      </c>
      <c r="D28" s="205">
        <v>411</v>
      </c>
      <c r="E28" s="203">
        <v>430.6</v>
      </c>
      <c r="F28" s="204">
        <v>96.3</v>
      </c>
      <c r="G28" s="205">
        <v>427</v>
      </c>
      <c r="K28" s="141"/>
      <c r="L28" s="140"/>
      <c r="N28" s="140"/>
      <c r="O28" s="140"/>
      <c r="P28" s="142"/>
    </row>
    <row r="29" spans="1:19">
      <c r="A29" s="214" t="s">
        <v>100</v>
      </c>
      <c r="B29" s="203">
        <v>162.1</v>
      </c>
      <c r="C29" s="204">
        <v>36.299999999999997</v>
      </c>
      <c r="D29" s="205">
        <v>317</v>
      </c>
      <c r="E29" s="203">
        <v>162.6</v>
      </c>
      <c r="F29" s="204">
        <v>36.4</v>
      </c>
      <c r="G29" s="205">
        <v>329</v>
      </c>
      <c r="I29" t="s">
        <v>210</v>
      </c>
      <c r="K29" s="141"/>
      <c r="L29" s="140"/>
      <c r="N29" s="140"/>
      <c r="O29" t="s">
        <v>249</v>
      </c>
    </row>
    <row r="30" spans="1:19">
      <c r="A30" s="214" t="s">
        <v>101</v>
      </c>
      <c r="B30" s="203">
        <v>267.39999999999998</v>
      </c>
      <c r="C30" s="204">
        <v>59.9</v>
      </c>
      <c r="D30" s="205">
        <v>468</v>
      </c>
      <c r="E30" s="203">
        <v>268</v>
      </c>
      <c r="F30" s="204">
        <v>59.9</v>
      </c>
      <c r="G30" s="205">
        <v>486</v>
      </c>
      <c r="I30" t="s">
        <v>244</v>
      </c>
      <c r="K30" s="141"/>
      <c r="L30" s="140"/>
      <c r="N30" s="140"/>
      <c r="O30" t="s">
        <v>250</v>
      </c>
    </row>
    <row r="31" spans="1:19">
      <c r="A31" s="206" t="s">
        <v>102</v>
      </c>
      <c r="B31" s="203">
        <v>9.6999999999999993</v>
      </c>
      <c r="C31" s="204">
        <v>2.2000000000000002</v>
      </c>
      <c r="D31" s="205">
        <v>353</v>
      </c>
      <c r="E31" s="203">
        <v>8.1999999999999993</v>
      </c>
      <c r="F31" s="204">
        <v>1.8</v>
      </c>
      <c r="G31" s="205">
        <v>343</v>
      </c>
      <c r="I31" t="s">
        <v>245</v>
      </c>
      <c r="O31" t="s">
        <v>251</v>
      </c>
    </row>
    <row r="32" spans="1:19">
      <c r="A32" s="206" t="s">
        <v>103</v>
      </c>
      <c r="B32" s="203">
        <v>5.0999999999999996</v>
      </c>
      <c r="C32" s="204">
        <v>1.1000000000000001</v>
      </c>
      <c r="D32" s="205">
        <v>418</v>
      </c>
      <c r="E32" s="203">
        <v>3.5</v>
      </c>
      <c r="F32" s="204">
        <v>0.8</v>
      </c>
      <c r="G32" s="205">
        <v>441</v>
      </c>
      <c r="I32" t="s">
        <v>248</v>
      </c>
      <c r="O32" t="s">
        <v>252</v>
      </c>
    </row>
    <row r="33" spans="1:31">
      <c r="A33" s="202" t="s">
        <v>104</v>
      </c>
      <c r="B33" s="203">
        <v>0.7</v>
      </c>
      <c r="C33" s="204">
        <v>0.2</v>
      </c>
      <c r="D33" s="205">
        <v>556</v>
      </c>
      <c r="E33" s="203">
        <v>1.7</v>
      </c>
      <c r="F33" s="204">
        <v>0.4</v>
      </c>
      <c r="G33" s="205">
        <v>626</v>
      </c>
    </row>
    <row r="34" spans="1:31" ht="32">
      <c r="A34" s="207" t="s">
        <v>105</v>
      </c>
      <c r="B34" s="208">
        <v>1.4</v>
      </c>
      <c r="C34" s="209">
        <v>0.3</v>
      </c>
      <c r="D34" s="210">
        <v>435</v>
      </c>
      <c r="E34" s="208">
        <v>3.1</v>
      </c>
      <c r="F34" s="209">
        <v>0.7</v>
      </c>
      <c r="G34" s="210">
        <v>446</v>
      </c>
      <c r="I34" s="137" t="s">
        <v>61</v>
      </c>
      <c r="J34" s="137" t="s">
        <v>213</v>
      </c>
      <c r="K34" s="137" t="s">
        <v>214</v>
      </c>
      <c r="L34" s="137" t="s">
        <v>215</v>
      </c>
      <c r="M34" s="137" t="s">
        <v>209</v>
      </c>
      <c r="N34" s="137" t="s">
        <v>216</v>
      </c>
      <c r="O34" s="137" t="s">
        <v>217</v>
      </c>
      <c r="P34" s="137" t="s">
        <v>218</v>
      </c>
      <c r="Q34" s="137" t="s">
        <v>207</v>
      </c>
      <c r="R34" s="137" t="s">
        <v>17</v>
      </c>
      <c r="S34" s="137" t="s">
        <v>18</v>
      </c>
    </row>
    <row r="35" spans="1:31">
      <c r="I35" s="4"/>
      <c r="J35" s="50" t="s">
        <v>47</v>
      </c>
      <c r="K35" s="50" t="s">
        <v>47</v>
      </c>
      <c r="L35" s="50" t="s">
        <v>47</v>
      </c>
      <c r="M35" s="19" t="s">
        <v>21</v>
      </c>
      <c r="N35" s="19" t="s">
        <v>21</v>
      </c>
      <c r="O35" s="19" t="s">
        <v>21</v>
      </c>
      <c r="P35" s="19" t="s">
        <v>21</v>
      </c>
      <c r="Q35" s="19" t="s">
        <v>21</v>
      </c>
      <c r="R35" s="19" t="s">
        <v>21</v>
      </c>
      <c r="S35" s="4" t="s">
        <v>22</v>
      </c>
    </row>
    <row r="36" spans="1:31">
      <c r="A36" s="372" t="s">
        <v>23</v>
      </c>
      <c r="B36" s="373"/>
      <c r="C36" s="373"/>
      <c r="D36" s="373"/>
      <c r="E36" s="374"/>
      <c r="I36" s="4" t="s">
        <v>271</v>
      </c>
      <c r="J36" s="236">
        <f>J26*0.5</f>
        <v>81.05</v>
      </c>
      <c r="K36" s="236">
        <f>J27*0.5</f>
        <v>133.69999999999999</v>
      </c>
      <c r="L36" s="239">
        <f>K36+J36</f>
        <v>214.75</v>
      </c>
      <c r="M36" s="194">
        <f>L36*$L$3+K36*S4*$L$4+K36*S5*$L$5</f>
        <v>23202.66466799911</v>
      </c>
      <c r="N36" s="194">
        <f>$K$3+(L36+20.8)*$O$3</f>
        <v>13494.505773928493</v>
      </c>
      <c r="O36" s="194">
        <f>$K$4+K36*$S$4*$O$4</f>
        <v>2489</v>
      </c>
      <c r="P36" s="194">
        <f>$K$5+K36*$S$5*$O$5</f>
        <v>1486.5</v>
      </c>
      <c r="Q36" s="194">
        <f>SUM(N36:P36)</f>
        <v>17470.005773928493</v>
      </c>
      <c r="R36" s="194">
        <f>M36-Q36</f>
        <v>5732.658894070617</v>
      </c>
      <c r="S36" s="216">
        <f>R36/M36</f>
        <v>0.24706898867426397</v>
      </c>
    </row>
    <row r="37" spans="1:31" ht="32">
      <c r="A37" s="6" t="s">
        <v>24</v>
      </c>
      <c r="B37" s="7" t="s">
        <v>25</v>
      </c>
      <c r="C37" s="8">
        <v>2020</v>
      </c>
      <c r="D37" s="8">
        <v>2019</v>
      </c>
      <c r="E37" s="9">
        <v>2018</v>
      </c>
      <c r="I37" s="238" t="s">
        <v>272</v>
      </c>
      <c r="J37" s="236">
        <f>J26</f>
        <v>162.1</v>
      </c>
      <c r="K37" s="236">
        <f>J27-0.5*(J26+J27)</f>
        <v>52.649999999999977</v>
      </c>
      <c r="L37" s="236">
        <f>K37+J37</f>
        <v>214.74999999999997</v>
      </c>
      <c r="M37" s="194">
        <f>L37*$L$3+K37*S5*$L$4+K37*S6*$L$5</f>
        <v>19034.913439385418</v>
      </c>
      <c r="N37" s="194">
        <f>$K$3+(L37+20.8)*$O$3</f>
        <v>13494.505773928493</v>
      </c>
      <c r="O37" s="194">
        <f>$K$4+K37*$S$4*$O$4</f>
        <v>2310.7748691099478</v>
      </c>
      <c r="P37" s="194">
        <f>$K$5+K37*$S$5*$O$5</f>
        <v>734.49906507105447</v>
      </c>
      <c r="Q37" s="194">
        <f>SUM(N37:P37)</f>
        <v>16539.779708109494</v>
      </c>
      <c r="R37" s="194">
        <f>M37-Q37</f>
        <v>2495.1337312759242</v>
      </c>
      <c r="S37" s="216">
        <f>R37/M37</f>
        <v>0.13108195838249553</v>
      </c>
    </row>
    <row r="38" spans="1:31">
      <c r="A38" s="13" t="s">
        <v>27</v>
      </c>
      <c r="B38" s="10" t="s">
        <v>28</v>
      </c>
      <c r="C38" s="11">
        <v>285.7</v>
      </c>
      <c r="D38" s="11">
        <v>285.5</v>
      </c>
      <c r="E38" s="12">
        <v>283.89999999999998</v>
      </c>
      <c r="J38" s="128"/>
      <c r="K38" s="21"/>
      <c r="L38" s="128"/>
      <c r="V38" s="140"/>
      <c r="W38" s="140"/>
      <c r="X38" s="140"/>
      <c r="Y38" s="220"/>
      <c r="Z38" s="51"/>
      <c r="AA38" s="51"/>
      <c r="AB38" s="51"/>
      <c r="AC38" s="221"/>
      <c r="AD38" s="221"/>
      <c r="AE38" s="222"/>
    </row>
    <row r="39" spans="1:31">
      <c r="A39" s="13" t="s">
        <v>29</v>
      </c>
      <c r="B39" s="10" t="s">
        <v>26</v>
      </c>
      <c r="C39" s="11">
        <v>249.2</v>
      </c>
      <c r="D39" s="11">
        <v>244.4</v>
      </c>
      <c r="E39" s="12"/>
      <c r="V39" s="192"/>
    </row>
    <row r="40" spans="1:31">
      <c r="A40" s="13" t="s">
        <v>30</v>
      </c>
      <c r="B40" s="10" t="s">
        <v>26</v>
      </c>
      <c r="C40" s="11">
        <v>203.8</v>
      </c>
      <c r="D40" s="11">
        <v>199.7</v>
      </c>
      <c r="E40" s="12"/>
      <c r="V40" s="192"/>
    </row>
    <row r="41" spans="1:31">
      <c r="A41" s="13" t="s">
        <v>31</v>
      </c>
      <c r="B41" s="10" t="s">
        <v>26</v>
      </c>
      <c r="C41" s="11">
        <v>45.4</v>
      </c>
      <c r="D41" s="11">
        <v>44.7</v>
      </c>
      <c r="E41" s="12"/>
      <c r="I41" s="193"/>
      <c r="V41" s="218"/>
    </row>
    <row r="42" spans="1:31">
      <c r="A42" s="13" t="s">
        <v>32</v>
      </c>
      <c r="B42" s="10" t="s">
        <v>26</v>
      </c>
      <c r="C42" s="11">
        <v>113</v>
      </c>
      <c r="D42" s="11">
        <v>109.8</v>
      </c>
      <c r="E42" s="12">
        <v>103.6</v>
      </c>
      <c r="W42" s="217"/>
    </row>
    <row r="43" spans="1:31">
      <c r="A43" s="14" t="s">
        <v>33</v>
      </c>
      <c r="B43" s="15" t="s">
        <v>34</v>
      </c>
      <c r="C43" s="16">
        <v>93</v>
      </c>
      <c r="D43" s="16">
        <v>89.6</v>
      </c>
      <c r="E43" s="17">
        <v>89.9</v>
      </c>
      <c r="V43" s="192"/>
    </row>
    <row r="53" spans="9:19">
      <c r="I53" s="233"/>
      <c r="J53" s="233"/>
      <c r="K53" s="233"/>
      <c r="L53" s="233"/>
      <c r="M53" s="233"/>
      <c r="N53" s="233"/>
      <c r="O53" s="233"/>
      <c r="P53" s="233"/>
      <c r="Q53" s="233"/>
      <c r="R53" s="233"/>
      <c r="S53" s="233"/>
    </row>
  </sheetData>
  <mergeCells count="22">
    <mergeCell ref="A36:E36"/>
    <mergeCell ref="D2:E2"/>
    <mergeCell ref="F2:G2"/>
    <mergeCell ref="B2:C2"/>
    <mergeCell ref="R26:R27"/>
    <mergeCell ref="F16:G16"/>
    <mergeCell ref="D16:E16"/>
    <mergeCell ref="B16:C16"/>
    <mergeCell ref="B24:D24"/>
    <mergeCell ref="E24:G24"/>
    <mergeCell ref="A15:G15"/>
    <mergeCell ref="A1:G1"/>
    <mergeCell ref="A23:G23"/>
    <mergeCell ref="I8:S11"/>
    <mergeCell ref="I19:S21"/>
    <mergeCell ref="S26:S27"/>
    <mergeCell ref="N26:N27"/>
    <mergeCell ref="O26:O27"/>
    <mergeCell ref="L26:L27"/>
    <mergeCell ref="P26:P27"/>
    <mergeCell ref="M26:M27"/>
    <mergeCell ref="Q26:Q2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D780-B159-43DD-BC58-0307B02D0FB9}">
  <dimension ref="A1:AA60"/>
  <sheetViews>
    <sheetView topLeftCell="H21" zoomScale="134" zoomScaleNormal="55" workbookViewId="0">
      <selection activeCell="Q32" sqref="Q32"/>
    </sheetView>
  </sheetViews>
  <sheetFormatPr baseColWidth="10" defaultColWidth="8.83203125" defaultRowHeight="15"/>
  <cols>
    <col min="1" max="1" width="22.6640625" style="145" customWidth="1"/>
    <col min="2" max="3" width="16.1640625" hidden="1" customWidth="1"/>
    <col min="4" max="4" width="17.5" hidden="1" customWidth="1"/>
    <col min="5" max="6" width="16.1640625" hidden="1" customWidth="1"/>
    <col min="7" max="7" width="17.5" hidden="1" customWidth="1"/>
    <col min="8" max="8" width="17.5" style="51" customWidth="1"/>
    <col min="9" max="9" width="17.5" style="51" hidden="1" customWidth="1"/>
    <col min="10" max="10" width="10.1640625" hidden="1" customWidth="1"/>
    <col min="11" max="11" width="11.5" hidden="1" customWidth="1"/>
    <col min="12" max="12" width="17.5" hidden="1" customWidth="1"/>
    <col min="13" max="13" width="10.6640625" hidden="1" customWidth="1"/>
    <col min="14" max="14" width="11.6640625" customWidth="1"/>
    <col min="16" max="16" width="26.1640625" customWidth="1"/>
    <col min="17" max="17" width="14.1640625" bestFit="1" customWidth="1"/>
    <col min="18" max="18" width="16.33203125" customWidth="1"/>
    <col min="19" max="19" width="14.1640625" bestFit="1" customWidth="1"/>
    <col min="20" max="20" width="15.6640625" customWidth="1"/>
    <col min="21" max="21" width="16.6640625" customWidth="1"/>
    <col min="22" max="22" width="16" customWidth="1"/>
    <col min="23" max="23" width="13.33203125" customWidth="1"/>
    <col min="24" max="24" width="14.1640625" bestFit="1" customWidth="1"/>
    <col min="25" max="25" width="10.6640625" customWidth="1"/>
    <col min="26" max="26" width="20.5" customWidth="1"/>
    <col min="27" max="27" width="22.6640625" customWidth="1"/>
    <col min="28" max="28" width="10.6640625" customWidth="1"/>
  </cols>
  <sheetData>
    <row r="1" spans="1:27" ht="16" thickBot="1">
      <c r="A1" s="380" t="s">
        <v>191</v>
      </c>
      <c r="B1" s="380"/>
      <c r="C1" s="380"/>
      <c r="D1" s="380"/>
      <c r="E1" s="380"/>
      <c r="F1" s="380"/>
      <c r="G1" s="380"/>
      <c r="H1" s="380"/>
      <c r="I1" s="380"/>
      <c r="J1" s="380"/>
      <c r="K1" s="380"/>
      <c r="L1" s="380"/>
      <c r="M1" s="380"/>
      <c r="N1" s="380"/>
    </row>
    <row r="2" spans="1:27" ht="26.75" customHeight="1" thickBot="1">
      <c r="A2" s="174" t="s">
        <v>170</v>
      </c>
      <c r="B2" s="381" t="s">
        <v>190</v>
      </c>
      <c r="C2" s="382"/>
      <c r="D2" s="383"/>
      <c r="E2" s="381" t="s">
        <v>187</v>
      </c>
      <c r="F2" s="382"/>
      <c r="G2" s="383"/>
      <c r="H2" s="381" t="s">
        <v>186</v>
      </c>
      <c r="I2" s="383"/>
      <c r="J2" s="381" t="s">
        <v>185</v>
      </c>
      <c r="K2" s="382"/>
      <c r="L2" s="383"/>
      <c r="M2" s="381" t="s">
        <v>189</v>
      </c>
      <c r="N2" s="383"/>
      <c r="P2" s="4"/>
      <c r="Q2" s="390" t="s">
        <v>188</v>
      </c>
      <c r="R2" s="390"/>
      <c r="S2" s="390"/>
      <c r="T2" s="389" t="s">
        <v>187</v>
      </c>
      <c r="U2" s="389"/>
      <c r="V2" s="389"/>
      <c r="W2" s="389" t="s">
        <v>186</v>
      </c>
      <c r="X2" s="389"/>
      <c r="Y2" s="389" t="s">
        <v>185</v>
      </c>
      <c r="Z2" s="389"/>
      <c r="AA2" s="389"/>
    </row>
    <row r="3" spans="1:27" ht="16" thickBot="1">
      <c r="A3" s="149" t="s">
        <v>184</v>
      </c>
      <c r="B3" s="172" t="s">
        <v>135</v>
      </c>
      <c r="C3" s="173" t="s">
        <v>136</v>
      </c>
      <c r="D3" s="172" t="s">
        <v>183</v>
      </c>
      <c r="E3" s="172" t="s">
        <v>135</v>
      </c>
      <c r="F3" s="173" t="s">
        <v>136</v>
      </c>
      <c r="G3" s="172" t="s">
        <v>183</v>
      </c>
      <c r="H3" s="173" t="s">
        <v>136</v>
      </c>
      <c r="I3" s="172" t="s">
        <v>183</v>
      </c>
      <c r="J3" s="172" t="s">
        <v>135</v>
      </c>
      <c r="K3" s="173" t="s">
        <v>136</v>
      </c>
      <c r="L3" s="172" t="s">
        <v>183</v>
      </c>
      <c r="M3" s="172" t="s">
        <v>135</v>
      </c>
      <c r="N3" s="172" t="s">
        <v>136</v>
      </c>
      <c r="P3" s="162" t="s">
        <v>177</v>
      </c>
      <c r="Q3" s="164">
        <v>2020</v>
      </c>
      <c r="R3" s="164">
        <v>2019</v>
      </c>
      <c r="S3" s="164">
        <v>2018</v>
      </c>
      <c r="T3" s="164">
        <v>2020</v>
      </c>
      <c r="U3" s="164">
        <v>2019</v>
      </c>
      <c r="V3" s="164">
        <v>2018</v>
      </c>
      <c r="W3" s="164">
        <v>2019</v>
      </c>
      <c r="X3" s="164">
        <v>2018</v>
      </c>
      <c r="Y3" s="164">
        <v>2020</v>
      </c>
      <c r="Z3" s="164">
        <v>2019</v>
      </c>
      <c r="AA3" s="164">
        <v>2018</v>
      </c>
    </row>
    <row r="4" spans="1:27" ht="16" thickBot="1">
      <c r="A4" s="157" t="s">
        <v>182</v>
      </c>
      <c r="B4" s="156">
        <v>2893106.05</v>
      </c>
      <c r="C4" s="156">
        <v>2988976.59</v>
      </c>
      <c r="D4" s="155">
        <v>2974581.64</v>
      </c>
      <c r="E4" s="156">
        <v>2724677.88</v>
      </c>
      <c r="F4" s="156">
        <v>2808718.83</v>
      </c>
      <c r="G4" s="155">
        <v>2796675.99</v>
      </c>
      <c r="H4" s="155">
        <v>2844093.52</v>
      </c>
      <c r="I4" s="155">
        <v>2850791.99</v>
      </c>
      <c r="J4" s="154">
        <v>977.16</v>
      </c>
      <c r="K4" s="156">
        <v>1169.6099999999999</v>
      </c>
      <c r="L4" s="155">
        <v>2850791.99</v>
      </c>
      <c r="M4" s="154">
        <v>332.46</v>
      </c>
      <c r="N4" s="154">
        <v>322.68</v>
      </c>
      <c r="P4" s="162" t="s">
        <v>164</v>
      </c>
      <c r="Q4" s="171">
        <v>30350169.27</v>
      </c>
      <c r="R4" s="171">
        <v>29823445.600000001</v>
      </c>
      <c r="S4" s="171">
        <f t="shared" ref="S4:AA4" si="0">SUMIF($A$4:$A$60,$P4,D$4:D$60)</f>
        <v>28935489.430000007</v>
      </c>
      <c r="T4" s="171">
        <f t="shared" si="0"/>
        <v>28492355.779999997</v>
      </c>
      <c r="U4" s="171">
        <f t="shared" si="0"/>
        <v>27992116.73</v>
      </c>
      <c r="V4" s="171">
        <f t="shared" si="0"/>
        <v>27109204.329999998</v>
      </c>
      <c r="W4" s="171">
        <f t="shared" si="0"/>
        <v>28061379.239999998</v>
      </c>
      <c r="X4" s="171">
        <f t="shared" si="0"/>
        <v>26615778.999999996</v>
      </c>
      <c r="Y4" s="171">
        <f t="shared" si="0"/>
        <v>8569.6799999999985</v>
      </c>
      <c r="Z4" s="171">
        <f t="shared" si="0"/>
        <v>8951.7499999999982</v>
      </c>
      <c r="AA4" s="171">
        <f t="shared" si="0"/>
        <v>26615778.999999996</v>
      </c>
    </row>
    <row r="5" spans="1:27" ht="16" thickBot="1">
      <c r="A5" s="153" t="s">
        <v>164</v>
      </c>
      <c r="B5" s="152">
        <v>2558113.17</v>
      </c>
      <c r="C5" s="152">
        <v>2688167.1</v>
      </c>
      <c r="D5" s="151">
        <v>2664403.7400000002</v>
      </c>
      <c r="E5" s="152">
        <v>2398014.5</v>
      </c>
      <c r="F5" s="152">
        <v>2519595.5</v>
      </c>
      <c r="G5" s="151">
        <v>2498290.9</v>
      </c>
      <c r="H5" s="151">
        <v>2615516.0499999998</v>
      </c>
      <c r="I5" s="151">
        <v>2614439.9</v>
      </c>
      <c r="J5" s="150">
        <v>209</v>
      </c>
      <c r="K5" s="150">
        <v>418.5</v>
      </c>
      <c r="L5" s="151">
        <v>2614439.9</v>
      </c>
      <c r="M5" s="150">
        <v>323.45999999999998</v>
      </c>
      <c r="N5" s="150">
        <v>311.8</v>
      </c>
      <c r="P5" s="162" t="s">
        <v>160</v>
      </c>
      <c r="Q5" s="171">
        <v>1329404.3899999999</v>
      </c>
      <c r="R5" s="171">
        <v>1301622.5</v>
      </c>
      <c r="S5" s="171">
        <f>SUMIF($A$4:$A$60,P5,$D$4:$D$60)</f>
        <v>1607373.51</v>
      </c>
      <c r="T5" s="171">
        <f t="shared" ref="T5:AA7" si="1">SUMIF($A$4:$A$60,$P5,E$4:E$60)</f>
        <v>1291438.8700000001</v>
      </c>
      <c r="U5" s="171">
        <f t="shared" si="1"/>
        <v>1259907.4000000001</v>
      </c>
      <c r="V5" s="171">
        <f t="shared" si="1"/>
        <v>1602090.4799999997</v>
      </c>
      <c r="W5" s="171">
        <f t="shared" si="1"/>
        <v>1591797.1099999996</v>
      </c>
      <c r="X5" s="171">
        <f t="shared" si="1"/>
        <v>1715225.67</v>
      </c>
      <c r="Y5" s="171">
        <f t="shared" si="1"/>
        <v>3496.3300000000004</v>
      </c>
      <c r="Z5" s="171">
        <f t="shared" si="1"/>
        <v>3399.6200000000003</v>
      </c>
      <c r="AA5" s="171">
        <f t="shared" si="1"/>
        <v>1715225.67</v>
      </c>
    </row>
    <row r="6" spans="1:27" ht="16" thickBot="1">
      <c r="A6" s="153" t="s">
        <v>160</v>
      </c>
      <c r="B6" s="152">
        <v>206669.88</v>
      </c>
      <c r="C6" s="152">
        <v>220273.49</v>
      </c>
      <c r="D6" s="151">
        <v>88886</v>
      </c>
      <c r="E6" s="152">
        <v>200158.38</v>
      </c>
      <c r="F6" s="152">
        <v>210635.33</v>
      </c>
      <c r="G6" s="151">
        <v>86663</v>
      </c>
      <c r="H6" s="151">
        <v>52565.31</v>
      </c>
      <c r="I6" s="151">
        <v>60783</v>
      </c>
      <c r="J6" s="150">
        <v>748.7</v>
      </c>
      <c r="K6" s="150">
        <v>670.64</v>
      </c>
      <c r="L6" s="151">
        <v>60783</v>
      </c>
      <c r="M6" s="150">
        <v>463.2</v>
      </c>
      <c r="N6" s="150">
        <v>301.77999999999997</v>
      </c>
      <c r="P6" s="162" t="s">
        <v>155</v>
      </c>
      <c r="Q6" s="171">
        <v>6024748.8499999996</v>
      </c>
      <c r="R6" s="171">
        <v>5479484.3200000003</v>
      </c>
      <c r="S6" s="171">
        <f>SUMIF($A$4:$A$60,P6,$D$4:$D$60)</f>
        <v>4802614.84</v>
      </c>
      <c r="T6" s="171">
        <f t="shared" si="1"/>
        <v>5980813.8000000007</v>
      </c>
      <c r="U6" s="171">
        <f t="shared" si="1"/>
        <v>5434856.9100000001</v>
      </c>
      <c r="V6" s="171">
        <f t="shared" si="1"/>
        <v>4757639.0999999996</v>
      </c>
      <c r="W6" s="171">
        <f t="shared" si="1"/>
        <v>5102174.41</v>
      </c>
      <c r="X6" s="171">
        <f t="shared" si="1"/>
        <v>4726699.41</v>
      </c>
      <c r="Y6" s="171">
        <f t="shared" si="1"/>
        <v>83.56</v>
      </c>
      <c r="Z6" s="171">
        <f t="shared" si="1"/>
        <v>192.79</v>
      </c>
      <c r="AA6" s="171">
        <f t="shared" si="1"/>
        <v>4726699.41</v>
      </c>
    </row>
    <row r="7" spans="1:27" ht="16" thickBot="1">
      <c r="A7" s="153" t="s">
        <v>155</v>
      </c>
      <c r="B7" s="152">
        <v>128323</v>
      </c>
      <c r="C7" s="152">
        <v>80536</v>
      </c>
      <c r="D7" s="151">
        <v>221291.9</v>
      </c>
      <c r="E7" s="152">
        <v>126505</v>
      </c>
      <c r="F7" s="152">
        <v>78488</v>
      </c>
      <c r="G7" s="151">
        <v>211722.09</v>
      </c>
      <c r="H7" s="151">
        <v>176012.16</v>
      </c>
      <c r="I7" s="151">
        <v>175569.09</v>
      </c>
      <c r="J7" s="150">
        <v>19.45</v>
      </c>
      <c r="K7" s="150">
        <v>80.47</v>
      </c>
      <c r="L7" s="151">
        <v>175569.09</v>
      </c>
      <c r="M7" s="150">
        <v>298.97000000000003</v>
      </c>
      <c r="N7" s="150">
        <v>477.4</v>
      </c>
      <c r="P7" s="162" t="s">
        <v>162</v>
      </c>
      <c r="Q7" s="171">
        <v>31933.48</v>
      </c>
      <c r="R7" s="171">
        <v>31243.52</v>
      </c>
      <c r="S7" s="171">
        <f>SUMIF($A$4:$A$60,P7,$D$4:$D$60)</f>
        <v>31569.02</v>
      </c>
      <c r="T7" s="171">
        <f t="shared" si="1"/>
        <v>31722.49</v>
      </c>
      <c r="U7" s="171">
        <f t="shared" si="1"/>
        <v>31022.760000000002</v>
      </c>
      <c r="V7" s="171">
        <f t="shared" si="1"/>
        <v>31439.72</v>
      </c>
      <c r="W7" s="171">
        <f t="shared" si="1"/>
        <v>30678.07</v>
      </c>
      <c r="X7" s="171">
        <f t="shared" si="1"/>
        <v>30739.440000000002</v>
      </c>
      <c r="Y7" s="171">
        <f t="shared" si="1"/>
        <v>234.3</v>
      </c>
      <c r="Z7" s="171">
        <f t="shared" si="1"/>
        <v>234.33999999999997</v>
      </c>
      <c r="AA7" s="171">
        <f t="shared" si="1"/>
        <v>30739.440000000002</v>
      </c>
    </row>
    <row r="8" spans="1:27" ht="16" thickBot="1">
      <c r="A8" s="157" t="s">
        <v>181</v>
      </c>
      <c r="B8" s="156">
        <v>1892093.24</v>
      </c>
      <c r="C8" s="156">
        <v>1934446.91</v>
      </c>
      <c r="D8" s="155">
        <v>2260277.98</v>
      </c>
      <c r="E8" s="156">
        <v>1733922.49</v>
      </c>
      <c r="F8" s="156">
        <v>1771509.25</v>
      </c>
      <c r="G8" s="155">
        <v>2079170.65</v>
      </c>
      <c r="H8" s="155">
        <v>1794371.91</v>
      </c>
      <c r="I8" s="155">
        <v>2102878.87</v>
      </c>
      <c r="J8" s="154">
        <v>173.25</v>
      </c>
      <c r="K8" s="156">
        <v>370.4</v>
      </c>
      <c r="L8" s="155">
        <v>2102878.87</v>
      </c>
      <c r="M8" s="154">
        <v>307.72000000000003</v>
      </c>
      <c r="N8" s="154">
        <v>307.98</v>
      </c>
      <c r="P8" s="162" t="s">
        <v>42</v>
      </c>
      <c r="Q8" s="171">
        <v>37736255.990000002</v>
      </c>
      <c r="R8" s="171">
        <v>36635795.939999998</v>
      </c>
      <c r="S8" s="171">
        <f t="shared" ref="S8:AA8" si="2">SUM(S4:S7)</f>
        <v>35377046.800000012</v>
      </c>
      <c r="T8" s="171">
        <f t="shared" si="2"/>
        <v>35796330.940000005</v>
      </c>
      <c r="U8" s="171">
        <f t="shared" si="2"/>
        <v>34717903.799999997</v>
      </c>
      <c r="V8" s="171">
        <f t="shared" si="2"/>
        <v>33500373.629999995</v>
      </c>
      <c r="W8" s="171">
        <f t="shared" si="2"/>
        <v>34786028.829999998</v>
      </c>
      <c r="X8" s="171">
        <f t="shared" si="2"/>
        <v>33088443.519999996</v>
      </c>
      <c r="Y8" s="171">
        <f t="shared" si="2"/>
        <v>12383.869999999997</v>
      </c>
      <c r="Z8" s="171">
        <f t="shared" si="2"/>
        <v>12778.5</v>
      </c>
      <c r="AA8" s="171">
        <f t="shared" si="2"/>
        <v>33088443.519999996</v>
      </c>
    </row>
    <row r="9" spans="1:27" ht="16" thickBot="1">
      <c r="A9" s="153" t="s">
        <v>164</v>
      </c>
      <c r="B9" s="152">
        <v>1761317.5</v>
      </c>
      <c r="C9" s="152">
        <v>1802692.52</v>
      </c>
      <c r="D9" s="151">
        <v>2108490.16</v>
      </c>
      <c r="E9" s="152">
        <v>1607759.07</v>
      </c>
      <c r="F9" s="152">
        <v>1645029.03</v>
      </c>
      <c r="G9" s="151">
        <v>1932340.47</v>
      </c>
      <c r="H9" s="151">
        <v>1644332.85</v>
      </c>
      <c r="I9" s="151">
        <v>1930396.12</v>
      </c>
      <c r="J9" s="150" t="s">
        <v>40</v>
      </c>
      <c r="K9" s="150">
        <v>181.5</v>
      </c>
      <c r="L9" s="151">
        <v>1930396.12</v>
      </c>
      <c r="M9" s="150">
        <v>291.06</v>
      </c>
      <c r="N9" s="150">
        <v>289.51</v>
      </c>
      <c r="P9" s="168"/>
      <c r="Q9" s="167"/>
      <c r="R9" s="167"/>
      <c r="S9" s="167"/>
      <c r="T9" s="167"/>
      <c r="U9" s="167"/>
      <c r="V9" s="167"/>
      <c r="W9" s="167"/>
      <c r="X9" s="167"/>
      <c r="Y9" s="167"/>
      <c r="Z9" s="167"/>
      <c r="AA9" s="167"/>
    </row>
    <row r="10" spans="1:27" ht="16" thickBot="1">
      <c r="A10" s="153" t="s">
        <v>160</v>
      </c>
      <c r="B10" s="152">
        <v>130775.74</v>
      </c>
      <c r="C10" s="152">
        <v>131754.39000000001</v>
      </c>
      <c r="D10" s="151">
        <v>151787.82</v>
      </c>
      <c r="E10" s="152">
        <v>126163.42</v>
      </c>
      <c r="F10" s="152">
        <v>126480.22</v>
      </c>
      <c r="G10" s="151">
        <v>146830.18</v>
      </c>
      <c r="H10" s="151">
        <v>150039.06</v>
      </c>
      <c r="I10" s="151">
        <v>172482.74</v>
      </c>
      <c r="J10" s="150">
        <v>173.25</v>
      </c>
      <c r="K10" s="150">
        <v>188.9</v>
      </c>
      <c r="L10" s="151">
        <v>172482.74</v>
      </c>
      <c r="M10" s="150">
        <v>473.99</v>
      </c>
      <c r="N10" s="150">
        <v>522.55999999999995</v>
      </c>
    </row>
    <row r="11" spans="1:27" ht="16" thickBot="1">
      <c r="A11" s="157" t="s">
        <v>112</v>
      </c>
      <c r="B11" s="156">
        <v>1328841.8799999999</v>
      </c>
      <c r="C11" s="156">
        <v>1269033.02</v>
      </c>
      <c r="D11" s="155">
        <v>1231345.04</v>
      </c>
      <c r="E11" s="156">
        <v>1230304.6499999999</v>
      </c>
      <c r="F11" s="156">
        <v>1174440.99</v>
      </c>
      <c r="G11" s="155">
        <v>1140339.48</v>
      </c>
      <c r="H11" s="155">
        <v>1070019.73</v>
      </c>
      <c r="I11" s="155">
        <v>1012386.44</v>
      </c>
      <c r="J11" s="154">
        <v>281.42</v>
      </c>
      <c r="K11" s="156">
        <v>191.08</v>
      </c>
      <c r="L11" s="155">
        <v>1012386.44</v>
      </c>
      <c r="M11" s="154">
        <v>335.82</v>
      </c>
      <c r="N11" s="154">
        <v>365.85</v>
      </c>
      <c r="P11" s="4"/>
      <c r="Q11" s="390" t="s">
        <v>180</v>
      </c>
      <c r="R11" s="390"/>
      <c r="S11" s="390"/>
      <c r="T11" s="162" t="s">
        <v>179</v>
      </c>
      <c r="U11" s="390" t="s">
        <v>178</v>
      </c>
      <c r="V11" s="390"/>
      <c r="W11" s="390"/>
      <c r="Y11" s="4"/>
      <c r="Z11" s="4" t="s">
        <v>195</v>
      </c>
      <c r="AA11" s="4" t="s">
        <v>287</v>
      </c>
    </row>
    <row r="12" spans="1:27" ht="16" thickBot="1">
      <c r="A12" s="153" t="s">
        <v>164</v>
      </c>
      <c r="B12" s="152">
        <v>1183959.03</v>
      </c>
      <c r="C12" s="152">
        <v>1121481.46</v>
      </c>
      <c r="D12" s="151">
        <v>1050505.76</v>
      </c>
      <c r="E12" s="152">
        <v>1089909.42</v>
      </c>
      <c r="F12" s="152">
        <v>1031709.9</v>
      </c>
      <c r="G12" s="151">
        <v>964420.58</v>
      </c>
      <c r="H12" s="151">
        <v>935789.44</v>
      </c>
      <c r="I12" s="151">
        <v>848271.63</v>
      </c>
      <c r="J12" s="150">
        <v>109.97</v>
      </c>
      <c r="K12" s="150" t="s">
        <v>40</v>
      </c>
      <c r="L12" s="151">
        <v>848271.63</v>
      </c>
      <c r="M12" s="150">
        <v>320.13</v>
      </c>
      <c r="N12" s="150">
        <v>353.42</v>
      </c>
      <c r="P12" s="162" t="s">
        <v>177</v>
      </c>
      <c r="Q12" s="164">
        <v>2020</v>
      </c>
      <c r="R12" s="164">
        <v>2019</v>
      </c>
      <c r="S12" s="164">
        <v>2018</v>
      </c>
      <c r="T12" s="162"/>
      <c r="U12" s="164">
        <v>2020</v>
      </c>
      <c r="V12" s="164">
        <v>2019</v>
      </c>
      <c r="W12" s="164">
        <v>2018</v>
      </c>
      <c r="Y12" s="4" t="s">
        <v>177</v>
      </c>
      <c r="Z12" s="391">
        <v>2019</v>
      </c>
      <c r="AA12" s="392"/>
    </row>
    <row r="13" spans="1:27" ht="16" thickBot="1">
      <c r="A13" s="153" t="s">
        <v>160</v>
      </c>
      <c r="B13" s="152">
        <v>144882.85</v>
      </c>
      <c r="C13" s="152">
        <v>147551.56</v>
      </c>
      <c r="D13" s="151">
        <v>180839.28</v>
      </c>
      <c r="E13" s="152">
        <v>140395.23000000001</v>
      </c>
      <c r="F13" s="152">
        <v>142731.09</v>
      </c>
      <c r="G13" s="151">
        <v>175918.9</v>
      </c>
      <c r="H13" s="151">
        <v>134230.29</v>
      </c>
      <c r="I13" s="151">
        <v>164114.81</v>
      </c>
      <c r="J13" s="150">
        <v>171.45</v>
      </c>
      <c r="K13" s="150">
        <v>191.08</v>
      </c>
      <c r="L13" s="151">
        <v>164114.81</v>
      </c>
      <c r="M13" s="150">
        <v>458.44</v>
      </c>
      <c r="N13" s="150">
        <v>447.34</v>
      </c>
      <c r="P13" s="388" t="s">
        <v>164</v>
      </c>
      <c r="Q13" s="386">
        <v>828.07</v>
      </c>
      <c r="R13" s="386">
        <v>833.73</v>
      </c>
      <c r="S13" s="386">
        <v>805.67</v>
      </c>
      <c r="T13" s="170" t="s">
        <v>176</v>
      </c>
      <c r="U13" s="169">
        <v>480.75</v>
      </c>
      <c r="V13" s="169">
        <v>511.15</v>
      </c>
      <c r="W13" s="169">
        <v>510.7</v>
      </c>
      <c r="Y13" s="4" t="s">
        <v>164</v>
      </c>
      <c r="Z13" s="49">
        <v>2806137.9239999996</v>
      </c>
      <c r="AA13" s="49">
        <v>297.11048376532301</v>
      </c>
    </row>
    <row r="14" spans="1:27" ht="16" thickBot="1">
      <c r="A14" s="157" t="s">
        <v>75</v>
      </c>
      <c r="B14" s="156">
        <v>3063910.28</v>
      </c>
      <c r="C14" s="156">
        <v>2987647.95</v>
      </c>
      <c r="D14" s="155">
        <v>2816002.65</v>
      </c>
      <c r="E14" s="156">
        <v>2806560.9</v>
      </c>
      <c r="F14" s="156">
        <v>2729621.54</v>
      </c>
      <c r="G14" s="155">
        <v>2571597.83</v>
      </c>
      <c r="H14" s="155">
        <v>3034036.6</v>
      </c>
      <c r="I14" s="155">
        <v>2223874.0499999998</v>
      </c>
      <c r="J14" s="154">
        <v>1253.04</v>
      </c>
      <c r="K14" s="156">
        <v>1007.14</v>
      </c>
      <c r="L14" s="155">
        <v>2223874.0499999998</v>
      </c>
      <c r="M14" s="154">
        <v>228.49</v>
      </c>
      <c r="N14" s="154">
        <v>174.86</v>
      </c>
      <c r="P14" s="388"/>
      <c r="Q14" s="387"/>
      <c r="R14" s="387"/>
      <c r="S14" s="387"/>
      <c r="T14" s="170" t="s">
        <v>174</v>
      </c>
      <c r="U14" s="169">
        <v>96.57</v>
      </c>
      <c r="V14" s="169">
        <v>112.47</v>
      </c>
      <c r="W14" s="169">
        <v>110.07</v>
      </c>
      <c r="Y14" s="4" t="s">
        <v>160</v>
      </c>
      <c r="Z14" s="49">
        <v>159179.71099999995</v>
      </c>
      <c r="AA14" s="49">
        <v>340.603379943189</v>
      </c>
    </row>
    <row r="15" spans="1:27" ht="16" thickBot="1">
      <c r="A15" s="153" t="s">
        <v>164</v>
      </c>
      <c r="B15" s="152">
        <v>2958285.8</v>
      </c>
      <c r="C15" s="152">
        <v>2884797.04</v>
      </c>
      <c r="D15" s="151">
        <v>2709487.84</v>
      </c>
      <c r="E15" s="152">
        <v>2704006.52</v>
      </c>
      <c r="F15" s="152">
        <v>2630008.79</v>
      </c>
      <c r="G15" s="151">
        <v>2468560.6800000002</v>
      </c>
      <c r="H15" s="151">
        <v>2915389.16</v>
      </c>
      <c r="I15" s="151">
        <v>2098916.4500000002</v>
      </c>
      <c r="J15" s="152">
        <v>1083.95</v>
      </c>
      <c r="K15" s="150">
        <v>838.71</v>
      </c>
      <c r="L15" s="151">
        <v>2098916.4500000002</v>
      </c>
      <c r="M15" s="150">
        <v>223.62</v>
      </c>
      <c r="N15" s="150">
        <v>167.47</v>
      </c>
      <c r="P15" s="162" t="s">
        <v>160</v>
      </c>
      <c r="Q15" s="169">
        <v>61.49</v>
      </c>
      <c r="R15" s="169">
        <v>60.67</v>
      </c>
      <c r="S15" s="169">
        <v>61.18</v>
      </c>
      <c r="T15" s="170" t="s">
        <v>174</v>
      </c>
      <c r="U15" s="169">
        <v>22.26</v>
      </c>
      <c r="V15" s="169">
        <v>21</v>
      </c>
      <c r="W15" s="169">
        <v>20.190000000000001</v>
      </c>
      <c r="Y15" s="4" t="s">
        <v>155</v>
      </c>
      <c r="Z15" s="49">
        <v>510217.44099999999</v>
      </c>
      <c r="AA15" s="49">
        <v>234.52534176243503</v>
      </c>
    </row>
    <row r="16" spans="1:27" ht="16" thickBot="1">
      <c r="A16" s="153" t="s">
        <v>160</v>
      </c>
      <c r="B16" s="152">
        <v>99601.38</v>
      </c>
      <c r="C16" s="152">
        <v>96718.54</v>
      </c>
      <c r="D16" s="151">
        <v>100392.54</v>
      </c>
      <c r="E16" s="152">
        <v>96553.38</v>
      </c>
      <c r="F16" s="152">
        <v>93502.49</v>
      </c>
      <c r="G16" s="151">
        <v>96939.57</v>
      </c>
      <c r="H16" s="151">
        <v>112759.89</v>
      </c>
      <c r="I16" s="151">
        <v>118839.81</v>
      </c>
      <c r="J16" s="150">
        <v>144.02000000000001</v>
      </c>
      <c r="K16" s="150">
        <v>142.61000000000001</v>
      </c>
      <c r="L16" s="151">
        <v>118839.81</v>
      </c>
      <c r="M16" s="150">
        <v>387.93</v>
      </c>
      <c r="N16" s="150">
        <v>361.24</v>
      </c>
      <c r="P16" s="162" t="s">
        <v>155</v>
      </c>
      <c r="Q16" s="169">
        <v>119.13</v>
      </c>
      <c r="R16" s="169">
        <v>113.17</v>
      </c>
      <c r="S16" s="169">
        <v>116.22</v>
      </c>
      <c r="T16" s="170" t="s">
        <v>174</v>
      </c>
      <c r="U16" s="169">
        <v>30.88</v>
      </c>
      <c r="V16" s="169">
        <v>33.9</v>
      </c>
      <c r="W16" s="169">
        <v>33.94</v>
      </c>
      <c r="Y16" s="4" t="s">
        <v>162</v>
      </c>
      <c r="Z16" s="49">
        <v>3067.8069999999998</v>
      </c>
      <c r="AA16" s="49">
        <v>826.88170238219038</v>
      </c>
    </row>
    <row r="17" spans="1:27" ht="16" thickBot="1">
      <c r="A17" s="153" t="s">
        <v>162</v>
      </c>
      <c r="B17" s="152">
        <v>6023.1</v>
      </c>
      <c r="C17" s="152">
        <v>6132.37</v>
      </c>
      <c r="D17" s="151">
        <v>6122.27</v>
      </c>
      <c r="E17" s="152">
        <v>6001</v>
      </c>
      <c r="F17" s="152">
        <v>6110.26</v>
      </c>
      <c r="G17" s="151">
        <v>6097.58</v>
      </c>
      <c r="H17" s="151">
        <v>5887.55</v>
      </c>
      <c r="I17" s="151">
        <v>6117.79</v>
      </c>
      <c r="J17" s="150">
        <v>25.07</v>
      </c>
      <c r="K17" s="150">
        <v>25.82</v>
      </c>
      <c r="L17" s="151">
        <v>6117.79</v>
      </c>
      <c r="M17" s="150">
        <v>824.19</v>
      </c>
      <c r="N17" s="150">
        <v>846.01</v>
      </c>
      <c r="P17" s="162" t="s">
        <v>162</v>
      </c>
      <c r="Q17" s="169">
        <v>2.57</v>
      </c>
      <c r="R17" s="169">
        <v>2.54</v>
      </c>
      <c r="S17" s="169">
        <v>2.54</v>
      </c>
      <c r="T17" s="170" t="s">
        <v>174</v>
      </c>
      <c r="U17" s="169">
        <v>1.19</v>
      </c>
      <c r="V17" s="169">
        <v>1.51</v>
      </c>
      <c r="W17" s="169">
        <v>1.65</v>
      </c>
      <c r="Y17" s="4" t="s">
        <v>42</v>
      </c>
      <c r="Z17" s="49">
        <v>3478602.8829999999</v>
      </c>
      <c r="AA17" s="49">
        <v>289.93384741614381</v>
      </c>
    </row>
    <row r="18" spans="1:27" ht="16" thickBot="1">
      <c r="A18" s="157" t="s">
        <v>175</v>
      </c>
      <c r="B18" s="156">
        <v>4884466.3899999997</v>
      </c>
      <c r="C18" s="156">
        <v>5263922.72</v>
      </c>
      <c r="D18" s="155">
        <v>4386029.5599999996</v>
      </c>
      <c r="E18" s="156">
        <v>4639488.34</v>
      </c>
      <c r="F18" s="156">
        <v>5029431.6500000004</v>
      </c>
      <c r="G18" s="155">
        <v>4152368.75</v>
      </c>
      <c r="H18" s="155">
        <v>5060847.04</v>
      </c>
      <c r="I18" s="155">
        <v>4234590.28</v>
      </c>
      <c r="J18" s="154">
        <v>1256.8599999999999</v>
      </c>
      <c r="K18" s="156">
        <v>1484.36</v>
      </c>
      <c r="L18" s="155">
        <v>4234590.28</v>
      </c>
      <c r="M18" s="154">
        <v>319.66000000000003</v>
      </c>
      <c r="N18" s="154">
        <v>322.57</v>
      </c>
      <c r="P18" s="162" t="s">
        <v>42</v>
      </c>
      <c r="Q18" s="169">
        <v>1011.26</v>
      </c>
      <c r="R18" s="169">
        <v>1010.11</v>
      </c>
      <c r="S18" s="169">
        <v>985.61</v>
      </c>
      <c r="T18" s="164" t="s">
        <v>40</v>
      </c>
      <c r="U18" s="169">
        <v>631.65</v>
      </c>
      <c r="V18" s="169">
        <v>680.03</v>
      </c>
      <c r="W18" s="169">
        <v>676.55</v>
      </c>
    </row>
    <row r="19" spans="1:27" ht="16" thickBot="1">
      <c r="A19" s="153" t="s">
        <v>164</v>
      </c>
      <c r="B19" s="152">
        <v>4830821.16</v>
      </c>
      <c r="C19" s="152">
        <v>5212885.96</v>
      </c>
      <c r="D19" s="151">
        <v>4328889.46</v>
      </c>
      <c r="E19" s="152">
        <v>4586816.22</v>
      </c>
      <c r="F19" s="152">
        <v>4979333.88</v>
      </c>
      <c r="G19" s="151">
        <v>4096215.39</v>
      </c>
      <c r="H19" s="151">
        <v>4984545.1500000004</v>
      </c>
      <c r="I19" s="151">
        <v>4147124.97</v>
      </c>
      <c r="J19" s="152">
        <v>1113.28</v>
      </c>
      <c r="K19" s="152">
        <v>1341.73</v>
      </c>
      <c r="L19" s="151">
        <v>4147124.97</v>
      </c>
      <c r="M19" s="150">
        <v>317.29000000000002</v>
      </c>
      <c r="N19" s="150">
        <v>320.05</v>
      </c>
      <c r="P19" s="168"/>
      <c r="Q19" s="165"/>
      <c r="R19" s="165"/>
      <c r="S19" s="165"/>
      <c r="T19" s="163"/>
      <c r="U19" s="165"/>
      <c r="V19" s="165"/>
      <c r="W19" s="165"/>
      <c r="Y19" t="s">
        <v>288</v>
      </c>
    </row>
    <row r="20" spans="1:27" ht="16" thickBot="1">
      <c r="A20" s="153" t="s">
        <v>160</v>
      </c>
      <c r="B20" s="152">
        <v>40908.660000000003</v>
      </c>
      <c r="C20" s="152">
        <v>43099.24</v>
      </c>
      <c r="D20" s="151">
        <v>9247.4699999999993</v>
      </c>
      <c r="E20" s="152">
        <v>40059.64</v>
      </c>
      <c r="F20" s="152">
        <v>42249.09</v>
      </c>
      <c r="G20" s="151">
        <v>9154.98</v>
      </c>
      <c r="H20" s="151">
        <v>33956.550000000003</v>
      </c>
      <c r="I20" s="151">
        <v>35059.58</v>
      </c>
      <c r="J20" s="150">
        <v>112.45</v>
      </c>
      <c r="K20" s="150">
        <v>117.74</v>
      </c>
      <c r="L20" s="151">
        <v>35059.58</v>
      </c>
      <c r="M20" s="150">
        <v>575.54999999999995</v>
      </c>
      <c r="N20" s="150">
        <v>373.21</v>
      </c>
      <c r="P20" s="168"/>
      <c r="Q20" s="167" t="s">
        <v>80</v>
      </c>
      <c r="R20" s="166" t="s">
        <v>172</v>
      </c>
      <c r="S20" s="165"/>
      <c r="T20" s="163"/>
      <c r="U20" s="165"/>
      <c r="V20" s="165"/>
      <c r="W20" s="165"/>
    </row>
    <row r="21" spans="1:27" ht="16" thickBot="1">
      <c r="A21" s="161" t="s">
        <v>155</v>
      </c>
      <c r="B21" s="160">
        <v>12736.57</v>
      </c>
      <c r="C21" s="160">
        <v>7937.52</v>
      </c>
      <c r="D21" s="159">
        <v>47892.63</v>
      </c>
      <c r="E21" s="160">
        <v>12612.48</v>
      </c>
      <c r="F21" s="160">
        <v>7848.68</v>
      </c>
      <c r="G21" s="159">
        <v>46998.38</v>
      </c>
      <c r="H21" s="159">
        <v>42345.35</v>
      </c>
      <c r="I21" s="159">
        <v>52405.73</v>
      </c>
      <c r="J21" s="158">
        <v>31.14</v>
      </c>
      <c r="K21" s="158">
        <v>24.89</v>
      </c>
      <c r="L21" s="159">
        <v>52405.73</v>
      </c>
      <c r="M21" s="158">
        <v>372.66</v>
      </c>
      <c r="N21" s="158">
        <v>609.80999999999995</v>
      </c>
      <c r="U21" s="143"/>
      <c r="V21" s="143"/>
      <c r="W21" s="143"/>
    </row>
    <row r="22" spans="1:27" ht="16" thickBot="1">
      <c r="A22" s="157" t="s">
        <v>173</v>
      </c>
      <c r="B22" s="156">
        <v>4186584.14</v>
      </c>
      <c r="C22" s="156">
        <v>4370937.68</v>
      </c>
      <c r="D22" s="155">
        <v>4554261.1399999997</v>
      </c>
      <c r="E22" s="156">
        <v>3997441.42</v>
      </c>
      <c r="F22" s="156">
        <v>4159688.56</v>
      </c>
      <c r="G22" s="155">
        <v>4334981.8499999996</v>
      </c>
      <c r="H22" s="155">
        <v>4161282.9</v>
      </c>
      <c r="I22" s="155">
        <v>4335194.1900000004</v>
      </c>
      <c r="J22" s="154">
        <v>2025.73</v>
      </c>
      <c r="K22" s="156">
        <v>2430.79</v>
      </c>
      <c r="L22" s="155">
        <v>4335194.1900000004</v>
      </c>
      <c r="M22" s="154">
        <v>381.75</v>
      </c>
      <c r="N22" s="154">
        <v>385.48</v>
      </c>
    </row>
    <row r="23" spans="1:27" ht="16" thickBot="1">
      <c r="A23" s="153" t="s">
        <v>164</v>
      </c>
      <c r="B23" s="152">
        <v>4062259.55</v>
      </c>
      <c r="C23" s="152">
        <v>4261282.3099999996</v>
      </c>
      <c r="D23" s="151">
        <v>4482050.6900000004</v>
      </c>
      <c r="E23" s="152">
        <v>3876530.72</v>
      </c>
      <c r="F23" s="152">
        <v>4052340.8</v>
      </c>
      <c r="G23" s="151">
        <v>4264358.38</v>
      </c>
      <c r="H23" s="151">
        <v>4052753.65</v>
      </c>
      <c r="I23" s="151">
        <v>4264489.95</v>
      </c>
      <c r="J23" s="152">
        <v>1790.32</v>
      </c>
      <c r="K23" s="152">
        <v>2143.88</v>
      </c>
      <c r="L23" s="151">
        <v>4264489.95</v>
      </c>
      <c r="M23" s="150">
        <v>372.46</v>
      </c>
      <c r="N23" s="150">
        <v>378.9</v>
      </c>
      <c r="P23" s="58" t="s">
        <v>140</v>
      </c>
      <c r="Q23" s="58" t="s">
        <v>203</v>
      </c>
      <c r="R23" s="58" t="s">
        <v>141</v>
      </c>
      <c r="S23" s="58" t="s">
        <v>142</v>
      </c>
      <c r="T23" s="55"/>
      <c r="U23" s="55"/>
      <c r="V23" s="80"/>
    </row>
    <row r="24" spans="1:27" ht="16" thickBot="1">
      <c r="A24" s="153" t="s">
        <v>160</v>
      </c>
      <c r="B24" s="152">
        <v>112361.99</v>
      </c>
      <c r="C24" s="152">
        <v>93434.37</v>
      </c>
      <c r="D24" s="151">
        <v>9962.2000000000007</v>
      </c>
      <c r="E24" s="152">
        <v>109912.1</v>
      </c>
      <c r="F24" s="152">
        <v>91358.16</v>
      </c>
      <c r="G24" s="151">
        <v>9828.76</v>
      </c>
      <c r="H24" s="151">
        <v>15989.6</v>
      </c>
      <c r="I24" s="151">
        <v>9828.76</v>
      </c>
      <c r="J24" s="150">
        <v>210.11</v>
      </c>
      <c r="K24" s="150">
        <v>271.7</v>
      </c>
      <c r="L24" s="151">
        <v>9828.76</v>
      </c>
      <c r="M24" s="150">
        <v>698.29</v>
      </c>
      <c r="N24" s="150">
        <v>466.02</v>
      </c>
      <c r="P24" s="59" t="s">
        <v>21</v>
      </c>
      <c r="Q24" s="4" t="s">
        <v>148</v>
      </c>
      <c r="R24" s="59" t="s">
        <v>21</v>
      </c>
      <c r="S24" s="59" t="s">
        <v>21</v>
      </c>
      <c r="T24" s="55"/>
      <c r="U24" s="55"/>
      <c r="V24" s="55"/>
    </row>
    <row r="25" spans="1:27" ht="16" thickBot="1">
      <c r="A25" s="153" t="s">
        <v>155</v>
      </c>
      <c r="B25" s="152">
        <v>11962.6</v>
      </c>
      <c r="C25" s="152">
        <v>16221</v>
      </c>
      <c r="D25" s="151">
        <v>62248.25</v>
      </c>
      <c r="E25" s="152">
        <v>10998.6</v>
      </c>
      <c r="F25" s="152">
        <v>15989.6</v>
      </c>
      <c r="G25" s="151">
        <v>60794.71</v>
      </c>
      <c r="H25" s="151">
        <v>92539.65</v>
      </c>
      <c r="I25" s="151">
        <v>60875.48</v>
      </c>
      <c r="J25" s="150">
        <v>25.3</v>
      </c>
      <c r="K25" s="150">
        <v>15.21</v>
      </c>
      <c r="L25" s="151">
        <v>60875.48</v>
      </c>
      <c r="M25" s="150">
        <v>466.02</v>
      </c>
      <c r="N25" s="150">
        <v>659.75</v>
      </c>
      <c r="P25" s="59">
        <f>V14*100</f>
        <v>11247</v>
      </c>
      <c r="Q25" s="47">
        <f>$V$13*100/$Q$33</f>
        <v>182.15426819483733</v>
      </c>
      <c r="R25" s="59">
        <f>SUM(V15:V17)</f>
        <v>56.41</v>
      </c>
      <c r="S25" s="144">
        <f>SUM(S34:S36)</f>
        <v>17641.278078340001</v>
      </c>
      <c r="T25" s="55"/>
      <c r="U25" s="55"/>
      <c r="V25" s="118"/>
    </row>
    <row r="26" spans="1:27" ht="16" thickBot="1">
      <c r="A26" s="157" t="s">
        <v>171</v>
      </c>
      <c r="B26" s="156">
        <v>6520933.79</v>
      </c>
      <c r="C26" s="156">
        <v>6471360.0599999996</v>
      </c>
      <c r="D26" s="155">
        <v>6613154.3899999997</v>
      </c>
      <c r="E26" s="156">
        <v>6245095.9100000001</v>
      </c>
      <c r="F26" s="156">
        <v>6177936.8399999999</v>
      </c>
      <c r="G26" s="155">
        <v>6307539.2699999996</v>
      </c>
      <c r="H26" s="155">
        <v>6226758.3799999999</v>
      </c>
      <c r="I26" s="155">
        <v>6358287.5899999999</v>
      </c>
      <c r="J26" s="154">
        <v>1100.29</v>
      </c>
      <c r="K26" s="156">
        <v>1125.17</v>
      </c>
      <c r="L26" s="155">
        <v>6358287.5899999999</v>
      </c>
      <c r="M26" s="154">
        <v>331.67</v>
      </c>
      <c r="N26" s="154">
        <v>308.02999999999997</v>
      </c>
      <c r="P26" s="55"/>
      <c r="Q26" s="55"/>
      <c r="R26" s="118"/>
      <c r="S26" s="55"/>
      <c r="T26" s="55"/>
      <c r="U26" s="118"/>
      <c r="V26" s="55"/>
    </row>
    <row r="27" spans="1:27" ht="16" thickBot="1">
      <c r="A27" s="153" t="s">
        <v>164</v>
      </c>
      <c r="B27" s="152">
        <v>6520933.79</v>
      </c>
      <c r="C27" s="152">
        <v>6471360.0599999996</v>
      </c>
      <c r="D27" s="151">
        <v>6613154.3899999997</v>
      </c>
      <c r="E27" s="152">
        <v>6245095.9100000001</v>
      </c>
      <c r="F27" s="152">
        <v>6177936.8399999999</v>
      </c>
      <c r="G27" s="151">
        <v>6307539.2699999996</v>
      </c>
      <c r="H27" s="151">
        <v>6226758.3799999999</v>
      </c>
      <c r="I27" s="151">
        <v>6358287.5899999999</v>
      </c>
      <c r="J27" s="152">
        <v>1100.29</v>
      </c>
      <c r="K27" s="152">
        <v>1125.17</v>
      </c>
      <c r="L27" s="151">
        <v>6358287.5899999999</v>
      </c>
      <c r="M27" s="150">
        <v>331.67</v>
      </c>
      <c r="N27" s="150">
        <v>308.02999999999997</v>
      </c>
      <c r="P27" s="55"/>
      <c r="Q27" s="55"/>
      <c r="R27" s="55"/>
      <c r="S27" s="55"/>
      <c r="T27" s="55"/>
      <c r="U27" s="55"/>
      <c r="V27" s="55"/>
    </row>
    <row r="28" spans="1:27" ht="16" thickBot="1">
      <c r="A28" s="157" t="s">
        <v>169</v>
      </c>
      <c r="B28" s="156">
        <v>3154226.9</v>
      </c>
      <c r="C28" s="156">
        <v>2531417.87</v>
      </c>
      <c r="D28" s="155">
        <v>2277442.31</v>
      </c>
      <c r="E28" s="156">
        <v>2908575.5</v>
      </c>
      <c r="F28" s="156">
        <v>2326210.39</v>
      </c>
      <c r="G28" s="155">
        <v>2092461.1</v>
      </c>
      <c r="H28" s="155">
        <v>2324346.29</v>
      </c>
      <c r="I28" s="155">
        <v>2090573.57</v>
      </c>
      <c r="J28" s="154">
        <v>3436.03</v>
      </c>
      <c r="K28" s="156">
        <v>2974.81</v>
      </c>
      <c r="L28" s="155">
        <v>2090573.57</v>
      </c>
      <c r="M28" s="154">
        <v>247.4</v>
      </c>
      <c r="N28" s="154">
        <v>257.58999999999997</v>
      </c>
      <c r="P28" s="55"/>
      <c r="Q28" s="55"/>
      <c r="R28" s="55"/>
      <c r="S28" s="55"/>
      <c r="T28" s="55"/>
      <c r="U28" s="55"/>
      <c r="V28" s="55"/>
    </row>
    <row r="29" spans="1:27" ht="16" thickBot="1">
      <c r="A29" s="153" t="s">
        <v>164</v>
      </c>
      <c r="B29" s="152">
        <v>3044494.31</v>
      </c>
      <c r="C29" s="152">
        <v>2413313.4700000002</v>
      </c>
      <c r="D29" s="151">
        <v>2150362.0499999998</v>
      </c>
      <c r="E29" s="152">
        <v>2801419.29</v>
      </c>
      <c r="F29" s="152">
        <v>2211029.4900000002</v>
      </c>
      <c r="G29" s="151">
        <v>1968328.97</v>
      </c>
      <c r="H29" s="151">
        <v>2210793.62</v>
      </c>
      <c r="I29" s="151">
        <v>1968239.47</v>
      </c>
      <c r="J29" s="152">
        <v>2895.52</v>
      </c>
      <c r="K29" s="152">
        <v>2517.1999999999998</v>
      </c>
      <c r="L29" s="151">
        <v>1968239.47</v>
      </c>
      <c r="M29" s="150">
        <v>237.68</v>
      </c>
      <c r="N29" s="150">
        <v>243.97</v>
      </c>
      <c r="P29" s="384" t="s">
        <v>204</v>
      </c>
      <c r="Q29" s="384"/>
      <c r="R29" s="384"/>
      <c r="S29" s="384"/>
      <c r="T29" s="384"/>
      <c r="U29" s="384"/>
      <c r="V29" s="384"/>
    </row>
    <row r="30" spans="1:27" ht="31" thickBot="1">
      <c r="A30" s="153" t="s">
        <v>160</v>
      </c>
      <c r="B30" s="152">
        <v>100847.78</v>
      </c>
      <c r="C30" s="152">
        <v>109644.54</v>
      </c>
      <c r="D30" s="151">
        <v>118840.49</v>
      </c>
      <c r="E30" s="152">
        <v>98334.93</v>
      </c>
      <c r="F30" s="152">
        <v>106793.09</v>
      </c>
      <c r="G30" s="151">
        <v>115948.4</v>
      </c>
      <c r="H30" s="151">
        <v>105279.8</v>
      </c>
      <c r="I30" s="151">
        <v>114262.39999999999</v>
      </c>
      <c r="J30" s="150">
        <v>443.37</v>
      </c>
      <c r="K30" s="150">
        <v>367.74</v>
      </c>
      <c r="L30" s="151">
        <v>114262.39999999999</v>
      </c>
      <c r="M30" s="150">
        <v>465.92</v>
      </c>
      <c r="N30" s="150">
        <v>487.05</v>
      </c>
      <c r="P30" s="175"/>
      <c r="Q30" s="176" t="s">
        <v>144</v>
      </c>
      <c r="R30" s="176" t="s">
        <v>145</v>
      </c>
      <c r="S30" s="176" t="s">
        <v>146</v>
      </c>
      <c r="T30" s="176" t="s">
        <v>16</v>
      </c>
      <c r="U30" s="176" t="s">
        <v>17</v>
      </c>
      <c r="V30" s="176" t="s">
        <v>18</v>
      </c>
    </row>
    <row r="31" spans="1:27" ht="16" thickBot="1">
      <c r="A31" s="153" t="s">
        <v>162</v>
      </c>
      <c r="B31" s="152">
        <v>8884.81</v>
      </c>
      <c r="C31" s="152">
        <v>8459.86</v>
      </c>
      <c r="D31" s="151">
        <v>8239.77</v>
      </c>
      <c r="E31" s="152">
        <v>8821.2800000000007</v>
      </c>
      <c r="F31" s="152">
        <v>8387.81</v>
      </c>
      <c r="G31" s="151">
        <v>8183.73</v>
      </c>
      <c r="H31" s="151">
        <v>8272.8700000000008</v>
      </c>
      <c r="I31" s="151">
        <v>8071.7</v>
      </c>
      <c r="J31" s="150">
        <v>97.15</v>
      </c>
      <c r="K31" s="150">
        <v>89.87</v>
      </c>
      <c r="L31" s="151">
        <v>8071.7</v>
      </c>
      <c r="M31" s="150">
        <v>939.84</v>
      </c>
      <c r="N31" s="150">
        <v>975.49</v>
      </c>
      <c r="P31" s="177"/>
      <c r="Q31" s="178" t="s">
        <v>147</v>
      </c>
      <c r="R31" s="178" t="s">
        <v>148</v>
      </c>
      <c r="S31" s="178" t="s">
        <v>21</v>
      </c>
      <c r="T31" s="178" t="s">
        <v>21</v>
      </c>
      <c r="U31" s="178" t="s">
        <v>21</v>
      </c>
      <c r="V31" s="177"/>
    </row>
    <row r="32" spans="1:27" ht="16" thickBot="1">
      <c r="A32" s="157" t="s">
        <v>168</v>
      </c>
      <c r="B32" s="156">
        <v>376937.01</v>
      </c>
      <c r="C32" s="156">
        <v>317477.28000000003</v>
      </c>
      <c r="D32" s="155">
        <v>349266.6</v>
      </c>
      <c r="E32" s="156">
        <v>344558.11</v>
      </c>
      <c r="F32" s="156">
        <v>289925</v>
      </c>
      <c r="G32" s="155">
        <v>319542.89</v>
      </c>
      <c r="H32" s="155">
        <v>288552.57</v>
      </c>
      <c r="I32" s="155">
        <v>318026.78999999998</v>
      </c>
      <c r="J32" s="154">
        <v>337.56</v>
      </c>
      <c r="K32" s="156">
        <v>412.4</v>
      </c>
      <c r="L32" s="155">
        <v>318026.78999999998</v>
      </c>
      <c r="M32" s="154">
        <v>300.87</v>
      </c>
      <c r="N32" s="154">
        <v>344.08</v>
      </c>
      <c r="P32" s="179" t="s">
        <v>149</v>
      </c>
      <c r="Q32" s="180">
        <f>W8/100000</f>
        <v>347.86028829999998</v>
      </c>
      <c r="R32" s="180">
        <f>AA17</f>
        <v>289.93384741614381</v>
      </c>
      <c r="S32" s="180">
        <f>Q32*R32</f>
        <v>100856.47175010799</v>
      </c>
      <c r="T32" s="180">
        <f>V18*100</f>
        <v>68003</v>
      </c>
      <c r="U32" s="180">
        <f>S32-T32</f>
        <v>32853.471750107987</v>
      </c>
      <c r="V32" s="181">
        <f>U32/S32</f>
        <v>0.32574480526652777</v>
      </c>
    </row>
    <row r="33" spans="1:22" ht="16" thickBot="1">
      <c r="A33" s="153" t="s">
        <v>164</v>
      </c>
      <c r="B33" s="152">
        <v>322255.19</v>
      </c>
      <c r="C33" s="152">
        <v>267763.20000000001</v>
      </c>
      <c r="D33" s="151">
        <v>296533.94</v>
      </c>
      <c r="E33" s="152">
        <v>292073.96999999997</v>
      </c>
      <c r="F33" s="152">
        <v>241552.45</v>
      </c>
      <c r="G33" s="151">
        <v>268345.86</v>
      </c>
      <c r="H33" s="151">
        <v>240811.98</v>
      </c>
      <c r="I33" s="151">
        <v>267687.45</v>
      </c>
      <c r="J33" s="150">
        <v>165.13</v>
      </c>
      <c r="K33" s="150">
        <v>224.68</v>
      </c>
      <c r="L33" s="151">
        <v>267687.45</v>
      </c>
      <c r="M33" s="150">
        <v>291.66000000000003</v>
      </c>
      <c r="N33" s="150">
        <v>309.3</v>
      </c>
      <c r="P33" s="182" t="s">
        <v>192</v>
      </c>
      <c r="Q33" s="183">
        <f>W4/100000</f>
        <v>280.61379239999997</v>
      </c>
      <c r="R33" s="183">
        <f>AA13</f>
        <v>297.11048376532301</v>
      </c>
      <c r="S33" s="183">
        <f>Q33*R33</f>
        <v>83373.29961118591</v>
      </c>
      <c r="T33" s="183">
        <f>(V13+V14)*100</f>
        <v>62362</v>
      </c>
      <c r="U33" s="183">
        <f t="shared" ref="U33:U36" si="3">S33-T33</f>
        <v>21011.29961118591</v>
      </c>
      <c r="V33" s="184">
        <f>U33/S33</f>
        <v>0.25201473024544774</v>
      </c>
    </row>
    <row r="34" spans="1:22" ht="16" thickBot="1">
      <c r="A34" s="153" t="s">
        <v>160</v>
      </c>
      <c r="B34" s="152">
        <v>48809.95</v>
      </c>
      <c r="C34" s="152">
        <v>44059.51</v>
      </c>
      <c r="D34" s="151">
        <v>46277.87</v>
      </c>
      <c r="E34" s="152">
        <v>46689.43</v>
      </c>
      <c r="F34" s="152">
        <v>42747.33</v>
      </c>
      <c r="G34" s="151">
        <v>44757.120000000003</v>
      </c>
      <c r="H34" s="151">
        <v>42099.65</v>
      </c>
      <c r="I34" s="151">
        <v>44774.58</v>
      </c>
      <c r="J34" s="150">
        <v>136.84</v>
      </c>
      <c r="K34" s="150">
        <v>151.13</v>
      </c>
      <c r="L34" s="151">
        <v>44774.58</v>
      </c>
      <c r="M34" s="150">
        <v>315.45</v>
      </c>
      <c r="N34" s="150">
        <v>508.59</v>
      </c>
      <c r="P34" s="185" t="s">
        <v>193</v>
      </c>
      <c r="Q34" s="180">
        <f>W5/100000</f>
        <v>15.917971099999995</v>
      </c>
      <c r="R34" s="180">
        <f t="shared" ref="R34:R36" si="4">AA14</f>
        <v>340.603379943189</v>
      </c>
      <c r="S34" s="180">
        <f>Q34*R34</f>
        <v>5421.7147584980003</v>
      </c>
      <c r="T34" s="180">
        <f>V15*100</f>
        <v>2100</v>
      </c>
      <c r="U34" s="180">
        <f t="shared" si="3"/>
        <v>3321.7147584980003</v>
      </c>
      <c r="V34" s="181">
        <f>U34/S34</f>
        <v>0.61266866784010388</v>
      </c>
    </row>
    <row r="35" spans="1:22" ht="16" thickBot="1">
      <c r="A35" s="153" t="s">
        <v>162</v>
      </c>
      <c r="B35" s="152">
        <v>5871.87</v>
      </c>
      <c r="C35" s="152">
        <v>5654.57</v>
      </c>
      <c r="D35" s="151">
        <v>6454.79</v>
      </c>
      <c r="E35" s="152">
        <v>5794.71</v>
      </c>
      <c r="F35" s="152">
        <v>5625.22</v>
      </c>
      <c r="G35" s="151">
        <v>6439.91</v>
      </c>
      <c r="H35" s="151">
        <v>5640.94</v>
      </c>
      <c r="I35" s="151">
        <v>5564.76</v>
      </c>
      <c r="J35" s="150">
        <v>35.590000000000003</v>
      </c>
      <c r="K35" s="150">
        <v>36.6</v>
      </c>
      <c r="L35" s="151">
        <v>5564.76</v>
      </c>
      <c r="M35" s="150">
        <v>639.79999999999995</v>
      </c>
      <c r="N35" s="150">
        <v>601.34</v>
      </c>
      <c r="P35" s="182" t="s">
        <v>158</v>
      </c>
      <c r="Q35" s="183">
        <f>W6/100000</f>
        <v>51.021744099999999</v>
      </c>
      <c r="R35" s="183">
        <f t="shared" si="4"/>
        <v>234.52534176243503</v>
      </c>
      <c r="S35" s="183">
        <f>Q35*R35</f>
        <v>11965.891972368003</v>
      </c>
      <c r="T35" s="183">
        <f t="shared" ref="T35:T36" si="5">V16*100</f>
        <v>3390</v>
      </c>
      <c r="U35" s="183">
        <f t="shared" si="3"/>
        <v>8575.8919723680028</v>
      </c>
      <c r="V35" s="184">
        <f>U35/S35</f>
        <v>0.71669475139602712</v>
      </c>
    </row>
    <row r="36" spans="1:22" ht="16" thickBot="1">
      <c r="A36" s="157" t="s">
        <v>167</v>
      </c>
      <c r="B36" s="156">
        <v>3420127.84</v>
      </c>
      <c r="C36" s="156">
        <v>3019809.29</v>
      </c>
      <c r="D36" s="155">
        <v>2721957.65</v>
      </c>
      <c r="E36" s="156">
        <v>3223733.66</v>
      </c>
      <c r="F36" s="156">
        <v>2852258.81</v>
      </c>
      <c r="G36" s="155">
        <v>2596199.5499999998</v>
      </c>
      <c r="H36" s="155">
        <v>2583124.69</v>
      </c>
      <c r="I36" s="155">
        <v>2456898.7999999998</v>
      </c>
      <c r="J36" s="154">
        <v>903.45</v>
      </c>
      <c r="K36" s="156">
        <v>928.56</v>
      </c>
      <c r="L36" s="155">
        <v>2456898.7999999998</v>
      </c>
      <c r="M36" s="154">
        <v>213.08</v>
      </c>
      <c r="N36" s="154">
        <v>235.48</v>
      </c>
      <c r="P36" s="185" t="s">
        <v>194</v>
      </c>
      <c r="Q36" s="180">
        <f>W7/100000</f>
        <v>0.30678070000000002</v>
      </c>
      <c r="R36" s="180">
        <f t="shared" si="4"/>
        <v>826.88170238219038</v>
      </c>
      <c r="S36" s="180">
        <f>Q36*R36</f>
        <v>253.67134747400004</v>
      </c>
      <c r="T36" s="180">
        <f t="shared" si="5"/>
        <v>151</v>
      </c>
      <c r="U36" s="180">
        <f t="shared" si="3"/>
        <v>102.67134747400004</v>
      </c>
      <c r="V36" s="181">
        <f>U36/S36</f>
        <v>0.40474160166836859</v>
      </c>
    </row>
    <row r="37" spans="1:22" ht="16" thickBot="1">
      <c r="A37" s="153" t="s">
        <v>164</v>
      </c>
      <c r="B37" s="152">
        <v>2610737.35</v>
      </c>
      <c r="C37" s="152">
        <v>2099940.2999999998</v>
      </c>
      <c r="D37" s="151">
        <v>1858849.78</v>
      </c>
      <c r="E37" s="152">
        <v>2426286.3199999998</v>
      </c>
      <c r="F37" s="152">
        <v>1945444.99</v>
      </c>
      <c r="G37" s="151">
        <v>1716316.95</v>
      </c>
      <c r="H37" s="151">
        <v>1676554.15</v>
      </c>
      <c r="I37" s="151">
        <v>1493438.75</v>
      </c>
      <c r="J37" s="150">
        <v>56.5</v>
      </c>
      <c r="K37" s="150">
        <v>49.5</v>
      </c>
      <c r="L37" s="151">
        <v>1493438.75</v>
      </c>
      <c r="M37" s="150">
        <v>190.88</v>
      </c>
      <c r="N37" s="150">
        <v>216.11</v>
      </c>
      <c r="P37" s="55"/>
      <c r="Q37" s="55"/>
      <c r="R37" s="55"/>
      <c r="S37" s="55"/>
      <c r="T37" s="55"/>
      <c r="U37" s="55"/>
      <c r="V37" s="55"/>
    </row>
    <row r="38" spans="1:22" ht="16" thickBot="1">
      <c r="A38" s="153" t="s">
        <v>160</v>
      </c>
      <c r="B38" s="152">
        <v>203353.1</v>
      </c>
      <c r="C38" s="152">
        <v>202852.92</v>
      </c>
      <c r="D38" s="151">
        <v>661764.24</v>
      </c>
      <c r="E38" s="152">
        <v>198464.42</v>
      </c>
      <c r="F38" s="152">
        <v>197394.49</v>
      </c>
      <c r="G38" s="151">
        <v>682571.74</v>
      </c>
      <c r="H38" s="151">
        <v>702811.44</v>
      </c>
      <c r="I38" s="151">
        <v>766262.71</v>
      </c>
      <c r="J38" s="150">
        <v>797.52</v>
      </c>
      <c r="K38" s="150">
        <v>836.12</v>
      </c>
      <c r="L38" s="151">
        <v>766262.71</v>
      </c>
      <c r="M38" s="150">
        <v>446.46</v>
      </c>
      <c r="N38" s="150">
        <v>219.24</v>
      </c>
      <c r="P38" s="385" t="s">
        <v>205</v>
      </c>
      <c r="Q38" s="385"/>
      <c r="R38" s="385"/>
      <c r="S38" s="385"/>
      <c r="T38" s="385"/>
      <c r="U38" s="385"/>
      <c r="V38" s="385"/>
    </row>
    <row r="39" spans="1:22" ht="46" thickBot="1">
      <c r="A39" s="153" t="s">
        <v>155</v>
      </c>
      <c r="B39" s="152">
        <v>599035.24</v>
      </c>
      <c r="C39" s="152">
        <v>710397.91</v>
      </c>
      <c r="D39" s="151">
        <v>194980.4</v>
      </c>
      <c r="E39" s="152">
        <v>591994.04</v>
      </c>
      <c r="F39" s="152">
        <v>702804.29</v>
      </c>
      <c r="G39" s="151">
        <v>190950.66</v>
      </c>
      <c r="H39" s="151">
        <v>197203.76</v>
      </c>
      <c r="I39" s="151">
        <v>190570.44</v>
      </c>
      <c r="J39" s="150">
        <v>6.86</v>
      </c>
      <c r="K39" s="150" t="s">
        <v>40</v>
      </c>
      <c r="L39" s="151">
        <v>190570.44</v>
      </c>
      <c r="M39" s="150">
        <v>217.32</v>
      </c>
      <c r="N39" s="150">
        <v>440.16</v>
      </c>
      <c r="P39" s="176" t="s">
        <v>61</v>
      </c>
      <c r="Q39" s="176" t="s">
        <v>144</v>
      </c>
      <c r="R39" s="176" t="s">
        <v>145</v>
      </c>
      <c r="S39" s="176" t="s">
        <v>199</v>
      </c>
      <c r="T39" s="176" t="s">
        <v>200</v>
      </c>
      <c r="U39" s="176" t="s">
        <v>201</v>
      </c>
      <c r="V39" s="176" t="s">
        <v>202</v>
      </c>
    </row>
    <row r="40" spans="1:22" ht="16" thickBot="1">
      <c r="A40" s="153" t="s">
        <v>162</v>
      </c>
      <c r="B40" s="152">
        <v>7002.15</v>
      </c>
      <c r="C40" s="152">
        <v>6618.16</v>
      </c>
      <c r="D40" s="151">
        <v>6363.23</v>
      </c>
      <c r="E40" s="152">
        <v>6988.88</v>
      </c>
      <c r="F40" s="152">
        <v>6615.04</v>
      </c>
      <c r="G40" s="151">
        <v>6360.2</v>
      </c>
      <c r="H40" s="151">
        <v>6555.35</v>
      </c>
      <c r="I40" s="151">
        <v>6626.9</v>
      </c>
      <c r="J40" s="150">
        <v>42.57</v>
      </c>
      <c r="K40" s="150">
        <v>42.94</v>
      </c>
      <c r="L40" s="151">
        <v>6626.9</v>
      </c>
      <c r="M40" s="150">
        <v>796.27</v>
      </c>
      <c r="N40" s="150">
        <v>774.96</v>
      </c>
      <c r="P40" s="178"/>
      <c r="Q40" s="178" t="s">
        <v>147</v>
      </c>
      <c r="R40" s="178" t="s">
        <v>148</v>
      </c>
      <c r="S40" s="178" t="s">
        <v>21</v>
      </c>
      <c r="T40" s="178" t="s">
        <v>21</v>
      </c>
      <c r="U40" s="178" t="s">
        <v>21</v>
      </c>
      <c r="V40" s="177"/>
    </row>
    <row r="41" spans="1:22" ht="16" thickBot="1">
      <c r="A41" s="157" t="s">
        <v>166</v>
      </c>
      <c r="B41" s="156">
        <v>111661.81</v>
      </c>
      <c r="C41" s="156">
        <v>243640.98</v>
      </c>
      <c r="D41" s="155">
        <v>240157.44</v>
      </c>
      <c r="E41" s="156">
        <v>108600.6</v>
      </c>
      <c r="F41" s="156">
        <v>229308.4</v>
      </c>
      <c r="G41" s="155">
        <v>223211.1</v>
      </c>
      <c r="H41" s="155">
        <v>228814.26</v>
      </c>
      <c r="I41" s="155">
        <v>218515.34</v>
      </c>
      <c r="J41" s="154">
        <v>63.15</v>
      </c>
      <c r="K41" s="156">
        <v>75.67</v>
      </c>
      <c r="L41" s="155">
        <v>218515.34</v>
      </c>
      <c r="M41" s="154">
        <v>392.59</v>
      </c>
      <c r="N41" s="154">
        <v>448.16</v>
      </c>
      <c r="P41" s="179" t="s">
        <v>196</v>
      </c>
      <c r="Q41" s="186">
        <f>Q33*(1-25%)</f>
        <v>210.46034429999997</v>
      </c>
      <c r="R41" s="186">
        <f>$AA$13</f>
        <v>297.11048376532301</v>
      </c>
      <c r="S41" s="186">
        <f>Q41*R41</f>
        <v>62529.974708389433</v>
      </c>
      <c r="T41" s="186">
        <f>Q41*$Q$25+$P$25</f>
        <v>49583.25</v>
      </c>
      <c r="U41" s="186">
        <f>S41-T41</f>
        <v>12946.724708389433</v>
      </c>
      <c r="V41" s="187">
        <f>U41/S41</f>
        <v>0.20704829593753882</v>
      </c>
    </row>
    <row r="42" spans="1:22" ht="16" thickBot="1">
      <c r="A42" s="153" t="s">
        <v>164</v>
      </c>
      <c r="B42" s="152">
        <v>19517.419999999998</v>
      </c>
      <c r="C42" s="152">
        <v>155489.18</v>
      </c>
      <c r="D42" s="151">
        <v>163255.62</v>
      </c>
      <c r="E42" s="152">
        <v>18018.84</v>
      </c>
      <c r="F42" s="152">
        <v>142939.06</v>
      </c>
      <c r="G42" s="151">
        <v>147769.88</v>
      </c>
      <c r="H42" s="151">
        <v>142939.06</v>
      </c>
      <c r="I42" s="151">
        <v>147769.84</v>
      </c>
      <c r="J42" s="150" t="s">
        <v>40</v>
      </c>
      <c r="K42" s="150" t="s">
        <v>40</v>
      </c>
      <c r="L42" s="151">
        <v>147769.84</v>
      </c>
      <c r="M42" s="150">
        <v>237.64</v>
      </c>
      <c r="N42" s="150">
        <v>485.53</v>
      </c>
      <c r="P42" s="188" t="s">
        <v>197</v>
      </c>
      <c r="Q42" s="189">
        <f>Q33*(1-50%)</f>
        <v>140.30689619999998</v>
      </c>
      <c r="R42" s="189">
        <f>$AA$13</f>
        <v>297.11048376532301</v>
      </c>
      <c r="S42" s="189">
        <f>Q42*R42</f>
        <v>41686.649805592955</v>
      </c>
      <c r="T42" s="189">
        <f>Q42*$Q$25+$P$25</f>
        <v>36804.5</v>
      </c>
      <c r="U42" s="189">
        <f>S42-T42</f>
        <v>4882.1498055929551</v>
      </c>
      <c r="V42" s="190">
        <f>U42/S42</f>
        <v>0.11711542732172096</v>
      </c>
    </row>
    <row r="43" spans="1:22" ht="16" thickBot="1">
      <c r="A43" s="153" t="s">
        <v>160</v>
      </c>
      <c r="B43" s="152">
        <v>92144.39</v>
      </c>
      <c r="C43" s="152">
        <v>88151.8</v>
      </c>
      <c r="D43" s="151">
        <v>76901.820000000007</v>
      </c>
      <c r="E43" s="152">
        <v>90581.759999999995</v>
      </c>
      <c r="F43" s="152">
        <v>86369.34</v>
      </c>
      <c r="G43" s="151">
        <v>75441.22</v>
      </c>
      <c r="H43" s="151">
        <v>85875.199999999997</v>
      </c>
      <c r="I43" s="151">
        <v>70745.5</v>
      </c>
      <c r="J43" s="150">
        <v>63.15</v>
      </c>
      <c r="K43" s="150">
        <v>75.67</v>
      </c>
      <c r="L43" s="151">
        <v>70745.5</v>
      </c>
      <c r="M43" s="150">
        <v>423.52</v>
      </c>
      <c r="N43" s="150">
        <v>385.96</v>
      </c>
      <c r="P43" s="179" t="s">
        <v>198</v>
      </c>
      <c r="Q43" s="186">
        <f>Q33*(1-75%)</f>
        <v>70.153448099999991</v>
      </c>
      <c r="R43" s="186">
        <f>$AA$13</f>
        <v>297.11048376532301</v>
      </c>
      <c r="S43" s="186">
        <f>Q43*R43</f>
        <v>20843.324902796478</v>
      </c>
      <c r="T43" s="186">
        <f>Q43*$Q$25+$P$25</f>
        <v>24025.75</v>
      </c>
      <c r="U43" s="186">
        <f>S43-T43</f>
        <v>-3182.4250972035225</v>
      </c>
      <c r="V43" s="187">
        <f>U43/S43</f>
        <v>-0.1526831785257326</v>
      </c>
    </row>
    <row r="44" spans="1:22" ht="16" thickBot="1">
      <c r="A44" s="157" t="s">
        <v>165</v>
      </c>
      <c r="B44" s="156">
        <v>477475</v>
      </c>
      <c r="C44" s="156">
        <v>444273</v>
      </c>
      <c r="D44" s="155">
        <v>509506</v>
      </c>
      <c r="E44" s="156">
        <v>446425</v>
      </c>
      <c r="F44" s="156">
        <v>415196</v>
      </c>
      <c r="G44" s="155">
        <v>476717</v>
      </c>
      <c r="H44" s="155">
        <v>415195.75</v>
      </c>
      <c r="I44" s="155">
        <v>476716.88</v>
      </c>
      <c r="J44" s="154">
        <v>45.72</v>
      </c>
      <c r="K44" s="156">
        <v>110.88</v>
      </c>
      <c r="L44" s="155">
        <v>476716.88</v>
      </c>
      <c r="M44" s="154">
        <v>316.29000000000002</v>
      </c>
      <c r="N44" s="154">
        <v>318.64999999999998</v>
      </c>
    </row>
    <row r="45" spans="1:22" ht="16" thickBot="1">
      <c r="A45" s="161" t="s">
        <v>164</v>
      </c>
      <c r="B45" s="160">
        <v>477475</v>
      </c>
      <c r="C45" s="160">
        <v>444273</v>
      </c>
      <c r="D45" s="159">
        <v>509506</v>
      </c>
      <c r="E45" s="160">
        <v>446425</v>
      </c>
      <c r="F45" s="160">
        <v>415196</v>
      </c>
      <c r="G45" s="159">
        <v>476717</v>
      </c>
      <c r="H45" s="159">
        <v>415195.75</v>
      </c>
      <c r="I45" s="159">
        <v>476716.88</v>
      </c>
      <c r="J45" s="158">
        <v>45.72</v>
      </c>
      <c r="K45" s="158">
        <v>110.88</v>
      </c>
      <c r="L45" s="159">
        <v>476716.88</v>
      </c>
      <c r="M45" s="158">
        <v>316.29000000000002</v>
      </c>
      <c r="N45" s="158">
        <v>318.64999999999998</v>
      </c>
    </row>
    <row r="46" spans="1:22" ht="16" thickBot="1">
      <c r="A46" s="157" t="s">
        <v>118</v>
      </c>
      <c r="B46" s="156">
        <v>9565.56</v>
      </c>
      <c r="C46" s="156">
        <v>16552.080000000002</v>
      </c>
      <c r="D46" s="155">
        <v>13786.5</v>
      </c>
      <c r="E46" s="156">
        <v>9437.34</v>
      </c>
      <c r="F46" s="156">
        <v>16331.29</v>
      </c>
      <c r="G46" s="155">
        <v>13513.69</v>
      </c>
      <c r="H46" s="155">
        <v>16231.64</v>
      </c>
      <c r="I46" s="155">
        <v>13516.01</v>
      </c>
      <c r="J46" s="154">
        <v>0.13</v>
      </c>
      <c r="K46" s="156">
        <v>4.8899999999999997</v>
      </c>
      <c r="L46" s="155">
        <v>13516.01</v>
      </c>
      <c r="M46" s="154">
        <v>381.26</v>
      </c>
      <c r="N46" s="154">
        <v>387.05</v>
      </c>
    </row>
    <row r="47" spans="1:22" ht="16" thickBot="1">
      <c r="A47" s="153" t="s">
        <v>155</v>
      </c>
      <c r="B47" s="152">
        <v>9565.56</v>
      </c>
      <c r="C47" s="152">
        <v>16552.080000000002</v>
      </c>
      <c r="D47" s="151">
        <v>13786.5</v>
      </c>
      <c r="E47" s="152">
        <v>9437.34</v>
      </c>
      <c r="F47" s="152">
        <v>16331.29</v>
      </c>
      <c r="G47" s="151">
        <v>13513.69</v>
      </c>
      <c r="H47" s="151">
        <v>16231.64</v>
      </c>
      <c r="I47" s="151">
        <v>13516.01</v>
      </c>
      <c r="J47" s="150">
        <v>0.13</v>
      </c>
      <c r="K47" s="150">
        <v>4.8899999999999997</v>
      </c>
      <c r="L47" s="151">
        <v>13516.01</v>
      </c>
      <c r="M47" s="150">
        <v>381.26</v>
      </c>
      <c r="N47" s="150">
        <v>387.05</v>
      </c>
    </row>
    <row r="48" spans="1:22" ht="16" thickBot="1">
      <c r="A48" s="157" t="s">
        <v>163</v>
      </c>
      <c r="B48" s="156">
        <v>62524.24</v>
      </c>
      <c r="C48" s="156">
        <v>62606.79</v>
      </c>
      <c r="D48" s="155">
        <v>60494.62</v>
      </c>
      <c r="E48" s="156">
        <v>61727.040000000001</v>
      </c>
      <c r="F48" s="156">
        <v>62018.7</v>
      </c>
      <c r="G48" s="155">
        <v>60132.32</v>
      </c>
      <c r="H48" s="155">
        <v>61374.22</v>
      </c>
      <c r="I48" s="155">
        <v>60132.31</v>
      </c>
      <c r="J48" s="154">
        <v>95.54</v>
      </c>
      <c r="K48" s="156">
        <v>91.49</v>
      </c>
      <c r="L48" s="155">
        <v>60132.31</v>
      </c>
      <c r="M48" s="154">
        <v>280.58</v>
      </c>
      <c r="N48" s="154">
        <v>297.06</v>
      </c>
    </row>
    <row r="49" spans="1:22" ht="16" thickBot="1">
      <c r="A49" s="153" t="s">
        <v>160</v>
      </c>
      <c r="B49" s="152">
        <v>8867.34</v>
      </c>
      <c r="C49" s="152">
        <v>10213.1</v>
      </c>
      <c r="D49" s="151">
        <v>47068.77</v>
      </c>
      <c r="E49" s="152">
        <v>8740.94</v>
      </c>
      <c r="F49" s="152">
        <v>10016.120000000001</v>
      </c>
      <c r="G49" s="151">
        <v>46704.7</v>
      </c>
      <c r="H49" s="151">
        <v>46948.7</v>
      </c>
      <c r="I49" s="151">
        <v>46704.7</v>
      </c>
      <c r="J49" s="150">
        <v>61.62</v>
      </c>
      <c r="K49" s="150">
        <v>52.38</v>
      </c>
      <c r="L49" s="151">
        <v>46704.7</v>
      </c>
      <c r="M49" s="150">
        <v>468.11</v>
      </c>
      <c r="N49" s="150">
        <v>202.22</v>
      </c>
    </row>
    <row r="50" spans="1:22" ht="16" thickBot="1">
      <c r="A50" s="153" t="s">
        <v>155</v>
      </c>
      <c r="B50" s="152">
        <v>49505.35</v>
      </c>
      <c r="C50" s="152">
        <v>48015.13</v>
      </c>
      <c r="D50" s="151">
        <v>9036.89</v>
      </c>
      <c r="E50" s="152">
        <v>48869.48</v>
      </c>
      <c r="F50" s="152">
        <v>47718.15</v>
      </c>
      <c r="G50" s="151">
        <v>9069.32</v>
      </c>
      <c r="H50" s="151">
        <v>10104.16</v>
      </c>
      <c r="I50" s="151">
        <v>9069.32</v>
      </c>
      <c r="J50" s="150" t="s">
        <v>40</v>
      </c>
      <c r="K50" s="150" t="s">
        <v>40</v>
      </c>
      <c r="L50" s="151">
        <v>9069.32</v>
      </c>
      <c r="M50" s="150">
        <v>200</v>
      </c>
      <c r="N50" s="150">
        <v>484.37</v>
      </c>
    </row>
    <row r="51" spans="1:22" ht="16" thickBot="1">
      <c r="A51" s="153" t="s">
        <v>162</v>
      </c>
      <c r="B51" s="152">
        <v>4151.55</v>
      </c>
      <c r="C51" s="152">
        <v>4378.5600000000004</v>
      </c>
      <c r="D51" s="151">
        <v>4388.96</v>
      </c>
      <c r="E51" s="152">
        <v>4116.62</v>
      </c>
      <c r="F51" s="152">
        <v>4284.43</v>
      </c>
      <c r="G51" s="151">
        <v>4358.3</v>
      </c>
      <c r="H51" s="151">
        <v>4321.3599999999997</v>
      </c>
      <c r="I51" s="151">
        <v>4358.29</v>
      </c>
      <c r="J51" s="150">
        <v>33.92</v>
      </c>
      <c r="K51" s="150">
        <v>39.11</v>
      </c>
      <c r="L51" s="151">
        <v>4358.29</v>
      </c>
      <c r="M51" s="150">
        <v>855.52</v>
      </c>
      <c r="N51" s="150">
        <v>889.5</v>
      </c>
      <c r="P51" s="55"/>
      <c r="Q51" s="55"/>
      <c r="R51" s="55"/>
      <c r="S51" s="55"/>
      <c r="T51" s="55"/>
      <c r="U51" s="55"/>
      <c r="V51" s="55"/>
    </row>
    <row r="52" spans="1:22" ht="16" thickBot="1">
      <c r="A52" s="157" t="s">
        <v>125</v>
      </c>
      <c r="B52" s="156">
        <v>5213620.53</v>
      </c>
      <c r="C52" s="156">
        <v>4599824.68</v>
      </c>
      <c r="D52" s="155">
        <v>4253378.2699999996</v>
      </c>
      <c r="E52" s="156">
        <v>5180396.8600000003</v>
      </c>
      <c r="F52" s="156">
        <v>4565676.9000000004</v>
      </c>
      <c r="G52" s="155">
        <v>4224590.25</v>
      </c>
      <c r="H52" s="155">
        <v>4567737.6900000004</v>
      </c>
      <c r="I52" s="155">
        <v>4224693.34</v>
      </c>
      <c r="J52" s="154">
        <v>0.68</v>
      </c>
      <c r="K52" s="156">
        <v>67.33</v>
      </c>
      <c r="L52" s="155">
        <v>4224693.34</v>
      </c>
      <c r="M52" s="154">
        <v>193.22</v>
      </c>
      <c r="N52" s="154">
        <v>203.1</v>
      </c>
      <c r="P52" s="55"/>
      <c r="Q52" s="55"/>
      <c r="R52" s="55"/>
      <c r="S52" s="55"/>
      <c r="T52" s="55"/>
      <c r="U52" s="55"/>
      <c r="V52" s="55"/>
    </row>
    <row r="53" spans="1:22" ht="16" thickBot="1">
      <c r="A53" s="153" t="s">
        <v>155</v>
      </c>
      <c r="B53" s="152">
        <v>5213620.53</v>
      </c>
      <c r="C53" s="152">
        <v>4599824.68</v>
      </c>
      <c r="D53" s="151">
        <v>4253378.2699999996</v>
      </c>
      <c r="E53" s="152">
        <v>5180396.8600000003</v>
      </c>
      <c r="F53" s="152">
        <v>4565676.9000000004</v>
      </c>
      <c r="G53" s="151">
        <v>4224590.25</v>
      </c>
      <c r="H53" s="151">
        <v>4567737.6900000004</v>
      </c>
      <c r="I53" s="151">
        <v>4224693.34</v>
      </c>
      <c r="J53" s="150">
        <v>0.68</v>
      </c>
      <c r="K53" s="150">
        <v>67.33</v>
      </c>
      <c r="L53" s="151">
        <v>4224693.34</v>
      </c>
      <c r="M53" s="150">
        <v>193.22</v>
      </c>
      <c r="N53" s="150">
        <v>203.1</v>
      </c>
      <c r="P53" s="55"/>
      <c r="Q53" s="55"/>
      <c r="R53" s="55"/>
      <c r="S53" s="55"/>
      <c r="T53" s="55"/>
      <c r="U53" s="55"/>
      <c r="V53" s="55"/>
    </row>
    <row r="54" spans="1:22" ht="16" thickBot="1">
      <c r="A54" s="157" t="s">
        <v>122</v>
      </c>
      <c r="B54" s="156">
        <v>76688.06</v>
      </c>
      <c r="C54" s="156">
        <v>56167.62</v>
      </c>
      <c r="D54" s="155">
        <v>58647.92</v>
      </c>
      <c r="E54" s="156">
        <v>73770.899999999994</v>
      </c>
      <c r="F54" s="156">
        <v>53609.59</v>
      </c>
      <c r="G54" s="155">
        <v>56288.9</v>
      </c>
      <c r="H54" s="155">
        <v>53217.73</v>
      </c>
      <c r="I54" s="155">
        <v>56272.89</v>
      </c>
      <c r="J54" s="154">
        <v>329.03</v>
      </c>
      <c r="K54" s="156">
        <v>232.61</v>
      </c>
      <c r="L54" s="155">
        <v>56272.89</v>
      </c>
      <c r="M54" s="154">
        <v>523.97</v>
      </c>
      <c r="N54" s="154">
        <v>526.29999999999995</v>
      </c>
    </row>
    <row r="55" spans="1:22" ht="16" thickBot="1">
      <c r="A55" s="153" t="s">
        <v>160</v>
      </c>
      <c r="B55" s="152">
        <v>76688.06</v>
      </c>
      <c r="C55" s="152">
        <v>56167.62</v>
      </c>
      <c r="D55" s="151">
        <v>58647.92</v>
      </c>
      <c r="E55" s="152">
        <v>73770.899999999994</v>
      </c>
      <c r="F55" s="152">
        <v>53609.59</v>
      </c>
      <c r="G55" s="151">
        <v>56288.9</v>
      </c>
      <c r="H55" s="151">
        <v>53217.73</v>
      </c>
      <c r="I55" s="151">
        <v>56272.89</v>
      </c>
      <c r="J55" s="150">
        <v>329.03</v>
      </c>
      <c r="K55" s="150">
        <v>232.61</v>
      </c>
      <c r="L55" s="151">
        <v>56272.89</v>
      </c>
      <c r="M55" s="150">
        <v>523.97</v>
      </c>
      <c r="N55" s="150">
        <v>526.29999999999995</v>
      </c>
    </row>
    <row r="56" spans="1:22" ht="16" thickBot="1">
      <c r="A56" s="157" t="s">
        <v>115</v>
      </c>
      <c r="B56" s="156">
        <v>20530.12</v>
      </c>
      <c r="C56" s="156">
        <v>19802.18</v>
      </c>
      <c r="D56" s="155">
        <v>19865.759999999998</v>
      </c>
      <c r="E56" s="156">
        <v>20059.830000000002</v>
      </c>
      <c r="F56" s="156">
        <v>19317.13</v>
      </c>
      <c r="G56" s="155">
        <v>19440.84</v>
      </c>
      <c r="H56" s="155">
        <v>19319.96</v>
      </c>
      <c r="I56" s="155">
        <v>19440.84</v>
      </c>
      <c r="J56" s="154">
        <v>41.36</v>
      </c>
      <c r="K56" s="156">
        <v>49.94</v>
      </c>
      <c r="L56" s="155">
        <v>19440.84</v>
      </c>
      <c r="M56" s="154">
        <v>526.47</v>
      </c>
      <c r="N56" s="154">
        <v>521.64</v>
      </c>
    </row>
    <row r="57" spans="1:22" ht="16" thickBot="1">
      <c r="A57" s="153" t="s">
        <v>160</v>
      </c>
      <c r="B57" s="152">
        <v>20530.12</v>
      </c>
      <c r="C57" s="152">
        <v>19802.18</v>
      </c>
      <c r="D57" s="151">
        <v>19865.759999999998</v>
      </c>
      <c r="E57" s="152">
        <v>20059.830000000002</v>
      </c>
      <c r="F57" s="152">
        <v>19317.13</v>
      </c>
      <c r="G57" s="151">
        <v>19440.84</v>
      </c>
      <c r="H57" s="151">
        <v>19319.96</v>
      </c>
      <c r="I57" s="151">
        <v>19440.84</v>
      </c>
      <c r="J57" s="150">
        <v>41.36</v>
      </c>
      <c r="K57" s="150">
        <v>49.94</v>
      </c>
      <c r="L57" s="151">
        <v>19440.84</v>
      </c>
      <c r="M57" s="150">
        <v>526.47</v>
      </c>
      <c r="N57" s="150">
        <v>521.64</v>
      </c>
    </row>
    <row r="58" spans="1:22" ht="16" thickBot="1">
      <c r="A58" s="157" t="s">
        <v>161</v>
      </c>
      <c r="B58" s="156">
        <v>42963.15</v>
      </c>
      <c r="C58" s="156">
        <v>37899.24</v>
      </c>
      <c r="D58" s="155">
        <v>36891.33</v>
      </c>
      <c r="E58" s="156">
        <v>41554.51</v>
      </c>
      <c r="F58" s="156">
        <v>36703.93</v>
      </c>
      <c r="G58" s="155">
        <v>35602.17</v>
      </c>
      <c r="H58" s="155">
        <v>36703.93</v>
      </c>
      <c r="I58" s="155">
        <v>35653.35</v>
      </c>
      <c r="J58" s="154">
        <v>63.46</v>
      </c>
      <c r="K58" s="156">
        <v>51.36</v>
      </c>
      <c r="L58" s="155">
        <v>35653.35</v>
      </c>
      <c r="M58" s="154">
        <v>498.83</v>
      </c>
      <c r="N58" s="154">
        <v>531.34</v>
      </c>
    </row>
    <row r="59" spans="1:22" ht="16" thickBot="1">
      <c r="A59" s="153" t="s">
        <v>160</v>
      </c>
      <c r="B59" s="152">
        <v>42963.15</v>
      </c>
      <c r="C59" s="152">
        <v>37899.24</v>
      </c>
      <c r="D59" s="151">
        <v>36891.33</v>
      </c>
      <c r="E59" s="152">
        <v>41554.51</v>
      </c>
      <c r="F59" s="152">
        <v>36703.93</v>
      </c>
      <c r="G59" s="151">
        <v>35602.17</v>
      </c>
      <c r="H59" s="151">
        <v>36703.93</v>
      </c>
      <c r="I59" s="151">
        <v>35653.35</v>
      </c>
      <c r="J59" s="150">
        <v>63.46</v>
      </c>
      <c r="K59" s="150">
        <v>51.36</v>
      </c>
      <c r="L59" s="151">
        <v>35653.35</v>
      </c>
      <c r="M59" s="150">
        <v>498.83</v>
      </c>
      <c r="N59" s="150">
        <v>531.34</v>
      </c>
    </row>
    <row r="60" spans="1:22" ht="16" thickBot="1">
      <c r="A60" s="149" t="s">
        <v>42</v>
      </c>
      <c r="B60" s="148">
        <v>37736255.990000002</v>
      </c>
      <c r="C60" s="148">
        <v>36635795.939999998</v>
      </c>
      <c r="D60" s="147">
        <v>35377046.799999997</v>
      </c>
      <c r="E60" s="148">
        <v>35796330.939999998</v>
      </c>
      <c r="F60" s="148">
        <v>34717903.799999997</v>
      </c>
      <c r="G60" s="147">
        <v>33500373.629999999</v>
      </c>
      <c r="H60" s="147">
        <v>34786028.82</v>
      </c>
      <c r="I60" s="147">
        <v>33088443.530000001</v>
      </c>
      <c r="J60" s="148">
        <v>12383.86</v>
      </c>
      <c r="K60" s="148">
        <v>12778.49</v>
      </c>
      <c r="L60" s="147">
        <v>33088443.530000001</v>
      </c>
      <c r="M60" s="146">
        <v>289.06</v>
      </c>
      <c r="N60" s="146">
        <v>290.38</v>
      </c>
    </row>
  </sheetData>
  <mergeCells count="19">
    <mergeCell ref="Y2:AA2"/>
    <mergeCell ref="Q11:S11"/>
    <mergeCell ref="U11:W11"/>
    <mergeCell ref="Z12:AA12"/>
    <mergeCell ref="Q2:S2"/>
    <mergeCell ref="W2:X2"/>
    <mergeCell ref="T2:V2"/>
    <mergeCell ref="P29:V29"/>
    <mergeCell ref="P38:V38"/>
    <mergeCell ref="Q13:Q14"/>
    <mergeCell ref="R13:R14"/>
    <mergeCell ref="S13:S14"/>
    <mergeCell ref="P13:P14"/>
    <mergeCell ref="A1:N1"/>
    <mergeCell ref="B2:D2"/>
    <mergeCell ref="M2:N2"/>
    <mergeCell ref="J2:L2"/>
    <mergeCell ref="H2:I2"/>
    <mergeCell ref="E2:G2"/>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Coal Unit</vt:lpstr>
      <vt:lpstr>Power Cost</vt:lpstr>
      <vt:lpstr>Power Sale</vt:lpstr>
      <vt:lpstr>Transportation</vt:lpstr>
      <vt:lpstr>GD Power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Sonia T</dc:creator>
  <cp:lastModifiedBy>Zecheng Li</cp:lastModifiedBy>
  <dcterms:created xsi:type="dcterms:W3CDTF">2022-02-23T22:59:07Z</dcterms:created>
  <dcterms:modified xsi:type="dcterms:W3CDTF">2023-01-20T01:54:54Z</dcterms:modified>
</cp:coreProperties>
</file>