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" sheetId="1" r:id="rId4"/>
    <sheet state="visible" name="example yields" sheetId="2" r:id="rId5"/>
    <sheet state="visible" name="rent fee vs commission cut" sheetId="3" r:id="rId6"/>
  </sheets>
  <definedNames/>
  <calcPr/>
  <extLst>
    <ext uri="GoogleSheetsCustomDataVersion2">
      <go:sheetsCustomData xmlns:go="http://customooxmlschemas.google.com/" r:id="rId7" roundtripDataChecksum="37sg+qrc4UArU5/vRY+Qv1xb6NtN3bADh930FZ3ElaE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Assumes RPL is idle and stable vs ETH:
ETH_apr = solo_stake_apr * (NO_ETH + Protocol_ETH*commission)/(NO_ETH + NO_RPL_value_in_ETH)
======</t>
      </text>
    </comment>
    <comment authorId="0" ref="A6">
      <text>
        <t xml:space="preserve">https://research.lido.fi/t/bond-and-staking-fee-napkin-math/5999
======</t>
      </text>
    </comment>
    <comment authorId="0" ref="B21">
      <text>
        <t xml:space="preserve">Assumes RPL is idle and stable vs ETH:
ETH_apr = solo_stake_apr * (NO_ETH + Protocol_ETH*commission)/(NO_ETH + NO_RPL_value_in_ETH)
======</t>
      </text>
    </comment>
    <comment authorId="0" ref="B54">
      <text>
        <t xml:space="preserve">Assumes RPL is idle and stable vs ETH:
ETH_apr = solo_stake_apr * (NO_ETH + Protocol_ETH*commission)/(NO_ETH + NO_RPL_value_in_ETH)
======</t>
      </text>
    </comment>
    <comment authorId="0" ref="L54">
      <text>
        <t xml:space="preserve">Assumes RPL is idle and stable vs ETH:
ETH_apr = solo_stake_apr * (NO_ETH + Protocol_ETH*commission)/(NO_ETH + NO_RPL_value_in_ETH)
======</t>
      </text>
    </comment>
    <comment authorId="0" ref="B74">
      <text>
        <t xml:space="preserve">Assumes RPL is idle and stable vs ETH:
ETH_apr = solo_stake_apr * (NO_ETH + Protocol_ETH*commission)/(NO_ETH + NO_RPL_value_in_ETH)
======</t>
      </text>
    </comment>
    <comment authorId="0" ref="L74">
      <text>
        <t xml:space="preserve">Assumes RPL is idle and stable vs ETH:
ETH_apr = solo_stake_apr * (NO_ETH + Protocol_ETH*commission)/(NO_ETH + NO_RPL_value_in_ETH)
======</t>
      </text>
    </comment>
    <comment authorId="0" ref="B92">
      <text>
        <t xml:space="preserve">Assumes RPL is idle and stable vs ETH:
ETH_apr = solo_stake_apr * (NO_ETH + Protocol_ETH*commission)/(NO_ETH + NO_RPL_value_in_ETH)
======</t>
      </text>
    </comment>
    <comment authorId="0" ref="L92">
      <text>
        <t xml:space="preserve">Assumes RPL is idle and stable vs ETH:
ETH_apr = solo_stake_apr * (NO_ETH + Protocol_ETH*commission)/(NO_ETH + NO_RPL_value_in_ETH)
======</t>
      </text>
    </comment>
    <comment authorId="0" ref="B112">
      <text>
        <t xml:space="preserve">Assumes RPL is idle and stable vs ETH:
ETH_apr = solo_stake_apr * (NO_ETH + Protocol_ETH*commission)/(NO_ETH + NO_RPL_value_in_ETH)
======</t>
      </text>
    </comment>
    <comment authorId="0" ref="L112">
      <text>
        <t xml:space="preserve">Assumes RPL is idle and stable vs ETH:
ETH_apr = solo_stake_apr * (NO_ETH + Protocol_ETH*commission)/(NO_ETH + NO_RPL_value_in_ETH)
======</t>
      </text>
    </comment>
    <comment authorId="0" ref="B133">
      <text>
        <t xml:space="preserve">Assumes RPL is idle and stable vs ETH:
ETH_apr = solo_stake_apr * (NO_ETH + Protocol_ETH*commission)/(NO_ETH + NO_RPL_value_in_ETH)
======</t>
      </text>
    </comment>
    <comment authorId="0" ref="L133">
      <text>
        <t xml:space="preserve">Assumes RPL is idle and stable vs ETH:
ETH_apr = solo_stake_apr * (NO_ETH + Protocol_ETH*commission)/(NO_ETH + NO_RPL_value_in_ETH)
======</t>
      </text>
    </comment>
    <comment authorId="0" ref="B151">
      <text>
        <t xml:space="preserve">Assumes RPL is idle and stable vs ETH:
ETH_apr = solo_stake_apr * (NO_ETH + Protocol_ETH*commission)/(NO_ETH + NO_RPL_value_in_ETH)
======</t>
      </text>
    </comment>
    <comment authorId="0" ref="L151">
      <text>
        <t xml:space="preserve">Assumes RPL is idle and stable vs ETH:
ETH_apr = solo_stake_apr * (NO_ETH + Protocol_ETH*commission)/(NO_ETH + NO_RPL_value_in_ETH)
======</t>
      </text>
    </comment>
    <comment authorId="0" ref="B169">
      <text>
        <t xml:space="preserve">Assumes RPL is idle and stable vs ETH:
ETH_apr = solo_stake_apr * (NO_ETH + Protocol_ETH*commission)/(NO_ETH + NO_RPL_value_in_ETH)
======</t>
      </text>
    </comment>
    <comment authorId="0" ref="L169">
      <text>
        <t xml:space="preserve">Assumes RPL is idle and stable vs ETH:
ETH_apr = solo_stake_apr * (NO_ETH + Protocol_ETH*commission)/(NO_ETH + NO_RPL_value_in_ETH)
======</t>
      </text>
    </comment>
    <comment authorId="0" ref="B187">
      <text>
        <t xml:space="preserve">Assumes RPL is idle and stable vs ETH:
ETH_apr = solo_stake_apr * (NO_ETH + Protocol_ETH*commission)/(NO_ETH + NO_RPL_value_in_ETH)
======</t>
      </text>
    </comment>
    <comment authorId="0" ref="L187">
      <text>
        <t xml:space="preserve">Assumes RPL is idle and stable vs ETH:
ETH_apr = solo_stake_apr * (NO_ETH + Protocol_ETH*commission)/(NO_ETH + NO_RPL_value_in_ETH)
======</t>
      </text>
    </comment>
  </commentList>
</comments>
</file>

<file path=xl/sharedStrings.xml><?xml version="1.0" encoding="utf-8"?>
<sst xmlns="http://schemas.openxmlformats.org/spreadsheetml/2006/main" count="523" uniqueCount="219">
  <si>
    <t>Notes and scripts can be found at:</t>
  </si>
  <si>
    <t>https://github.com/orangesamus/RocketPoolRapidResearchIncubator/</t>
  </si>
  <si>
    <t>Project</t>
  </si>
  <si>
    <t>RP LEB8</t>
  </si>
  <si>
    <t>RP LEB4</t>
  </si>
  <si>
    <t>RP LEB8
(no RPL)</t>
  </si>
  <si>
    <t>RP LEB4
(no RPL)</t>
  </si>
  <si>
    <t>CSM (4)</t>
  </si>
  <si>
    <t>CSM (2)</t>
  </si>
  <si>
    <t>RP:
EO LEB4</t>
  </si>
  <si>
    <t>RP:
RPL LEB16</t>
  </si>
  <si>
    <t>RP:
RPL LEB8</t>
  </si>
  <si>
    <t>RP:
RPL LEB4</t>
  </si>
  <si>
    <t>RP:
RPL LEB2</t>
  </si>
  <si>
    <t>Stader</t>
  </si>
  <si>
    <t>Stader
(no huge SD)</t>
  </si>
  <si>
    <t>Swell</t>
  </si>
  <si>
    <t>Bond ETH</t>
  </si>
  <si>
    <t>Additional bond</t>
  </si>
  <si>
    <t>Alt bond (ex: RPL) Exposure</t>
  </si>
  <si>
    <t>APR ratio (K)</t>
  </si>
  <si>
    <t>Max fee</t>
  </si>
  <si>
    <t>RC eth bond</t>
  </si>
  <si>
    <t>RC commission</t>
  </si>
  <si>
    <t>RC alt bond</t>
  </si>
  <si>
    <t>Eth bond reward</t>
  </si>
  <si>
    <t>Commission reward</t>
  </si>
  <si>
    <t>Alt bond equivalent eth reward</t>
  </si>
  <si>
    <t>New diverted commission reward</t>
  </si>
  <si>
    <t>Sum of rewards</t>
  </si>
  <si>
    <t>Equivalent eth reward for solo staking</t>
  </si>
  <si>
    <t>RCM (Rewarded Capital Multiplier)</t>
  </si>
  <si>
    <t>Rocket Pool (stats from rocketscan)</t>
  </si>
  <si>
    <t>equations from:</t>
  </si>
  <si>
    <t>https://research.lido.fi/t/bond-and-staking-fee-napkin-math/5999</t>
  </si>
  <si>
    <t>RPL supply</t>
  </si>
  <si>
    <t>RC_generic = Bond + (32 - Bond) * MaxFee</t>
  </si>
  <si>
    <t>Effective RPL Staked</t>
  </si>
  <si>
    <t>RC_csm = Bond * (1 - LidoStakingFee) + 32 * MaxFee  =========names in table above======== "RC eth bond" + "RC Commission" + "RC alt bond"</t>
  </si>
  <si>
    <t>Total RPL Staked</t>
  </si>
  <si>
    <t>RC_alt = BondETH + (32 - BondETH) * MaxFee + BondALT * K ===names in table above======== "RC eth bond" + "RC commission" + "RC alt bond"</t>
  </si>
  <si>
    <t>RPL inflation</t>
  </si>
  <si>
    <t>RPL_StakingAPR_in_ETH = (1 + RPL_StakingAPR) * C_parity - 1</t>
  </si>
  <si>
    <t>Node Operator share</t>
  </si>
  <si>
    <t>RPL inflation distribution shares</t>
  </si>
  <si>
    <t>C_parity = (1 + ETH_inflation) / (1 + RPL_inflation)</t>
  </si>
  <si>
    <t>pDAO share</t>
  </si>
  <si>
    <t>RPL_StakingAPR = RPL_inflation * RPL_inflation_allocation_to_stakers / RPL_staked_percent</t>
  </si>
  <si>
    <t>oDAO share</t>
  </si>
  <si>
    <t>K = RPL_StakingAPR_in_ETH / ETH_StakingAPR</t>
  </si>
  <si>
    <t>Total staked share</t>
  </si>
  <si>
    <t>RPL staking APR (RPL)</t>
  </si>
  <si>
    <t>ETH inflation</t>
  </si>
  <si>
    <t>Parity  ETH: RPL price 1y</t>
  </si>
  <si>
    <t>RPL staking APR (ETH)</t>
  </si>
  <si>
    <t>ETH staking APR (ETH)</t>
  </si>
  <si>
    <t>ETH per minipool</t>
  </si>
  <si>
    <t>Ratio (K)</t>
  </si>
  <si>
    <t>Scenario 1: No new Node Operators join, 1/3 the existing bonded Eth from node operators (1/3 of the EB16s and 1/3 of the LEB8s) convert to EO LEB4s, leading to 1/3 EO, 2/3 RS:</t>
  </si>
  <si>
    <t>commission fee charged to LST holders</t>
  </si>
  <si>
    <t>Scenario 2: No new Node Operators join, half the existing bonded Eth from node operators (half the EB16s and half the LEB8s) convert to EO LEB4s, leading to 1/2 EO, 1/2 RS:</t>
  </si>
  <si>
    <t>commission given to Eth only minipools</t>
  </si>
  <si>
    <t>Scenario 3: No new Node Operators join, 2/3 the existing bonded Eth from node operators (2/3 of the EB16s and 2/3 of the LEB8s) convert to EO LEB4s, leading to 2/3 EO, 1/3 RS:</t>
  </si>
  <si>
    <t>commission diverted to RPL-Staked NO</t>
  </si>
  <si>
    <t>Scenario 4 (Extreme Case): No new Node Operators join, 90% the existing bonded Eth from node operators (90% of the EB16 and 90% of the LEB8) convert to EO LEB4s, leading to 90% EO, 10% RS:</t>
  </si>
  <si>
    <t>% bonded ETH in Eth-Only Minipools</t>
  </si>
  <si>
    <t>Ratio (RS created Eth / RS bonded Eth)</t>
  </si>
  <si>
    <t>Scenario 1: All Existing RS NO stay as they are, eventually enough EO NO bond to get to ~1/3 EO, ~2/3 RS:</t>
  </si>
  <si>
    <t>Eth diverted commission per minipool</t>
  </si>
  <si>
    <t>Scenario 2: All Existing RS NO stay as they are, eventually enough EO NO bond to get to ~1/2 EO, ~1/2 RS:</t>
  </si>
  <si>
    <t>Scenario 3: All Existing RS NO stay as they are, eventually enough EO NO bond to get to ~2/3 EO, ~1/3 RS:</t>
  </si>
  <si>
    <t>(existing ratio)</t>
  </si>
  <si>
    <t>Scenario 4 (Max Growth): All Existing RS NO stay as they are, eventually enough EO NO join so that total EO bond is ~6x RS bond:</t>
  </si>
  <si>
    <t>Equation to calculate Eth per minipool diverted to rpl-staked minipools:</t>
  </si>
  <si>
    <t>x</t>
  </si>
  <si>
    <t>a</t>
  </si>
  <si>
    <t>b</t>
  </si>
  <si>
    <t>c</t>
  </si>
  <si>
    <t>d</t>
  </si>
  <si>
    <t>y = (32*(X)*a*b*c)/(1+d)</t>
  </si>
  <si>
    <t>5 inputs:</t>
  </si>
  <si>
    <t>ranges for
input values</t>
  </si>
  <si>
    <t>notes</t>
  </si>
  <si>
    <t>X = Ratio of Eth-only bond over Rpl-staked bond;
can be input as x% Eth-only bond and ratio
can be calculated with equation: x/(1-x)</t>
  </si>
  <si>
    <t>0%&lt;= x &lt;100%</t>
  </si>
  <si>
    <t>variable most likely to change quickly and have largest impact on equation</t>
  </si>
  <si>
    <t>a = Ratio of Eth-only created Eth over Eth-only bonded Eth</t>
  </si>
  <si>
    <t>1&lt;= a &lt;=15</t>
  </si>
  <si>
    <t>If Eth-only minipools were all LEB4, a = 7 since LEB4 is 4 bonded Eth, 28 created Eth, 28/4 = 7. Range of 1 (EB16) to 15 (LEB2)</t>
  </si>
  <si>
    <t>b = Solo staker APR</t>
  </si>
  <si>
    <t>2.5%&lt;= b &lt;=5%</t>
  </si>
  <si>
    <t>ultrasound.money website shows APR range from 2.5% to 5%, currently this value is close to 3%</t>
  </si>
  <si>
    <t>c = Commission cut % diverted from Eth-only
Node Operators to Rpl-staked Node Operators</t>
  </si>
  <si>
    <t>0%&lt;= c &lt;=14%</t>
  </si>
  <si>
    <t>target of 7% to be competitive with Lido CSM with 4Eth bond</t>
  </si>
  <si>
    <t>d = Ratio of Rpl-staked created Eth over Rpl-staked bonded Eth</t>
  </si>
  <si>
    <t>(If all RPL-staked was LEB8 this would be: 3. Since some RPL-staked are still EB16, this number is between 1 and 3: currently close to 2 on rocketscan)</t>
  </si>
  <si>
    <t>SD inflation</t>
  </si>
  <si>
    <t>Parity  ETH: SD price 1y</t>
  </si>
  <si>
    <t>SD staking APR (ETH)</t>
  </si>
  <si>
    <t>Plotted analysis:</t>
  </si>
  <si>
    <t xml:space="preserve">Script to plot can be found at: </t>
  </si>
  <si>
    <t>https://github.com/orangesamus/RocketPoolRapidResearchIncubator/blob/main/RCM_plotter.py</t>
  </si>
  <si>
    <t>Rewards are 'unbounded' for minipools receiving diverted commission (if there is only 1 minipool that chooses to stake RPL, that minipool receives all of the diverted commission)</t>
  </si>
  <si>
    <t>To better understand the RCM from 0% to 70%, I'll exclude 70% to 100% for all of the other plots after the first one below:</t>
  </si>
  <si>
    <t>See example below:</t>
  </si>
  <si>
    <t>From 0% to 70%:</t>
  </si>
  <si>
    <t>Input variables used:</t>
  </si>
  <si>
    <t>High Level Example Comparison:</t>
  </si>
  <si>
    <t>Commission charged to LST holders</t>
  </si>
  <si>
    <t>Commission given to Eth-Only Node Operator</t>
  </si>
  <si>
    <t>Commission diverted</t>
  </si>
  <si>
    <t>Where diverted to</t>
  </si>
  <si>
    <t>note: cells in orange (solo staker APR and 
Commissions diverted can be adjusted to view impacts elsewhere)</t>
  </si>
  <si>
    <t>Lido CSM</t>
  </si>
  <si>
    <t>Lido Treasury</t>
  </si>
  <si>
    <t>= Solo Staker APR Example</t>
  </si>
  <si>
    <t>Rocket Pool commission cut</t>
  </si>
  <si>
    <t>RPL-Staked Nodes</t>
  </si>
  <si>
    <t>Existing ideas:</t>
  </si>
  <si>
    <t>Overall ROI vs solo math</t>
  </si>
  <si>
    <t>Overall ROI vs solo</t>
  </si>
  <si>
    <t>RPL exposure</t>
  </si>
  <si>
    <t>Example APR</t>
  </si>
  <si>
    <t>RPL yield</t>
  </si>
  <si>
    <t>Reference: Lido CSM</t>
  </si>
  <si>
    <t>no</t>
  </si>
  <si>
    <t>Reference: EB16s</t>
  </si>
  <si>
    <t>yes</t>
  </si>
  <si>
    <t>Reference: LEB8s</t>
  </si>
  <si>
    <t>equations (from https://research.lido.fi/t/bond-and-staking-fee-napkin-math/5999):</t>
  </si>
  <si>
    <t>Node Operator</t>
  </si>
  <si>
    <t>LEB4s, no changes</t>
  </si>
  <si>
    <t>pDAO</t>
  </si>
  <si>
    <t>RC_csm = Bond * (1 - LidoStakingFee) + 32 * MaxFee</t>
  </si>
  <si>
    <t>LEB4s, min bond 5.5% borrowed</t>
  </si>
  <si>
    <t>oDAO</t>
  </si>
  <si>
    <t>RC_alt = BondETH + (32 - BondETH) * MaxFee + BondALT * K</t>
  </si>
  <si>
    <t>LEB2s, no changes</t>
  </si>
  <si>
    <t>LEB2s, min bond 5.5% borrowed</t>
  </si>
  <si>
    <t>New Idea: Commission Cut comparison</t>
  </si>
  <si>
    <t>Terms used below: EO = Eth-Only, RS = RPL-Staked, NO = Node Operators, MP = minipools</t>
  </si>
  <si>
    <t>Commissions</t>
  </si>
  <si>
    <t>Fixed commission cut examples</t>
  </si>
  <si>
    <t>LST Holder charged</t>
  </si>
  <si>
    <t>EO NO earnings</t>
  </si>
  <si>
    <t>Diverted</t>
  </si>
  <si>
    <t>EO LEB4 (earning 10% commission)</t>
  </si>
  <si>
    <t>RS NO</t>
  </si>
  <si>
    <t>EO LEB4 (earning 8.0% commission)</t>
  </si>
  <si>
    <t>EO LEB4 (earning 7.5% commission)</t>
  </si>
  <si>
    <t>EO LEB4 (earning 7.0% commission)</t>
  </si>
  <si>
    <t>EO LEB4 (earning 6.5% commission)</t>
  </si>
  <si>
    <t>EO LEB4 (earning 6.0% commission)</t>
  </si>
  <si>
    <t>EO LEB4 (earning 4.0% commission)</t>
  </si>
  <si>
    <t>Stats from rocketscan (rough values)
see picture to the right</t>
  </si>
  <si>
    <t>Number of MPs created</t>
  </si>
  <si>
    <t>ETH created for
rETH supply</t>
  </si>
  <si>
    <t>Eth bonded by NO</t>
  </si>
  <si>
    <t>RS EB16</t>
  </si>
  <si>
    <t>RS LEB8</t>
  </si>
  <si>
    <t>Total</t>
  </si>
  <si>
    <t>Examples showing existing Node Operators reshuffling to Eth Only Nodes, impacts of commission cut:</t>
  </si>
  <si>
    <t>Number of MPs</t>
  </si>
  <si>
    <t>Eth bonded by RS NO</t>
  </si>
  <si>
    <t>New Diverted ETH</t>
  </si>
  <si>
    <t>time (years)
since EO LEB4s
created</t>
  </si>
  <si>
    <t>Total RS</t>
  </si>
  <si>
    <t>EO LEB4</t>
  </si>
  <si>
    <t>Diverted Eth Distributions Strategies Example</t>
  </si>
  <si>
    <t>Example 1. Simple division by # of RS minipools (actual implementation could use attestations):</t>
  </si>
  <si>
    <t>APR with commission cut</t>
  </si>
  <si>
    <t>Total ETH earned</t>
  </si>
  <si>
    <t>ETH earned from commission cut</t>
  </si>
  <si>
    <t>Eth earned w/o commission cut</t>
  </si>
  <si>
    <t>APR w/o commission cut</t>
  </si>
  <si>
    <t>ROI vs solo w/o commission cut</t>
  </si>
  <si>
    <t>ETH earned if you were a solo staker</t>
  </si>
  <si>
    <t>RS LEB4</t>
  </si>
  <si>
    <t>RS LEB2</t>
  </si>
  <si>
    <t>Examples showing growth in Rocket Pool protocol, impact of new Eth</t>
  </si>
  <si>
    <t>Total Eth supply</t>
  </si>
  <si>
    <t>Eth in LST, %</t>
  </si>
  <si>
    <t>RP share of LST</t>
  </si>
  <si>
    <t>Total ETH in RP</t>
  </si>
  <si>
    <t>Total MP</t>
  </si>
  <si>
    <t>commission percentages</t>
  </si>
  <si>
    <t>Samus: fixed % example</t>
  </si>
  <si>
    <t>Val's fee: geometric mean value</t>
  </si>
  <si>
    <t>Val's fee: floor value</t>
  </si>
  <si>
    <t>Summary: this sheet compares Val's rent or stake model to a commission cut model,
by summarizing the amount of commission Eth-Only node operators would pay as an upfront rental fee cost</t>
  </si>
  <si>
    <t>(Commission paid to Eth-Only NO) A</t>
  </si>
  <si>
    <t>(Commission diverted from Eth-Only NO to RPL-Staked NO) B</t>
  </si>
  <si>
    <t>(Total Commission C = A+B) C</t>
  </si>
  <si>
    <t>solo apr</t>
  </si>
  <si>
    <t>LEB8</t>
  </si>
  <si>
    <t>LEB4</t>
  </si>
  <si>
    <t>borrowed Eth</t>
  </si>
  <si>
    <t>bonded Eth</t>
  </si>
  <si>
    <t>RPL collateral % borrowed Eth</t>
  </si>
  <si>
    <t>70% is the portion of inflation that goes back to NOs</t>
  </si>
  <si>
    <t>Val's calculations for rental Fee (see screenshot to the right):</t>
  </si>
  <si>
    <t>left side of equation: loss due to holding RPL from pure inflation (assuming all RPL staked)</t>
  </si>
  <si>
    <t>time</t>
  </si>
  <si>
    <t>1 year</t>
  </si>
  <si>
    <t>2 year</t>
  </si>
  <si>
    <t>floor #*borrowed Eth/year</t>
  </si>
  <si>
    <t>geometric mean #*borrowed Eth/year</t>
  </si>
  <si>
    <t>ceiling (commission earned)#*borrowed Eth/year</t>
  </si>
  <si>
    <t>Rent or Stake model</t>
  </si>
  <si>
    <t>Time</t>
  </si>
  <si>
    <t>Floor fee 'X', to rent</t>
  </si>
  <si>
    <t>Geometric mean fee 'X', to rent</t>
  </si>
  <si>
    <t>Commission earned</t>
  </si>
  <si>
    <t>Net yield</t>
  </si>
  <si>
    <t>Floor fee as a % of commission</t>
  </si>
  <si>
    <t>Geometric mean fee as a % of commission</t>
  </si>
  <si>
    <t>Commission cut model</t>
  </si>
  <si>
    <t xml:space="preserve">Fixed value example: commission cut as a % of commission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</si>
</sst>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%"/>
    <numFmt numFmtId="165" formatCode="###,###,##0"/>
    <numFmt numFmtId="166" formatCode="#,##0.0000"/>
    <numFmt numFmtId="167" formatCode="0.000"/>
    <numFmt numFmtId="168" formatCode="#,##0.000"/>
    <numFmt numFmtId="169" formatCode="###,##0"/>
    <numFmt numFmtId="170" formatCode="0.0000"/>
  </numFmts>
  <fonts count="17">
    <font>
      <sz val="11.0"/>
      <color theme="1"/>
      <name val="Calibri"/>
      <scheme val="minor"/>
    </font>
    <font>
      <b/>
      <color theme="1"/>
      <name val="Calibri"/>
      <scheme val="minor"/>
    </font>
    <font>
      <u/>
      <color rgb="FF0000FF"/>
    </font>
    <font>
      <color theme="1"/>
      <name val="Calibri"/>
      <scheme val="minor"/>
    </font>
    <font>
      <u/>
      <color rgb="FF0000FF"/>
    </font>
    <font>
      <color theme="1"/>
      <name val="Arial"/>
    </font>
    <font/>
    <font>
      <sz val="9.0"/>
      <color theme="1"/>
      <name val="Calibri"/>
      <scheme val="minor"/>
    </font>
    <font>
      <sz val="11.0"/>
      <color rgb="FF1F1F1F"/>
      <name val="Calibri"/>
      <scheme val="minor"/>
    </font>
    <font>
      <sz val="27.0"/>
      <color theme="1"/>
      <name val="Calibri"/>
      <scheme val="minor"/>
    </font>
    <font>
      <sz val="11.0"/>
      <color theme="1"/>
      <name val="Arial"/>
    </font>
    <font>
      <sz val="15.0"/>
      <color theme="1"/>
      <name val="Arial"/>
    </font>
    <font>
      <b/>
      <color theme="1"/>
      <name val="Arial"/>
    </font>
    <font>
      <sz val="14.0"/>
      <color theme="1"/>
      <name val="Arial"/>
    </font>
    <font>
      <sz val="21.0"/>
      <color theme="1"/>
      <name val="Calibri"/>
      <scheme val="minor"/>
    </font>
    <font>
      <sz val="13.0"/>
      <color theme="1"/>
      <name val="Arial"/>
    </font>
    <font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1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vertical="bottom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2" fillId="2" fontId="1" numFmtId="0" xfId="0" applyAlignment="1" applyBorder="1" applyFill="1" applyFont="1">
      <alignment horizontal="right" vertical="bottom"/>
    </xf>
    <xf borderId="2" fillId="3" fontId="1" numFmtId="0" xfId="0" applyAlignment="1" applyBorder="1" applyFill="1" applyFont="1">
      <alignment horizontal="center" shrinkToFit="0" vertical="bottom" wrapText="1"/>
    </xf>
    <xf borderId="2" fillId="4" fontId="1" numFmtId="0" xfId="0" applyAlignment="1" applyBorder="1" applyFill="1" applyFont="1">
      <alignment horizontal="center" shrinkToFit="0" vertical="bottom" wrapText="1"/>
    </xf>
    <xf borderId="2" fillId="5" fontId="1" numFmtId="0" xfId="0" applyAlignment="1" applyBorder="1" applyFill="1" applyFont="1">
      <alignment horizontal="center" shrinkToFit="0" vertical="bottom" wrapText="1"/>
    </xf>
    <xf borderId="3" fillId="5" fontId="1" numFmtId="0" xfId="0" applyAlignment="1" applyBorder="1" applyFont="1">
      <alignment horizontal="center" shrinkToFit="0" vertical="bottom" wrapText="1"/>
    </xf>
    <xf borderId="2" fillId="6" fontId="1" numFmtId="0" xfId="0" applyAlignment="1" applyBorder="1" applyFill="1" applyFont="1">
      <alignment horizontal="center" readingOrder="0" shrinkToFit="0" vertical="bottom" wrapText="1"/>
    </xf>
    <xf borderId="3" fillId="0" fontId="1" numFmtId="0" xfId="0" applyAlignment="1" applyBorder="1" applyFont="1">
      <alignment horizontal="center" shrinkToFit="0" vertical="bottom" wrapText="1"/>
    </xf>
    <xf borderId="4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center" shrinkToFit="0" vertical="bottom" wrapText="1"/>
    </xf>
    <xf borderId="3" fillId="0" fontId="3" numFmtId="0" xfId="0" applyAlignment="1" applyBorder="1" applyFont="1">
      <alignment horizontal="center" shrinkToFit="0" vertical="bottom" wrapText="1"/>
    </xf>
    <xf borderId="4" fillId="0" fontId="3" numFmtId="0" xfId="0" applyAlignment="1" applyBorder="1" applyFont="1">
      <alignment horizontal="center" readingOrder="0" shrinkToFit="0" vertical="bottom" wrapText="1"/>
    </xf>
    <xf borderId="4" fillId="0" fontId="3" numFmtId="0" xfId="0" applyAlignment="1" applyBorder="1" applyFont="1">
      <alignment horizontal="right" readingOrder="0" vertical="bottom"/>
    </xf>
    <xf borderId="4" fillId="0" fontId="3" numFmtId="164" xfId="0" applyAlignment="1" applyBorder="1" applyFont="1" applyNumberFormat="1">
      <alignment horizontal="center" shrinkToFit="0" vertical="bottom" wrapText="1"/>
    </xf>
    <xf borderId="4" fillId="0" fontId="3" numFmtId="4" xfId="0" applyAlignment="1" applyBorder="1" applyFont="1" applyNumberFormat="1">
      <alignment horizontal="center" shrinkToFit="0" vertical="bottom" wrapText="1"/>
    </xf>
    <xf borderId="4" fillId="0" fontId="3" numFmtId="4" xfId="0" applyAlignment="1" applyBorder="1" applyFont="1" applyNumberFormat="1">
      <alignment horizontal="center" readingOrder="0" shrinkToFit="0" vertical="bottom" wrapText="1"/>
    </xf>
    <xf borderId="3" fillId="0" fontId="3" numFmtId="4" xfId="0" applyAlignment="1" applyBorder="1" applyFont="1" applyNumberFormat="1">
      <alignment horizontal="center" shrinkToFit="0" vertical="bottom" wrapText="1"/>
    </xf>
    <xf borderId="4" fillId="0" fontId="3" numFmtId="9" xfId="0" applyAlignment="1" applyBorder="1" applyFont="1" applyNumberFormat="1">
      <alignment horizontal="center" shrinkToFit="0" vertical="bottom" wrapText="1"/>
    </xf>
    <xf borderId="4" fillId="0" fontId="3" numFmtId="10" xfId="0" applyAlignment="1" applyBorder="1" applyFont="1" applyNumberFormat="1">
      <alignment horizontal="center" shrinkToFit="0" vertical="bottom" wrapText="1"/>
    </xf>
    <xf borderId="3" fillId="0" fontId="3" numFmtId="10" xfId="0" applyAlignment="1" applyBorder="1" applyFont="1" applyNumberFormat="1">
      <alignment horizontal="center" shrinkToFit="0" vertical="bottom" wrapText="1"/>
    </xf>
    <xf borderId="4" fillId="0" fontId="3" numFmtId="9" xfId="0" applyAlignment="1" applyBorder="1" applyFont="1" applyNumberFormat="1">
      <alignment horizontal="center" readingOrder="0" shrinkToFit="0" vertical="bottom" wrapText="1"/>
    </xf>
    <xf borderId="3" fillId="0" fontId="3" numFmtId="9" xfId="0" applyAlignment="1" applyBorder="1" applyFont="1" applyNumberFormat="1">
      <alignment horizontal="center" shrinkToFit="0" vertical="bottom" wrapText="1"/>
    </xf>
    <xf borderId="0" fillId="0" fontId="3" numFmtId="0" xfId="0" applyAlignment="1" applyFont="1">
      <alignment horizontal="right" readingOrder="0" vertical="bottom"/>
    </xf>
    <xf borderId="0" fillId="7" fontId="3" numFmtId="0" xfId="0" applyAlignment="1" applyFill="1" applyFont="1">
      <alignment horizontal="right" readingOrder="0" vertical="bottom"/>
    </xf>
    <xf borderId="4" fillId="7" fontId="3" numFmtId="4" xfId="0" applyAlignment="1" applyBorder="1" applyFont="1" applyNumberFormat="1">
      <alignment horizontal="center" readingOrder="0" shrinkToFit="0" vertical="bottom" wrapText="1"/>
    </xf>
    <xf borderId="5" fillId="0" fontId="1" numFmtId="0" xfId="0" applyAlignment="1" applyBorder="1" applyFont="1">
      <alignment horizontal="right" readingOrder="0" vertical="bottom"/>
    </xf>
    <xf borderId="5" fillId="0" fontId="1" numFmtId="4" xfId="0" applyAlignment="1" applyBorder="1" applyFont="1" applyNumberFormat="1">
      <alignment horizontal="center" shrinkToFit="0" vertical="bottom" wrapText="1"/>
    </xf>
    <xf borderId="5" fillId="8" fontId="1" numFmtId="4" xfId="0" applyAlignment="1" applyBorder="1" applyFill="1" applyFont="1" applyNumberFormat="1">
      <alignment horizontal="center" shrinkToFit="0" vertical="bottom" wrapText="1"/>
    </xf>
    <xf borderId="6" fillId="0" fontId="1" numFmtId="4" xfId="0" applyAlignment="1" applyBorder="1" applyFont="1" applyNumberFormat="1">
      <alignment horizontal="center" shrinkToFit="0" vertical="bottom" wrapText="1"/>
    </xf>
    <xf borderId="5" fillId="6" fontId="1" numFmtId="4" xfId="0" applyAlignment="1" applyBorder="1" applyFont="1" applyNumberFormat="1">
      <alignment horizontal="center" shrinkToFit="0" vertical="bottom" wrapText="1"/>
    </xf>
    <xf borderId="5" fillId="9" fontId="1" numFmtId="4" xfId="0" applyAlignment="1" applyBorder="1" applyFill="1" applyFont="1" applyNumberFormat="1">
      <alignment horizontal="center" shrinkToFit="0" vertical="bottom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0" numFmtId="165" xfId="0" applyAlignment="1" applyFont="1" applyNumberFormat="1">
      <alignment horizontal="right" readingOrder="0" shrinkToFit="0" vertical="center" wrapText="0"/>
    </xf>
    <xf borderId="0" fillId="0" fontId="3" numFmtId="3" xfId="0" applyAlignment="1" applyFont="1" applyNumberFormat="1">
      <alignment readingOrder="0"/>
    </xf>
    <xf borderId="0" fillId="0" fontId="3" numFmtId="9" xfId="0" applyAlignment="1" applyFont="1" applyNumberFormat="1">
      <alignment horizontal="right" readingOrder="0" vertical="bottom"/>
    </xf>
    <xf borderId="7" fillId="0" fontId="3" numFmtId="0" xfId="0" applyAlignment="1" applyBorder="1" applyFont="1">
      <alignment readingOrder="0" vertical="bottom"/>
    </xf>
    <xf borderId="8" fillId="0" fontId="3" numFmtId="9" xfId="0" applyAlignment="1" applyBorder="1" applyFont="1" applyNumberFormat="1">
      <alignment horizontal="right" vertical="bottom"/>
    </xf>
    <xf borderId="9" fillId="0" fontId="0" numFmtId="0" xfId="0" applyAlignment="1" applyBorder="1" applyFont="1">
      <alignment horizontal="left" readingOrder="0" shrinkToFit="0" vertical="top" wrapText="1"/>
    </xf>
    <xf borderId="10" fillId="0" fontId="3" numFmtId="0" xfId="0" applyAlignment="1" applyBorder="1" applyFont="1">
      <alignment readingOrder="0" vertical="bottom"/>
    </xf>
    <xf borderId="0" fillId="0" fontId="3" numFmtId="10" xfId="0" applyAlignment="1" applyFont="1" applyNumberFormat="1">
      <alignment horizontal="right" readingOrder="0" vertical="bottom"/>
    </xf>
    <xf borderId="3" fillId="0" fontId="6" numFmtId="0" xfId="0" applyBorder="1" applyFont="1"/>
    <xf borderId="11" fillId="0" fontId="3" numFmtId="0" xfId="0" applyAlignment="1" applyBorder="1" applyFont="1">
      <alignment readingOrder="0" vertical="bottom"/>
    </xf>
    <xf borderId="1" fillId="0" fontId="3" numFmtId="10" xfId="0" applyAlignment="1" applyBorder="1" applyFont="1" applyNumberFormat="1">
      <alignment horizontal="right" readingOrder="0" vertical="bottom"/>
    </xf>
    <xf borderId="6" fillId="0" fontId="6" numFmtId="0" xfId="0" applyBorder="1" applyFont="1"/>
    <xf borderId="0" fillId="0" fontId="3" numFmtId="10" xfId="0" applyAlignment="1" applyFont="1" applyNumberForma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3" numFmtId="166" xfId="0" applyFont="1" applyNumberFormat="1"/>
    <xf borderId="0" fillId="0" fontId="7" numFmtId="0" xfId="0" applyAlignment="1" applyFont="1">
      <alignment horizontal="left" readingOrder="0" shrinkToFit="0" wrapText="0"/>
    </xf>
    <xf borderId="0" fillId="0" fontId="3" numFmtId="164" xfId="0" applyAlignment="1" applyFont="1" applyNumberFormat="1">
      <alignment readingOrder="0"/>
    </xf>
    <xf borderId="0" fillId="3" fontId="3" numFmtId="164" xfId="0" applyAlignment="1" applyFont="1" applyNumberFormat="1">
      <alignment readingOrder="0"/>
    </xf>
    <xf borderId="0" fillId="3" fontId="3" numFmtId="10" xfId="0" applyAlignment="1" applyFont="1" applyNumberFormat="1">
      <alignment readingOrder="0"/>
    </xf>
    <xf borderId="0" fillId="0" fontId="7" numFmtId="0" xfId="0" applyFont="1"/>
    <xf borderId="0" fillId="3" fontId="3" numFmtId="4" xfId="0" applyFont="1" applyNumberFormat="1"/>
    <xf borderId="0" fillId="3" fontId="3" numFmtId="166" xfId="0" applyFont="1" applyNumberFormat="1"/>
    <xf borderId="0" fillId="0" fontId="3" numFmtId="4" xfId="0" applyFont="1" applyNumberFormat="1"/>
    <xf borderId="0" fillId="0" fontId="0" numFmtId="0" xfId="0" applyAlignment="1" applyFont="1">
      <alignment readingOrder="0"/>
    </xf>
    <xf borderId="0" fillId="0" fontId="0" numFmtId="0" xfId="0" applyFont="1"/>
    <xf borderId="0" fillId="0" fontId="0" numFmtId="0" xfId="0" applyAlignment="1" applyFont="1">
      <alignment horizontal="right" readingOrder="0" vertical="bottom"/>
    </xf>
    <xf borderId="0" fillId="0" fontId="0" numFmtId="0" xfId="0" applyAlignment="1" applyFont="1">
      <alignment horizontal="left" readingOrder="0" vertical="bottom"/>
    </xf>
    <xf borderId="0" fillId="0" fontId="0" numFmtId="9" xfId="0" applyAlignment="1" applyFont="1" applyNumberFormat="1">
      <alignment horizontal="left" readingOrder="0"/>
    </xf>
    <xf borderId="0" fillId="0" fontId="0" numFmtId="0" xfId="0" applyAlignment="1" applyFont="1">
      <alignment horizontal="left" readingOrder="0"/>
    </xf>
    <xf borderId="0" fillId="0" fontId="0" numFmtId="4" xfId="0" applyAlignment="1" applyFont="1" applyNumberFormat="1">
      <alignment horizontal="left" readingOrder="0"/>
    </xf>
    <xf borderId="0" fillId="0" fontId="3" numFmtId="0" xfId="0" applyAlignment="1" applyFont="1">
      <alignment horizontal="left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horizontal="center" readingOrder="0" vertical="bottom"/>
    </xf>
    <xf borderId="0" fillId="0" fontId="0" numFmtId="4" xfId="0" applyAlignment="1" applyFont="1" applyNumberFormat="1">
      <alignment horizontal="center" readingOrder="0" vertical="bottom"/>
    </xf>
    <xf borderId="0" fillId="10" fontId="8" numFmtId="0" xfId="0" applyAlignment="1" applyFill="1" applyFont="1">
      <alignment readingOrder="0"/>
    </xf>
    <xf borderId="0" fillId="0" fontId="0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1" numFmtId="9" xfId="0" applyAlignment="1" applyFont="1" applyNumberFormat="1">
      <alignment horizontal="right" vertical="bottom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horizontal="center" readingOrder="0" shrinkToFit="0" textRotation="0" wrapText="1"/>
    </xf>
    <xf borderId="0" fillId="0" fontId="10" numFmtId="167" xfId="0" applyAlignment="1" applyFont="1" applyNumberFormat="1">
      <alignment horizontal="center" readingOrder="0" shrinkToFit="0" textRotation="0" vertical="bottom" wrapText="1"/>
    </xf>
    <xf borderId="0" fillId="0" fontId="10" numFmtId="0" xfId="0" applyAlignment="1" applyFont="1">
      <alignment horizontal="center" readingOrder="0" shrinkToFit="0" textRotation="0" vertical="bottom" wrapText="1"/>
    </xf>
    <xf borderId="0" fillId="0" fontId="10" numFmtId="0" xfId="0" applyAlignment="1" applyFont="1">
      <alignment vertical="bottom"/>
    </xf>
    <xf borderId="0" fillId="0" fontId="10" numFmtId="0" xfId="0" applyAlignment="1" applyFont="1">
      <alignment readingOrder="0" vertical="top"/>
    </xf>
    <xf borderId="0" fillId="0" fontId="10" numFmtId="0" xfId="0" applyAlignment="1" applyFont="1">
      <alignment horizontal="right" readingOrder="0" vertical="bottom"/>
    </xf>
    <xf borderId="0" fillId="0" fontId="10" numFmtId="164" xfId="0" applyAlignment="1" applyFont="1" applyNumberFormat="1">
      <alignment vertical="bottom"/>
    </xf>
    <xf borderId="0" fillId="0" fontId="10" numFmtId="164" xfId="0" applyAlignment="1" applyFont="1" applyNumberFormat="1">
      <alignment readingOrder="0" vertical="bottom"/>
    </xf>
    <xf borderId="0" fillId="0" fontId="10" numFmtId="0" xfId="0" applyAlignment="1" applyFont="1">
      <alignment readingOrder="0"/>
    </xf>
    <xf borderId="0" fillId="0" fontId="10" numFmtId="10" xfId="0" applyAlignment="1" applyFont="1" applyNumberFormat="1">
      <alignment readingOrder="0"/>
    </xf>
    <xf borderId="0" fillId="3" fontId="10" numFmtId="10" xfId="0" applyAlignment="1" applyFont="1" applyNumberFormat="1">
      <alignment readingOrder="0" vertical="bottom"/>
    </xf>
    <xf quotePrefix="1" borderId="0" fillId="0" fontId="10" numFmtId="0" xfId="0" applyAlignment="1" applyFont="1">
      <alignment readingOrder="0" vertical="bottom"/>
    </xf>
    <xf borderId="0" fillId="3" fontId="10" numFmtId="164" xfId="0" applyAlignment="1" applyFont="1" applyNumberFormat="1">
      <alignment readingOrder="0" vertical="bottom"/>
    </xf>
    <xf borderId="0" fillId="0" fontId="10" numFmtId="167" xfId="0" applyAlignment="1" applyFont="1" applyNumberFormat="1">
      <alignment vertical="bottom"/>
    </xf>
    <xf borderId="0" fillId="0" fontId="10" numFmtId="0" xfId="0" applyAlignment="1" applyFont="1">
      <alignment horizontal="right" readingOrder="0" vertical="top"/>
    </xf>
    <xf borderId="0" fillId="0" fontId="10" numFmtId="165" xfId="0" applyAlignment="1" applyFont="1" applyNumberFormat="1">
      <alignment horizontal="right" readingOrder="0" shrinkToFit="0" vertical="center" wrapText="0"/>
    </xf>
    <xf borderId="0" fillId="0" fontId="10" numFmtId="0" xfId="0" applyAlignment="1" applyFont="1">
      <alignment horizontal="left" readingOrder="0" shrinkToFit="0" vertical="top" wrapText="0"/>
    </xf>
    <xf borderId="0" fillId="0" fontId="11" numFmtId="0" xfId="0" applyAlignment="1" applyFont="1">
      <alignment readingOrder="0" vertical="bottom"/>
    </xf>
    <xf borderId="0" fillId="0" fontId="10" numFmtId="10" xfId="0" applyAlignment="1" applyFont="1" applyNumberFormat="1">
      <alignment readingOrder="0" vertical="bottom"/>
    </xf>
    <xf borderId="0" fillId="0" fontId="10" numFmtId="0" xfId="0" applyAlignment="1" applyFont="1">
      <alignment horizontal="right" readingOrder="0" shrinkToFit="0" vertical="top" wrapText="0"/>
    </xf>
    <xf borderId="2" fillId="0" fontId="10" numFmtId="0" xfId="0" applyAlignment="1" applyBorder="1" applyFont="1">
      <alignment vertical="bottom"/>
    </xf>
    <xf borderId="2" fillId="11" fontId="10" numFmtId="167" xfId="0" applyAlignment="1" applyBorder="1" applyFill="1" applyFont="1" applyNumberFormat="1">
      <alignment horizontal="right" vertical="bottom"/>
    </xf>
    <xf borderId="7" fillId="0" fontId="10" numFmtId="164" xfId="0" applyAlignment="1" applyBorder="1" applyFont="1" applyNumberFormat="1">
      <alignment horizontal="right" vertical="bottom"/>
    </xf>
    <xf borderId="2" fillId="0" fontId="10" numFmtId="10" xfId="0" applyAlignment="1" applyBorder="1" applyFont="1" applyNumberFormat="1">
      <alignment vertical="bottom"/>
    </xf>
    <xf borderId="9" fillId="0" fontId="10" numFmtId="0" xfId="0" applyAlignment="1" applyBorder="1" applyFont="1">
      <alignment horizontal="center" readingOrder="0" vertical="bottom"/>
    </xf>
    <xf borderId="0" fillId="0" fontId="5" numFmtId="0" xfId="0" applyAlignment="1" applyFont="1">
      <alignment readingOrder="0" vertical="bottom"/>
    </xf>
    <xf borderId="4" fillId="0" fontId="10" numFmtId="0" xfId="0" applyAlignment="1" applyBorder="1" applyFont="1">
      <alignment vertical="bottom"/>
    </xf>
    <xf borderId="4" fillId="0" fontId="10" numFmtId="167" xfId="0" applyAlignment="1" applyBorder="1" applyFont="1" applyNumberFormat="1">
      <alignment horizontal="right" vertical="bottom"/>
    </xf>
    <xf borderId="10" fillId="0" fontId="10" numFmtId="164" xfId="0" applyAlignment="1" applyBorder="1" applyFont="1" applyNumberFormat="1">
      <alignment horizontal="right" vertical="bottom"/>
    </xf>
    <xf borderId="4" fillId="0" fontId="10" numFmtId="10" xfId="0" applyAlignment="1" applyBorder="1" applyFont="1" applyNumberFormat="1">
      <alignment vertical="bottom"/>
    </xf>
    <xf borderId="3" fillId="0" fontId="10" numFmtId="0" xfId="0" applyAlignment="1" applyBorder="1" applyFont="1">
      <alignment horizontal="center" readingOrder="0" vertical="bottom"/>
    </xf>
    <xf borderId="0" fillId="0" fontId="5" numFmtId="9" xfId="0" applyAlignment="1" applyFont="1" applyNumberFormat="1">
      <alignment horizontal="right" vertical="bottom"/>
    </xf>
    <xf borderId="7" fillId="0" fontId="5" numFmtId="0" xfId="0" applyAlignment="1" applyBorder="1" applyFont="1">
      <alignment horizontal="center" readingOrder="0" vertical="bottom"/>
    </xf>
    <xf borderId="9" fillId="0" fontId="6" numFmtId="0" xfId="0" applyBorder="1" applyFont="1"/>
    <xf borderId="0" fillId="0" fontId="10" numFmtId="0" xfId="0" applyFont="1"/>
    <xf borderId="4" fillId="0" fontId="10" numFmtId="0" xfId="0" applyBorder="1" applyFont="1"/>
    <xf borderId="10" fillId="0" fontId="10" numFmtId="0" xfId="0" applyBorder="1" applyFont="1"/>
    <xf borderId="3" fillId="0" fontId="10" numFmtId="0" xfId="0" applyAlignment="1" applyBorder="1" applyFont="1">
      <alignment horizontal="center"/>
    </xf>
    <xf borderId="10" fillId="0" fontId="5" numFmtId="0" xfId="0" applyAlignment="1" applyBorder="1" applyFont="1">
      <alignment readingOrder="0" vertical="bottom"/>
    </xf>
    <xf borderId="3" fillId="0" fontId="5" numFmtId="9" xfId="0" applyAlignment="1" applyBorder="1" applyFont="1" applyNumberFormat="1">
      <alignment horizontal="right" vertical="bottom"/>
    </xf>
    <xf borderId="3" fillId="0" fontId="5" numFmtId="10" xfId="0" applyAlignment="1" applyBorder="1" applyFont="1" applyNumberFormat="1">
      <alignment horizontal="right" readingOrder="0" vertical="bottom"/>
    </xf>
    <xf borderId="11" fillId="0" fontId="5" numFmtId="0" xfId="0" applyAlignment="1" applyBorder="1" applyFont="1">
      <alignment readingOrder="0" vertical="bottom"/>
    </xf>
    <xf borderId="6" fillId="0" fontId="5" numFmtId="10" xfId="0" applyAlignment="1" applyBorder="1" applyFont="1" applyNumberFormat="1">
      <alignment horizontal="right" readingOrder="0" vertical="bottom"/>
    </xf>
    <xf borderId="4" fillId="0" fontId="10" numFmtId="167" xfId="0" applyAlignment="1" applyBorder="1" applyFont="1" applyNumberFormat="1">
      <alignment horizontal="right" textRotation="0" vertical="bottom"/>
    </xf>
    <xf borderId="0" fillId="0" fontId="5" numFmtId="10" xfId="0" applyAlignment="1" applyFont="1" applyNumberFormat="1">
      <alignment horizontal="right" vertical="bottom"/>
    </xf>
    <xf borderId="5" fillId="0" fontId="10" numFmtId="0" xfId="0" applyAlignment="1" applyBorder="1" applyFont="1">
      <alignment vertical="bottom"/>
    </xf>
    <xf borderId="5" fillId="0" fontId="10" numFmtId="167" xfId="0" applyAlignment="1" applyBorder="1" applyFont="1" applyNumberFormat="1">
      <alignment horizontal="right" vertical="bottom"/>
    </xf>
    <xf borderId="11" fillId="0" fontId="10" numFmtId="164" xfId="0" applyAlignment="1" applyBorder="1" applyFont="1" applyNumberFormat="1">
      <alignment horizontal="right" vertical="bottom"/>
    </xf>
    <xf borderId="5" fillId="0" fontId="10" numFmtId="10" xfId="0" applyAlignment="1" applyBorder="1" applyFont="1" applyNumberFormat="1">
      <alignment vertical="bottom"/>
    </xf>
    <xf borderId="6" fillId="0" fontId="10" numFmtId="0" xfId="0" applyAlignment="1" applyBorder="1" applyFont="1">
      <alignment horizontal="center" readingOrder="0" vertical="bottom"/>
    </xf>
    <xf borderId="0" fillId="0" fontId="5" numFmtId="164" xfId="0" applyAlignment="1" applyFont="1" applyNumberFormat="1">
      <alignment horizontal="right" vertical="bottom"/>
    </xf>
    <xf borderId="0" fillId="0" fontId="12" numFmtId="164" xfId="0" applyAlignment="1" applyFont="1" applyNumberFormat="1">
      <alignment horizontal="right" vertical="bottom"/>
    </xf>
    <xf borderId="0" fillId="0" fontId="11" numFmtId="0" xfId="0" applyAlignment="1" applyFont="1">
      <alignment readingOrder="0"/>
    </xf>
    <xf borderId="0" fillId="0" fontId="12" numFmtId="4" xfId="0" applyAlignment="1" applyFont="1" applyNumberFormat="1">
      <alignment horizontal="right" vertical="bottom"/>
    </xf>
    <xf borderId="0" fillId="0" fontId="5" numFmtId="0" xfId="0" applyFont="1"/>
    <xf borderId="0" fillId="0" fontId="10" numFmtId="0" xfId="0" applyAlignment="1" applyFont="1">
      <alignment readingOrder="0" shrinkToFit="0" wrapText="0"/>
    </xf>
    <xf borderId="12" fillId="0" fontId="10" numFmtId="0" xfId="0" applyAlignment="1" applyBorder="1" applyFont="1">
      <alignment horizontal="center" readingOrder="0"/>
    </xf>
    <xf borderId="13" fillId="0" fontId="6" numFmtId="0" xfId="0" applyBorder="1" applyFont="1"/>
    <xf borderId="14" fillId="0" fontId="6" numFmtId="0" xfId="0" applyBorder="1" applyFont="1"/>
    <xf borderId="15" fillId="0" fontId="10" numFmtId="0" xfId="0" applyAlignment="1" applyBorder="1" applyFont="1">
      <alignment horizontal="center" readingOrder="0" shrinkToFit="0" wrapText="1"/>
    </xf>
    <xf borderId="15" fillId="0" fontId="10" numFmtId="167" xfId="0" applyAlignment="1" applyBorder="1" applyFont="1" applyNumberFormat="1">
      <alignment horizontal="center" readingOrder="0" shrinkToFit="0" vertical="bottom" wrapText="1"/>
    </xf>
    <xf borderId="15" fillId="0" fontId="10" numFmtId="0" xfId="0" applyAlignment="1" applyBorder="1" applyFont="1">
      <alignment horizontal="center" readingOrder="0" vertical="bottom"/>
    </xf>
    <xf borderId="0" fillId="0" fontId="10" numFmtId="0" xfId="0" applyAlignment="1" applyFont="1">
      <alignment horizontal="right" readingOrder="0"/>
    </xf>
    <xf borderId="0" fillId="0" fontId="10" numFmtId="164" xfId="0" applyAlignment="1" applyFont="1" applyNumberFormat="1">
      <alignment horizontal="right" vertical="bottom"/>
    </xf>
    <xf borderId="0" fillId="0" fontId="5" numFmtId="10" xfId="0" applyFont="1" applyNumberFormat="1"/>
    <xf borderId="0" fillId="0" fontId="5" numFmtId="0" xfId="0" applyAlignment="1" applyFont="1">
      <alignment horizontal="center" readingOrder="0"/>
    </xf>
    <xf borderId="0" fillId="11" fontId="10" numFmtId="0" xfId="0" applyFont="1"/>
    <xf borderId="0" fillId="0" fontId="10" numFmtId="10" xfId="0" applyFont="1" applyNumberFormat="1"/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horizontal="center" readingOrder="0" shrinkToFit="0" wrapText="1"/>
    </xf>
    <xf borderId="0" fillId="0" fontId="10" numFmtId="3" xfId="0" applyAlignment="1" applyFont="1" applyNumberFormat="1">
      <alignment readingOrder="0"/>
    </xf>
    <xf borderId="0" fillId="0" fontId="10" numFmtId="3" xfId="0" applyFont="1" applyNumberFormat="1"/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 shrinkToFit="0" wrapText="0"/>
    </xf>
    <xf borderId="0" fillId="0" fontId="13" numFmtId="0" xfId="0" applyAlignment="1" applyFont="1">
      <alignment readingOrder="0"/>
    </xf>
    <xf borderId="0" fillId="12" fontId="11" numFmtId="0" xfId="0" applyAlignment="1" applyFill="1" applyFont="1">
      <alignment horizontal="left" readingOrder="0" shrinkToFit="0" wrapText="0"/>
    </xf>
    <xf borderId="0" fillId="12" fontId="10" numFmtId="3" xfId="0" applyFont="1" applyNumberFormat="1"/>
    <xf borderId="0" fillId="12" fontId="10" numFmtId="0" xfId="0" applyFont="1"/>
    <xf borderId="0" fillId="12" fontId="5" numFmtId="0" xfId="0" applyFont="1"/>
    <xf borderId="0" fillId="12" fontId="3" numFmtId="0" xfId="0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horizontal="left" readingOrder="0" shrinkToFit="0" wrapText="0"/>
    </xf>
    <xf borderId="0" fillId="0" fontId="5" numFmtId="0" xfId="0" applyAlignment="1" applyFont="1">
      <alignment readingOrder="0"/>
    </xf>
    <xf borderId="0" fillId="11" fontId="10" numFmtId="3" xfId="0" applyFont="1" applyNumberFormat="1"/>
    <xf borderId="0" fillId="11" fontId="5" numFmtId="3" xfId="0" applyFont="1" applyNumberFormat="1"/>
    <xf borderId="0" fillId="0" fontId="5" numFmtId="0" xfId="0" applyAlignment="1" applyFont="1">
      <alignment horizontal="right" readingOrder="0"/>
    </xf>
    <xf borderId="1" fillId="0" fontId="10" numFmtId="0" xfId="0" applyAlignment="1" applyBorder="1" applyFont="1">
      <alignment vertical="bottom"/>
    </xf>
    <xf borderId="1" fillId="0" fontId="10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/>
    </xf>
    <xf borderId="0" fillId="0" fontId="10" numFmtId="3" xfId="0" applyAlignment="1" applyFont="1" applyNumberFormat="1">
      <alignment readingOrder="0" shrinkToFit="0" wrapText="1"/>
    </xf>
    <xf borderId="0" fillId="0" fontId="5" numFmtId="0" xfId="0" applyAlignment="1" applyFont="1">
      <alignment readingOrder="0" shrinkToFit="0" wrapText="1"/>
    </xf>
    <xf borderId="10" fillId="0" fontId="10" numFmtId="0" xfId="0" applyAlignment="1" applyBorder="1" applyFont="1">
      <alignment vertical="bottom"/>
    </xf>
    <xf borderId="2" fillId="0" fontId="10" numFmtId="167" xfId="0" applyAlignment="1" applyBorder="1" applyFont="1" applyNumberFormat="1">
      <alignment horizontal="right" vertical="bottom"/>
    </xf>
    <xf borderId="3" fillId="0" fontId="10" numFmtId="164" xfId="0" applyAlignment="1" applyBorder="1" applyFont="1" applyNumberFormat="1">
      <alignment horizontal="right" vertical="bottom"/>
    </xf>
    <xf borderId="0" fillId="0" fontId="10" numFmtId="0" xfId="0" applyAlignment="1" applyFont="1">
      <alignment horizontal="center" readingOrder="0" vertical="bottom"/>
    </xf>
    <xf borderId="2" fillId="0" fontId="10" numFmtId="166" xfId="0" applyBorder="1" applyFont="1" applyNumberFormat="1"/>
    <xf borderId="2" fillId="0" fontId="10" numFmtId="166" xfId="0" applyBorder="1" applyFont="1" applyNumberFormat="1"/>
    <xf borderId="2" fillId="0" fontId="10" numFmtId="10" xfId="0" applyBorder="1" applyFont="1" applyNumberFormat="1"/>
    <xf borderId="2" fillId="0" fontId="5" numFmtId="168" xfId="0" applyBorder="1" applyFont="1" applyNumberFormat="1"/>
    <xf borderId="2" fillId="0" fontId="3" numFmtId="0" xfId="0" applyBorder="1" applyFont="1"/>
    <xf borderId="4" fillId="0" fontId="10" numFmtId="166" xfId="0" applyBorder="1" applyFont="1" applyNumberFormat="1"/>
    <xf borderId="4" fillId="0" fontId="10" numFmtId="166" xfId="0" applyBorder="1" applyFont="1" applyNumberFormat="1"/>
    <xf borderId="4" fillId="0" fontId="10" numFmtId="10" xfId="0" applyBorder="1" applyFont="1" applyNumberFormat="1"/>
    <xf borderId="4" fillId="0" fontId="5" numFmtId="168" xfId="0" applyBorder="1" applyFont="1" applyNumberFormat="1"/>
    <xf borderId="4" fillId="0" fontId="3" numFmtId="0" xfId="0" applyBorder="1" applyFont="1"/>
    <xf borderId="1" fillId="0" fontId="10" numFmtId="0" xfId="0" applyAlignment="1" applyBorder="1" applyFont="1">
      <alignment horizontal="center" readingOrder="0" vertical="bottom"/>
    </xf>
    <xf borderId="5" fillId="0" fontId="10" numFmtId="166" xfId="0" applyBorder="1" applyFont="1" applyNumberFormat="1"/>
    <xf borderId="5" fillId="0" fontId="10" numFmtId="166" xfId="0" applyBorder="1" applyFont="1" applyNumberFormat="1"/>
    <xf borderId="5" fillId="0" fontId="10" numFmtId="10" xfId="0" applyBorder="1" applyFont="1" applyNumberFormat="1"/>
    <xf borderId="5" fillId="0" fontId="10" numFmtId="167" xfId="0" applyAlignment="1" applyBorder="1" applyFont="1" applyNumberFormat="1">
      <alignment horizontal="right" textRotation="0" vertical="bottom"/>
    </xf>
    <xf borderId="5" fillId="0" fontId="3" numFmtId="0" xfId="0" applyBorder="1" applyFont="1"/>
    <xf borderId="0" fillId="9" fontId="5" numFmtId="3" xfId="0" applyFont="1" applyNumberFormat="1"/>
    <xf borderId="0" fillId="9" fontId="10" numFmtId="3" xfId="0" applyFont="1" applyNumberFormat="1"/>
    <xf borderId="0" fillId="0" fontId="5" numFmtId="9" xfId="0" applyAlignment="1" applyFont="1" applyNumberFormat="1">
      <alignment readingOrder="0"/>
    </xf>
    <xf borderId="0" fillId="0" fontId="5" numFmtId="165" xfId="0" applyFont="1" applyNumberFormat="1"/>
    <xf borderId="0" fillId="0" fontId="3" numFmtId="169" xfId="0" applyFont="1" applyNumberFormat="1"/>
    <xf borderId="0" fillId="0" fontId="5" numFmtId="3" xfId="0" applyFont="1" applyNumberFormat="1"/>
    <xf borderId="0" fillId="0" fontId="16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16" numFmtId="0" xfId="0" applyAlignment="1" applyFont="1">
      <alignment horizontal="right" readingOrder="0"/>
    </xf>
    <xf borderId="0" fillId="13" fontId="16" numFmtId="10" xfId="0" applyAlignment="1" applyFill="1" applyFont="1" applyNumberFormat="1">
      <alignment readingOrder="0"/>
    </xf>
    <xf borderId="0" fillId="13" fontId="16" numFmtId="10" xfId="0" applyFont="1" applyNumberFormat="1"/>
    <xf borderId="0" fillId="0" fontId="16" numFmtId="10" xfId="0" applyFont="1" applyNumberFormat="1"/>
    <xf borderId="0" fillId="0" fontId="16" numFmtId="9" xfId="0" applyAlignment="1" applyFont="1" applyNumberFormat="1">
      <alignment readingOrder="0"/>
    </xf>
    <xf borderId="0" fillId="0" fontId="3" numFmtId="0" xfId="0" applyFont="1"/>
    <xf borderId="0" fillId="0" fontId="16" numFmtId="0" xfId="0" applyFont="1"/>
    <xf borderId="0" fillId="0" fontId="3" numFmtId="0" xfId="0" applyAlignment="1" applyFont="1">
      <alignment horizontal="center" readingOrder="0"/>
    </xf>
    <xf borderId="0" fillId="0" fontId="16" numFmtId="170" xfId="0" applyFont="1" applyNumberFormat="1"/>
    <xf borderId="0" fillId="0" fontId="16" numFmtId="170" xfId="0" applyAlignment="1" applyFont="1" applyNumberFormat="1">
      <alignment horizontal="right"/>
    </xf>
    <xf borderId="0" fillId="0" fontId="16" numFmtId="170" xfId="0" applyAlignment="1" applyFont="1" applyNumberFormat="1">
      <alignment horizontal="center"/>
    </xf>
    <xf borderId="0" fillId="0" fontId="1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69</xdr:row>
      <xdr:rowOff>38100</xdr:rowOff>
    </xdr:from>
    <xdr:ext cx="5362575" cy="415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847725</xdr:colOff>
      <xdr:row>70</xdr:row>
      <xdr:rowOff>38100</xdr:rowOff>
    </xdr:from>
    <xdr:ext cx="5553075" cy="42672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93</xdr:row>
      <xdr:rowOff>47625</xdr:rowOff>
    </xdr:from>
    <xdr:ext cx="5400675" cy="2305050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29</xdr:row>
      <xdr:rowOff>38100</xdr:rowOff>
    </xdr:from>
    <xdr:ext cx="5105400" cy="20478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18</xdr:row>
      <xdr:rowOff>66675</xdr:rowOff>
    </xdr:from>
    <xdr:ext cx="7524750" cy="24955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rangesamus/RocketPoolRapidResearchIncubator/" TargetMode="External"/><Relationship Id="rId2" Type="http://schemas.openxmlformats.org/officeDocument/2006/relationships/hyperlink" Target="https://research.lido.fi/t/bond-and-staking-fee-napkin-math/5999" TargetMode="External"/><Relationship Id="rId3" Type="http://schemas.openxmlformats.org/officeDocument/2006/relationships/hyperlink" Target="https://github.com/orangesamus/RocketPoolRapidResearchIncubator/blob/main/RCM_plotter.py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4.0"/>
    <col customWidth="1" min="2" max="4" width="13.43"/>
    <col customWidth="1" min="5" max="5" width="14.14"/>
    <col customWidth="1" min="6" max="15" width="13.4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4"/>
      <c r="J1" s="4"/>
      <c r="K1" s="4"/>
      <c r="L1" s="4"/>
      <c r="M1" s="3"/>
      <c r="N1" s="3"/>
      <c r="O1" s="3"/>
    </row>
    <row r="2">
      <c r="A2" s="5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8" t="s">
        <v>7</v>
      </c>
      <c r="G2" s="9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1" t="s">
        <v>14</v>
      </c>
      <c r="N2" s="11" t="s">
        <v>15</v>
      </c>
      <c r="O2" s="11" t="s">
        <v>16</v>
      </c>
    </row>
    <row r="3">
      <c r="A3" s="12" t="s">
        <v>17</v>
      </c>
      <c r="B3" s="13">
        <v>8.0</v>
      </c>
      <c r="C3" s="13">
        <v>4.0</v>
      </c>
      <c r="D3" s="13">
        <v>8.0</v>
      </c>
      <c r="E3" s="13">
        <v>4.0</v>
      </c>
      <c r="F3" s="13">
        <v>4.0</v>
      </c>
      <c r="G3" s="14">
        <v>2.0</v>
      </c>
      <c r="H3" s="15">
        <v>4.0</v>
      </c>
      <c r="I3" s="15">
        <v>16.0</v>
      </c>
      <c r="J3" s="15">
        <v>8.0</v>
      </c>
      <c r="K3" s="15">
        <v>4.0</v>
      </c>
      <c r="L3" s="15">
        <v>2.0</v>
      </c>
      <c r="M3" s="14">
        <v>4.0</v>
      </c>
      <c r="N3" s="14">
        <v>4.0</v>
      </c>
      <c r="O3" s="14">
        <v>16.0</v>
      </c>
    </row>
    <row r="4">
      <c r="A4" s="12" t="s">
        <v>18</v>
      </c>
      <c r="B4" s="13">
        <f t="shared" ref="B4:C4" si="1"> (32 - B3) * 0.1</f>
        <v>2.4</v>
      </c>
      <c r="C4" s="13">
        <f t="shared" si="1"/>
        <v>2.8</v>
      </c>
      <c r="D4" s="13">
        <f t="shared" ref="D4:E4" si="2"> (32 - D3) * 0</f>
        <v>0</v>
      </c>
      <c r="E4" s="13">
        <f t="shared" si="2"/>
        <v>0</v>
      </c>
      <c r="F4" s="13">
        <v>0.0</v>
      </c>
      <c r="G4" s="14">
        <v>0.0</v>
      </c>
      <c r="H4" s="15">
        <v>0.0</v>
      </c>
      <c r="I4" s="13">
        <f t="shared" ref="I4:L4" si="3"> (32 - I3) * 0.1</f>
        <v>1.6</v>
      </c>
      <c r="J4" s="13">
        <f t="shared" si="3"/>
        <v>2.4</v>
      </c>
      <c r="K4" s="13">
        <f t="shared" si="3"/>
        <v>2.8</v>
      </c>
      <c r="L4" s="13">
        <f t="shared" si="3"/>
        <v>3</v>
      </c>
      <c r="M4" s="14">
        <f t="shared" ref="M4:N4" si="4">M3*0.1</f>
        <v>0.4</v>
      </c>
      <c r="N4" s="14">
        <f t="shared" si="4"/>
        <v>0.4</v>
      </c>
      <c r="O4" s="14">
        <v>0.0</v>
      </c>
    </row>
    <row r="5">
      <c r="A5" s="16" t="s">
        <v>19</v>
      </c>
      <c r="B5" s="17">
        <f t="shared" ref="B5:O5" si="5">B4/B3</f>
        <v>0.3</v>
      </c>
      <c r="C5" s="17">
        <f t="shared" si="5"/>
        <v>0.7</v>
      </c>
      <c r="D5" s="17">
        <f t="shared" si="5"/>
        <v>0</v>
      </c>
      <c r="E5" s="17">
        <f t="shared" si="5"/>
        <v>0</v>
      </c>
      <c r="F5" s="17">
        <f t="shared" si="5"/>
        <v>0</v>
      </c>
      <c r="G5" s="17">
        <f t="shared" si="5"/>
        <v>0</v>
      </c>
      <c r="H5" s="17">
        <f t="shared" si="5"/>
        <v>0</v>
      </c>
      <c r="I5" s="17">
        <f t="shared" si="5"/>
        <v>0.1</v>
      </c>
      <c r="J5" s="17">
        <f t="shared" si="5"/>
        <v>0.3</v>
      </c>
      <c r="K5" s="17">
        <f t="shared" si="5"/>
        <v>0.7</v>
      </c>
      <c r="L5" s="17">
        <f t="shared" si="5"/>
        <v>1.5</v>
      </c>
      <c r="M5" s="17">
        <f t="shared" si="5"/>
        <v>0.1</v>
      </c>
      <c r="N5" s="17">
        <f t="shared" si="5"/>
        <v>0.1</v>
      </c>
      <c r="O5" s="17">
        <f t="shared" si="5"/>
        <v>0</v>
      </c>
    </row>
    <row r="6">
      <c r="A6" s="12" t="s">
        <v>20</v>
      </c>
      <c r="B6" s="18">
        <f t="shared" ref="B6:C6" si="6">$B$37</f>
        <v>0.8184390433</v>
      </c>
      <c r="C6" s="18">
        <f t="shared" si="6"/>
        <v>0.8184390433</v>
      </c>
      <c r="D6" s="13">
        <v>0.0</v>
      </c>
      <c r="E6" s="13">
        <v>0.0</v>
      </c>
      <c r="F6" s="13">
        <v>0.0</v>
      </c>
      <c r="G6" s="14">
        <v>0.0</v>
      </c>
      <c r="H6" s="19">
        <v>0.0</v>
      </c>
      <c r="I6" s="18">
        <f t="shared" ref="I6:L6" si="7">$B$37</f>
        <v>0.8184390433</v>
      </c>
      <c r="J6" s="18">
        <f t="shared" si="7"/>
        <v>0.8184390433</v>
      </c>
      <c r="K6" s="18">
        <f t="shared" si="7"/>
        <v>0.8184390433</v>
      </c>
      <c r="L6" s="18">
        <f t="shared" si="7"/>
        <v>0.8184390433</v>
      </c>
      <c r="M6" s="20">
        <f>$B$64</f>
        <v>7.756666667</v>
      </c>
      <c r="N6" s="14">
        <v>1.0</v>
      </c>
      <c r="O6" s="14">
        <v>0.0</v>
      </c>
    </row>
    <row r="7">
      <c r="A7" s="12" t="s">
        <v>21</v>
      </c>
      <c r="B7" s="21">
        <f t="shared" ref="B7:E7" si="8">$B$38</f>
        <v>0.14</v>
      </c>
      <c r="C7" s="21">
        <f t="shared" si="8"/>
        <v>0.14</v>
      </c>
      <c r="D7" s="21">
        <f t="shared" si="8"/>
        <v>0.14</v>
      </c>
      <c r="E7" s="21">
        <f t="shared" si="8"/>
        <v>0.14</v>
      </c>
      <c r="F7" s="22">
        <v>0.075</v>
      </c>
      <c r="G7" s="23">
        <v>0.075</v>
      </c>
      <c r="H7" s="24">
        <v>0.07</v>
      </c>
      <c r="I7" s="21">
        <f t="shared" ref="I7:L7" si="9">$B$38</f>
        <v>0.14</v>
      </c>
      <c r="J7" s="21">
        <f t="shared" si="9"/>
        <v>0.14</v>
      </c>
      <c r="K7" s="21">
        <f t="shared" si="9"/>
        <v>0.14</v>
      </c>
      <c r="L7" s="21">
        <f t="shared" si="9"/>
        <v>0.14</v>
      </c>
      <c r="M7" s="25">
        <v>0.06</v>
      </c>
      <c r="N7" s="25">
        <v>0.06</v>
      </c>
      <c r="O7" s="25">
        <v>0.1</v>
      </c>
    </row>
    <row r="8">
      <c r="A8" s="26" t="s">
        <v>22</v>
      </c>
      <c r="B8" s="18">
        <f t="shared" ref="B8:E8" si="10">B3</f>
        <v>8</v>
      </c>
      <c r="C8" s="18">
        <f t="shared" si="10"/>
        <v>4</v>
      </c>
      <c r="D8" s="18">
        <f t="shared" si="10"/>
        <v>8</v>
      </c>
      <c r="E8" s="18">
        <f t="shared" si="10"/>
        <v>4</v>
      </c>
      <c r="F8" s="18">
        <f t="shared" ref="F8:G8" si="11"> F3 * 0.9</f>
        <v>3.6</v>
      </c>
      <c r="G8" s="18">
        <f t="shared" si="11"/>
        <v>1.8</v>
      </c>
      <c r="H8" s="18">
        <f t="shared" ref="H8:O8" si="12">H3</f>
        <v>4</v>
      </c>
      <c r="I8" s="18">
        <f t="shared" si="12"/>
        <v>16</v>
      </c>
      <c r="J8" s="18">
        <f t="shared" si="12"/>
        <v>8</v>
      </c>
      <c r="K8" s="18">
        <f t="shared" si="12"/>
        <v>4</v>
      </c>
      <c r="L8" s="18">
        <f t="shared" si="12"/>
        <v>2</v>
      </c>
      <c r="M8" s="18">
        <f t="shared" si="12"/>
        <v>4</v>
      </c>
      <c r="N8" s="18">
        <f t="shared" si="12"/>
        <v>4</v>
      </c>
      <c r="O8" s="18">
        <f t="shared" si="12"/>
        <v>16</v>
      </c>
    </row>
    <row r="9">
      <c r="A9" s="26" t="s">
        <v>23</v>
      </c>
      <c r="B9" s="18">
        <f t="shared" ref="B9:E9" si="13">(32 - B3) * B7</f>
        <v>3.36</v>
      </c>
      <c r="C9" s="18">
        <f t="shared" si="13"/>
        <v>3.92</v>
      </c>
      <c r="D9" s="18">
        <f t="shared" si="13"/>
        <v>3.36</v>
      </c>
      <c r="E9" s="18">
        <f t="shared" si="13"/>
        <v>3.92</v>
      </c>
      <c r="F9" s="18">
        <f t="shared" ref="F9:G9" si="14"> 32 * F7</f>
        <v>2.4</v>
      </c>
      <c r="G9" s="18">
        <f t="shared" si="14"/>
        <v>2.4</v>
      </c>
      <c r="H9" s="18">
        <f> (32 - H3) * H7</f>
        <v>1.96</v>
      </c>
      <c r="I9" s="18">
        <f t="shared" ref="I9:O9" si="15">(32 - I3) * I7</f>
        <v>2.24</v>
      </c>
      <c r="J9" s="18">
        <f t="shared" si="15"/>
        <v>3.36</v>
      </c>
      <c r="K9" s="18">
        <f t="shared" si="15"/>
        <v>3.92</v>
      </c>
      <c r="L9" s="18">
        <f t="shared" si="15"/>
        <v>4.2</v>
      </c>
      <c r="M9" s="18">
        <f t="shared" si="15"/>
        <v>1.68</v>
      </c>
      <c r="N9" s="18">
        <f t="shared" si="15"/>
        <v>1.68</v>
      </c>
      <c r="O9" s="18">
        <f t="shared" si="15"/>
        <v>1.6</v>
      </c>
    </row>
    <row r="10">
      <c r="A10" s="26" t="s">
        <v>24</v>
      </c>
      <c r="B10" s="18">
        <f t="shared" ref="B10:O10" si="16"> B4 * B6</f>
        <v>1.964253704</v>
      </c>
      <c r="C10" s="18">
        <f t="shared" si="16"/>
        <v>2.291629321</v>
      </c>
      <c r="D10" s="18">
        <f t="shared" si="16"/>
        <v>0</v>
      </c>
      <c r="E10" s="18">
        <f t="shared" si="16"/>
        <v>0</v>
      </c>
      <c r="F10" s="18">
        <f t="shared" si="16"/>
        <v>0</v>
      </c>
      <c r="G10" s="18">
        <f t="shared" si="16"/>
        <v>0</v>
      </c>
      <c r="H10" s="18">
        <f t="shared" si="16"/>
        <v>0</v>
      </c>
      <c r="I10" s="18">
        <f t="shared" si="16"/>
        <v>1.309502469</v>
      </c>
      <c r="J10" s="18">
        <f t="shared" si="16"/>
        <v>1.964253704</v>
      </c>
      <c r="K10" s="18">
        <f t="shared" si="16"/>
        <v>2.291629321</v>
      </c>
      <c r="L10" s="18">
        <f t="shared" si="16"/>
        <v>2.45531713</v>
      </c>
      <c r="M10" s="18">
        <f t="shared" si="16"/>
        <v>3.102666667</v>
      </c>
      <c r="N10" s="18">
        <f t="shared" si="16"/>
        <v>0.4</v>
      </c>
      <c r="O10" s="18">
        <f t="shared" si="16"/>
        <v>0</v>
      </c>
    </row>
    <row r="11" ht="6.75" customHeight="1">
      <c r="A11" s="27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</row>
    <row r="12">
      <c r="A12" s="26" t="s">
        <v>25</v>
      </c>
      <c r="B12" s="19">
        <f t="shared" ref="B12:O12" si="17">B8*$B$36</f>
        <v>0.24</v>
      </c>
      <c r="C12" s="19">
        <f t="shared" si="17"/>
        <v>0.12</v>
      </c>
      <c r="D12" s="19">
        <f t="shared" si="17"/>
        <v>0.24</v>
      </c>
      <c r="E12" s="19">
        <f t="shared" si="17"/>
        <v>0.12</v>
      </c>
      <c r="F12" s="19">
        <f t="shared" si="17"/>
        <v>0.108</v>
      </c>
      <c r="G12" s="19">
        <f t="shared" si="17"/>
        <v>0.054</v>
      </c>
      <c r="H12" s="19">
        <f t="shared" si="17"/>
        <v>0.12</v>
      </c>
      <c r="I12" s="19">
        <f t="shared" si="17"/>
        <v>0.48</v>
      </c>
      <c r="J12" s="19">
        <f t="shared" si="17"/>
        <v>0.24</v>
      </c>
      <c r="K12" s="19">
        <f t="shared" si="17"/>
        <v>0.12</v>
      </c>
      <c r="L12" s="19">
        <f t="shared" si="17"/>
        <v>0.06</v>
      </c>
      <c r="M12" s="19">
        <f t="shared" si="17"/>
        <v>0.12</v>
      </c>
      <c r="N12" s="19">
        <f t="shared" si="17"/>
        <v>0.12</v>
      </c>
      <c r="O12" s="19">
        <f t="shared" si="17"/>
        <v>0.48</v>
      </c>
    </row>
    <row r="13">
      <c r="A13" s="26" t="s">
        <v>26</v>
      </c>
      <c r="B13" s="19">
        <f t="shared" ref="B13:O13" si="18">B9*$B$36</f>
        <v>0.1008</v>
      </c>
      <c r="C13" s="19">
        <f t="shared" si="18"/>
        <v>0.1176</v>
      </c>
      <c r="D13" s="19">
        <f t="shared" si="18"/>
        <v>0.1008</v>
      </c>
      <c r="E13" s="19">
        <f t="shared" si="18"/>
        <v>0.1176</v>
      </c>
      <c r="F13" s="19">
        <f t="shared" si="18"/>
        <v>0.072</v>
      </c>
      <c r="G13" s="19">
        <f t="shared" si="18"/>
        <v>0.072</v>
      </c>
      <c r="H13" s="19">
        <f t="shared" si="18"/>
        <v>0.0588</v>
      </c>
      <c r="I13" s="19">
        <f t="shared" si="18"/>
        <v>0.0672</v>
      </c>
      <c r="J13" s="19">
        <f t="shared" si="18"/>
        <v>0.1008</v>
      </c>
      <c r="K13" s="19">
        <f t="shared" si="18"/>
        <v>0.1176</v>
      </c>
      <c r="L13" s="19">
        <f t="shared" si="18"/>
        <v>0.126</v>
      </c>
      <c r="M13" s="19">
        <f t="shared" si="18"/>
        <v>0.0504</v>
      </c>
      <c r="N13" s="19">
        <f t="shared" si="18"/>
        <v>0.0504</v>
      </c>
      <c r="O13" s="19">
        <f t="shared" si="18"/>
        <v>0.048</v>
      </c>
    </row>
    <row r="14">
      <c r="A14" s="26" t="s">
        <v>27</v>
      </c>
      <c r="B14" s="19">
        <f t="shared" ref="B14:O14" si="19">B10*$B$36</f>
        <v>0.05892761112</v>
      </c>
      <c r="C14" s="19">
        <f t="shared" si="19"/>
        <v>0.06874887964</v>
      </c>
      <c r="D14" s="19">
        <f t="shared" si="19"/>
        <v>0</v>
      </c>
      <c r="E14" s="19">
        <f t="shared" si="19"/>
        <v>0</v>
      </c>
      <c r="F14" s="19">
        <f t="shared" si="19"/>
        <v>0</v>
      </c>
      <c r="G14" s="19">
        <f t="shared" si="19"/>
        <v>0</v>
      </c>
      <c r="H14" s="19">
        <f t="shared" si="19"/>
        <v>0</v>
      </c>
      <c r="I14" s="19">
        <f t="shared" si="19"/>
        <v>0.03928507408</v>
      </c>
      <c r="J14" s="19">
        <f t="shared" si="19"/>
        <v>0.05892761112</v>
      </c>
      <c r="K14" s="19">
        <f t="shared" si="19"/>
        <v>0.06874887964</v>
      </c>
      <c r="L14" s="19">
        <f t="shared" si="19"/>
        <v>0.0736595139</v>
      </c>
      <c r="M14" s="19">
        <f t="shared" si="19"/>
        <v>0.09308</v>
      </c>
      <c r="N14" s="19">
        <f t="shared" si="19"/>
        <v>0.012</v>
      </c>
      <c r="O14" s="19">
        <f t="shared" si="19"/>
        <v>0</v>
      </c>
    </row>
    <row r="15">
      <c r="A15" s="26" t="s">
        <v>28</v>
      </c>
      <c r="B15" s="19">
        <v>0.0</v>
      </c>
      <c r="C15" s="19">
        <v>0.0</v>
      </c>
      <c r="D15" s="19">
        <v>0.0</v>
      </c>
      <c r="E15" s="19">
        <v>0.0</v>
      </c>
      <c r="F15" s="19">
        <v>0.0</v>
      </c>
      <c r="G15" s="19">
        <v>0.0</v>
      </c>
      <c r="H15" s="19">
        <v>0.0</v>
      </c>
      <c r="I15" s="18">
        <f t="shared" ref="I15:L15" si="20">$B$43</f>
        <v>0.1541176659</v>
      </c>
      <c r="J15" s="18">
        <f t="shared" si="20"/>
        <v>0.1541176659</v>
      </c>
      <c r="K15" s="18">
        <f t="shared" si="20"/>
        <v>0.1541176659</v>
      </c>
      <c r="L15" s="18">
        <f t="shared" si="20"/>
        <v>0.1541176659</v>
      </c>
      <c r="M15" s="19">
        <v>0.0</v>
      </c>
      <c r="N15" s="19">
        <v>0.0</v>
      </c>
      <c r="O15" s="19">
        <v>0.0</v>
      </c>
    </row>
    <row r="16">
      <c r="A16" s="26" t="s">
        <v>29</v>
      </c>
      <c r="B16" s="19">
        <f t="shared" ref="B16:O16" si="21">SUM(B12:B15)</f>
        <v>0.3997276111</v>
      </c>
      <c r="C16" s="19">
        <f t="shared" si="21"/>
        <v>0.3063488796</v>
      </c>
      <c r="D16" s="19">
        <f t="shared" si="21"/>
        <v>0.3408</v>
      </c>
      <c r="E16" s="19">
        <f t="shared" si="21"/>
        <v>0.2376</v>
      </c>
      <c r="F16" s="19">
        <f t="shared" si="21"/>
        <v>0.18</v>
      </c>
      <c r="G16" s="19">
        <f t="shared" si="21"/>
        <v>0.126</v>
      </c>
      <c r="H16" s="19">
        <f t="shared" si="21"/>
        <v>0.1788</v>
      </c>
      <c r="I16" s="19">
        <f t="shared" si="21"/>
        <v>0.74060274</v>
      </c>
      <c r="J16" s="19">
        <f t="shared" si="21"/>
        <v>0.553845277</v>
      </c>
      <c r="K16" s="19">
        <f t="shared" si="21"/>
        <v>0.4604665455</v>
      </c>
      <c r="L16" s="19">
        <f t="shared" si="21"/>
        <v>0.4137771798</v>
      </c>
      <c r="M16" s="19">
        <f t="shared" si="21"/>
        <v>0.26348</v>
      </c>
      <c r="N16" s="19">
        <f t="shared" si="21"/>
        <v>0.1824</v>
      </c>
      <c r="O16" s="19">
        <f t="shared" si="21"/>
        <v>0.528</v>
      </c>
    </row>
    <row r="17" ht="6.75" customHeight="1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>
      <c r="A18" s="26" t="s">
        <v>30</v>
      </c>
      <c r="B18" s="19">
        <f t="shared" ref="B18:E18" si="22">(B3+B4)*$B$36</f>
        <v>0.312</v>
      </c>
      <c r="C18" s="19">
        <f t="shared" si="22"/>
        <v>0.204</v>
      </c>
      <c r="D18" s="19">
        <f t="shared" si="22"/>
        <v>0.24</v>
      </c>
      <c r="E18" s="19">
        <f t="shared" si="22"/>
        <v>0.12</v>
      </c>
      <c r="F18" s="19">
        <f t="shared" ref="F18:G18" si="23">F3*$B$36</f>
        <v>0.12</v>
      </c>
      <c r="G18" s="19">
        <f t="shared" si="23"/>
        <v>0.06</v>
      </c>
      <c r="H18" s="19">
        <f t="shared" ref="H18:O18" si="24">(H3+H4)*$B$36</f>
        <v>0.12</v>
      </c>
      <c r="I18" s="19">
        <f t="shared" si="24"/>
        <v>0.528</v>
      </c>
      <c r="J18" s="19">
        <f t="shared" si="24"/>
        <v>0.312</v>
      </c>
      <c r="K18" s="19">
        <f t="shared" si="24"/>
        <v>0.204</v>
      </c>
      <c r="L18" s="19">
        <f t="shared" si="24"/>
        <v>0.15</v>
      </c>
      <c r="M18" s="19">
        <f t="shared" si="24"/>
        <v>0.132</v>
      </c>
      <c r="N18" s="19">
        <f t="shared" si="24"/>
        <v>0.132</v>
      </c>
      <c r="O18" s="19">
        <f t="shared" si="24"/>
        <v>0.48</v>
      </c>
    </row>
    <row r="19">
      <c r="A19" s="29" t="s">
        <v>31</v>
      </c>
      <c r="B19" s="30">
        <f t="shared" ref="B19:O19" si="25">B16/B18</f>
        <v>1.281178241</v>
      </c>
      <c r="C19" s="30">
        <f t="shared" si="25"/>
        <v>1.501710194</v>
      </c>
      <c r="D19" s="30">
        <f t="shared" si="25"/>
        <v>1.42</v>
      </c>
      <c r="E19" s="30">
        <f t="shared" si="25"/>
        <v>1.98</v>
      </c>
      <c r="F19" s="31">
        <f t="shared" si="25"/>
        <v>1.5</v>
      </c>
      <c r="G19" s="32">
        <f t="shared" si="25"/>
        <v>2.1</v>
      </c>
      <c r="H19" s="31">
        <f t="shared" si="25"/>
        <v>1.49</v>
      </c>
      <c r="I19" s="33">
        <f t="shared" si="25"/>
        <v>1.402656705</v>
      </c>
      <c r="J19" s="34">
        <f t="shared" si="25"/>
        <v>1.775145119</v>
      </c>
      <c r="K19" s="34">
        <f t="shared" si="25"/>
        <v>2.257188949</v>
      </c>
      <c r="L19" s="34">
        <f t="shared" si="25"/>
        <v>2.758514532</v>
      </c>
      <c r="M19" s="32">
        <f t="shared" si="25"/>
        <v>1.996060606</v>
      </c>
      <c r="N19" s="32">
        <f t="shared" si="25"/>
        <v>1.381818182</v>
      </c>
      <c r="O19" s="32">
        <f t="shared" si="25"/>
        <v>1.1</v>
      </c>
    </row>
    <row r="23">
      <c r="A23" s="35" t="s">
        <v>32</v>
      </c>
      <c r="E23" s="36" t="s">
        <v>33</v>
      </c>
      <c r="F23" s="37" t="s">
        <v>34</v>
      </c>
      <c r="I23" s="38"/>
      <c r="P23" s="39"/>
      <c r="Q23" s="39"/>
      <c r="R23" s="39"/>
    </row>
    <row r="24">
      <c r="A24" s="38" t="s">
        <v>35</v>
      </c>
      <c r="B24" s="40">
        <v>1.9992308E7</v>
      </c>
      <c r="E24" s="35" t="s">
        <v>36</v>
      </c>
      <c r="I24" s="38"/>
      <c r="P24" s="39"/>
      <c r="Q24" s="39"/>
      <c r="R24" s="39"/>
    </row>
    <row r="25">
      <c r="A25" s="38" t="s">
        <v>37</v>
      </c>
      <c r="B25" s="41">
        <v>9233612.0</v>
      </c>
      <c r="E25" s="35" t="s">
        <v>38</v>
      </c>
      <c r="I25" s="38"/>
      <c r="P25" s="39"/>
      <c r="Q25" s="39"/>
      <c r="R25" s="39"/>
    </row>
    <row r="26">
      <c r="A26" s="36" t="s">
        <v>39</v>
      </c>
      <c r="B26" s="40">
        <v>1.0238405E7</v>
      </c>
      <c r="E26" s="35" t="s">
        <v>40</v>
      </c>
      <c r="I26" s="38"/>
      <c r="P26" s="39"/>
      <c r="Q26" s="39"/>
      <c r="R26" s="39"/>
    </row>
    <row r="27">
      <c r="A27" s="38" t="s">
        <v>41</v>
      </c>
      <c r="B27" s="42">
        <v>0.05</v>
      </c>
      <c r="E27" s="35" t="s">
        <v>42</v>
      </c>
      <c r="I27" s="38"/>
      <c r="P27" s="39"/>
      <c r="Q27" s="39"/>
      <c r="R27" s="39"/>
    </row>
    <row r="28">
      <c r="A28" s="43" t="s">
        <v>43</v>
      </c>
      <c r="B28" s="44">
        <v>0.7</v>
      </c>
      <c r="C28" s="45" t="s">
        <v>44</v>
      </c>
      <c r="E28" s="35" t="s">
        <v>45</v>
      </c>
    </row>
    <row r="29">
      <c r="A29" s="46" t="s">
        <v>46</v>
      </c>
      <c r="B29" s="47">
        <v>0.285</v>
      </c>
      <c r="C29" s="48"/>
      <c r="E29" s="35" t="s">
        <v>47</v>
      </c>
      <c r="I29" s="38"/>
      <c r="P29" s="39"/>
      <c r="Q29" s="39"/>
      <c r="R29" s="39"/>
    </row>
    <row r="30">
      <c r="A30" s="49" t="s">
        <v>48</v>
      </c>
      <c r="B30" s="50">
        <v>0.015</v>
      </c>
      <c r="C30" s="51"/>
      <c r="E30" s="35" t="s">
        <v>49</v>
      </c>
      <c r="I30" s="38"/>
      <c r="P30" s="39"/>
      <c r="Q30" s="39"/>
      <c r="R30" s="39"/>
    </row>
    <row r="31">
      <c r="A31" s="38" t="s">
        <v>50</v>
      </c>
      <c r="B31" s="52">
        <f>B25/B24</f>
        <v>0.4618582307</v>
      </c>
    </row>
    <row r="32">
      <c r="A32" s="38" t="s">
        <v>51</v>
      </c>
      <c r="B32" s="52">
        <f>B27*B28/B31</f>
        <v>0.07578082986</v>
      </c>
    </row>
    <row r="33">
      <c r="A33" s="38" t="s">
        <v>52</v>
      </c>
      <c r="B33" s="53">
        <v>0.0</v>
      </c>
    </row>
    <row r="34">
      <c r="A34" s="38" t="s">
        <v>53</v>
      </c>
      <c r="B34" s="54">
        <f>(1+B33)/(1+B27)</f>
        <v>0.9523809524</v>
      </c>
    </row>
    <row r="35">
      <c r="A35" s="38" t="s">
        <v>54</v>
      </c>
      <c r="B35" s="55">
        <f>(1+B32)*B34-1</f>
        <v>0.0245531713</v>
      </c>
    </row>
    <row r="36">
      <c r="A36" s="38" t="s">
        <v>55</v>
      </c>
      <c r="B36" s="47">
        <v>0.03</v>
      </c>
      <c r="D36" s="35" t="s">
        <v>56</v>
      </c>
    </row>
    <row r="37">
      <c r="A37" s="38" t="s">
        <v>57</v>
      </c>
      <c r="B37" s="56">
        <f>B35/B36</f>
        <v>0.8184390433</v>
      </c>
      <c r="D37" s="57">
        <v>0.07705883295335511</v>
      </c>
      <c r="E37" s="58" t="s">
        <v>58</v>
      </c>
    </row>
    <row r="38">
      <c r="A38" s="35" t="s">
        <v>59</v>
      </c>
      <c r="B38" s="59">
        <v>0.14</v>
      </c>
      <c r="D38" s="57">
        <v>0.15411766590671025</v>
      </c>
      <c r="E38" s="58" t="s">
        <v>60</v>
      </c>
    </row>
    <row r="39">
      <c r="A39" s="35" t="s">
        <v>61</v>
      </c>
      <c r="B39" s="59">
        <v>0.07</v>
      </c>
      <c r="D39" s="57">
        <v>0.30823533181342044</v>
      </c>
      <c r="E39" s="58" t="s">
        <v>62</v>
      </c>
    </row>
    <row r="40">
      <c r="A40" s="35" t="s">
        <v>63</v>
      </c>
      <c r="B40" s="60">
        <v>0.07</v>
      </c>
      <c r="D40" s="57">
        <v>1.3870589931603923</v>
      </c>
      <c r="E40" s="58" t="s">
        <v>64</v>
      </c>
    </row>
    <row r="41">
      <c r="A41" s="35" t="s">
        <v>65</v>
      </c>
      <c r="B41" s="61">
        <v>0.5</v>
      </c>
      <c r="E41" s="62"/>
    </row>
    <row r="42">
      <c r="A42" s="35" t="s">
        <v>66</v>
      </c>
      <c r="B42" s="63">
        <f>B45</f>
        <v>2.052213367</v>
      </c>
      <c r="D42" s="57">
        <v>0.07705883295335512</v>
      </c>
      <c r="E42" s="58" t="s">
        <v>67</v>
      </c>
    </row>
    <row r="43">
      <c r="A43" s="35" t="s">
        <v>68</v>
      </c>
      <c r="B43" s="64">
        <f>32*(E49/(1-E49))*F49*G49*H49/(1+I49)</f>
        <v>0.1541176659</v>
      </c>
      <c r="D43" s="57">
        <v>0.15411766590671025</v>
      </c>
      <c r="E43" s="58" t="s">
        <v>69</v>
      </c>
    </row>
    <row r="44">
      <c r="D44" s="57">
        <v>0.3082353318134205</v>
      </c>
      <c r="E44" s="58" t="s">
        <v>70</v>
      </c>
    </row>
    <row r="45">
      <c r="A45" s="35" t="s">
        <v>66</v>
      </c>
      <c r="B45" s="65">
        <v>2.0522133671862144</v>
      </c>
      <c r="C45" s="35" t="s">
        <v>71</v>
      </c>
      <c r="D45" s="57">
        <v>0.9276008873005116</v>
      </c>
      <c r="E45" s="58" t="s">
        <v>72</v>
      </c>
    </row>
    <row r="48">
      <c r="A48" s="66" t="s">
        <v>73</v>
      </c>
      <c r="B48" s="67"/>
      <c r="C48" s="67"/>
      <c r="D48" s="67"/>
      <c r="E48" s="66" t="s">
        <v>74</v>
      </c>
      <c r="F48" s="66" t="s">
        <v>75</v>
      </c>
      <c r="G48" s="66" t="s">
        <v>76</v>
      </c>
      <c r="H48" s="66" t="s">
        <v>77</v>
      </c>
      <c r="I48" s="66" t="s">
        <v>78</v>
      </c>
      <c r="J48" s="67"/>
      <c r="K48" s="67"/>
    </row>
    <row r="49">
      <c r="A49" s="68" t="s">
        <v>79</v>
      </c>
      <c r="B49" s="69"/>
      <c r="C49" s="67"/>
      <c r="D49" s="67"/>
      <c r="E49" s="70">
        <f>B41</f>
        <v>0.5</v>
      </c>
      <c r="F49" s="71">
        <v>7.0</v>
      </c>
      <c r="G49" s="70">
        <f>B36</f>
        <v>0.03</v>
      </c>
      <c r="H49" s="70">
        <f>B40</f>
        <v>0.07</v>
      </c>
      <c r="I49" s="72">
        <f>B42</f>
        <v>2.052213367</v>
      </c>
      <c r="J49" s="67"/>
      <c r="K49" s="67"/>
      <c r="P49" s="73"/>
      <c r="Q49" s="73"/>
      <c r="R49" s="73"/>
    </row>
    <row r="50" ht="30.0" customHeight="1">
      <c r="A50" s="66" t="s">
        <v>80</v>
      </c>
      <c r="B50" s="74" t="s">
        <v>81</v>
      </c>
      <c r="C50" s="66" t="s">
        <v>82</v>
      </c>
      <c r="D50" s="67"/>
      <c r="E50" s="67"/>
      <c r="F50" s="67"/>
      <c r="G50" s="67"/>
      <c r="H50" s="67"/>
      <c r="I50" s="67"/>
      <c r="J50" s="67"/>
      <c r="K50" s="67"/>
    </row>
    <row r="51" ht="45.75" customHeight="1">
      <c r="A51" s="71" t="s">
        <v>83</v>
      </c>
      <c r="B51" s="75" t="s">
        <v>84</v>
      </c>
      <c r="C51" s="66" t="s">
        <v>85</v>
      </c>
      <c r="D51" s="67"/>
      <c r="E51" s="67"/>
      <c r="F51" s="67"/>
      <c r="G51" s="67"/>
      <c r="H51" s="67"/>
      <c r="I51" s="67"/>
      <c r="J51" s="67"/>
      <c r="K51" s="67"/>
    </row>
    <row r="52">
      <c r="A52" s="71" t="s">
        <v>86</v>
      </c>
      <c r="B52" s="76" t="s">
        <v>87</v>
      </c>
      <c r="C52" s="77" t="s">
        <v>88</v>
      </c>
      <c r="D52" s="67"/>
      <c r="E52" s="67"/>
      <c r="F52" s="67"/>
      <c r="G52" s="67"/>
      <c r="H52" s="67"/>
      <c r="I52" s="67"/>
      <c r="J52" s="67"/>
      <c r="K52" s="67"/>
    </row>
    <row r="53">
      <c r="A53" s="71" t="s">
        <v>89</v>
      </c>
      <c r="B53" s="78" t="s">
        <v>90</v>
      </c>
      <c r="C53" s="66" t="s">
        <v>91</v>
      </c>
      <c r="D53" s="67"/>
      <c r="E53" s="67"/>
      <c r="F53" s="67"/>
      <c r="G53" s="67"/>
      <c r="H53" s="67"/>
      <c r="I53" s="67"/>
      <c r="J53" s="67"/>
      <c r="K53" s="67"/>
    </row>
    <row r="54">
      <c r="A54" s="69" t="s">
        <v>92</v>
      </c>
      <c r="B54" s="75" t="s">
        <v>93</v>
      </c>
      <c r="C54" s="66" t="s">
        <v>94</v>
      </c>
      <c r="D54" s="67"/>
      <c r="E54" s="67"/>
      <c r="F54" s="67"/>
      <c r="G54" s="67"/>
      <c r="H54" s="67"/>
      <c r="I54" s="67"/>
      <c r="J54" s="67"/>
      <c r="K54" s="67"/>
    </row>
    <row r="55">
      <c r="A55" s="69" t="s">
        <v>95</v>
      </c>
      <c r="B55" s="76" t="s">
        <v>87</v>
      </c>
      <c r="C55" s="77" t="s">
        <v>96</v>
      </c>
      <c r="D55" s="67"/>
      <c r="E55" s="67"/>
      <c r="F55" s="67"/>
      <c r="G55" s="67"/>
      <c r="H55" s="67"/>
      <c r="I55" s="67"/>
      <c r="J55" s="67"/>
      <c r="K55" s="67"/>
    </row>
    <row r="56">
      <c r="A56" s="73"/>
      <c r="B56" s="73"/>
    </row>
    <row r="57" hidden="1">
      <c r="A57" s="35" t="s">
        <v>14</v>
      </c>
    </row>
    <row r="58" hidden="1">
      <c r="A58" s="38" t="s">
        <v>97</v>
      </c>
      <c r="B58" s="53">
        <v>0.0</v>
      </c>
      <c r="D58" s="26"/>
    </row>
    <row r="59" hidden="1">
      <c r="A59" s="38" t="s">
        <v>52</v>
      </c>
      <c r="B59" s="53">
        <v>0.0</v>
      </c>
      <c r="D59" s="26"/>
    </row>
    <row r="60" hidden="1">
      <c r="A60" s="38" t="s">
        <v>51</v>
      </c>
      <c r="B60" s="52">
        <v>0.2327</v>
      </c>
      <c r="D60" s="79"/>
    </row>
    <row r="61" hidden="1">
      <c r="A61" s="38" t="s">
        <v>98</v>
      </c>
      <c r="B61" s="54">
        <f>(1+B59)/(1+B58)</f>
        <v>1</v>
      </c>
      <c r="D61" s="80"/>
    </row>
    <row r="62" hidden="1">
      <c r="A62" s="38" t="s">
        <v>99</v>
      </c>
      <c r="B62" s="81">
        <f> (1 + B60) * B61 - 1</f>
        <v>0.2327</v>
      </c>
      <c r="D62" s="80"/>
    </row>
    <row r="63" hidden="1">
      <c r="A63" s="38" t="s">
        <v>55</v>
      </c>
      <c r="B63" s="47">
        <v>0.03</v>
      </c>
    </row>
    <row r="64" hidden="1">
      <c r="A64" s="38" t="s">
        <v>57</v>
      </c>
      <c r="B64" s="56">
        <f>B62/B63</f>
        <v>7.756666667</v>
      </c>
    </row>
    <row r="65">
      <c r="A65" s="82" t="s">
        <v>100</v>
      </c>
    </row>
    <row r="66">
      <c r="A66" s="79" t="s">
        <v>101</v>
      </c>
      <c r="B66" s="37" t="s">
        <v>102</v>
      </c>
    </row>
    <row r="67">
      <c r="A67" s="35" t="s">
        <v>103</v>
      </c>
    </row>
    <row r="68">
      <c r="A68" s="35" t="s">
        <v>104</v>
      </c>
    </row>
    <row r="69">
      <c r="A69" s="35" t="s">
        <v>105</v>
      </c>
    </row>
    <row r="70">
      <c r="E70" s="35" t="s">
        <v>106</v>
      </c>
    </row>
    <row r="93">
      <c r="A93" s="35" t="s">
        <v>107</v>
      </c>
    </row>
  </sheetData>
  <mergeCells count="1">
    <mergeCell ref="C28:C30"/>
  </mergeCells>
  <hyperlinks>
    <hyperlink r:id="rId1" ref="B1"/>
    <hyperlink r:id="rId2" ref="F23"/>
    <hyperlink r:id="rId3" ref="B66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43"/>
    <col customWidth="1" min="2" max="2" width="30.0"/>
    <col customWidth="1" min="3" max="3" width="23.57"/>
    <col customWidth="1" min="4" max="4" width="21.14"/>
    <col customWidth="1" min="5" max="5" width="17.86"/>
    <col customWidth="1" min="6" max="6" width="16.71"/>
    <col customWidth="1" min="7" max="7" width="17.43"/>
    <col customWidth="1" min="8" max="8" width="25.86"/>
    <col customWidth="1" min="9" max="9" width="16.29"/>
    <col customWidth="1" min="10" max="10" width="13.86"/>
    <col customWidth="1" min="11" max="11" width="16.0"/>
    <col customWidth="1" min="12" max="12" width="34.0"/>
    <col customWidth="1" min="13" max="13" width="24.71"/>
  </cols>
  <sheetData>
    <row r="1" ht="45.0" customHeight="1">
      <c r="A1" s="83" t="s">
        <v>108</v>
      </c>
      <c r="B1" s="84" t="s">
        <v>109</v>
      </c>
      <c r="C1" s="85" t="s">
        <v>110</v>
      </c>
      <c r="D1" s="86" t="s">
        <v>111</v>
      </c>
      <c r="E1" s="86" t="s">
        <v>112</v>
      </c>
      <c r="F1" s="87"/>
      <c r="G1" s="88" t="s">
        <v>113</v>
      </c>
      <c r="H1" s="87"/>
      <c r="I1" s="87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>
      <c r="A2" s="89" t="s">
        <v>114</v>
      </c>
      <c r="B2" s="90">
        <f>0.1</f>
        <v>0.1</v>
      </c>
      <c r="C2" s="91">
        <v>0.075</v>
      </c>
      <c r="D2" s="91">
        <v>0.025</v>
      </c>
      <c r="E2" s="83" t="s">
        <v>115</v>
      </c>
      <c r="F2" s="92"/>
      <c r="G2" s="93"/>
      <c r="H2" s="94">
        <v>0.03</v>
      </c>
      <c r="I2" s="95" t="s">
        <v>116</v>
      </c>
      <c r="J2" s="39"/>
      <c r="K2" s="39"/>
      <c r="L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>
      <c r="A3" s="89" t="s">
        <v>117</v>
      </c>
      <c r="B3" s="90">
        <f>0.14</f>
        <v>0.14</v>
      </c>
      <c r="C3" s="91">
        <v>0.07</v>
      </c>
      <c r="D3" s="96">
        <v>0.07</v>
      </c>
      <c r="E3" s="83" t="s">
        <v>118</v>
      </c>
      <c r="F3" s="92"/>
      <c r="G3" s="93"/>
      <c r="H3" s="93"/>
      <c r="I3" s="83"/>
      <c r="J3" s="39"/>
      <c r="K3" s="39"/>
      <c r="L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>
      <c r="A4" s="87"/>
      <c r="B4" s="87"/>
      <c r="C4" s="97"/>
      <c r="D4" s="87"/>
      <c r="E4" s="92"/>
      <c r="F4" s="92"/>
      <c r="G4" s="98"/>
      <c r="H4" s="39" t="s">
        <v>35</v>
      </c>
      <c r="I4" s="99">
        <v>1.9992308E7</v>
      </c>
      <c r="K4" s="100"/>
      <c r="L4" s="100"/>
      <c r="S4" s="39"/>
      <c r="T4" s="39"/>
      <c r="U4" s="39"/>
      <c r="V4" s="39"/>
      <c r="W4" s="39"/>
      <c r="X4" s="39"/>
      <c r="Y4" s="39"/>
    </row>
    <row r="5">
      <c r="A5" s="101" t="s">
        <v>119</v>
      </c>
      <c r="B5" s="87" t="s">
        <v>120</v>
      </c>
      <c r="C5" s="97" t="s">
        <v>121</v>
      </c>
      <c r="D5" s="87" t="s">
        <v>122</v>
      </c>
      <c r="E5" s="92" t="s">
        <v>123</v>
      </c>
      <c r="F5" s="92" t="s">
        <v>124</v>
      </c>
      <c r="G5" s="102"/>
      <c r="H5" s="39" t="s">
        <v>37</v>
      </c>
      <c r="I5" s="41">
        <v>9233612.0</v>
      </c>
      <c r="K5" s="103"/>
      <c r="S5" s="39"/>
      <c r="T5" s="39"/>
      <c r="U5" s="39"/>
      <c r="V5" s="39"/>
      <c r="W5" s="39"/>
      <c r="X5" s="39"/>
      <c r="Y5" s="39"/>
    </row>
    <row r="6">
      <c r="A6" s="87" t="s">
        <v>125</v>
      </c>
      <c r="B6" s="104" t="str">
        <f t="shared" ref="B6:B8" si="1">FORMULATEXT(C6)</f>
        <v>=(4*(1-B2)+32*(C2))/(4+0)</v>
      </c>
      <c r="C6" s="105">
        <f>(4*(1-B2)+32*(C2))/(4+0)</f>
        <v>1.5</v>
      </c>
      <c r="D6" s="106">
        <v>0.0</v>
      </c>
      <c r="E6" s="107">
        <f t="shared" ref="E6:E8" si="2">$H$2*C6</f>
        <v>0.045</v>
      </c>
      <c r="F6" s="108" t="s">
        <v>126</v>
      </c>
      <c r="G6" s="83"/>
      <c r="H6" s="109" t="s">
        <v>39</v>
      </c>
      <c r="I6" s="99">
        <v>1.0238405E7</v>
      </c>
      <c r="K6" s="89"/>
      <c r="S6" s="39"/>
      <c r="T6" s="39"/>
      <c r="U6" s="39"/>
      <c r="V6" s="39"/>
      <c r="W6" s="39"/>
      <c r="X6" s="39"/>
      <c r="Y6" s="39"/>
    </row>
    <row r="7">
      <c r="A7" s="87" t="s">
        <v>127</v>
      </c>
      <c r="B7" s="110" t="str">
        <f t="shared" si="1"/>
        <v>=(16+16*B3+1.6*I17)/(16+1.6)</v>
      </c>
      <c r="C7" s="111">
        <f>(16+16*B3+1.6*I18)/(16+1.6)</f>
        <v>1.110767186</v>
      </c>
      <c r="D7" s="112">
        <f>1.6/17.6</f>
        <v>0.09090909091</v>
      </c>
      <c r="E7" s="113">
        <f t="shared" si="2"/>
        <v>0.03332301557</v>
      </c>
      <c r="F7" s="114" t="s">
        <v>128</v>
      </c>
      <c r="G7" s="83"/>
      <c r="H7" s="39" t="s">
        <v>41</v>
      </c>
      <c r="I7" s="115">
        <v>0.05</v>
      </c>
      <c r="K7" s="89"/>
      <c r="S7" s="39"/>
      <c r="T7" s="39"/>
      <c r="U7" s="39"/>
      <c r="V7" s="39"/>
      <c r="W7" s="39"/>
      <c r="X7" s="39"/>
      <c r="Y7" s="39"/>
    </row>
    <row r="8">
      <c r="A8" s="87" t="s">
        <v>129</v>
      </c>
      <c r="B8" s="110" t="str">
        <f t="shared" si="1"/>
        <v>=(8+24*B3+2.4*I18)/(8+2.4)</v>
      </c>
      <c r="C8" s="111">
        <f>(8+24*B3+2.4*I18)/(8+2.4)</f>
        <v>1.281178241</v>
      </c>
      <c r="D8" s="112">
        <f>2.4/8</f>
        <v>0.3</v>
      </c>
      <c r="E8" s="113">
        <f t="shared" si="2"/>
        <v>0.03843534722</v>
      </c>
      <c r="F8" s="114" t="s">
        <v>128</v>
      </c>
      <c r="G8" s="87"/>
      <c r="H8" s="116" t="s">
        <v>44</v>
      </c>
      <c r="I8" s="117"/>
      <c r="J8" s="109" t="s">
        <v>130</v>
      </c>
      <c r="K8" s="89"/>
      <c r="S8" s="39"/>
      <c r="T8" s="39"/>
      <c r="U8" s="39"/>
      <c r="V8" s="39"/>
      <c r="W8" s="39"/>
      <c r="X8" s="39"/>
      <c r="Y8" s="39"/>
    </row>
    <row r="9">
      <c r="A9" s="118"/>
      <c r="B9" s="119"/>
      <c r="C9" s="119"/>
      <c r="D9" s="120"/>
      <c r="E9" s="113"/>
      <c r="F9" s="121"/>
      <c r="G9" s="87"/>
      <c r="H9" s="122" t="s">
        <v>131</v>
      </c>
      <c r="I9" s="123">
        <v>0.7</v>
      </c>
      <c r="J9" s="35" t="s">
        <v>36</v>
      </c>
      <c r="K9" s="89"/>
      <c r="S9" s="39"/>
      <c r="T9" s="39"/>
      <c r="U9" s="39"/>
      <c r="V9" s="39"/>
      <c r="W9" s="39"/>
      <c r="X9" s="39"/>
      <c r="Y9" s="39"/>
    </row>
    <row r="10">
      <c r="A10" s="87" t="s">
        <v>132</v>
      </c>
      <c r="B10" s="110" t="str">
        <f t="shared" ref="B10:B13" si="3">FORMULATEXT(C10)</f>
        <v>=(4+28*B3+2.8*I18)/(4+2.8)</v>
      </c>
      <c r="C10" s="111">
        <f>(4+28*B3+2.8*I18)/(4+2.8)</f>
        <v>1.501710194</v>
      </c>
      <c r="D10" s="112">
        <f>2.8/6.8</f>
        <v>0.4117647059</v>
      </c>
      <c r="E10" s="113">
        <f t="shared" ref="E10:E13" si="4">$H$2*C10</f>
        <v>0.04505130583</v>
      </c>
      <c r="F10" s="114" t="s">
        <v>128</v>
      </c>
      <c r="G10" s="87"/>
      <c r="H10" s="122" t="s">
        <v>133</v>
      </c>
      <c r="I10" s="124">
        <v>0.285</v>
      </c>
      <c r="J10" s="35" t="s">
        <v>134</v>
      </c>
      <c r="K10" s="89"/>
    </row>
    <row r="11">
      <c r="A11" s="87" t="s">
        <v>135</v>
      </c>
      <c r="B11" s="110" t="str">
        <f t="shared" si="3"/>
        <v>=(4+28*B3+1.54*I18)/(4+1.54)</v>
      </c>
      <c r="C11" s="111">
        <f>(4+28*B3+1.54*I18)/(4+1.54)</f>
        <v>1.657111214</v>
      </c>
      <c r="D11" s="112">
        <f>1.82/5.82</f>
        <v>0.3127147766</v>
      </c>
      <c r="E11" s="113">
        <f t="shared" si="4"/>
        <v>0.04971333643</v>
      </c>
      <c r="F11" s="114" t="s">
        <v>128</v>
      </c>
      <c r="G11" s="87"/>
      <c r="H11" s="125" t="s">
        <v>136</v>
      </c>
      <c r="I11" s="126">
        <v>0.015</v>
      </c>
      <c r="J11" s="35" t="s">
        <v>137</v>
      </c>
      <c r="K11" s="89"/>
      <c r="S11" s="39"/>
      <c r="T11" s="39"/>
      <c r="U11" s="39"/>
      <c r="V11" s="39"/>
      <c r="W11" s="39"/>
      <c r="X11" s="39"/>
      <c r="Y11" s="39"/>
    </row>
    <row r="12">
      <c r="A12" s="87" t="s">
        <v>138</v>
      </c>
      <c r="B12" s="110" t="str">
        <f t="shared" si="3"/>
        <v>=(2+30*B3+3*I18)/(2+3)</v>
      </c>
      <c r="C12" s="127">
        <f>(2+30*B3+3*I18)/(2+3)</f>
        <v>1.731063426</v>
      </c>
      <c r="D12" s="112">
        <f>3/5</f>
        <v>0.6</v>
      </c>
      <c r="E12" s="113">
        <f t="shared" si="4"/>
        <v>0.05193190278</v>
      </c>
      <c r="F12" s="114" t="s">
        <v>128</v>
      </c>
      <c r="G12" s="87"/>
      <c r="H12" s="39" t="s">
        <v>50</v>
      </c>
      <c r="I12" s="128">
        <f>I5/I4</f>
        <v>0.4618582307</v>
      </c>
      <c r="J12" s="35" t="s">
        <v>42</v>
      </c>
      <c r="S12" s="39"/>
      <c r="T12" s="39"/>
      <c r="U12" s="39"/>
      <c r="V12" s="39"/>
      <c r="W12" s="39"/>
      <c r="X12" s="39"/>
      <c r="Y12" s="39"/>
    </row>
    <row r="13">
      <c r="A13" s="87" t="s">
        <v>139</v>
      </c>
      <c r="B13" s="129" t="str">
        <f t="shared" si="3"/>
        <v>=(2+30*B3+1.65*I18)/(2+1.65)</v>
      </c>
      <c r="C13" s="130">
        <f>(2+30*B3+1.65*I18)/(2+1.65)</f>
        <v>2.068609431</v>
      </c>
      <c r="D13" s="131">
        <f>1.65/3.65</f>
        <v>0.4520547945</v>
      </c>
      <c r="E13" s="132">
        <f t="shared" si="4"/>
        <v>0.06205828292</v>
      </c>
      <c r="F13" s="133" t="s">
        <v>128</v>
      </c>
      <c r="G13" s="118"/>
      <c r="H13" s="39" t="s">
        <v>51</v>
      </c>
      <c r="I13" s="128">
        <f>I7*I9/I12</f>
        <v>0.07578082986</v>
      </c>
      <c r="J13" s="35" t="s">
        <v>45</v>
      </c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>
      <c r="G14" s="118"/>
      <c r="H14" s="39" t="s">
        <v>52</v>
      </c>
      <c r="I14" s="115">
        <v>0.0</v>
      </c>
      <c r="J14" s="35" t="s">
        <v>47</v>
      </c>
      <c r="L14" s="100"/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>
      <c r="A15" s="118"/>
      <c r="B15" s="118"/>
      <c r="C15" s="118"/>
      <c r="D15" s="118"/>
      <c r="E15" s="118"/>
      <c r="F15" s="118"/>
      <c r="G15" s="118"/>
      <c r="H15" s="39" t="s">
        <v>53</v>
      </c>
      <c r="I15" s="134">
        <f>(1+I14)/(1+I7)</f>
        <v>0.9523809524</v>
      </c>
      <c r="J15" s="35" t="s">
        <v>49</v>
      </c>
      <c r="L15" s="100"/>
    </row>
    <row r="16">
      <c r="A16" s="118"/>
      <c r="B16" s="118"/>
      <c r="C16" s="118"/>
      <c r="D16" s="118"/>
      <c r="E16" s="118"/>
      <c r="F16" s="118"/>
      <c r="G16" s="118"/>
      <c r="H16" s="39" t="s">
        <v>54</v>
      </c>
      <c r="I16" s="135">
        <f>(1+I13)*I15-1</f>
        <v>0.0245531713</v>
      </c>
      <c r="L16" s="83"/>
    </row>
    <row r="17">
      <c r="A17" s="136" t="s">
        <v>140</v>
      </c>
      <c r="B17" s="118"/>
      <c r="C17" s="118"/>
      <c r="D17" s="118"/>
      <c r="E17" s="118"/>
      <c r="F17" s="118"/>
      <c r="G17" s="118"/>
      <c r="H17" s="39" t="s">
        <v>55</v>
      </c>
      <c r="I17" s="128">
        <f>H2</f>
        <v>0.03</v>
      </c>
      <c r="L17" s="83"/>
    </row>
    <row r="18">
      <c r="A18" s="118"/>
      <c r="B18" s="118"/>
      <c r="C18" s="118"/>
      <c r="D18" s="118"/>
      <c r="E18" s="118"/>
      <c r="F18" s="118"/>
      <c r="G18" s="118"/>
      <c r="H18" s="39" t="s">
        <v>57</v>
      </c>
      <c r="I18" s="137">
        <f>I16/I17</f>
        <v>0.8184390433</v>
      </c>
      <c r="L18" s="138"/>
    </row>
    <row r="19">
      <c r="A19" s="139" t="s">
        <v>141</v>
      </c>
      <c r="B19" s="118"/>
      <c r="C19" s="118"/>
      <c r="D19" s="118"/>
      <c r="E19" s="118"/>
      <c r="F19" s="118"/>
      <c r="G19" s="138"/>
      <c r="H19" s="138"/>
      <c r="I19" s="138"/>
      <c r="L19" s="138"/>
    </row>
    <row r="20">
      <c r="A20" s="118"/>
      <c r="B20" s="118"/>
      <c r="C20" s="97"/>
      <c r="D20" s="87"/>
      <c r="E20" s="138"/>
      <c r="F20" s="138"/>
      <c r="G20" s="140" t="s">
        <v>142</v>
      </c>
      <c r="H20" s="141"/>
      <c r="I20" s="142"/>
      <c r="J20" s="118"/>
      <c r="L20" s="138"/>
    </row>
    <row r="21">
      <c r="A21" s="92" t="s">
        <v>143</v>
      </c>
      <c r="B21" s="87" t="s">
        <v>120</v>
      </c>
      <c r="C21" s="97" t="s">
        <v>121</v>
      </c>
      <c r="D21" s="87" t="s">
        <v>122</v>
      </c>
      <c r="E21" s="92" t="s">
        <v>123</v>
      </c>
      <c r="F21" s="92" t="s">
        <v>124</v>
      </c>
      <c r="G21" s="143" t="s">
        <v>144</v>
      </c>
      <c r="H21" s="144" t="s">
        <v>145</v>
      </c>
      <c r="I21" s="145" t="s">
        <v>146</v>
      </c>
      <c r="J21" s="83" t="s">
        <v>112</v>
      </c>
      <c r="L21" s="138"/>
    </row>
    <row r="22">
      <c r="A22" s="146" t="s">
        <v>147</v>
      </c>
      <c r="B22" s="118" t="str">
        <f t="shared" ref="B22:B28" si="5">FORMULATEXT(C22)</f>
        <v>=(4 + 28*H21)/(4+0)</v>
      </c>
      <c r="C22" s="118">
        <f t="shared" ref="C22:C24" si="6">(4 + 28*H22)/(4+0)</f>
        <v>1.7</v>
      </c>
      <c r="D22" s="147">
        <v>0.0</v>
      </c>
      <c r="E22" s="148">
        <f t="shared" ref="E22:E28" si="7">$H$2*C22</f>
        <v>0.051</v>
      </c>
      <c r="F22" s="149" t="s">
        <v>126</v>
      </c>
      <c r="G22" s="90">
        <f t="shared" ref="G22:G28" si="8">0.14</f>
        <v>0.14</v>
      </c>
      <c r="H22" s="91">
        <v>0.1</v>
      </c>
      <c r="I22" s="91">
        <f t="shared" ref="I22:I28" si="9">G22-H22</f>
        <v>0.04</v>
      </c>
      <c r="J22" s="83" t="s">
        <v>148</v>
      </c>
      <c r="L22" s="138"/>
    </row>
    <row r="23">
      <c r="A23" s="146" t="s">
        <v>149</v>
      </c>
      <c r="B23" s="118" t="str">
        <f t="shared" si="5"/>
        <v>=(4 + 28*H22)/(4+0)</v>
      </c>
      <c r="C23" s="118">
        <f t="shared" si="6"/>
        <v>1.56</v>
      </c>
      <c r="D23" s="147">
        <v>0.0</v>
      </c>
      <c r="E23" s="148">
        <f t="shared" si="7"/>
        <v>0.0468</v>
      </c>
      <c r="F23" s="149" t="s">
        <v>126</v>
      </c>
      <c r="G23" s="90">
        <f t="shared" si="8"/>
        <v>0.14</v>
      </c>
      <c r="H23" s="91">
        <v>0.08</v>
      </c>
      <c r="I23" s="91">
        <f t="shared" si="9"/>
        <v>0.06</v>
      </c>
      <c r="J23" s="83" t="s">
        <v>148</v>
      </c>
      <c r="L23" s="138"/>
    </row>
    <row r="24">
      <c r="A24" s="146" t="s">
        <v>150</v>
      </c>
      <c r="B24" s="118" t="str">
        <f t="shared" si="5"/>
        <v>=(4 + 28*H23)/(4+0)</v>
      </c>
      <c r="C24" s="118">
        <f t="shared" si="6"/>
        <v>1.525</v>
      </c>
      <c r="D24" s="147">
        <v>0.0</v>
      </c>
      <c r="E24" s="148">
        <f t="shared" si="7"/>
        <v>0.04575</v>
      </c>
      <c r="F24" s="149" t="s">
        <v>126</v>
      </c>
      <c r="G24" s="90">
        <f t="shared" si="8"/>
        <v>0.14</v>
      </c>
      <c r="H24" s="91">
        <v>0.075</v>
      </c>
      <c r="I24" s="91">
        <f t="shared" si="9"/>
        <v>0.065</v>
      </c>
      <c r="J24" s="83" t="s">
        <v>148</v>
      </c>
      <c r="L24" s="138"/>
    </row>
    <row r="25">
      <c r="A25" s="146" t="s">
        <v>151</v>
      </c>
      <c r="B25" s="118" t="str">
        <f t="shared" si="5"/>
        <v>=(4 +28*H24)/(4+0)</v>
      </c>
      <c r="C25" s="150">
        <f t="shared" ref="C25:C27" si="10">(4 +28*H25)/(4+0)</f>
        <v>1.49</v>
      </c>
      <c r="D25" s="147">
        <v>0.0</v>
      </c>
      <c r="E25" s="148">
        <f t="shared" si="7"/>
        <v>0.0447</v>
      </c>
      <c r="F25" s="149" t="s">
        <v>126</v>
      </c>
      <c r="G25" s="90">
        <f t="shared" si="8"/>
        <v>0.14</v>
      </c>
      <c r="H25" s="91">
        <v>0.07</v>
      </c>
      <c r="I25" s="91">
        <f t="shared" si="9"/>
        <v>0.07</v>
      </c>
      <c r="J25" s="83" t="s">
        <v>148</v>
      </c>
      <c r="L25" s="138"/>
    </row>
    <row r="26">
      <c r="A26" s="146" t="s">
        <v>152</v>
      </c>
      <c r="B26" s="118" t="str">
        <f t="shared" si="5"/>
        <v>=(4 +28*H25)/(4+0)</v>
      </c>
      <c r="C26" s="118">
        <f t="shared" si="10"/>
        <v>1.455</v>
      </c>
      <c r="D26" s="147">
        <v>0.0</v>
      </c>
      <c r="E26" s="148">
        <f t="shared" si="7"/>
        <v>0.04365</v>
      </c>
      <c r="F26" s="149" t="s">
        <v>126</v>
      </c>
      <c r="G26" s="90">
        <f t="shared" si="8"/>
        <v>0.14</v>
      </c>
      <c r="H26" s="91">
        <v>0.065</v>
      </c>
      <c r="I26" s="91">
        <f t="shared" si="9"/>
        <v>0.075</v>
      </c>
      <c r="J26" s="83" t="s">
        <v>148</v>
      </c>
      <c r="K26" s="83"/>
      <c r="L26" s="138"/>
    </row>
    <row r="27">
      <c r="A27" s="146" t="s">
        <v>153</v>
      </c>
      <c r="B27" s="118" t="str">
        <f t="shared" si="5"/>
        <v>=(4 +28*H26)/(4+0)</v>
      </c>
      <c r="C27" s="118">
        <f t="shared" si="10"/>
        <v>1.42</v>
      </c>
      <c r="D27" s="147">
        <v>0.0</v>
      </c>
      <c r="E27" s="148">
        <f t="shared" si="7"/>
        <v>0.0426</v>
      </c>
      <c r="F27" s="149" t="s">
        <v>126</v>
      </c>
      <c r="G27" s="90">
        <f t="shared" si="8"/>
        <v>0.14</v>
      </c>
      <c r="H27" s="91">
        <v>0.06</v>
      </c>
      <c r="I27" s="91">
        <f t="shared" si="9"/>
        <v>0.08</v>
      </c>
      <c r="J27" s="83" t="s">
        <v>148</v>
      </c>
      <c r="K27" s="83"/>
      <c r="L27" s="138"/>
    </row>
    <row r="28">
      <c r="A28" s="146" t="s">
        <v>154</v>
      </c>
      <c r="B28" s="118" t="str">
        <f t="shared" si="5"/>
        <v>=(4 + 28*H27)/(4+0)</v>
      </c>
      <c r="C28" s="118">
        <f>(4 + 28*H28)/(4+0)</f>
        <v>1.28</v>
      </c>
      <c r="D28" s="147">
        <v>0.0</v>
      </c>
      <c r="E28" s="148">
        <f t="shared" si="7"/>
        <v>0.0384</v>
      </c>
      <c r="F28" s="149" t="s">
        <v>126</v>
      </c>
      <c r="G28" s="90">
        <f t="shared" si="8"/>
        <v>0.14</v>
      </c>
      <c r="H28" s="91">
        <v>0.04</v>
      </c>
      <c r="I28" s="91">
        <f t="shared" si="9"/>
        <v>0.1</v>
      </c>
      <c r="J28" s="83" t="s">
        <v>148</v>
      </c>
      <c r="L28" s="138"/>
    </row>
    <row r="29">
      <c r="A29" s="118"/>
      <c r="B29" s="118"/>
      <c r="C29" s="118"/>
      <c r="D29" s="118"/>
      <c r="E29" s="146"/>
      <c r="F29" s="102"/>
      <c r="G29" s="151"/>
      <c r="H29" s="151"/>
      <c r="I29" s="92"/>
      <c r="J29" s="138"/>
      <c r="K29" s="138"/>
      <c r="L29" s="138"/>
    </row>
    <row r="30">
      <c r="A30" s="118"/>
      <c r="B30" s="118"/>
      <c r="C30" s="118"/>
      <c r="D30" s="118"/>
      <c r="E30" s="146"/>
      <c r="F30" s="151"/>
      <c r="G30" s="151"/>
      <c r="H30" s="151"/>
      <c r="I30" s="118"/>
      <c r="J30" s="138"/>
      <c r="K30" s="138"/>
      <c r="L30" s="138"/>
    </row>
    <row r="31">
      <c r="C31" s="118"/>
      <c r="D31" s="118"/>
      <c r="E31" s="146"/>
      <c r="F31" s="151" t="str">
        <f>F29</f>
        <v/>
      </c>
      <c r="G31" s="151"/>
      <c r="H31" s="151"/>
      <c r="I31" s="118"/>
      <c r="J31" s="138"/>
      <c r="K31" s="138"/>
      <c r="L31" s="138"/>
    </row>
    <row r="32">
      <c r="A32" s="92"/>
      <c r="B32" s="146"/>
      <c r="C32" s="92"/>
      <c r="D32" s="92"/>
      <c r="E32" s="118"/>
      <c r="F32" s="118"/>
      <c r="G32" s="118"/>
      <c r="H32" s="118"/>
      <c r="I32" s="118"/>
      <c r="J32" s="138"/>
      <c r="K32" s="138"/>
      <c r="L32" s="138"/>
    </row>
    <row r="33">
      <c r="A33" s="152" t="s">
        <v>155</v>
      </c>
      <c r="B33" s="153" t="s">
        <v>156</v>
      </c>
      <c r="C33" s="153" t="s">
        <v>157</v>
      </c>
      <c r="D33" s="153" t="s">
        <v>158</v>
      </c>
      <c r="E33" s="118"/>
      <c r="F33" s="118"/>
      <c r="G33" s="118"/>
      <c r="H33" s="118"/>
      <c r="I33" s="118"/>
      <c r="J33" s="138"/>
      <c r="K33" s="138"/>
      <c r="L33" s="138"/>
    </row>
    <row r="34">
      <c r="A34" s="146" t="s">
        <v>159</v>
      </c>
      <c r="B34" s="154">
        <v>10079.0</v>
      </c>
      <c r="C34" s="155">
        <f>16*B34</f>
        <v>161264</v>
      </c>
      <c r="D34" s="155">
        <f>B34*16</f>
        <v>161264</v>
      </c>
      <c r="E34" s="156"/>
      <c r="F34" s="118"/>
      <c r="G34" s="118"/>
      <c r="H34" s="118"/>
      <c r="I34" s="118"/>
      <c r="J34" s="138"/>
      <c r="K34" s="138"/>
      <c r="L34" s="138"/>
    </row>
    <row r="35">
      <c r="A35" s="146" t="s">
        <v>160</v>
      </c>
      <c r="B35" s="155">
        <f>22379</f>
        <v>22379</v>
      </c>
      <c r="C35" s="155">
        <f>24*B35</f>
        <v>537096</v>
      </c>
      <c r="D35" s="155">
        <f>B35*8</f>
        <v>179032</v>
      </c>
      <c r="F35" s="118"/>
      <c r="G35" s="118"/>
      <c r="H35" s="118"/>
      <c r="I35" s="118"/>
      <c r="J35" s="138"/>
      <c r="K35" s="138"/>
      <c r="L35" s="138"/>
    </row>
    <row r="36">
      <c r="A36" s="146" t="s">
        <v>161</v>
      </c>
      <c r="B36" s="155">
        <f t="shared" ref="B36:C36" si="11">B35+B34</f>
        <v>32458</v>
      </c>
      <c r="C36" s="155">
        <f t="shared" si="11"/>
        <v>698360</v>
      </c>
      <c r="D36" s="155">
        <f>SUM(D34:Y35)</f>
        <v>340296</v>
      </c>
      <c r="E36" s="156"/>
      <c r="F36" s="118"/>
      <c r="G36" s="118"/>
      <c r="H36" s="118"/>
      <c r="I36" s="118"/>
      <c r="J36" s="138"/>
      <c r="K36" s="138"/>
      <c r="L36" s="138"/>
    </row>
    <row r="37">
      <c r="A37" s="157"/>
      <c r="B37" s="155"/>
      <c r="C37" s="155"/>
      <c r="D37" s="155"/>
      <c r="E37" s="118"/>
      <c r="F37" s="118"/>
      <c r="G37" s="118"/>
      <c r="H37" s="118"/>
      <c r="I37" s="118"/>
      <c r="J37" s="138"/>
      <c r="K37" s="138"/>
      <c r="L37" s="138"/>
    </row>
    <row r="38">
      <c r="A38" s="157"/>
      <c r="B38" s="155"/>
      <c r="C38" s="155"/>
      <c r="D38" s="155"/>
      <c r="E38" s="118"/>
      <c r="F38" s="118"/>
      <c r="G38" s="118"/>
      <c r="H38" s="118"/>
      <c r="I38" s="118"/>
      <c r="J38" s="138"/>
      <c r="K38" s="138"/>
      <c r="L38" s="138"/>
    </row>
    <row r="39">
      <c r="A39" s="157"/>
      <c r="B39" s="155"/>
      <c r="C39" s="155"/>
      <c r="D39" s="155"/>
      <c r="E39" s="118"/>
      <c r="F39" s="118"/>
      <c r="G39" s="118"/>
      <c r="H39" s="118"/>
      <c r="I39" s="118"/>
      <c r="J39" s="138"/>
      <c r="K39" s="138"/>
      <c r="L39" s="138"/>
    </row>
    <row r="40">
      <c r="A40" s="158"/>
      <c r="B40" s="118"/>
      <c r="C40" s="155"/>
      <c r="D40" s="155"/>
      <c r="E40" s="118"/>
      <c r="F40" s="118"/>
      <c r="G40" s="118"/>
      <c r="H40" s="118"/>
      <c r="I40" s="118"/>
      <c r="J40" s="138"/>
      <c r="K40" s="138"/>
      <c r="L40" s="138"/>
    </row>
    <row r="41">
      <c r="A41" s="159"/>
      <c r="B41" s="160"/>
      <c r="C41" s="160"/>
      <c r="D41" s="160"/>
      <c r="E41" s="161"/>
      <c r="F41" s="161"/>
      <c r="G41" s="161"/>
      <c r="H41" s="161"/>
      <c r="I41" s="161"/>
      <c r="J41" s="162"/>
      <c r="K41" s="162"/>
      <c r="L41" s="162"/>
      <c r="M41" s="163"/>
      <c r="N41" s="163"/>
    </row>
    <row r="42">
      <c r="A42" s="164" t="s">
        <v>162</v>
      </c>
      <c r="B42" s="155"/>
      <c r="C42" s="155"/>
      <c r="D42" s="155"/>
      <c r="E42" s="118"/>
      <c r="F42" s="118"/>
      <c r="G42" s="118"/>
      <c r="H42" s="118"/>
      <c r="I42" s="118"/>
      <c r="J42" s="138"/>
      <c r="K42" s="138"/>
      <c r="L42" s="138"/>
    </row>
    <row r="43">
      <c r="A43" s="165" t="s">
        <v>58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38"/>
      <c r="L43" s="138"/>
    </row>
    <row r="44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38"/>
      <c r="L44" s="138"/>
    </row>
    <row r="45">
      <c r="A45" s="152"/>
      <c r="B45" s="153" t="s">
        <v>163</v>
      </c>
      <c r="C45" s="153" t="s">
        <v>157</v>
      </c>
      <c r="D45" s="153" t="s">
        <v>164</v>
      </c>
      <c r="E45" s="166" t="s">
        <v>165</v>
      </c>
      <c r="F45" s="149" t="s">
        <v>166</v>
      </c>
      <c r="G45" s="138"/>
      <c r="H45" s="138"/>
      <c r="I45" s="138"/>
      <c r="J45" s="138"/>
      <c r="K45" s="138"/>
      <c r="L45" s="138"/>
    </row>
    <row r="46">
      <c r="A46" s="146" t="s">
        <v>159</v>
      </c>
      <c r="B46" s="154">
        <f>(10079/3)*2</f>
        <v>6719.333333</v>
      </c>
      <c r="C46" s="155">
        <f>16*B46</f>
        <v>107509.3333</v>
      </c>
      <c r="D46" s="155">
        <f>B46*16</f>
        <v>107509.3333</v>
      </c>
      <c r="F46" s="138"/>
      <c r="G46" s="138"/>
      <c r="H46" s="138"/>
      <c r="I46" s="138"/>
      <c r="J46" s="138"/>
      <c r="K46" s="138"/>
      <c r="L46" s="138"/>
    </row>
    <row r="47">
      <c r="A47" s="146" t="s">
        <v>160</v>
      </c>
      <c r="B47" s="155">
        <f>(22379/3)*2</f>
        <v>14919.33333</v>
      </c>
      <c r="C47" s="155">
        <f>24*B47</f>
        <v>358064</v>
      </c>
      <c r="D47" s="155">
        <f>B47*8</f>
        <v>119354.6667</v>
      </c>
      <c r="E47" s="138"/>
      <c r="F47" s="138"/>
      <c r="G47" s="138"/>
      <c r="H47" s="138"/>
      <c r="I47" s="138"/>
      <c r="J47" s="138"/>
      <c r="K47" s="138"/>
      <c r="L47" s="138"/>
    </row>
    <row r="48">
      <c r="A48" s="146" t="s">
        <v>167</v>
      </c>
      <c r="B48" s="155">
        <f t="shared" ref="B48:D48" si="12">B46+B47</f>
        <v>21638.66667</v>
      </c>
      <c r="C48" s="155">
        <f t="shared" si="12"/>
        <v>465573.3333</v>
      </c>
      <c r="D48" s="155">
        <f t="shared" si="12"/>
        <v>226864</v>
      </c>
      <c r="E48" s="155"/>
      <c r="F48" s="166"/>
      <c r="G48" s="138"/>
      <c r="H48" s="138"/>
      <c r="I48" s="138"/>
      <c r="J48" s="138"/>
      <c r="K48" s="138"/>
      <c r="L48" s="138"/>
    </row>
    <row r="49">
      <c r="A49" s="146" t="s">
        <v>168</v>
      </c>
      <c r="B49" s="155">
        <f>D49/4</f>
        <v>28358</v>
      </c>
      <c r="C49" s="155">
        <f>B49*28</f>
        <v>794024</v>
      </c>
      <c r="D49" s="155">
        <f>(D46+D47)/2</f>
        <v>113432</v>
      </c>
      <c r="E49" s="155">
        <f>C49*($H$2*$D$3)*F49</f>
        <v>1667.4504</v>
      </c>
      <c r="F49" s="166">
        <v>1.0</v>
      </c>
      <c r="G49" s="138"/>
      <c r="H49" s="138"/>
      <c r="I49" s="138"/>
      <c r="J49" s="138"/>
      <c r="K49" s="138"/>
      <c r="L49" s="138"/>
    </row>
    <row r="50">
      <c r="A50" s="146" t="s">
        <v>161</v>
      </c>
      <c r="B50" s="155">
        <f t="shared" ref="B50:D50" si="13">SUM(B48:B49)</f>
        <v>49996.66667</v>
      </c>
      <c r="C50" s="167">
        <f t="shared" si="13"/>
        <v>1259597.333</v>
      </c>
      <c r="D50" s="155">
        <f t="shared" si="13"/>
        <v>340296</v>
      </c>
      <c r="E50" s="168">
        <f>E49</f>
        <v>1667.4504</v>
      </c>
      <c r="F50" s="138"/>
      <c r="G50" s="138"/>
      <c r="H50" s="138"/>
      <c r="I50" s="138"/>
      <c r="J50" s="138"/>
      <c r="K50" s="138"/>
      <c r="L50" s="138"/>
    </row>
    <row r="51">
      <c r="A51" s="138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</row>
    <row r="52">
      <c r="A52" s="92" t="s">
        <v>169</v>
      </c>
      <c r="B52" s="155"/>
      <c r="C52" s="155"/>
      <c r="D52" s="155"/>
      <c r="E52" s="155"/>
      <c r="F52" s="138"/>
      <c r="G52" s="169"/>
      <c r="H52" s="169"/>
      <c r="I52" s="155"/>
      <c r="J52" s="138"/>
      <c r="K52" s="138"/>
      <c r="L52" s="138"/>
    </row>
    <row r="53">
      <c r="A53" s="139" t="s">
        <v>170</v>
      </c>
      <c r="B53" s="155"/>
      <c r="C53" s="155"/>
      <c r="D53" s="155"/>
      <c r="E53" s="83"/>
      <c r="F53" s="155"/>
      <c r="G53" s="155"/>
      <c r="H53" s="155"/>
      <c r="I53" s="155"/>
      <c r="J53" s="118"/>
      <c r="K53" s="138"/>
      <c r="L53" s="138"/>
    </row>
    <row r="54">
      <c r="A54" s="118"/>
      <c r="B54" s="170" t="s">
        <v>120</v>
      </c>
      <c r="C54" s="97" t="s">
        <v>121</v>
      </c>
      <c r="D54" s="170" t="s">
        <v>122</v>
      </c>
      <c r="E54" s="171" t="s">
        <v>171</v>
      </c>
      <c r="F54" s="172" t="s">
        <v>124</v>
      </c>
      <c r="G54" s="152" t="s">
        <v>172</v>
      </c>
      <c r="H54" s="152" t="s">
        <v>173</v>
      </c>
      <c r="I54" s="173" t="s">
        <v>174</v>
      </c>
      <c r="J54" s="152" t="s">
        <v>175</v>
      </c>
      <c r="K54" s="174" t="s">
        <v>176</v>
      </c>
      <c r="L54" s="170" t="s">
        <v>120</v>
      </c>
      <c r="M54" s="152" t="s">
        <v>177</v>
      </c>
    </row>
    <row r="55">
      <c r="A55" s="146" t="s">
        <v>159</v>
      </c>
      <c r="B55" s="175" t="str">
        <f t="shared" ref="B55:B58" si="14">FORMULATEXT(C55)</f>
        <v>=(G55)/M55</v>
      </c>
      <c r="C55" s="176">
        <f t="shared" ref="C55:C58" si="15">(G55)/M55</f>
        <v>1.256711945</v>
      </c>
      <c r="D55" s="177">
        <f>1.6/17.6</f>
        <v>0.09090909091</v>
      </c>
      <c r="E55" s="113">
        <f>(I55+H55)/(16+1.6)</f>
        <v>0.03770135835</v>
      </c>
      <c r="F55" s="178" t="s">
        <v>128</v>
      </c>
      <c r="G55" s="179">
        <f t="shared" ref="G55:G58" si="16">H55+I55</f>
        <v>0.663543907</v>
      </c>
      <c r="H55" s="179">
        <f>E50/B48</f>
        <v>0.07705883295</v>
      </c>
      <c r="I55" s="180">
        <f>J55*(16+1.6)</f>
        <v>0.5864850741</v>
      </c>
      <c r="J55" s="181">
        <f t="shared" ref="J55:J58" si="17">$H$2*K55</f>
        <v>0.03332301557</v>
      </c>
      <c r="K55" s="182">
        <f>(16+16*$B$3+1.6*$I$18)/(16+1.6)</f>
        <v>1.110767186</v>
      </c>
      <c r="L55" s="104" t="str">
        <f t="shared" ref="L55:L58" si="18">FORMULATEXT(K55)</f>
        <v>=(16+16*$B$3+1.6*$I$17)/(16+1.6)</v>
      </c>
      <c r="M55" s="183">
        <f>(16+1.6)*$H$2</f>
        <v>0.528</v>
      </c>
    </row>
    <row r="56">
      <c r="A56" s="146" t="s">
        <v>160</v>
      </c>
      <c r="B56" s="175" t="str">
        <f t="shared" si="14"/>
        <v>=(G56)/M56</v>
      </c>
      <c r="C56" s="111">
        <f t="shared" si="15"/>
        <v>1.52816168</v>
      </c>
      <c r="D56" s="147">
        <f>2.4/8</f>
        <v>0.3</v>
      </c>
      <c r="E56" s="113">
        <f t="shared" ref="E56:E58" si="19">$H$2*C56</f>
        <v>0.04584485039</v>
      </c>
      <c r="F56" s="178" t="s">
        <v>128</v>
      </c>
      <c r="G56" s="184">
        <f t="shared" si="16"/>
        <v>0.4767864441</v>
      </c>
      <c r="H56" s="184">
        <f t="shared" ref="H56:H58" si="20">H55</f>
        <v>0.07705883295</v>
      </c>
      <c r="I56" s="185">
        <f>(8+2.4)*J56</f>
        <v>0.3997276111</v>
      </c>
      <c r="J56" s="186">
        <f t="shared" si="17"/>
        <v>0.03843534722</v>
      </c>
      <c r="K56" s="187">
        <f>(8+24*$B$3+2.4*$I$18)/(8+2.4)</f>
        <v>1.281178241</v>
      </c>
      <c r="L56" s="110" t="str">
        <f t="shared" si="18"/>
        <v>=(8+24*$B$3+2.4*$I$17)/(8+2.4)</v>
      </c>
      <c r="M56" s="188">
        <f>(8+2.4)*$H$2</f>
        <v>0.312</v>
      </c>
    </row>
    <row r="57">
      <c r="A57" s="146" t="s">
        <v>178</v>
      </c>
      <c r="B57" s="175" t="str">
        <f t="shared" si="14"/>
        <v>=(G57)/M57</v>
      </c>
      <c r="C57" s="111">
        <f t="shared" si="15"/>
        <v>2.287031574</v>
      </c>
      <c r="D57" s="147">
        <f>2.8/6.8</f>
        <v>0.4117647059</v>
      </c>
      <c r="E57" s="113">
        <f t="shared" si="19"/>
        <v>0.06861094722</v>
      </c>
      <c r="F57" s="178" t="s">
        <v>128</v>
      </c>
      <c r="G57" s="184">
        <f t="shared" si="16"/>
        <v>0.4665544411</v>
      </c>
      <c r="H57" s="184">
        <f t="shared" si="20"/>
        <v>0.07705883295</v>
      </c>
      <c r="I57" s="185">
        <f>(4+2.8)*J57</f>
        <v>0.3894956082</v>
      </c>
      <c r="J57" s="186">
        <f t="shared" si="17"/>
        <v>0.05727876591</v>
      </c>
      <c r="K57" s="111">
        <f>(4+28*$B$3*2.8*$I$18)/(4+2.8)</f>
        <v>1.909292197</v>
      </c>
      <c r="L57" s="110" t="str">
        <f t="shared" si="18"/>
        <v>=(4+28*$B$3*2.8*$I$17)/(4+2.8)</v>
      </c>
      <c r="M57" s="188">
        <f>(4+2.8)*$H$2</f>
        <v>0.204</v>
      </c>
    </row>
    <row r="58">
      <c r="A58" s="146" t="s">
        <v>179</v>
      </c>
      <c r="B58" s="129" t="str">
        <f t="shared" si="14"/>
        <v>=(G58)/M58</v>
      </c>
      <c r="C58" s="130">
        <f t="shared" si="15"/>
        <v>2.244788979</v>
      </c>
      <c r="D58" s="131">
        <f>3/5</f>
        <v>0.6</v>
      </c>
      <c r="E58" s="132">
        <f t="shared" si="19"/>
        <v>0.06734366937</v>
      </c>
      <c r="F58" s="189" t="s">
        <v>128</v>
      </c>
      <c r="G58" s="190">
        <f t="shared" si="16"/>
        <v>0.3367183468</v>
      </c>
      <c r="H58" s="190">
        <f t="shared" si="20"/>
        <v>0.07705883295</v>
      </c>
      <c r="I58" s="191">
        <f>(2+3)*J58</f>
        <v>0.2596595139</v>
      </c>
      <c r="J58" s="192">
        <f t="shared" si="17"/>
        <v>0.05193190278</v>
      </c>
      <c r="K58" s="193">
        <f>(2+30*$B$3+3*$I$18)/(2+3)</f>
        <v>1.731063426</v>
      </c>
      <c r="L58" s="129" t="str">
        <f t="shared" si="18"/>
        <v>=(2+30*$B$3+3*$I$17)/(2+3)</v>
      </c>
      <c r="M58" s="194">
        <f>(2+3)*$H$2</f>
        <v>0.15</v>
      </c>
    </row>
    <row r="63">
      <c r="A63" s="165" t="s">
        <v>60</v>
      </c>
      <c r="B63" s="118"/>
      <c r="C63" s="118"/>
      <c r="D63" s="118"/>
      <c r="E63" s="118"/>
      <c r="F63" s="118"/>
      <c r="G63" s="118"/>
      <c r="H63" s="118"/>
      <c r="I63" s="118"/>
      <c r="J63" s="118"/>
      <c r="K63" s="138"/>
      <c r="L63" s="138"/>
    </row>
    <row r="64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38"/>
      <c r="L64" s="138"/>
    </row>
    <row r="65">
      <c r="A65" s="152"/>
      <c r="B65" s="153" t="s">
        <v>163</v>
      </c>
      <c r="C65" s="153" t="s">
        <v>157</v>
      </c>
      <c r="D65" s="153" t="s">
        <v>164</v>
      </c>
      <c r="E65" s="166" t="s">
        <v>165</v>
      </c>
      <c r="F65" s="149" t="s">
        <v>166</v>
      </c>
      <c r="G65" s="138"/>
      <c r="H65" s="138"/>
      <c r="I65" s="138"/>
      <c r="J65" s="138"/>
      <c r="K65" s="138"/>
      <c r="L65" s="138"/>
    </row>
    <row r="66">
      <c r="A66" s="146" t="s">
        <v>159</v>
      </c>
      <c r="B66" s="154">
        <f>10079/2</f>
        <v>5039.5</v>
      </c>
      <c r="C66" s="155">
        <f>16*B66</f>
        <v>80632</v>
      </c>
      <c r="D66" s="155">
        <f>B66*16</f>
        <v>80632</v>
      </c>
      <c r="F66" s="138"/>
      <c r="G66" s="138"/>
      <c r="H66" s="138"/>
      <c r="I66" s="138"/>
      <c r="J66" s="138"/>
      <c r="K66" s="138"/>
      <c r="L66" s="138"/>
    </row>
    <row r="67">
      <c r="A67" s="146" t="s">
        <v>160</v>
      </c>
      <c r="B67" s="155">
        <f>22379/2</f>
        <v>11189.5</v>
      </c>
      <c r="C67" s="155">
        <f>24*B67</f>
        <v>268548</v>
      </c>
      <c r="D67" s="155">
        <f>B67*8</f>
        <v>89516</v>
      </c>
      <c r="E67" s="138"/>
      <c r="F67" s="138"/>
      <c r="G67" s="138"/>
      <c r="H67" s="138"/>
      <c r="I67" s="138"/>
      <c r="J67" s="138"/>
      <c r="K67" s="138"/>
      <c r="L67" s="138"/>
    </row>
    <row r="68">
      <c r="A68" s="146" t="s">
        <v>167</v>
      </c>
      <c r="B68" s="155">
        <f t="shared" ref="B68:D68" si="21">B66+B67</f>
        <v>16229</v>
      </c>
      <c r="C68" s="155">
        <f t="shared" si="21"/>
        <v>349180</v>
      </c>
      <c r="D68" s="155">
        <f t="shared" si="21"/>
        <v>170148</v>
      </c>
      <c r="E68" s="155"/>
      <c r="F68" s="166"/>
      <c r="G68" s="138"/>
      <c r="H68" s="138"/>
      <c r="I68" s="138"/>
      <c r="J68" s="138"/>
      <c r="K68" s="138"/>
      <c r="L68" s="138"/>
    </row>
    <row r="69">
      <c r="A69" s="146" t="s">
        <v>168</v>
      </c>
      <c r="B69" s="155">
        <f>D69/4</f>
        <v>42537</v>
      </c>
      <c r="C69" s="155">
        <f>B69*28</f>
        <v>1191036</v>
      </c>
      <c r="D69" s="155">
        <f>D66+D67</f>
        <v>170148</v>
      </c>
      <c r="E69" s="155">
        <f>C69*($H$2*$D$3)*F69</f>
        <v>2501.1756</v>
      </c>
      <c r="F69" s="166">
        <v>1.0</v>
      </c>
      <c r="G69" s="138"/>
      <c r="H69" s="138"/>
      <c r="I69" s="138"/>
      <c r="J69" s="138"/>
      <c r="K69" s="138"/>
      <c r="L69" s="138"/>
    </row>
    <row r="70">
      <c r="A70" s="146" t="s">
        <v>161</v>
      </c>
      <c r="B70" s="155">
        <f t="shared" ref="B70:D70" si="22">SUM(B68:B69)</f>
        <v>58766</v>
      </c>
      <c r="C70" s="167">
        <f t="shared" si="22"/>
        <v>1540216</v>
      </c>
      <c r="D70" s="155">
        <f t="shared" si="22"/>
        <v>340296</v>
      </c>
      <c r="E70" s="195">
        <f>E69</f>
        <v>2501.1756</v>
      </c>
      <c r="F70" s="138"/>
      <c r="G70" s="138"/>
      <c r="H70" s="138"/>
      <c r="I70" s="138"/>
      <c r="J70" s="138"/>
      <c r="K70" s="138"/>
      <c r="L70" s="138"/>
    </row>
    <row r="71">
      <c r="A71" s="138"/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</row>
    <row r="72">
      <c r="A72" s="92" t="s">
        <v>169</v>
      </c>
      <c r="B72" s="155"/>
      <c r="C72" s="155"/>
      <c r="D72" s="155"/>
      <c r="E72" s="155"/>
      <c r="F72" s="138"/>
      <c r="G72" s="169"/>
      <c r="H72" s="169"/>
      <c r="I72" s="155"/>
      <c r="J72" s="138"/>
      <c r="K72" s="138"/>
      <c r="L72" s="138"/>
    </row>
    <row r="73">
      <c r="A73" s="139" t="s">
        <v>170</v>
      </c>
      <c r="B73" s="155"/>
      <c r="C73" s="155"/>
      <c r="D73" s="155"/>
      <c r="E73" s="83"/>
      <c r="F73" s="155"/>
      <c r="G73" s="155"/>
      <c r="H73" s="155"/>
      <c r="I73" s="155"/>
      <c r="J73" s="118"/>
      <c r="K73" s="138"/>
      <c r="L73" s="138"/>
    </row>
    <row r="74">
      <c r="A74" s="118"/>
      <c r="B74" s="170" t="s">
        <v>120</v>
      </c>
      <c r="C74" s="97" t="s">
        <v>121</v>
      </c>
      <c r="D74" s="170" t="s">
        <v>122</v>
      </c>
      <c r="E74" s="171" t="s">
        <v>171</v>
      </c>
      <c r="F74" s="172" t="s">
        <v>124</v>
      </c>
      <c r="G74" s="152" t="s">
        <v>172</v>
      </c>
      <c r="H74" s="152" t="s">
        <v>173</v>
      </c>
      <c r="I74" s="173" t="s">
        <v>174</v>
      </c>
      <c r="J74" s="152" t="s">
        <v>175</v>
      </c>
      <c r="K74" s="174" t="s">
        <v>176</v>
      </c>
      <c r="L74" s="170" t="s">
        <v>120</v>
      </c>
      <c r="M74" s="152" t="s">
        <v>177</v>
      </c>
    </row>
    <row r="75">
      <c r="A75" s="146" t="s">
        <v>159</v>
      </c>
      <c r="B75" s="175" t="str">
        <f t="shared" ref="B75:B78" si="23">FORMULATEXT(C75)</f>
        <v>=(G75)/M75</v>
      </c>
      <c r="C75" s="176">
        <f t="shared" ref="C75:C78" si="24">(G75)/M75</f>
        <v>1.402656705</v>
      </c>
      <c r="D75" s="177">
        <f>1.6/17.6</f>
        <v>0.09090909091</v>
      </c>
      <c r="E75" s="113">
        <f>(I75+H75)/(16+1.6)</f>
        <v>0.04207970114</v>
      </c>
      <c r="F75" s="178" t="s">
        <v>128</v>
      </c>
      <c r="G75" s="179">
        <f t="shared" ref="G75:G78" si="25">H75+I75</f>
        <v>0.74060274</v>
      </c>
      <c r="H75" s="179">
        <f>E70/B68</f>
        <v>0.1541176659</v>
      </c>
      <c r="I75" s="180">
        <f>J75*(16+1.6)</f>
        <v>0.5864850741</v>
      </c>
      <c r="J75" s="181">
        <f t="shared" ref="J75:J78" si="26">$H$2*K75</f>
        <v>0.03332301557</v>
      </c>
      <c r="K75" s="182">
        <f>(16+16*$B$3+1.6*$I$18)/(16+1.6)</f>
        <v>1.110767186</v>
      </c>
      <c r="L75" s="104" t="str">
        <f t="shared" ref="L75:L78" si="27">FORMULATEXT(K75)</f>
        <v>=(16+16*$B$3+1.6*$I$17)/(16+1.6)</v>
      </c>
      <c r="M75" s="183">
        <f>(16+1.6)*$H$2</f>
        <v>0.528</v>
      </c>
    </row>
    <row r="76">
      <c r="A76" s="146" t="s">
        <v>160</v>
      </c>
      <c r="B76" s="175" t="str">
        <f t="shared" si="23"/>
        <v>=(G76)/M76</v>
      </c>
      <c r="C76" s="111">
        <f t="shared" si="24"/>
        <v>1.775145119</v>
      </c>
      <c r="D76" s="147">
        <f>2.4/8</f>
        <v>0.3</v>
      </c>
      <c r="E76" s="113">
        <f t="shared" ref="E76:E78" si="28">$H$2*C76</f>
        <v>0.05325435356</v>
      </c>
      <c r="F76" s="178" t="s">
        <v>128</v>
      </c>
      <c r="G76" s="184">
        <f t="shared" si="25"/>
        <v>0.553845277</v>
      </c>
      <c r="H76" s="184">
        <f t="shared" ref="H76:H78" si="29">H75</f>
        <v>0.1541176659</v>
      </c>
      <c r="I76" s="185">
        <f>(8+2.4)*J76</f>
        <v>0.3997276111</v>
      </c>
      <c r="J76" s="186">
        <f t="shared" si="26"/>
        <v>0.03843534722</v>
      </c>
      <c r="K76" s="187">
        <f>(8+24*$B$3+2.4*$I$18)/(8+2.4)</f>
        <v>1.281178241</v>
      </c>
      <c r="L76" s="110" t="str">
        <f t="shared" si="27"/>
        <v>=(8+24*$B$3+2.4*$I$17)/(8+2.4)</v>
      </c>
      <c r="M76" s="188">
        <f>(8+2.4)*$H$2</f>
        <v>0.312</v>
      </c>
    </row>
    <row r="77">
      <c r="A77" s="146" t="s">
        <v>178</v>
      </c>
      <c r="B77" s="175" t="str">
        <f t="shared" si="23"/>
        <v>=(G77)/M77</v>
      </c>
      <c r="C77" s="111">
        <f t="shared" si="24"/>
        <v>2.664770951</v>
      </c>
      <c r="D77" s="147">
        <f>2.8/6.8</f>
        <v>0.4117647059</v>
      </c>
      <c r="E77" s="113">
        <f t="shared" si="28"/>
        <v>0.07994312854</v>
      </c>
      <c r="F77" s="178" t="s">
        <v>128</v>
      </c>
      <c r="G77" s="184">
        <f t="shared" si="25"/>
        <v>0.5436132741</v>
      </c>
      <c r="H77" s="184">
        <f t="shared" si="29"/>
        <v>0.1541176659</v>
      </c>
      <c r="I77" s="185">
        <f>(4+2.8)*J77</f>
        <v>0.3894956082</v>
      </c>
      <c r="J77" s="186">
        <f t="shared" si="26"/>
        <v>0.05727876591</v>
      </c>
      <c r="K77" s="111">
        <f>(4+28*$B$3*2.8*$I$18)/(4+2.8)</f>
        <v>1.909292197</v>
      </c>
      <c r="L77" s="110" t="str">
        <f t="shared" si="27"/>
        <v>=(4+28*$B$3*2.8*$I$17)/(4+2.8)</v>
      </c>
      <c r="M77" s="188">
        <f>(4+2.8)*$H$2</f>
        <v>0.204</v>
      </c>
    </row>
    <row r="78">
      <c r="A78" s="146" t="s">
        <v>179</v>
      </c>
      <c r="B78" s="129" t="str">
        <f t="shared" si="23"/>
        <v>=(G78)/M78</v>
      </c>
      <c r="C78" s="130">
        <f t="shared" si="24"/>
        <v>2.758514532</v>
      </c>
      <c r="D78" s="131">
        <f>3/5</f>
        <v>0.6</v>
      </c>
      <c r="E78" s="132">
        <f t="shared" si="28"/>
        <v>0.08275543596</v>
      </c>
      <c r="F78" s="189" t="s">
        <v>128</v>
      </c>
      <c r="G78" s="190">
        <f t="shared" si="25"/>
        <v>0.4137771798</v>
      </c>
      <c r="H78" s="190">
        <f t="shared" si="29"/>
        <v>0.1541176659</v>
      </c>
      <c r="I78" s="191">
        <f>(2+3)*J78</f>
        <v>0.2596595139</v>
      </c>
      <c r="J78" s="192">
        <f t="shared" si="26"/>
        <v>0.05193190278</v>
      </c>
      <c r="K78" s="193">
        <f>(2+30*$B$3+3*$I$18)/(2+3)</f>
        <v>1.731063426</v>
      </c>
      <c r="L78" s="129" t="str">
        <f t="shared" si="27"/>
        <v>=(2+30*$B$3+3*$I$17)/(2+3)</v>
      </c>
      <c r="M78" s="194">
        <f>(2+3)*$H$2</f>
        <v>0.15</v>
      </c>
    </row>
    <row r="81">
      <c r="A81" s="165" t="s">
        <v>62</v>
      </c>
      <c r="B81" s="118"/>
      <c r="C81" s="118"/>
      <c r="D81" s="118"/>
      <c r="E81" s="118"/>
      <c r="F81" s="118"/>
      <c r="G81" s="118"/>
      <c r="H81" s="118"/>
      <c r="I81" s="118"/>
      <c r="J81" s="118"/>
      <c r="K81" s="138"/>
      <c r="L81" s="138"/>
    </row>
    <row r="82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38"/>
      <c r="L82" s="138"/>
    </row>
    <row r="83">
      <c r="A83" s="152"/>
      <c r="B83" s="153" t="s">
        <v>163</v>
      </c>
      <c r="C83" s="153" t="s">
        <v>157</v>
      </c>
      <c r="D83" s="153" t="s">
        <v>164</v>
      </c>
      <c r="E83" s="166" t="s">
        <v>165</v>
      </c>
      <c r="F83" s="149" t="s">
        <v>166</v>
      </c>
      <c r="G83" s="138"/>
      <c r="H83" s="138"/>
      <c r="I83" s="138"/>
      <c r="J83" s="138"/>
      <c r="K83" s="138"/>
      <c r="L83" s="138"/>
    </row>
    <row r="84">
      <c r="A84" s="146" t="s">
        <v>159</v>
      </c>
      <c r="B84" s="154">
        <f>10079/3</f>
        <v>3359.666667</v>
      </c>
      <c r="C84" s="155">
        <f>16*B84</f>
        <v>53754.66667</v>
      </c>
      <c r="D84" s="155">
        <f>B84*16</f>
        <v>53754.66667</v>
      </c>
      <c r="F84" s="138"/>
      <c r="G84" s="138"/>
      <c r="H84" s="138"/>
      <c r="I84" s="138"/>
      <c r="J84" s="138"/>
      <c r="K84" s="138"/>
      <c r="L84" s="138"/>
    </row>
    <row r="85">
      <c r="A85" s="146" t="s">
        <v>160</v>
      </c>
      <c r="B85" s="155">
        <f>22379/3</f>
        <v>7459.666667</v>
      </c>
      <c r="C85" s="155">
        <f>24*B85</f>
        <v>179032</v>
      </c>
      <c r="D85" s="155">
        <f>B85*8</f>
        <v>59677.33333</v>
      </c>
      <c r="E85" s="138"/>
      <c r="F85" s="138"/>
      <c r="G85" s="138"/>
      <c r="H85" s="138"/>
      <c r="I85" s="138"/>
      <c r="J85" s="138"/>
      <c r="K85" s="138"/>
      <c r="L85" s="138"/>
    </row>
    <row r="86">
      <c r="A86" s="146" t="s">
        <v>167</v>
      </c>
      <c r="B86" s="155">
        <f t="shared" ref="B86:D86" si="30">B84+B85</f>
        <v>10819.33333</v>
      </c>
      <c r="C86" s="155">
        <f t="shared" si="30"/>
        <v>232786.6667</v>
      </c>
      <c r="D86" s="155">
        <f t="shared" si="30"/>
        <v>113432</v>
      </c>
      <c r="E86" s="155"/>
      <c r="F86" s="166"/>
      <c r="G86" s="138"/>
      <c r="H86" s="138"/>
      <c r="I86" s="138"/>
      <c r="J86" s="138"/>
      <c r="K86" s="138"/>
      <c r="L86" s="138"/>
    </row>
    <row r="87">
      <c r="A87" s="146" t="s">
        <v>168</v>
      </c>
      <c r="B87" s="155">
        <f>D87/4</f>
        <v>56716</v>
      </c>
      <c r="C87" s="155">
        <f>B87*28</f>
        <v>1588048</v>
      </c>
      <c r="D87" s="155">
        <f>(D84+D85)*2</f>
        <v>226864</v>
      </c>
      <c r="E87" s="155">
        <f>C87*($H$2*$D$3)*F87</f>
        <v>3334.9008</v>
      </c>
      <c r="F87" s="166">
        <v>1.0</v>
      </c>
      <c r="G87" s="138"/>
      <c r="H87" s="138"/>
      <c r="I87" s="138"/>
      <c r="J87" s="138"/>
      <c r="K87" s="138"/>
      <c r="L87" s="138"/>
    </row>
    <row r="88">
      <c r="A88" s="146" t="s">
        <v>161</v>
      </c>
      <c r="B88" s="155">
        <f t="shared" ref="B88:D88" si="31">SUM(B86:B87)</f>
        <v>67535.33333</v>
      </c>
      <c r="C88" s="196">
        <f t="shared" si="31"/>
        <v>1820834.667</v>
      </c>
      <c r="D88" s="155">
        <f t="shared" si="31"/>
        <v>340296</v>
      </c>
      <c r="E88" s="195">
        <f>E87</f>
        <v>3334.9008</v>
      </c>
      <c r="F88" s="138"/>
      <c r="G88" s="138"/>
      <c r="H88" s="138"/>
      <c r="I88" s="138"/>
      <c r="J88" s="138"/>
      <c r="K88" s="138"/>
      <c r="L88" s="138"/>
    </row>
    <row r="89">
      <c r="A89" s="138"/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8"/>
    </row>
    <row r="90">
      <c r="A90" s="92" t="s">
        <v>169</v>
      </c>
      <c r="B90" s="155"/>
      <c r="C90" s="155"/>
      <c r="D90" s="155"/>
      <c r="E90" s="155"/>
      <c r="F90" s="138"/>
      <c r="G90" s="169"/>
      <c r="H90" s="169"/>
      <c r="I90" s="155"/>
      <c r="J90" s="138"/>
      <c r="K90" s="138"/>
      <c r="L90" s="138"/>
    </row>
    <row r="91">
      <c r="A91" s="139" t="s">
        <v>170</v>
      </c>
      <c r="B91" s="155"/>
      <c r="C91" s="155"/>
      <c r="D91" s="155"/>
      <c r="E91" s="83"/>
      <c r="F91" s="155"/>
      <c r="G91" s="155"/>
      <c r="H91" s="155"/>
      <c r="I91" s="155"/>
      <c r="J91" s="118"/>
      <c r="K91" s="138"/>
      <c r="L91" s="138"/>
    </row>
    <row r="92">
      <c r="A92" s="118"/>
      <c r="B92" s="170" t="s">
        <v>120</v>
      </c>
      <c r="C92" s="97" t="s">
        <v>121</v>
      </c>
      <c r="D92" s="170" t="s">
        <v>122</v>
      </c>
      <c r="E92" s="171" t="s">
        <v>171</v>
      </c>
      <c r="F92" s="172" t="s">
        <v>124</v>
      </c>
      <c r="G92" s="152" t="s">
        <v>172</v>
      </c>
      <c r="H92" s="152" t="s">
        <v>173</v>
      </c>
      <c r="I92" s="173" t="s">
        <v>174</v>
      </c>
      <c r="J92" s="152" t="s">
        <v>175</v>
      </c>
      <c r="K92" s="174" t="s">
        <v>176</v>
      </c>
      <c r="L92" s="170" t="s">
        <v>120</v>
      </c>
      <c r="M92" s="152" t="s">
        <v>177</v>
      </c>
    </row>
    <row r="93">
      <c r="A93" s="146" t="s">
        <v>159</v>
      </c>
      <c r="B93" s="175" t="str">
        <f t="shared" ref="B93:B96" si="32">FORMULATEXT(C93)</f>
        <v>=(G93)/M93</v>
      </c>
      <c r="C93" s="176">
        <f t="shared" ref="C93:C96" si="33">(G93)/M93</f>
        <v>1.694546223</v>
      </c>
      <c r="D93" s="177">
        <f>1.6/17.6</f>
        <v>0.09090909091</v>
      </c>
      <c r="E93" s="113">
        <f>(I93+H93)/(16+1.6)</f>
        <v>0.0508363867</v>
      </c>
      <c r="F93" s="178" t="s">
        <v>128</v>
      </c>
      <c r="G93" s="179">
        <f t="shared" ref="G93:G96" si="34">H93+I93</f>
        <v>0.8947204059</v>
      </c>
      <c r="H93" s="179">
        <f>E88/B86</f>
        <v>0.3082353318</v>
      </c>
      <c r="I93" s="180">
        <f>J93*(16+1.6)</f>
        <v>0.5864850741</v>
      </c>
      <c r="J93" s="181">
        <f t="shared" ref="J93:J96" si="35">$H$2*K93</f>
        <v>0.03332301557</v>
      </c>
      <c r="K93" s="182">
        <f>(16+16*$B$3+1.6*$I$18)/(16+1.6)</f>
        <v>1.110767186</v>
      </c>
      <c r="L93" s="104" t="str">
        <f t="shared" ref="L93:L96" si="36">FORMULATEXT(K93)</f>
        <v>=(16+16*$B$3+1.6*$I$17)/(16+1.6)</v>
      </c>
      <c r="M93" s="183">
        <f>(16+1.6)*$H$2</f>
        <v>0.528</v>
      </c>
    </row>
    <row r="94">
      <c r="A94" s="146" t="s">
        <v>160</v>
      </c>
      <c r="B94" s="175" t="str">
        <f t="shared" si="32"/>
        <v>=(G94)/M94</v>
      </c>
      <c r="C94" s="111">
        <f t="shared" si="33"/>
        <v>2.269111997</v>
      </c>
      <c r="D94" s="147">
        <f>2.4/8</f>
        <v>0.3</v>
      </c>
      <c r="E94" s="113">
        <f t="shared" ref="E94:E96" si="37">$H$2*C94</f>
        <v>0.0680733599</v>
      </c>
      <c r="F94" s="178" t="s">
        <v>128</v>
      </c>
      <c r="G94" s="184">
        <f t="shared" si="34"/>
        <v>0.7079629429</v>
      </c>
      <c r="H94" s="184">
        <f t="shared" ref="H94:H96" si="38">H93</f>
        <v>0.3082353318</v>
      </c>
      <c r="I94" s="185">
        <f>(8+2.4)*J94</f>
        <v>0.3997276111</v>
      </c>
      <c r="J94" s="186">
        <f t="shared" si="35"/>
        <v>0.03843534722</v>
      </c>
      <c r="K94" s="187">
        <f>(8+24*$B$3+2.4*$I$18)/(8+2.4)</f>
        <v>1.281178241</v>
      </c>
      <c r="L94" s="110" t="str">
        <f t="shared" si="36"/>
        <v>=(8+24*$B$3+2.4*$I$17)/(8+2.4)</v>
      </c>
      <c r="M94" s="188">
        <f>(8+2.4)*$H$2</f>
        <v>0.312</v>
      </c>
    </row>
    <row r="95">
      <c r="A95" s="146" t="s">
        <v>178</v>
      </c>
      <c r="B95" s="175" t="str">
        <f t="shared" si="32"/>
        <v>=(G95)/M95</v>
      </c>
      <c r="C95" s="111">
        <f t="shared" si="33"/>
        <v>3.420249706</v>
      </c>
      <c r="D95" s="147">
        <f>2.8/6.8</f>
        <v>0.4117647059</v>
      </c>
      <c r="E95" s="113">
        <f t="shared" si="37"/>
        <v>0.1026074912</v>
      </c>
      <c r="F95" s="178" t="s">
        <v>128</v>
      </c>
      <c r="G95" s="184">
        <f t="shared" si="34"/>
        <v>0.69773094</v>
      </c>
      <c r="H95" s="184">
        <f t="shared" si="38"/>
        <v>0.3082353318</v>
      </c>
      <c r="I95" s="185">
        <f>(4+2.8)*J95</f>
        <v>0.3894956082</v>
      </c>
      <c r="J95" s="186">
        <f t="shared" si="35"/>
        <v>0.05727876591</v>
      </c>
      <c r="K95" s="111">
        <f>(4+28*$B$3*2.8*$I$18)/(4+2.8)</f>
        <v>1.909292197</v>
      </c>
      <c r="L95" s="110" t="str">
        <f t="shared" si="36"/>
        <v>=(4+28*$B$3*2.8*$I$17)/(4+2.8)</v>
      </c>
      <c r="M95" s="188">
        <f>(4+2.8)*$H$2</f>
        <v>0.204</v>
      </c>
    </row>
    <row r="96">
      <c r="A96" s="146" t="s">
        <v>179</v>
      </c>
      <c r="B96" s="129" t="str">
        <f t="shared" si="32"/>
        <v>=(G96)/M96</v>
      </c>
      <c r="C96" s="130">
        <f t="shared" si="33"/>
        <v>3.785965638</v>
      </c>
      <c r="D96" s="131">
        <f>3/5</f>
        <v>0.6</v>
      </c>
      <c r="E96" s="132">
        <f t="shared" si="37"/>
        <v>0.1135789691</v>
      </c>
      <c r="F96" s="189" t="s">
        <v>128</v>
      </c>
      <c r="G96" s="190">
        <f t="shared" si="34"/>
        <v>0.5678948457</v>
      </c>
      <c r="H96" s="190">
        <f t="shared" si="38"/>
        <v>0.3082353318</v>
      </c>
      <c r="I96" s="191">
        <f>(2+3)*J96</f>
        <v>0.2596595139</v>
      </c>
      <c r="J96" s="192">
        <f t="shared" si="35"/>
        <v>0.05193190278</v>
      </c>
      <c r="K96" s="193">
        <f>(2+30*$B$3+3*$I$18)/(2+3)</f>
        <v>1.731063426</v>
      </c>
      <c r="L96" s="129" t="str">
        <f t="shared" si="36"/>
        <v>=(2+30*$B$3+3*$I$17)/(2+3)</v>
      </c>
      <c r="M96" s="194">
        <f>(2+3)*$H$2</f>
        <v>0.15</v>
      </c>
    </row>
    <row r="101">
      <c r="A101" s="165" t="s">
        <v>64</v>
      </c>
      <c r="B101" s="118"/>
      <c r="C101" s="118"/>
      <c r="D101" s="118"/>
      <c r="E101" s="118"/>
      <c r="F101" s="118"/>
      <c r="G101" s="118"/>
      <c r="H101" s="118"/>
      <c r="I101" s="118"/>
      <c r="J101" s="118"/>
      <c r="K101" s="138"/>
      <c r="L101" s="138"/>
    </row>
    <row r="102">
      <c r="A102" s="118"/>
      <c r="B102" s="118"/>
      <c r="C102" s="118"/>
      <c r="D102" s="118"/>
      <c r="E102" s="118"/>
      <c r="F102" s="118"/>
      <c r="G102" s="118"/>
      <c r="H102" s="118"/>
      <c r="I102" s="118"/>
      <c r="J102" s="118"/>
      <c r="K102" s="138"/>
      <c r="L102" s="138"/>
    </row>
    <row r="103">
      <c r="A103" s="152"/>
      <c r="B103" s="153" t="s">
        <v>163</v>
      </c>
      <c r="C103" s="153" t="s">
        <v>157</v>
      </c>
      <c r="D103" s="153" t="s">
        <v>164</v>
      </c>
      <c r="E103" s="166" t="s">
        <v>165</v>
      </c>
      <c r="F103" s="149" t="s">
        <v>166</v>
      </c>
      <c r="G103" s="138"/>
      <c r="H103" s="138"/>
      <c r="I103" s="138"/>
      <c r="J103" s="138"/>
      <c r="K103" s="138"/>
      <c r="L103" s="138"/>
    </row>
    <row r="104">
      <c r="A104" s="146" t="s">
        <v>159</v>
      </c>
      <c r="B104" s="154">
        <f>10079/10</f>
        <v>1007.9</v>
      </c>
      <c r="C104" s="155">
        <f>16*B104</f>
        <v>16126.4</v>
      </c>
      <c r="D104" s="155">
        <f>B104*16</f>
        <v>16126.4</v>
      </c>
      <c r="F104" s="138"/>
      <c r="G104" s="138"/>
      <c r="H104" s="138"/>
      <c r="I104" s="138"/>
      <c r="J104" s="138"/>
      <c r="K104" s="138"/>
      <c r="L104" s="138"/>
    </row>
    <row r="105">
      <c r="A105" s="146" t="s">
        <v>160</v>
      </c>
      <c r="B105" s="155">
        <f>22379/10</f>
        <v>2237.9</v>
      </c>
      <c r="C105" s="155">
        <f>24*B105</f>
        <v>53709.6</v>
      </c>
      <c r="D105" s="155">
        <f>B105*8</f>
        <v>17903.2</v>
      </c>
      <c r="E105" s="138"/>
      <c r="F105" s="138"/>
      <c r="G105" s="138"/>
      <c r="H105" s="138"/>
      <c r="I105" s="138"/>
      <c r="J105" s="138"/>
      <c r="K105" s="138"/>
      <c r="L105" s="138"/>
    </row>
    <row r="106">
      <c r="A106" s="146" t="s">
        <v>167</v>
      </c>
      <c r="B106" s="155">
        <f t="shared" ref="B106:D106" si="39">B104+B105</f>
        <v>3245.8</v>
      </c>
      <c r="C106" s="155">
        <f t="shared" si="39"/>
        <v>69836</v>
      </c>
      <c r="D106" s="155">
        <f t="shared" si="39"/>
        <v>34029.6</v>
      </c>
      <c r="E106" s="155"/>
      <c r="F106" s="166"/>
      <c r="G106" s="138"/>
      <c r="H106" s="138"/>
      <c r="I106" s="138"/>
      <c r="J106" s="138"/>
      <c r="K106" s="138"/>
      <c r="L106" s="138"/>
    </row>
    <row r="107">
      <c r="A107" s="146" t="s">
        <v>168</v>
      </c>
      <c r="B107" s="155">
        <f>D107/4</f>
        <v>76566.6</v>
      </c>
      <c r="C107" s="155">
        <f>B107*28</f>
        <v>2143864.8</v>
      </c>
      <c r="D107" s="155">
        <v>306266.4</v>
      </c>
      <c r="E107" s="155">
        <f>C107*($H$2*$D$3)*F107</f>
        <v>4502.11608</v>
      </c>
      <c r="F107" s="166">
        <v>1.0</v>
      </c>
      <c r="G107" s="138"/>
      <c r="H107" s="138"/>
      <c r="I107" s="138"/>
      <c r="J107" s="138"/>
      <c r="K107" s="138"/>
      <c r="L107" s="138"/>
    </row>
    <row r="108">
      <c r="A108" s="146" t="s">
        <v>161</v>
      </c>
      <c r="B108" s="155">
        <f t="shared" ref="B108:D108" si="40">SUM(B106:B107)</f>
        <v>79812.4</v>
      </c>
      <c r="C108" s="196">
        <f t="shared" si="40"/>
        <v>2213700.8</v>
      </c>
      <c r="D108" s="155">
        <f t="shared" si="40"/>
        <v>340296</v>
      </c>
      <c r="E108" s="195">
        <f>E107</f>
        <v>4502.11608</v>
      </c>
      <c r="F108" s="138"/>
      <c r="G108" s="138"/>
      <c r="H108" s="138"/>
      <c r="I108" s="138"/>
      <c r="J108" s="138"/>
      <c r="K108" s="138"/>
      <c r="L108" s="138"/>
    </row>
    <row r="109">
      <c r="A109" s="138"/>
      <c r="B109" s="138"/>
      <c r="C109" s="138"/>
      <c r="D109" s="166"/>
      <c r="E109" s="138"/>
      <c r="F109" s="138"/>
      <c r="G109" s="138"/>
      <c r="H109" s="138"/>
      <c r="I109" s="138"/>
      <c r="J109" s="138"/>
      <c r="K109" s="138"/>
      <c r="L109" s="138"/>
    </row>
    <row r="110">
      <c r="A110" s="92" t="s">
        <v>169</v>
      </c>
      <c r="B110" s="155"/>
      <c r="C110" s="155"/>
      <c r="D110" s="155"/>
      <c r="E110" s="155"/>
      <c r="F110" s="138"/>
      <c r="G110" s="169"/>
      <c r="H110" s="169"/>
      <c r="I110" s="155"/>
      <c r="J110" s="138"/>
      <c r="K110" s="138"/>
      <c r="L110" s="138"/>
    </row>
    <row r="111">
      <c r="A111" s="139" t="s">
        <v>170</v>
      </c>
      <c r="B111" s="155"/>
      <c r="C111" s="155"/>
      <c r="D111" s="155"/>
      <c r="E111" s="83"/>
      <c r="F111" s="155"/>
      <c r="G111" s="155"/>
      <c r="H111" s="155"/>
      <c r="I111" s="155"/>
      <c r="J111" s="118"/>
      <c r="K111" s="138"/>
      <c r="L111" s="138"/>
    </row>
    <row r="112">
      <c r="A112" s="118"/>
      <c r="B112" s="170" t="s">
        <v>120</v>
      </c>
      <c r="C112" s="97" t="s">
        <v>121</v>
      </c>
      <c r="D112" s="170" t="s">
        <v>122</v>
      </c>
      <c r="E112" s="171" t="s">
        <v>171</v>
      </c>
      <c r="F112" s="172" t="s">
        <v>124</v>
      </c>
      <c r="G112" s="152" t="s">
        <v>172</v>
      </c>
      <c r="H112" s="152" t="s">
        <v>173</v>
      </c>
      <c r="I112" s="173" t="s">
        <v>174</v>
      </c>
      <c r="J112" s="152" t="s">
        <v>175</v>
      </c>
      <c r="K112" s="174" t="s">
        <v>176</v>
      </c>
      <c r="L112" s="170" t="s">
        <v>120</v>
      </c>
      <c r="M112" s="152" t="s">
        <v>177</v>
      </c>
    </row>
    <row r="113">
      <c r="A113" s="146" t="s">
        <v>159</v>
      </c>
      <c r="B113" s="175" t="str">
        <f t="shared" ref="B113:B116" si="41">FORMULATEXT(C113)</f>
        <v>=(G113)/M113</v>
      </c>
      <c r="C113" s="176">
        <f t="shared" ref="C113:C116" si="42">(G113)/M113</f>
        <v>3.737772855</v>
      </c>
      <c r="D113" s="177">
        <f>1.6/17.6</f>
        <v>0.09090909091</v>
      </c>
      <c r="E113" s="113">
        <f>(I113+H113)/(16+1.6)</f>
        <v>0.1121331856</v>
      </c>
      <c r="F113" s="178" t="s">
        <v>128</v>
      </c>
      <c r="G113" s="179">
        <f t="shared" ref="G113:G116" si="43">H113+I113</f>
        <v>1.973544067</v>
      </c>
      <c r="H113" s="179">
        <f>E108/B106</f>
        <v>1.387058993</v>
      </c>
      <c r="I113" s="180">
        <f>J113*(16+1.6)</f>
        <v>0.5864850741</v>
      </c>
      <c r="J113" s="181">
        <f t="shared" ref="J113:J116" si="44">$H$2*K113</f>
        <v>0.03332301557</v>
      </c>
      <c r="K113" s="182">
        <f>(16+16*$B$3+1.6*$I$18)/(16+1.6)</f>
        <v>1.110767186</v>
      </c>
      <c r="L113" s="104" t="str">
        <f t="shared" ref="L113:L116" si="45">FORMULATEXT(K113)</f>
        <v>=(16+16*$B$3+1.6*$I$17)/(16+1.6)</v>
      </c>
      <c r="M113" s="183">
        <f>(16+1.6)*$H$2</f>
        <v>0.528</v>
      </c>
    </row>
    <row r="114">
      <c r="A114" s="146" t="s">
        <v>160</v>
      </c>
      <c r="B114" s="175" t="str">
        <f t="shared" si="41"/>
        <v>=(G114)/M114</v>
      </c>
      <c r="C114" s="111">
        <f t="shared" si="42"/>
        <v>5.726880142</v>
      </c>
      <c r="D114" s="147">
        <f>2.4/8</f>
        <v>0.3</v>
      </c>
      <c r="E114" s="113">
        <f t="shared" ref="E114:E116" si="46">$H$2*C114</f>
        <v>0.1718064043</v>
      </c>
      <c r="F114" s="178" t="s">
        <v>128</v>
      </c>
      <c r="G114" s="184">
        <f t="shared" si="43"/>
        <v>1.786786604</v>
      </c>
      <c r="H114" s="184">
        <f t="shared" ref="H114:H116" si="47">H113</f>
        <v>1.387058993</v>
      </c>
      <c r="I114" s="185">
        <f>(8+2.4)*J114</f>
        <v>0.3997276111</v>
      </c>
      <c r="J114" s="186">
        <f t="shared" si="44"/>
        <v>0.03843534722</v>
      </c>
      <c r="K114" s="187">
        <f>(8+24*$B$3+2.4*$I$18)/(8+2.4)</f>
        <v>1.281178241</v>
      </c>
      <c r="L114" s="110" t="str">
        <f t="shared" si="45"/>
        <v>=(8+24*$B$3+2.4*$I$17)/(8+2.4)</v>
      </c>
      <c r="M114" s="188">
        <f>(8+2.4)*$H$2</f>
        <v>0.312</v>
      </c>
    </row>
    <row r="115">
      <c r="A115" s="146" t="s">
        <v>178</v>
      </c>
      <c r="B115" s="175" t="str">
        <f t="shared" si="41"/>
        <v>=(G115)/M115</v>
      </c>
      <c r="C115" s="111">
        <f t="shared" si="42"/>
        <v>8.708600987</v>
      </c>
      <c r="D115" s="147">
        <f>2.8/6.8</f>
        <v>0.4117647059</v>
      </c>
      <c r="E115" s="113">
        <f t="shared" si="46"/>
        <v>0.2612580296</v>
      </c>
      <c r="F115" s="178" t="s">
        <v>128</v>
      </c>
      <c r="G115" s="184">
        <f t="shared" si="43"/>
        <v>1.776554601</v>
      </c>
      <c r="H115" s="184">
        <f t="shared" si="47"/>
        <v>1.387058993</v>
      </c>
      <c r="I115" s="185">
        <f>(4+2.8)*J115</f>
        <v>0.3894956082</v>
      </c>
      <c r="J115" s="186">
        <f t="shared" si="44"/>
        <v>0.05727876591</v>
      </c>
      <c r="K115" s="111">
        <f>(4+28*$B$3*2.8*$I$18)/(4+2.8)</f>
        <v>1.909292197</v>
      </c>
      <c r="L115" s="110" t="str">
        <f t="shared" si="45"/>
        <v>=(4+28*$B$3*2.8*$I$17)/(4+2.8)</v>
      </c>
      <c r="M115" s="188">
        <f>(4+2.8)*$H$2</f>
        <v>0.204</v>
      </c>
    </row>
    <row r="116">
      <c r="A116" s="146" t="s">
        <v>179</v>
      </c>
      <c r="B116" s="129" t="str">
        <f t="shared" si="41"/>
        <v>=(G116)/M116</v>
      </c>
      <c r="C116" s="130">
        <f t="shared" si="42"/>
        <v>10.97812338</v>
      </c>
      <c r="D116" s="131">
        <f>3/5</f>
        <v>0.6</v>
      </c>
      <c r="E116" s="132">
        <f t="shared" si="46"/>
        <v>0.3293437014</v>
      </c>
      <c r="F116" s="189" t="s">
        <v>128</v>
      </c>
      <c r="G116" s="190">
        <f t="shared" si="43"/>
        <v>1.646718507</v>
      </c>
      <c r="H116" s="190">
        <f t="shared" si="47"/>
        <v>1.387058993</v>
      </c>
      <c r="I116" s="191">
        <f>(2+3)*J116</f>
        <v>0.2596595139</v>
      </c>
      <c r="J116" s="192">
        <f t="shared" si="44"/>
        <v>0.05193190278</v>
      </c>
      <c r="K116" s="193">
        <f>(2+30*$B$3+3*$I$18)/(2+3)</f>
        <v>1.731063426</v>
      </c>
      <c r="L116" s="129" t="str">
        <f t="shared" si="45"/>
        <v>=(2+30*$B$3+3*$I$17)/(2+3)</v>
      </c>
      <c r="M116" s="194">
        <f>(2+3)*$H$2</f>
        <v>0.15</v>
      </c>
    </row>
    <row r="119">
      <c r="A119" s="163"/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</row>
    <row r="120">
      <c r="A120" s="164" t="s">
        <v>180</v>
      </c>
    </row>
    <row r="122">
      <c r="A122" s="165" t="s">
        <v>67</v>
      </c>
      <c r="B122" s="155"/>
      <c r="C122" s="155"/>
      <c r="D122" s="155"/>
      <c r="E122" s="146"/>
      <c r="F122" s="91"/>
      <c r="G122" s="151"/>
      <c r="H122" s="151"/>
      <c r="I122" s="92"/>
      <c r="J122" s="138"/>
      <c r="K122" s="138"/>
      <c r="L122" s="138"/>
    </row>
    <row r="123">
      <c r="A123" s="146"/>
      <c r="B123" s="153"/>
      <c r="C123" s="153"/>
      <c r="D123" s="153"/>
      <c r="E123" s="153"/>
      <c r="F123" s="153"/>
      <c r="G123" s="118"/>
      <c r="H123" s="118"/>
      <c r="I123" s="118"/>
      <c r="J123" s="138"/>
      <c r="K123" s="138"/>
      <c r="L123" s="138"/>
    </row>
    <row r="124">
      <c r="A124" s="152"/>
      <c r="B124" s="153" t="s">
        <v>163</v>
      </c>
      <c r="C124" s="153" t="s">
        <v>157</v>
      </c>
      <c r="D124" s="153" t="s">
        <v>164</v>
      </c>
      <c r="E124" s="166" t="s">
        <v>165</v>
      </c>
      <c r="F124" s="149" t="s">
        <v>166</v>
      </c>
      <c r="G124" s="118"/>
      <c r="H124" s="118"/>
      <c r="I124" s="118"/>
      <c r="J124" s="138"/>
      <c r="K124" s="138"/>
      <c r="L124" s="138"/>
    </row>
    <row r="125">
      <c r="A125" s="146" t="s">
        <v>159</v>
      </c>
      <c r="B125" s="154">
        <f>10079</f>
        <v>10079</v>
      </c>
      <c r="C125" s="155">
        <f>16*B125</f>
        <v>161264</v>
      </c>
      <c r="D125" s="155">
        <f>B125*16</f>
        <v>161264</v>
      </c>
      <c r="F125" s="138"/>
      <c r="G125" s="155"/>
      <c r="H125" s="155"/>
      <c r="I125" s="154"/>
      <c r="J125" s="166"/>
      <c r="K125" s="166"/>
      <c r="L125" s="166"/>
    </row>
    <row r="126">
      <c r="A126" s="146" t="s">
        <v>160</v>
      </c>
      <c r="B126" s="155">
        <f>22379</f>
        <v>22379</v>
      </c>
      <c r="C126" s="155">
        <f>24*B126</f>
        <v>537096</v>
      </c>
      <c r="D126" s="155">
        <f>B126*8</f>
        <v>179032</v>
      </c>
      <c r="E126" s="138"/>
      <c r="F126" s="138"/>
      <c r="G126" s="155"/>
      <c r="H126" s="155"/>
      <c r="I126" s="154"/>
      <c r="J126" s="197"/>
      <c r="K126" s="197"/>
      <c r="L126" s="198"/>
      <c r="M126" s="199"/>
    </row>
    <row r="127">
      <c r="A127" s="146" t="s">
        <v>167</v>
      </c>
      <c r="B127" s="155">
        <f t="shared" ref="B127:D127" si="48">B125+B126</f>
        <v>32458</v>
      </c>
      <c r="C127" s="155">
        <f t="shared" si="48"/>
        <v>698360</v>
      </c>
      <c r="D127" s="155">
        <f t="shared" si="48"/>
        <v>340296</v>
      </c>
      <c r="E127" s="155"/>
      <c r="F127" s="166"/>
      <c r="G127" s="155"/>
      <c r="H127" s="155"/>
      <c r="I127" s="155"/>
      <c r="J127" s="138"/>
      <c r="K127" s="138"/>
      <c r="L127" s="138"/>
    </row>
    <row r="128">
      <c r="A128" s="146" t="s">
        <v>168</v>
      </c>
      <c r="B128" s="155">
        <f>D128/4</f>
        <v>42537</v>
      </c>
      <c r="C128" s="155">
        <f>B128*28</f>
        <v>1191036</v>
      </c>
      <c r="D128" s="155">
        <f>D127/2</f>
        <v>170148</v>
      </c>
      <c r="E128" s="155">
        <f>C128*($H$2*$D$3)*F128</f>
        <v>2501.1756</v>
      </c>
      <c r="F128" s="166">
        <v>1.0</v>
      </c>
      <c r="G128" s="155"/>
      <c r="H128" s="155"/>
      <c r="I128" s="155"/>
      <c r="J128" s="138"/>
      <c r="K128" s="138"/>
      <c r="L128" s="138"/>
    </row>
    <row r="129">
      <c r="A129" s="146" t="s">
        <v>161</v>
      </c>
      <c r="B129" s="155">
        <f t="shared" ref="B129:D129" si="49">SUM(B127:B128)</f>
        <v>74995</v>
      </c>
      <c r="C129" s="196">
        <f t="shared" si="49"/>
        <v>1889396</v>
      </c>
      <c r="D129" s="155">
        <f t="shared" si="49"/>
        <v>510444</v>
      </c>
      <c r="E129" s="195">
        <f>E128</f>
        <v>2501.1756</v>
      </c>
      <c r="F129" s="138"/>
      <c r="G129" s="155"/>
      <c r="H129" s="155"/>
      <c r="I129" s="155"/>
      <c r="J129" s="138"/>
      <c r="K129" s="138"/>
      <c r="L129" s="138"/>
    </row>
    <row r="130">
      <c r="A130" s="118"/>
      <c r="B130" s="155"/>
      <c r="C130" s="155"/>
      <c r="D130" s="155"/>
      <c r="E130" s="155"/>
      <c r="F130" s="155"/>
      <c r="G130" s="155"/>
      <c r="H130" s="155"/>
      <c r="I130" s="155"/>
      <c r="J130" s="138"/>
      <c r="K130" s="138"/>
      <c r="L130" s="138"/>
    </row>
    <row r="131">
      <c r="A131" s="92" t="s">
        <v>169</v>
      </c>
      <c r="B131" s="155"/>
      <c r="C131" s="155"/>
      <c r="D131" s="155"/>
      <c r="E131" s="155"/>
      <c r="F131" s="138"/>
      <c r="G131" s="169"/>
      <c r="H131" s="169"/>
      <c r="I131" s="155"/>
      <c r="J131" s="138"/>
      <c r="K131" s="138"/>
      <c r="L131" s="138"/>
    </row>
    <row r="132">
      <c r="A132" s="139" t="s">
        <v>170</v>
      </c>
      <c r="B132" s="155"/>
      <c r="C132" s="155"/>
      <c r="D132" s="155"/>
      <c r="E132" s="83"/>
      <c r="F132" s="155"/>
      <c r="G132" s="155"/>
      <c r="H132" s="155"/>
      <c r="I132" s="155"/>
      <c r="J132" s="118"/>
      <c r="K132" s="138"/>
      <c r="L132" s="138"/>
    </row>
    <row r="133">
      <c r="A133" s="118"/>
      <c r="B133" s="170" t="s">
        <v>120</v>
      </c>
      <c r="C133" s="97" t="s">
        <v>121</v>
      </c>
      <c r="D133" s="170" t="s">
        <v>122</v>
      </c>
      <c r="E133" s="171" t="s">
        <v>171</v>
      </c>
      <c r="F133" s="172" t="s">
        <v>124</v>
      </c>
      <c r="G133" s="152" t="s">
        <v>172</v>
      </c>
      <c r="H133" s="152" t="s">
        <v>173</v>
      </c>
      <c r="I133" s="173" t="s">
        <v>174</v>
      </c>
      <c r="J133" s="152" t="s">
        <v>175</v>
      </c>
      <c r="K133" s="174" t="s">
        <v>176</v>
      </c>
      <c r="L133" s="170" t="s">
        <v>120</v>
      </c>
      <c r="M133" s="152" t="s">
        <v>177</v>
      </c>
    </row>
    <row r="134">
      <c r="A134" s="146" t="s">
        <v>159</v>
      </c>
      <c r="B134" s="175" t="str">
        <f t="shared" ref="B134:B137" si="50">FORMULATEXT(C134)</f>
        <v>=(G134)/M134</v>
      </c>
      <c r="C134" s="176">
        <f t="shared" ref="C134:C137" si="51">(G134)/M134</f>
        <v>1.256711945</v>
      </c>
      <c r="D134" s="177">
        <f>1.6/17.6</f>
        <v>0.09090909091</v>
      </c>
      <c r="E134" s="113">
        <f>(I134+H134)/(16+1.6)</f>
        <v>0.03770135835</v>
      </c>
      <c r="F134" s="178" t="s">
        <v>128</v>
      </c>
      <c r="G134" s="179">
        <f t="shared" ref="G134:G137" si="52">H134+I134</f>
        <v>0.663543907</v>
      </c>
      <c r="H134" s="179">
        <f>E129/B36</f>
        <v>0.07705883295</v>
      </c>
      <c r="I134" s="180">
        <f>J134*(16+1.6)</f>
        <v>0.5864850741</v>
      </c>
      <c r="J134" s="181">
        <f t="shared" ref="J134:J137" si="53">$H$2*K134</f>
        <v>0.03332301557</v>
      </c>
      <c r="K134" s="182">
        <f>(16+16*$B$3+1.6*$I$18)/(16+1.6)</f>
        <v>1.110767186</v>
      </c>
      <c r="L134" s="104" t="str">
        <f t="shared" ref="L134:L137" si="54">FORMULATEXT(K134)</f>
        <v>=(16+16*$B$3+1.6*$I$17)/(16+1.6)</v>
      </c>
      <c r="M134" s="183">
        <f>(16+1.6)*$H$2</f>
        <v>0.528</v>
      </c>
    </row>
    <row r="135">
      <c r="A135" s="146" t="s">
        <v>160</v>
      </c>
      <c r="B135" s="175" t="str">
        <f t="shared" si="50"/>
        <v>=(G135)/M135</v>
      </c>
      <c r="C135" s="111">
        <f t="shared" si="51"/>
        <v>1.52816168</v>
      </c>
      <c r="D135" s="147">
        <f>2.4/8</f>
        <v>0.3</v>
      </c>
      <c r="E135" s="113">
        <f t="shared" ref="E135:E137" si="55">$H$2*C135</f>
        <v>0.04584485039</v>
      </c>
      <c r="F135" s="178" t="s">
        <v>128</v>
      </c>
      <c r="G135" s="184">
        <f t="shared" si="52"/>
        <v>0.4767864441</v>
      </c>
      <c r="H135" s="184">
        <f t="shared" ref="H135:H137" si="56">H134</f>
        <v>0.07705883295</v>
      </c>
      <c r="I135" s="185">
        <f>(8+2.4)*J135</f>
        <v>0.3997276111</v>
      </c>
      <c r="J135" s="186">
        <f t="shared" si="53"/>
        <v>0.03843534722</v>
      </c>
      <c r="K135" s="187">
        <f>(8+24*$B$3+2.4*$I$18)/(8+2.4)</f>
        <v>1.281178241</v>
      </c>
      <c r="L135" s="110" t="str">
        <f t="shared" si="54"/>
        <v>=(8+24*$B$3+2.4*$I$17)/(8+2.4)</v>
      </c>
      <c r="M135" s="188">
        <f>(8+2.4)*$H$2</f>
        <v>0.312</v>
      </c>
    </row>
    <row r="136">
      <c r="A136" s="146" t="s">
        <v>178</v>
      </c>
      <c r="B136" s="175" t="str">
        <f t="shared" si="50"/>
        <v>=(G136)/M136</v>
      </c>
      <c r="C136" s="111">
        <f t="shared" si="51"/>
        <v>2.287031574</v>
      </c>
      <c r="D136" s="147">
        <f>2.8/6.8</f>
        <v>0.4117647059</v>
      </c>
      <c r="E136" s="113">
        <f t="shared" si="55"/>
        <v>0.06861094722</v>
      </c>
      <c r="F136" s="178" t="s">
        <v>128</v>
      </c>
      <c r="G136" s="184">
        <f t="shared" si="52"/>
        <v>0.4665544411</v>
      </c>
      <c r="H136" s="184">
        <f t="shared" si="56"/>
        <v>0.07705883295</v>
      </c>
      <c r="I136" s="185">
        <f>(4+2.8)*J136</f>
        <v>0.3894956082</v>
      </c>
      <c r="J136" s="186">
        <f t="shared" si="53"/>
        <v>0.05727876591</v>
      </c>
      <c r="K136" s="111">
        <f>(4+28*$B$3*2.8*$I$18)/(4+2.8)</f>
        <v>1.909292197</v>
      </c>
      <c r="L136" s="110" t="str">
        <f t="shared" si="54"/>
        <v>=(4+28*$B$3*2.8*$I$17)/(4+2.8)</v>
      </c>
      <c r="M136" s="188">
        <f>(4+2.8)*$H$2</f>
        <v>0.204</v>
      </c>
    </row>
    <row r="137">
      <c r="A137" s="146" t="s">
        <v>179</v>
      </c>
      <c r="B137" s="129" t="str">
        <f t="shared" si="50"/>
        <v>=(G137)/M137</v>
      </c>
      <c r="C137" s="130">
        <f t="shared" si="51"/>
        <v>2.244788979</v>
      </c>
      <c r="D137" s="131">
        <f>3/5</f>
        <v>0.6</v>
      </c>
      <c r="E137" s="132">
        <f t="shared" si="55"/>
        <v>0.06734366937</v>
      </c>
      <c r="F137" s="189" t="s">
        <v>128</v>
      </c>
      <c r="G137" s="190">
        <f t="shared" si="52"/>
        <v>0.3367183468</v>
      </c>
      <c r="H137" s="190">
        <f t="shared" si="56"/>
        <v>0.07705883295</v>
      </c>
      <c r="I137" s="191">
        <f>(2+3)*J137</f>
        <v>0.2596595139</v>
      </c>
      <c r="J137" s="192">
        <f t="shared" si="53"/>
        <v>0.05193190278</v>
      </c>
      <c r="K137" s="193">
        <f>(2+30*$B$3+3*$I$18)/(2+3)</f>
        <v>1.731063426</v>
      </c>
      <c r="L137" s="129" t="str">
        <f t="shared" si="54"/>
        <v>=(2+30*$B$3+3*$I$17)/(2+3)</v>
      </c>
      <c r="M137" s="194">
        <f>(2+3)*$H$2</f>
        <v>0.15</v>
      </c>
    </row>
    <row r="138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38"/>
      <c r="L138" s="87"/>
    </row>
    <row r="139">
      <c r="A139" s="165"/>
      <c r="B139" s="118"/>
      <c r="C139" s="118"/>
      <c r="D139" s="118"/>
      <c r="E139" s="118"/>
      <c r="F139" s="118"/>
      <c r="G139" s="118"/>
      <c r="H139" s="118"/>
      <c r="I139" s="118"/>
      <c r="J139" s="118"/>
      <c r="K139" s="138"/>
      <c r="L139" s="138"/>
    </row>
    <row r="140">
      <c r="A140" s="165" t="s">
        <v>69</v>
      </c>
      <c r="B140" s="155"/>
      <c r="C140" s="155"/>
      <c r="D140" s="155"/>
      <c r="E140" s="146"/>
      <c r="F140" s="91"/>
      <c r="G140" s="151"/>
      <c r="H140" s="151"/>
      <c r="I140" s="92"/>
      <c r="J140" s="138"/>
      <c r="K140" s="138"/>
      <c r="L140" s="138"/>
    </row>
    <row r="142">
      <c r="A142" s="152"/>
      <c r="B142" s="153" t="s">
        <v>163</v>
      </c>
      <c r="C142" s="153" t="s">
        <v>157</v>
      </c>
      <c r="D142" s="153" t="s">
        <v>164</v>
      </c>
      <c r="E142" s="166" t="s">
        <v>165</v>
      </c>
      <c r="F142" s="149" t="s">
        <v>166</v>
      </c>
      <c r="G142" s="138"/>
      <c r="H142" s="138"/>
      <c r="I142" s="138"/>
      <c r="J142" s="138"/>
      <c r="K142" s="138"/>
      <c r="L142" s="138"/>
    </row>
    <row r="143">
      <c r="A143" s="146" t="s">
        <v>159</v>
      </c>
      <c r="B143" s="154">
        <f>10079</f>
        <v>10079</v>
      </c>
      <c r="C143" s="155">
        <f>16*B143</f>
        <v>161264</v>
      </c>
      <c r="D143" s="155">
        <f>B143*16</f>
        <v>161264</v>
      </c>
      <c r="F143" s="138"/>
      <c r="G143" s="138"/>
      <c r="H143" s="138"/>
      <c r="I143" s="138"/>
      <c r="J143" s="138"/>
      <c r="K143" s="138"/>
      <c r="L143" s="138"/>
    </row>
    <row r="144">
      <c r="A144" s="146" t="s">
        <v>160</v>
      </c>
      <c r="B144" s="155">
        <f>22379</f>
        <v>22379</v>
      </c>
      <c r="C144" s="155">
        <f>24*B144</f>
        <v>537096</v>
      </c>
      <c r="D144" s="155">
        <f>B144*8</f>
        <v>179032</v>
      </c>
      <c r="E144" s="138"/>
      <c r="F144" s="138"/>
      <c r="G144" s="138"/>
      <c r="H144" s="138"/>
      <c r="I144" s="138"/>
      <c r="J144" s="138"/>
      <c r="K144" s="138"/>
      <c r="L144" s="138"/>
    </row>
    <row r="145">
      <c r="A145" s="146" t="s">
        <v>167</v>
      </c>
      <c r="B145" s="155">
        <f t="shared" ref="B145:D145" si="57">B143+B144</f>
        <v>32458</v>
      </c>
      <c r="C145" s="155">
        <f t="shared" si="57"/>
        <v>698360</v>
      </c>
      <c r="D145" s="155">
        <f t="shared" si="57"/>
        <v>340296</v>
      </c>
      <c r="E145" s="155"/>
      <c r="F145" s="166"/>
      <c r="G145" s="138"/>
      <c r="H145" s="138"/>
      <c r="I145" s="138"/>
      <c r="J145" s="138"/>
      <c r="K145" s="138"/>
      <c r="L145" s="138"/>
    </row>
    <row r="146">
      <c r="A146" s="146" t="s">
        <v>168</v>
      </c>
      <c r="B146" s="155">
        <f>D146/4</f>
        <v>85074</v>
      </c>
      <c r="C146" s="155">
        <f>B146*28</f>
        <v>2382072</v>
      </c>
      <c r="D146" s="155">
        <f>D145</f>
        <v>340296</v>
      </c>
      <c r="E146" s="155">
        <f>C146*($H$2*$D$3)*F146</f>
        <v>5002.3512</v>
      </c>
      <c r="F146" s="166">
        <v>1.0</v>
      </c>
      <c r="G146" s="138"/>
      <c r="H146" s="138"/>
      <c r="I146" s="138"/>
      <c r="J146" s="138"/>
      <c r="K146" s="138"/>
      <c r="L146" s="138"/>
    </row>
    <row r="147">
      <c r="A147" s="146" t="s">
        <v>161</v>
      </c>
      <c r="B147" s="155">
        <f t="shared" ref="B147:D147" si="58">SUM(B145:B146)</f>
        <v>117532</v>
      </c>
      <c r="C147" s="196">
        <f t="shared" si="58"/>
        <v>3080432</v>
      </c>
      <c r="D147" s="155">
        <f t="shared" si="58"/>
        <v>680592</v>
      </c>
      <c r="E147" s="195">
        <f>E146</f>
        <v>5002.3512</v>
      </c>
      <c r="F147" s="138"/>
      <c r="G147" s="138"/>
      <c r="H147" s="138"/>
      <c r="I147" s="138"/>
      <c r="J147" s="138"/>
      <c r="K147" s="138"/>
      <c r="L147" s="138"/>
    </row>
    <row r="148">
      <c r="A148" s="138"/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8"/>
    </row>
    <row r="149">
      <c r="A149" s="92" t="s">
        <v>169</v>
      </c>
      <c r="B149" s="155"/>
      <c r="C149" s="155"/>
      <c r="D149" s="155"/>
      <c r="E149" s="155"/>
      <c r="F149" s="138"/>
      <c r="G149" s="169"/>
      <c r="H149" s="169"/>
      <c r="I149" s="155"/>
      <c r="J149" s="138"/>
      <c r="K149" s="138"/>
      <c r="L149" s="138"/>
    </row>
    <row r="150">
      <c r="A150" s="139" t="s">
        <v>170</v>
      </c>
      <c r="B150" s="155"/>
      <c r="C150" s="155"/>
      <c r="D150" s="155"/>
      <c r="E150" s="83"/>
      <c r="F150" s="155"/>
      <c r="G150" s="155"/>
      <c r="H150" s="155"/>
      <c r="I150" s="155"/>
      <c r="J150" s="118"/>
      <c r="K150" s="138"/>
      <c r="L150" s="138"/>
    </row>
    <row r="151">
      <c r="A151" s="118"/>
      <c r="B151" s="170" t="s">
        <v>120</v>
      </c>
      <c r="C151" s="97" t="s">
        <v>121</v>
      </c>
      <c r="D151" s="170" t="s">
        <v>122</v>
      </c>
      <c r="E151" s="171" t="s">
        <v>171</v>
      </c>
      <c r="F151" s="172" t="s">
        <v>124</v>
      </c>
      <c r="G151" s="152" t="s">
        <v>172</v>
      </c>
      <c r="H151" s="152" t="s">
        <v>173</v>
      </c>
      <c r="I151" s="173" t="s">
        <v>174</v>
      </c>
      <c r="J151" s="152" t="s">
        <v>175</v>
      </c>
      <c r="K151" s="174" t="s">
        <v>176</v>
      </c>
      <c r="L151" s="170" t="s">
        <v>120</v>
      </c>
      <c r="M151" s="152" t="s">
        <v>177</v>
      </c>
    </row>
    <row r="152">
      <c r="A152" s="146" t="s">
        <v>159</v>
      </c>
      <c r="B152" s="175" t="str">
        <f t="shared" ref="B152:B155" si="59">FORMULATEXT(C152)</f>
        <v>=(G152)/M152</v>
      </c>
      <c r="C152" s="176">
        <f t="shared" ref="C152:C155" si="60">(G152)/M152</f>
        <v>1.402656705</v>
      </c>
      <c r="D152" s="177">
        <f>1.6/17.6</f>
        <v>0.09090909091</v>
      </c>
      <c r="E152" s="113">
        <f>(I152+H152)/(16+1.6)</f>
        <v>0.04207970114</v>
      </c>
      <c r="F152" s="178" t="s">
        <v>128</v>
      </c>
      <c r="G152" s="179">
        <f t="shared" ref="G152:G155" si="61">H152+I152</f>
        <v>0.74060274</v>
      </c>
      <c r="H152" s="179">
        <f>E147/B145</f>
        <v>0.1541176659</v>
      </c>
      <c r="I152" s="180">
        <f>J152*(16+1.6)</f>
        <v>0.5864850741</v>
      </c>
      <c r="J152" s="181">
        <f t="shared" ref="J152:J155" si="62">$H$2*K152</f>
        <v>0.03332301557</v>
      </c>
      <c r="K152" s="182">
        <f>(16+16*$B$3+1.6*$I$18)/(16+1.6)</f>
        <v>1.110767186</v>
      </c>
      <c r="L152" s="104" t="str">
        <f t="shared" ref="L152:L155" si="63">FORMULATEXT(K152)</f>
        <v>=(16+16*$B$3+1.6*$I$17)/(16+1.6)</v>
      </c>
      <c r="M152" s="183">
        <f>(16+1.6)*$H$2</f>
        <v>0.528</v>
      </c>
    </row>
    <row r="153">
      <c r="A153" s="146" t="s">
        <v>160</v>
      </c>
      <c r="B153" s="175" t="str">
        <f t="shared" si="59"/>
        <v>=(G153)/M153</v>
      </c>
      <c r="C153" s="111">
        <f t="shared" si="60"/>
        <v>1.775145119</v>
      </c>
      <c r="D153" s="147">
        <f>2.4/8</f>
        <v>0.3</v>
      </c>
      <c r="E153" s="113">
        <f t="shared" ref="E153:E155" si="64">$H$2*C153</f>
        <v>0.05325435356</v>
      </c>
      <c r="F153" s="178" t="s">
        <v>128</v>
      </c>
      <c r="G153" s="184">
        <f t="shared" si="61"/>
        <v>0.553845277</v>
      </c>
      <c r="H153" s="184">
        <f t="shared" ref="H153:H155" si="65">H152</f>
        <v>0.1541176659</v>
      </c>
      <c r="I153" s="185">
        <f>(8+2.4)*J153</f>
        <v>0.3997276111</v>
      </c>
      <c r="J153" s="186">
        <f t="shared" si="62"/>
        <v>0.03843534722</v>
      </c>
      <c r="K153" s="187">
        <f>(8+24*$B$3+2.4*$I$18)/(8+2.4)</f>
        <v>1.281178241</v>
      </c>
      <c r="L153" s="110" t="str">
        <f t="shared" si="63"/>
        <v>=(8+24*$B$3+2.4*$I$17)/(8+2.4)</v>
      </c>
      <c r="M153" s="188">
        <f>(8+2.4)*$H$2</f>
        <v>0.312</v>
      </c>
    </row>
    <row r="154">
      <c r="A154" s="146" t="s">
        <v>178</v>
      </c>
      <c r="B154" s="175" t="str">
        <f t="shared" si="59"/>
        <v>=(G154)/M154</v>
      </c>
      <c r="C154" s="111">
        <f t="shared" si="60"/>
        <v>2.664770951</v>
      </c>
      <c r="D154" s="147">
        <f>2.8/6.8</f>
        <v>0.4117647059</v>
      </c>
      <c r="E154" s="113">
        <f t="shared" si="64"/>
        <v>0.07994312854</v>
      </c>
      <c r="F154" s="178" t="s">
        <v>128</v>
      </c>
      <c r="G154" s="184">
        <f t="shared" si="61"/>
        <v>0.5436132741</v>
      </c>
      <c r="H154" s="184">
        <f t="shared" si="65"/>
        <v>0.1541176659</v>
      </c>
      <c r="I154" s="185">
        <f>(4+2.8)*J154</f>
        <v>0.3894956082</v>
      </c>
      <c r="J154" s="186">
        <f t="shared" si="62"/>
        <v>0.05727876591</v>
      </c>
      <c r="K154" s="111">
        <f>(4+28*$B$3*2.8*$I$18)/(4+2.8)</f>
        <v>1.909292197</v>
      </c>
      <c r="L154" s="110" t="str">
        <f t="shared" si="63"/>
        <v>=(4+28*$B$3*2.8*$I$17)/(4+2.8)</v>
      </c>
      <c r="M154" s="188">
        <f>(4+2.8)*$H$2</f>
        <v>0.204</v>
      </c>
    </row>
    <row r="155">
      <c r="A155" s="146" t="s">
        <v>179</v>
      </c>
      <c r="B155" s="129" t="str">
        <f t="shared" si="59"/>
        <v>=(G155)/M155</v>
      </c>
      <c r="C155" s="130">
        <f t="shared" si="60"/>
        <v>2.758514532</v>
      </c>
      <c r="D155" s="131">
        <f>3/5</f>
        <v>0.6</v>
      </c>
      <c r="E155" s="132">
        <f t="shared" si="64"/>
        <v>0.08275543596</v>
      </c>
      <c r="F155" s="189" t="s">
        <v>128</v>
      </c>
      <c r="G155" s="190">
        <f t="shared" si="61"/>
        <v>0.4137771798</v>
      </c>
      <c r="H155" s="190">
        <f t="shared" si="65"/>
        <v>0.1541176659</v>
      </c>
      <c r="I155" s="191">
        <f>(2+3)*J155</f>
        <v>0.2596595139</v>
      </c>
      <c r="J155" s="192">
        <f t="shared" si="62"/>
        <v>0.05193190278</v>
      </c>
      <c r="K155" s="193">
        <f>(2+30*$B$3+3*$I$18)/(2+3)</f>
        <v>1.731063426</v>
      </c>
      <c r="L155" s="129" t="str">
        <f t="shared" si="63"/>
        <v>=(2+30*$B$3+3*$I$17)/(2+3)</v>
      </c>
      <c r="M155" s="194">
        <f>(2+3)*$H$2</f>
        <v>0.15</v>
      </c>
    </row>
    <row r="158">
      <c r="A158" s="165" t="s">
        <v>70</v>
      </c>
      <c r="B158" s="155"/>
      <c r="C158" s="155"/>
      <c r="D158" s="155"/>
      <c r="E158" s="146"/>
      <c r="F158" s="91"/>
      <c r="G158" s="151"/>
      <c r="H158" s="151"/>
      <c r="I158" s="92"/>
      <c r="J158" s="138"/>
      <c r="K158" s="138"/>
      <c r="L158" s="138"/>
    </row>
    <row r="160">
      <c r="A160" s="152"/>
      <c r="B160" s="153" t="s">
        <v>163</v>
      </c>
      <c r="C160" s="153" t="s">
        <v>157</v>
      </c>
      <c r="D160" s="153" t="s">
        <v>164</v>
      </c>
      <c r="E160" s="166" t="s">
        <v>165</v>
      </c>
      <c r="F160" s="149" t="s">
        <v>166</v>
      </c>
      <c r="G160" s="138"/>
      <c r="H160" s="138"/>
      <c r="I160" s="138"/>
      <c r="J160" s="138"/>
      <c r="K160" s="138"/>
      <c r="L160" s="138"/>
    </row>
    <row r="161">
      <c r="A161" s="146" t="s">
        <v>159</v>
      </c>
      <c r="B161" s="154">
        <f>10079</f>
        <v>10079</v>
      </c>
      <c r="C161" s="155">
        <f>16*B161</f>
        <v>161264</v>
      </c>
      <c r="D161" s="155">
        <f>B161*16</f>
        <v>161264</v>
      </c>
      <c r="F161" s="138"/>
      <c r="G161" s="138"/>
      <c r="H161" s="138"/>
      <c r="I161" s="138"/>
      <c r="J161" s="138"/>
      <c r="K161" s="138"/>
      <c r="L161" s="138"/>
    </row>
    <row r="162">
      <c r="A162" s="146" t="s">
        <v>160</v>
      </c>
      <c r="B162" s="155">
        <f>22379</f>
        <v>22379</v>
      </c>
      <c r="C162" s="155">
        <f>24*B162</f>
        <v>537096</v>
      </c>
      <c r="D162" s="155">
        <f>B162*8</f>
        <v>179032</v>
      </c>
      <c r="E162" s="138"/>
      <c r="F162" s="138"/>
      <c r="G162" s="138"/>
      <c r="H162" s="138"/>
      <c r="I162" s="138"/>
      <c r="J162" s="138"/>
      <c r="K162" s="138"/>
      <c r="L162" s="138"/>
    </row>
    <row r="163">
      <c r="A163" s="146" t="s">
        <v>167</v>
      </c>
      <c r="B163" s="155">
        <f t="shared" ref="B163:D163" si="66">B161+B162</f>
        <v>32458</v>
      </c>
      <c r="C163" s="155">
        <f t="shared" si="66"/>
        <v>698360</v>
      </c>
      <c r="D163" s="155">
        <f t="shared" si="66"/>
        <v>340296</v>
      </c>
      <c r="E163" s="155"/>
      <c r="F163" s="166"/>
      <c r="G163" s="138"/>
      <c r="H163" s="138"/>
      <c r="I163" s="138"/>
      <c r="J163" s="138"/>
      <c r="K163" s="138"/>
      <c r="L163" s="138"/>
    </row>
    <row r="164">
      <c r="A164" s="146" t="s">
        <v>168</v>
      </c>
      <c r="B164" s="155">
        <f>D164/4</f>
        <v>170148</v>
      </c>
      <c r="C164" s="155">
        <f>B164*28</f>
        <v>4764144</v>
      </c>
      <c r="D164" s="155">
        <f>D163*2</f>
        <v>680592</v>
      </c>
      <c r="E164" s="155">
        <f>C164*($H$2*$D$3)*F164</f>
        <v>10004.7024</v>
      </c>
      <c r="F164" s="166">
        <v>1.0</v>
      </c>
      <c r="G164" s="138"/>
      <c r="H164" s="138"/>
      <c r="I164" s="138"/>
      <c r="J164" s="138"/>
      <c r="K164" s="138"/>
      <c r="L164" s="138"/>
    </row>
    <row r="165">
      <c r="A165" s="146" t="s">
        <v>161</v>
      </c>
      <c r="B165" s="155">
        <f t="shared" ref="B165:D165" si="67">SUM(B163:B164)</f>
        <v>202606</v>
      </c>
      <c r="C165" s="196">
        <f t="shared" si="67"/>
        <v>5462504</v>
      </c>
      <c r="D165" s="155">
        <f t="shared" si="67"/>
        <v>1020888</v>
      </c>
      <c r="E165" s="195">
        <f>E164</f>
        <v>10004.7024</v>
      </c>
      <c r="F165" s="138"/>
      <c r="G165" s="138"/>
      <c r="H165" s="138"/>
      <c r="I165" s="138"/>
      <c r="J165" s="138"/>
      <c r="K165" s="138"/>
      <c r="L165" s="138"/>
    </row>
    <row r="166">
      <c r="A166" s="138"/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8"/>
    </row>
    <row r="167">
      <c r="A167" s="92" t="s">
        <v>169</v>
      </c>
      <c r="B167" s="155"/>
      <c r="C167" s="155"/>
      <c r="D167" s="155"/>
      <c r="E167" s="155"/>
      <c r="F167" s="138"/>
      <c r="G167" s="169"/>
      <c r="H167" s="169"/>
      <c r="I167" s="155"/>
      <c r="J167" s="138"/>
      <c r="K167" s="138"/>
      <c r="L167" s="138"/>
    </row>
    <row r="168">
      <c r="A168" s="139" t="s">
        <v>170</v>
      </c>
      <c r="B168" s="155"/>
      <c r="C168" s="155"/>
      <c r="D168" s="155"/>
      <c r="E168" s="83"/>
      <c r="F168" s="155"/>
      <c r="G168" s="155"/>
      <c r="H168" s="155"/>
      <c r="I168" s="155"/>
      <c r="J168" s="118"/>
      <c r="K168" s="138"/>
      <c r="L168" s="138"/>
    </row>
    <row r="169">
      <c r="A169" s="118"/>
      <c r="B169" s="170" t="s">
        <v>120</v>
      </c>
      <c r="C169" s="97" t="s">
        <v>121</v>
      </c>
      <c r="D169" s="170" t="s">
        <v>122</v>
      </c>
      <c r="E169" s="171" t="s">
        <v>171</v>
      </c>
      <c r="F169" s="172" t="s">
        <v>124</v>
      </c>
      <c r="G169" s="152" t="s">
        <v>172</v>
      </c>
      <c r="H169" s="152" t="s">
        <v>173</v>
      </c>
      <c r="I169" s="173" t="s">
        <v>174</v>
      </c>
      <c r="J169" s="152" t="s">
        <v>175</v>
      </c>
      <c r="K169" s="174" t="s">
        <v>176</v>
      </c>
      <c r="L169" s="170" t="s">
        <v>120</v>
      </c>
      <c r="M169" s="152" t="s">
        <v>177</v>
      </c>
    </row>
    <row r="170">
      <c r="A170" s="146" t="s">
        <v>159</v>
      </c>
      <c r="B170" s="175" t="str">
        <f t="shared" ref="B170:B173" si="68">FORMULATEXT(C170)</f>
        <v>=(G170)/M170</v>
      </c>
      <c r="C170" s="176">
        <f t="shared" ref="C170:C173" si="69">(G170)/M170</f>
        <v>1.694546223</v>
      </c>
      <c r="D170" s="177">
        <f>1.6/17.6</f>
        <v>0.09090909091</v>
      </c>
      <c r="E170" s="113">
        <f>(I170+H170)/(16+1.6)</f>
        <v>0.0508363867</v>
      </c>
      <c r="F170" s="178" t="s">
        <v>128</v>
      </c>
      <c r="G170" s="179">
        <f t="shared" ref="G170:G173" si="70">H170+I170</f>
        <v>0.8947204059</v>
      </c>
      <c r="H170" s="179">
        <f>E165/B163</f>
        <v>0.3082353318</v>
      </c>
      <c r="I170" s="180">
        <f>J170*(16+1.6)</f>
        <v>0.5864850741</v>
      </c>
      <c r="J170" s="181">
        <f t="shared" ref="J170:J173" si="71">$H$2*K170</f>
        <v>0.03332301557</v>
      </c>
      <c r="K170" s="182">
        <f>(16+16*$B$3+1.6*$I$18)/(16+1.6)</f>
        <v>1.110767186</v>
      </c>
      <c r="L170" s="104" t="str">
        <f t="shared" ref="L170:L173" si="72">FORMULATEXT(K170)</f>
        <v>=(16+16*$B$3+1.6*$I$17)/(16+1.6)</v>
      </c>
      <c r="M170" s="183">
        <f>(16+1.6)*$H$2</f>
        <v>0.528</v>
      </c>
    </row>
    <row r="171">
      <c r="A171" s="146" t="s">
        <v>160</v>
      </c>
      <c r="B171" s="175" t="str">
        <f t="shared" si="68"/>
        <v>=(G171)/M171</v>
      </c>
      <c r="C171" s="111">
        <f t="shared" si="69"/>
        <v>2.269111997</v>
      </c>
      <c r="D171" s="147">
        <f>2.4/8</f>
        <v>0.3</v>
      </c>
      <c r="E171" s="113">
        <f t="shared" ref="E171:E173" si="73">$H$2*C171</f>
        <v>0.0680733599</v>
      </c>
      <c r="F171" s="178" t="s">
        <v>128</v>
      </c>
      <c r="G171" s="184">
        <f t="shared" si="70"/>
        <v>0.7079629429</v>
      </c>
      <c r="H171" s="184">
        <f t="shared" ref="H171:H173" si="74">H170</f>
        <v>0.3082353318</v>
      </c>
      <c r="I171" s="185">
        <f>(8+2.4)*J171</f>
        <v>0.3997276111</v>
      </c>
      <c r="J171" s="186">
        <f t="shared" si="71"/>
        <v>0.03843534722</v>
      </c>
      <c r="K171" s="187">
        <f>(8+24*$B$3+2.4*$I$18)/(8+2.4)</f>
        <v>1.281178241</v>
      </c>
      <c r="L171" s="110" t="str">
        <f t="shared" si="72"/>
        <v>=(8+24*$B$3+2.4*$I$17)/(8+2.4)</v>
      </c>
      <c r="M171" s="188">
        <f>(8+2.4)*$H$2</f>
        <v>0.312</v>
      </c>
    </row>
    <row r="172">
      <c r="A172" s="146" t="s">
        <v>178</v>
      </c>
      <c r="B172" s="175" t="str">
        <f t="shared" si="68"/>
        <v>=(G172)/M172</v>
      </c>
      <c r="C172" s="111">
        <f t="shared" si="69"/>
        <v>3.420249706</v>
      </c>
      <c r="D172" s="147">
        <f>2.8/6.8</f>
        <v>0.4117647059</v>
      </c>
      <c r="E172" s="113">
        <f t="shared" si="73"/>
        <v>0.1026074912</v>
      </c>
      <c r="F172" s="178" t="s">
        <v>128</v>
      </c>
      <c r="G172" s="184">
        <f t="shared" si="70"/>
        <v>0.69773094</v>
      </c>
      <c r="H172" s="184">
        <f t="shared" si="74"/>
        <v>0.3082353318</v>
      </c>
      <c r="I172" s="185">
        <f>(4+2.8)*J172</f>
        <v>0.3894956082</v>
      </c>
      <c r="J172" s="186">
        <f t="shared" si="71"/>
        <v>0.05727876591</v>
      </c>
      <c r="K172" s="111">
        <f>(4+28*$B$3*2.8*$I$18)/(4+2.8)</f>
        <v>1.909292197</v>
      </c>
      <c r="L172" s="110" t="str">
        <f t="shared" si="72"/>
        <v>=(4+28*$B$3*2.8*$I$17)/(4+2.8)</v>
      </c>
      <c r="M172" s="188">
        <f>(4+2.8)*$H$2</f>
        <v>0.204</v>
      </c>
    </row>
    <row r="173">
      <c r="A173" s="146" t="s">
        <v>179</v>
      </c>
      <c r="B173" s="129" t="str">
        <f t="shared" si="68"/>
        <v>=(G173)/M173</v>
      </c>
      <c r="C173" s="130">
        <f t="shared" si="69"/>
        <v>3.785965638</v>
      </c>
      <c r="D173" s="131">
        <f>3/5</f>
        <v>0.6</v>
      </c>
      <c r="E173" s="132">
        <f t="shared" si="73"/>
        <v>0.1135789691</v>
      </c>
      <c r="F173" s="189" t="s">
        <v>128</v>
      </c>
      <c r="G173" s="190">
        <f t="shared" si="70"/>
        <v>0.5678948457</v>
      </c>
      <c r="H173" s="190">
        <f t="shared" si="74"/>
        <v>0.3082353318</v>
      </c>
      <c r="I173" s="191">
        <f>(2+3)*J173</f>
        <v>0.2596595139</v>
      </c>
      <c r="J173" s="192">
        <f t="shared" si="71"/>
        <v>0.05193190278</v>
      </c>
      <c r="K173" s="193">
        <f>(2+30*$B$3+3*$I$18)/(2+3)</f>
        <v>1.731063426</v>
      </c>
      <c r="L173" s="129" t="str">
        <f t="shared" si="72"/>
        <v>=(2+30*$B$3+3*$I$17)/(2+3)</v>
      </c>
      <c r="M173" s="194">
        <f>(2+3)*$H$2</f>
        <v>0.15</v>
      </c>
    </row>
    <row r="176">
      <c r="A176" s="165" t="s">
        <v>72</v>
      </c>
      <c r="B176" s="155"/>
      <c r="C176" s="155"/>
      <c r="D176" s="155"/>
      <c r="E176" s="146"/>
      <c r="F176" s="91"/>
      <c r="G176" s="151"/>
      <c r="H176" s="151"/>
      <c r="I176" s="92"/>
      <c r="J176" s="138"/>
      <c r="K176" s="138"/>
      <c r="L176" s="138"/>
    </row>
    <row r="178">
      <c r="A178" s="152"/>
      <c r="B178" s="153" t="s">
        <v>163</v>
      </c>
      <c r="C178" s="153" t="s">
        <v>157</v>
      </c>
      <c r="D178" s="153" t="s">
        <v>164</v>
      </c>
      <c r="E178" s="166" t="s">
        <v>165</v>
      </c>
      <c r="F178" s="149" t="s">
        <v>166</v>
      </c>
      <c r="G178" s="138"/>
      <c r="H178" s="138"/>
      <c r="I178" s="138"/>
      <c r="J178" s="138"/>
      <c r="K178" s="138"/>
      <c r="L178" s="138"/>
    </row>
    <row r="179">
      <c r="A179" s="146" t="s">
        <v>159</v>
      </c>
      <c r="B179" s="154">
        <f>10079</f>
        <v>10079</v>
      </c>
      <c r="C179" s="155">
        <f>16*B179</f>
        <v>161264</v>
      </c>
      <c r="D179" s="155">
        <f>B179*16</f>
        <v>161264</v>
      </c>
      <c r="F179" s="138"/>
      <c r="G179" s="138"/>
      <c r="H179" s="166" t="s">
        <v>181</v>
      </c>
      <c r="I179" s="166" t="s">
        <v>182</v>
      </c>
      <c r="J179" s="166" t="s">
        <v>183</v>
      </c>
      <c r="K179" s="166" t="s">
        <v>184</v>
      </c>
      <c r="L179" s="166" t="s">
        <v>185</v>
      </c>
    </row>
    <row r="180">
      <c r="A180" s="146" t="s">
        <v>160</v>
      </c>
      <c r="B180" s="155">
        <f>22379</f>
        <v>22379</v>
      </c>
      <c r="C180" s="155">
        <f>24*B180</f>
        <v>537096</v>
      </c>
      <c r="D180" s="155">
        <f>B180*8</f>
        <v>179032</v>
      </c>
      <c r="E180" s="138"/>
      <c r="F180" s="138"/>
      <c r="G180" s="138"/>
      <c r="H180" s="154">
        <v>1.2E8</v>
      </c>
      <c r="I180" s="197">
        <v>0.66</v>
      </c>
      <c r="J180" s="197">
        <v>0.22</v>
      </c>
      <c r="K180" s="198">
        <f>H180*I180*J180</f>
        <v>17424000</v>
      </c>
      <c r="L180" s="199">
        <f>K180/32</f>
        <v>544500</v>
      </c>
    </row>
    <row r="181">
      <c r="A181" s="146" t="s">
        <v>167</v>
      </c>
      <c r="B181" s="155">
        <f t="shared" ref="B181:D181" si="75">B179+B180</f>
        <v>32458</v>
      </c>
      <c r="C181" s="155">
        <f t="shared" si="75"/>
        <v>698360</v>
      </c>
      <c r="D181" s="155">
        <f t="shared" si="75"/>
        <v>340296</v>
      </c>
      <c r="E181" s="155"/>
      <c r="F181" s="166"/>
      <c r="G181" s="138"/>
      <c r="H181" s="138"/>
      <c r="I181" s="138"/>
      <c r="J181" s="138"/>
      <c r="K181" s="138"/>
      <c r="L181" s="138"/>
    </row>
    <row r="182">
      <c r="A182" s="146" t="s">
        <v>168</v>
      </c>
      <c r="B182" s="155">
        <f>D182/4</f>
        <v>512042</v>
      </c>
      <c r="C182" s="155">
        <f>B182*28</f>
        <v>14337176</v>
      </c>
      <c r="D182" s="154">
        <v>2048168.0</v>
      </c>
      <c r="E182" s="155">
        <f>C182*($H$2*$D$3)*F182</f>
        <v>30108.0696</v>
      </c>
      <c r="F182" s="166">
        <v>1.0</v>
      </c>
      <c r="G182" s="138"/>
      <c r="H182" s="138"/>
      <c r="I182" s="138"/>
      <c r="J182" s="138"/>
      <c r="K182" s="138"/>
      <c r="L182" s="138"/>
    </row>
    <row r="183">
      <c r="A183" s="146" t="s">
        <v>161</v>
      </c>
      <c r="B183" s="155">
        <f t="shared" ref="B183:D183" si="76">SUM(B181:B182)</f>
        <v>544500</v>
      </c>
      <c r="C183" s="196">
        <f t="shared" si="76"/>
        <v>15035536</v>
      </c>
      <c r="D183" s="155">
        <f t="shared" si="76"/>
        <v>2388464</v>
      </c>
      <c r="E183" s="195">
        <f>E182</f>
        <v>30108.0696</v>
      </c>
      <c r="F183" s="138"/>
      <c r="G183" s="138"/>
      <c r="H183" s="138"/>
      <c r="I183" s="138"/>
      <c r="J183" s="138"/>
      <c r="K183" s="200">
        <f>D183+C183</f>
        <v>17424000</v>
      </c>
      <c r="L183" s="138"/>
    </row>
    <row r="184">
      <c r="A184" s="138"/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8"/>
    </row>
    <row r="185">
      <c r="A185" s="92" t="s">
        <v>169</v>
      </c>
      <c r="B185" s="155"/>
      <c r="C185" s="155"/>
      <c r="D185" s="155"/>
      <c r="E185" s="155"/>
      <c r="F185" s="138"/>
      <c r="G185" s="169"/>
      <c r="H185" s="169"/>
      <c r="I185" s="155"/>
      <c r="J185" s="138"/>
      <c r="K185" s="138"/>
      <c r="L185" s="138"/>
    </row>
    <row r="186">
      <c r="A186" s="139" t="s">
        <v>170</v>
      </c>
      <c r="B186" s="155"/>
      <c r="C186" s="155"/>
      <c r="D186" s="155"/>
      <c r="E186" s="83"/>
      <c r="F186" s="155"/>
      <c r="G186" s="155"/>
      <c r="H186" s="155"/>
      <c r="I186" s="155"/>
      <c r="J186" s="118"/>
      <c r="K186" s="138"/>
      <c r="L186" s="138"/>
    </row>
    <row r="187">
      <c r="A187" s="118"/>
      <c r="B187" s="170" t="s">
        <v>120</v>
      </c>
      <c r="C187" s="97" t="s">
        <v>121</v>
      </c>
      <c r="D187" s="170" t="s">
        <v>122</v>
      </c>
      <c r="E187" s="171" t="s">
        <v>171</v>
      </c>
      <c r="F187" s="172" t="s">
        <v>124</v>
      </c>
      <c r="G187" s="152" t="s">
        <v>172</v>
      </c>
      <c r="H187" s="152" t="s">
        <v>173</v>
      </c>
      <c r="I187" s="173" t="s">
        <v>174</v>
      </c>
      <c r="J187" s="152" t="s">
        <v>175</v>
      </c>
      <c r="K187" s="174" t="s">
        <v>176</v>
      </c>
      <c r="L187" s="170" t="s">
        <v>120</v>
      </c>
      <c r="M187" s="152" t="s">
        <v>177</v>
      </c>
    </row>
    <row r="188">
      <c r="A188" s="146" t="s">
        <v>159</v>
      </c>
      <c r="B188" s="175" t="str">
        <f t="shared" ref="B188:B191" si="77">FORMULATEXT(C188)</f>
        <v>=(G188)/M188</v>
      </c>
      <c r="C188" s="176">
        <f t="shared" ref="C188:C191" si="78">(G188)/M188</f>
        <v>2.867587048</v>
      </c>
      <c r="D188" s="177">
        <f>1.6/17.6</f>
        <v>0.09090909091</v>
      </c>
      <c r="E188" s="113">
        <f>(I188+H188)/(16+1.6)</f>
        <v>0.08602761144</v>
      </c>
      <c r="F188" s="178" t="s">
        <v>128</v>
      </c>
      <c r="G188" s="179">
        <f t="shared" ref="G188:G191" si="79">H188+I188</f>
        <v>1.514085961</v>
      </c>
      <c r="H188" s="179">
        <f>E183/B181</f>
        <v>0.9276008873</v>
      </c>
      <c r="I188" s="180">
        <f>J188*(16+1.6)</f>
        <v>0.5864850741</v>
      </c>
      <c r="J188" s="181">
        <f t="shared" ref="J188:J191" si="80">$H$2*K188</f>
        <v>0.03332301557</v>
      </c>
      <c r="K188" s="182">
        <f>(16+16*$B$3+1.6*$I$18)/(16+1.6)</f>
        <v>1.110767186</v>
      </c>
      <c r="L188" s="104" t="str">
        <f t="shared" ref="L188:L191" si="81">FORMULATEXT(K188)</f>
        <v>=(16+16*$B$3+1.6*$I$17)/(16+1.6)</v>
      </c>
      <c r="M188" s="183">
        <f>(16+1.6)*$H$2</f>
        <v>0.528</v>
      </c>
    </row>
    <row r="189">
      <c r="A189" s="146" t="s">
        <v>160</v>
      </c>
      <c r="B189" s="175" t="str">
        <f t="shared" si="77"/>
        <v>=(G189)/M189</v>
      </c>
      <c r="C189" s="111">
        <f t="shared" si="78"/>
        <v>4.254258008</v>
      </c>
      <c r="D189" s="147">
        <f>2.4/8</f>
        <v>0.3</v>
      </c>
      <c r="E189" s="113">
        <f t="shared" ref="E189:E191" si="82">$H$2*C189</f>
        <v>0.1276277402</v>
      </c>
      <c r="F189" s="178" t="s">
        <v>128</v>
      </c>
      <c r="G189" s="184">
        <f t="shared" si="79"/>
        <v>1.327328498</v>
      </c>
      <c r="H189" s="184">
        <f t="shared" ref="H189:H191" si="83">H188</f>
        <v>0.9276008873</v>
      </c>
      <c r="I189" s="185">
        <f>(8+2.4)*J189</f>
        <v>0.3997276111</v>
      </c>
      <c r="J189" s="186">
        <f t="shared" si="80"/>
        <v>0.03843534722</v>
      </c>
      <c r="K189" s="187">
        <f>(8+24*$B$3+2.4*$I$18)/(8+2.4)</f>
        <v>1.281178241</v>
      </c>
      <c r="L189" s="110" t="str">
        <f t="shared" si="81"/>
        <v>=(8+24*$B$3+2.4*$I$17)/(8+2.4)</v>
      </c>
      <c r="M189" s="188">
        <f>(8+2.4)*$H$2</f>
        <v>0.312</v>
      </c>
    </row>
    <row r="190">
      <c r="A190" s="146" t="s">
        <v>178</v>
      </c>
      <c r="B190" s="175" t="str">
        <f t="shared" si="77"/>
        <v>=(G190)/M190</v>
      </c>
      <c r="C190" s="111">
        <f t="shared" si="78"/>
        <v>6.45635537</v>
      </c>
      <c r="D190" s="147">
        <f>2.8/6.8</f>
        <v>0.4117647059</v>
      </c>
      <c r="E190" s="113">
        <f t="shared" si="82"/>
        <v>0.1936906611</v>
      </c>
      <c r="F190" s="178" t="s">
        <v>128</v>
      </c>
      <c r="G190" s="184">
        <f t="shared" si="79"/>
        <v>1.317096495</v>
      </c>
      <c r="H190" s="184">
        <f t="shared" si="83"/>
        <v>0.9276008873</v>
      </c>
      <c r="I190" s="185">
        <f>(4+2.8)*J190</f>
        <v>0.3894956082</v>
      </c>
      <c r="J190" s="186">
        <f t="shared" si="80"/>
        <v>0.05727876591</v>
      </c>
      <c r="K190" s="111">
        <f>(4+28*$B$3*2.8*$I$18)/(4+2.8)</f>
        <v>1.909292197</v>
      </c>
      <c r="L190" s="110" t="str">
        <f t="shared" si="81"/>
        <v>=(4+28*$B$3*2.8*$I$17)/(4+2.8)</v>
      </c>
      <c r="M190" s="188">
        <f>(4+2.8)*$H$2</f>
        <v>0.204</v>
      </c>
    </row>
    <row r="191">
      <c r="A191" s="146" t="s">
        <v>179</v>
      </c>
      <c r="B191" s="129" t="str">
        <f t="shared" si="77"/>
        <v>=(G191)/M191</v>
      </c>
      <c r="C191" s="130">
        <f t="shared" si="78"/>
        <v>7.915069341</v>
      </c>
      <c r="D191" s="131">
        <f>3/5</f>
        <v>0.6</v>
      </c>
      <c r="E191" s="132">
        <f t="shared" si="82"/>
        <v>0.2374520802</v>
      </c>
      <c r="F191" s="189" t="s">
        <v>128</v>
      </c>
      <c r="G191" s="190">
        <f t="shared" si="79"/>
        <v>1.187260401</v>
      </c>
      <c r="H191" s="190">
        <f t="shared" si="83"/>
        <v>0.9276008873</v>
      </c>
      <c r="I191" s="191">
        <f>(2+3)*J191</f>
        <v>0.2596595139</v>
      </c>
      <c r="J191" s="192">
        <f t="shared" si="80"/>
        <v>0.05193190278</v>
      </c>
      <c r="K191" s="193">
        <f>(2+30*$B$3+3*$I$18)/(2+3)</f>
        <v>1.731063426</v>
      </c>
      <c r="L191" s="129" t="str">
        <f t="shared" si="81"/>
        <v>=(2+30*$B$3+3*$I$17)/(2+3)</v>
      </c>
      <c r="M191" s="194">
        <f>(2+3)*$H$2</f>
        <v>0.15</v>
      </c>
    </row>
  </sheetData>
  <mergeCells count="2">
    <mergeCell ref="H8:I8"/>
    <mergeCell ref="G20:I20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4.71"/>
    <col customWidth="1" min="2" max="2" width="22.14"/>
    <col customWidth="1" min="3" max="3" width="28.0"/>
    <col customWidth="1" min="4" max="4" width="13.71"/>
    <col customWidth="1" min="5" max="5" width="8.14"/>
    <col customWidth="1" min="6" max="26" width="8.71"/>
  </cols>
  <sheetData>
    <row r="1" ht="14.25" customHeight="1">
      <c r="A1" s="201"/>
      <c r="B1" s="202" t="s">
        <v>186</v>
      </c>
    </row>
    <row r="2" ht="14.25" customHeight="1">
      <c r="A2" s="201"/>
      <c r="B2" s="203" t="s">
        <v>187</v>
      </c>
      <c r="C2" s="203" t="s">
        <v>188</v>
      </c>
      <c r="D2" s="203" t="s">
        <v>189</v>
      </c>
      <c r="G2" s="35" t="s">
        <v>190</v>
      </c>
    </row>
    <row r="3" ht="14.25" customHeight="1">
      <c r="A3" s="203" t="s">
        <v>191</v>
      </c>
      <c r="B3" s="204">
        <v>0.07</v>
      </c>
      <c r="C3" s="205">
        <f t="shared" ref="C3:D3" si="1">C5-C4</f>
        <v>0.05633399735</v>
      </c>
      <c r="D3" s="205">
        <f t="shared" si="1"/>
        <v>0.09</v>
      </c>
    </row>
    <row r="4" ht="14.25" customHeight="1">
      <c r="A4" s="203" t="s">
        <v>192</v>
      </c>
      <c r="B4" s="204">
        <v>0.07</v>
      </c>
      <c r="C4" s="205">
        <f>B30*C5</f>
        <v>0.08366600265</v>
      </c>
      <c r="D4" s="205">
        <f>D5*B29</f>
        <v>0.05</v>
      </c>
    </row>
    <row r="5" ht="14.25" customHeight="1">
      <c r="A5" s="203" t="s">
        <v>193</v>
      </c>
      <c r="B5" s="206">
        <f>B3+B4</f>
        <v>0.14</v>
      </c>
      <c r="C5" s="206">
        <v>0.14</v>
      </c>
      <c r="D5" s="206">
        <v>0.14</v>
      </c>
    </row>
    <row r="6" ht="14.25" customHeight="1">
      <c r="A6" s="201"/>
    </row>
    <row r="7" ht="14.25" customHeight="1">
      <c r="A7" s="201" t="s">
        <v>194</v>
      </c>
      <c r="B7" s="207">
        <v>0.03</v>
      </c>
    </row>
    <row r="8" ht="14.25" customHeight="1">
      <c r="A8" s="201"/>
      <c r="B8" s="206"/>
    </row>
    <row r="9" ht="14.25" customHeight="1">
      <c r="A9" s="201"/>
      <c r="B9" s="206" t="s">
        <v>195</v>
      </c>
      <c r="C9" s="208" t="s">
        <v>196</v>
      </c>
    </row>
    <row r="10" ht="14.25" customHeight="1">
      <c r="A10" s="201" t="s">
        <v>197</v>
      </c>
      <c r="B10" s="209">
        <v>24.0</v>
      </c>
      <c r="C10" s="208">
        <v>28.0</v>
      </c>
    </row>
    <row r="11" ht="14.25" customHeight="1">
      <c r="A11" s="201" t="s">
        <v>198</v>
      </c>
      <c r="B11" s="209">
        <v>8.0</v>
      </c>
      <c r="C11" s="208">
        <v>4.0</v>
      </c>
    </row>
    <row r="12" ht="14.25" customHeight="1">
      <c r="A12" s="201"/>
    </row>
    <row r="13" ht="14.25" customHeight="1">
      <c r="A13" s="201" t="s">
        <v>41</v>
      </c>
      <c r="B13" s="206">
        <v>0.05</v>
      </c>
    </row>
    <row r="14" ht="14.25" customHeight="1">
      <c r="A14" s="201" t="s">
        <v>199</v>
      </c>
      <c r="B14" s="206">
        <v>0.1</v>
      </c>
    </row>
    <row r="15" ht="14.25" customHeight="1">
      <c r="A15" s="203" t="s">
        <v>200</v>
      </c>
      <c r="B15" s="209">
        <f>1-0.7</f>
        <v>0.3</v>
      </c>
    </row>
    <row r="16" ht="14.25" customHeight="1">
      <c r="A16" s="201"/>
      <c r="B16" s="209"/>
    </row>
    <row r="17" ht="14.25" customHeight="1">
      <c r="A17" s="79" t="s">
        <v>201</v>
      </c>
      <c r="B17" s="210" t="s">
        <v>202</v>
      </c>
    </row>
    <row r="18" ht="14.25" customHeight="1">
      <c r="A18" s="79" t="s">
        <v>203</v>
      </c>
      <c r="B18" s="201" t="s">
        <v>204</v>
      </c>
      <c r="C18" s="201" t="s">
        <v>205</v>
      </c>
    </row>
    <row r="19" ht="14.25" customHeight="1">
      <c r="A19" s="201" t="s">
        <v>206</v>
      </c>
      <c r="B19" s="211">
        <f>B13*B15*B14</f>
        <v>0.0015</v>
      </c>
      <c r="C19" s="211">
        <f t="shared" ref="C19:C21" si="2">B19*2</f>
        <v>0.003</v>
      </c>
      <c r="D19" s="211"/>
      <c r="E19" s="211"/>
    </row>
    <row r="20" ht="14.25" customHeight="1">
      <c r="A20" s="201" t="s">
        <v>207</v>
      </c>
      <c r="B20" s="211">
        <f>SQRT(B19*B21)</f>
        <v>0.00250998008</v>
      </c>
      <c r="C20" s="211">
        <f t="shared" si="2"/>
        <v>0.005019960159</v>
      </c>
      <c r="D20" s="211"/>
      <c r="E20" s="211"/>
    </row>
    <row r="21" ht="14.25" customHeight="1">
      <c r="A21" s="201" t="s">
        <v>208</v>
      </c>
      <c r="B21" s="211">
        <f>B7*B5</f>
        <v>0.0042</v>
      </c>
      <c r="C21" s="211">
        <f t="shared" si="2"/>
        <v>0.0084</v>
      </c>
      <c r="D21" s="211"/>
      <c r="E21" s="211"/>
    </row>
    <row r="22" ht="14.25" customHeight="1">
      <c r="A22" s="201"/>
      <c r="B22" s="212"/>
      <c r="C22" s="211"/>
      <c r="D22" s="211"/>
      <c r="E22" s="211"/>
    </row>
    <row r="23" ht="14.25" customHeight="1">
      <c r="A23" s="201" t="s">
        <v>209</v>
      </c>
      <c r="B23" s="213" t="s">
        <v>195</v>
      </c>
      <c r="D23" s="213" t="s">
        <v>196</v>
      </c>
    </row>
    <row r="24" ht="14.25" customHeight="1">
      <c r="A24" s="201" t="s">
        <v>210</v>
      </c>
      <c r="B24" s="212" t="s">
        <v>204</v>
      </c>
      <c r="C24" s="212" t="s">
        <v>205</v>
      </c>
      <c r="D24" s="212" t="s">
        <v>204</v>
      </c>
      <c r="E24" s="212" t="s">
        <v>205</v>
      </c>
    </row>
    <row r="25" ht="14.25" customHeight="1">
      <c r="A25" s="201" t="s">
        <v>211</v>
      </c>
      <c r="B25" s="211">
        <f>B19*B10</f>
        <v>0.036</v>
      </c>
      <c r="C25" s="211">
        <f t="shared" ref="C25:C27" si="3">B25*2</f>
        <v>0.072</v>
      </c>
      <c r="D25" s="211">
        <f>B19*C10</f>
        <v>0.042</v>
      </c>
      <c r="E25" s="211">
        <f t="shared" ref="E25:E27" si="4">D25*2</f>
        <v>0.084</v>
      </c>
    </row>
    <row r="26" ht="14.25" customHeight="1">
      <c r="A26" s="201" t="s">
        <v>212</v>
      </c>
      <c r="B26" s="211">
        <f>B20*B10</f>
        <v>0.06023952191</v>
      </c>
      <c r="C26" s="211">
        <f t="shared" si="3"/>
        <v>0.1204790438</v>
      </c>
      <c r="D26" s="211">
        <f>B20*C10</f>
        <v>0.07027944223</v>
      </c>
      <c r="E26" s="211">
        <f t="shared" si="4"/>
        <v>0.1405588845</v>
      </c>
    </row>
    <row r="27" ht="14.25" customHeight="1">
      <c r="A27" s="201" t="s">
        <v>213</v>
      </c>
      <c r="B27" s="211">
        <f>B21*B10</f>
        <v>0.1008</v>
      </c>
      <c r="C27" s="211">
        <f t="shared" si="3"/>
        <v>0.2016</v>
      </c>
      <c r="D27" s="211">
        <f>B21*C10</f>
        <v>0.1176</v>
      </c>
      <c r="E27" s="211">
        <f t="shared" si="4"/>
        <v>0.2352</v>
      </c>
    </row>
    <row r="28" ht="14.25" customHeight="1">
      <c r="A28" s="201" t="s">
        <v>214</v>
      </c>
      <c r="B28" s="211">
        <f t="shared" ref="B28:C28" si="5">B27-B25</f>
        <v>0.0648</v>
      </c>
      <c r="C28" s="211">
        <f t="shared" si="5"/>
        <v>0.1296</v>
      </c>
      <c r="D28" s="211">
        <f>D27-D26</f>
        <v>0.04732055777</v>
      </c>
      <c r="E28" s="211"/>
    </row>
    <row r="29" ht="14.25" customHeight="1">
      <c r="A29" s="201" t="s">
        <v>215</v>
      </c>
      <c r="B29" s="205">
        <f>B25/B27</f>
        <v>0.3571428571</v>
      </c>
      <c r="D29" s="206">
        <f>D25/D27</f>
        <v>0.3571428571</v>
      </c>
    </row>
    <row r="30" ht="14.25" customHeight="1">
      <c r="A30" s="201" t="s">
        <v>216</v>
      </c>
      <c r="B30" s="205">
        <f>B26/B27</f>
        <v>0.5976143047</v>
      </c>
      <c r="D30" s="206">
        <f>D26/D27</f>
        <v>0.5976143047</v>
      </c>
    </row>
    <row r="31" ht="14.25" customHeight="1">
      <c r="A31" s="201"/>
    </row>
    <row r="32" ht="14.25" customHeight="1">
      <c r="A32" s="201" t="s">
        <v>217</v>
      </c>
      <c r="B32" s="214" t="s">
        <v>195</v>
      </c>
      <c r="D32" s="214" t="s">
        <v>196</v>
      </c>
    </row>
    <row r="33" ht="14.25" customHeight="1">
      <c r="A33" s="201" t="s">
        <v>218</v>
      </c>
      <c r="B33" s="205">
        <f>B4/B5</f>
        <v>0.5</v>
      </c>
      <c r="D33" s="206">
        <f>B4/B5</f>
        <v>0.5</v>
      </c>
    </row>
    <row r="34" ht="14.25" customHeight="1">
      <c r="A34" s="201"/>
    </row>
    <row r="35" ht="14.25" customHeight="1">
      <c r="A35" s="201"/>
    </row>
    <row r="36" ht="14.25" customHeight="1">
      <c r="A36" s="201"/>
    </row>
    <row r="37" ht="14.25" customHeight="1">
      <c r="A37" s="201"/>
    </row>
    <row r="38" ht="14.25" customHeight="1">
      <c r="A38" s="201"/>
    </row>
    <row r="39" ht="14.25" customHeight="1">
      <c r="A39" s="201"/>
    </row>
    <row r="40" ht="14.25" customHeight="1">
      <c r="A40" s="201"/>
    </row>
    <row r="41" ht="14.25" customHeight="1">
      <c r="A41" s="201"/>
    </row>
    <row r="42" ht="14.25" customHeight="1">
      <c r="A42" s="201"/>
    </row>
    <row r="43" ht="14.25" customHeight="1">
      <c r="A43" s="201"/>
    </row>
    <row r="44" ht="14.25" customHeight="1">
      <c r="A44" s="201"/>
    </row>
    <row r="45" ht="14.25" customHeight="1">
      <c r="A45" s="201"/>
    </row>
    <row r="46" ht="14.25" customHeight="1">
      <c r="A46" s="201"/>
    </row>
    <row r="47" ht="14.25" customHeight="1">
      <c r="A47" s="201"/>
    </row>
    <row r="48" ht="14.25" customHeight="1">
      <c r="A48" s="201"/>
    </row>
    <row r="49" ht="14.25" customHeight="1">
      <c r="A49" s="201"/>
    </row>
    <row r="50" ht="14.25" customHeight="1">
      <c r="A50" s="201"/>
    </row>
    <row r="51" ht="14.25" customHeight="1">
      <c r="A51" s="201"/>
    </row>
    <row r="52" ht="14.25" customHeight="1">
      <c r="A52" s="201"/>
    </row>
    <row r="53" ht="14.25" customHeight="1">
      <c r="A53" s="201"/>
    </row>
    <row r="54" ht="14.25" customHeight="1">
      <c r="A54" s="201"/>
    </row>
    <row r="55" ht="14.25" customHeight="1">
      <c r="A55" s="201"/>
    </row>
    <row r="56" ht="14.25" customHeight="1">
      <c r="A56" s="201"/>
    </row>
    <row r="57" ht="14.25" customHeight="1">
      <c r="A57" s="201"/>
    </row>
    <row r="58" ht="14.25" customHeight="1">
      <c r="A58" s="201"/>
    </row>
    <row r="59" ht="14.25" customHeight="1">
      <c r="A59" s="201"/>
    </row>
    <row r="60" ht="14.25" customHeight="1">
      <c r="A60" s="201"/>
    </row>
    <row r="61" ht="14.25" customHeight="1">
      <c r="A61" s="201"/>
    </row>
    <row r="62" ht="14.25" customHeight="1">
      <c r="A62" s="201"/>
    </row>
    <row r="63" ht="14.25" customHeight="1">
      <c r="A63" s="201"/>
    </row>
    <row r="64" ht="14.25" customHeight="1">
      <c r="A64" s="201"/>
    </row>
    <row r="65" ht="14.25" customHeight="1">
      <c r="A65" s="201"/>
    </row>
    <row r="66" ht="14.25" customHeight="1">
      <c r="A66" s="201"/>
    </row>
    <row r="67" ht="14.25" customHeight="1">
      <c r="A67" s="201"/>
    </row>
    <row r="68" ht="14.25" customHeight="1">
      <c r="A68" s="201"/>
    </row>
    <row r="69" ht="14.25" customHeight="1">
      <c r="A69" s="201"/>
    </row>
    <row r="70" ht="14.25" customHeight="1">
      <c r="A70" s="201"/>
    </row>
    <row r="71" ht="14.25" customHeight="1">
      <c r="A71" s="201"/>
    </row>
    <row r="72" ht="14.25" customHeight="1">
      <c r="A72" s="201"/>
    </row>
    <row r="73" ht="14.25" customHeight="1">
      <c r="A73" s="201"/>
    </row>
    <row r="74" ht="14.25" customHeight="1">
      <c r="A74" s="201"/>
    </row>
    <row r="75" ht="14.25" customHeight="1">
      <c r="A75" s="201"/>
    </row>
    <row r="76" ht="14.25" customHeight="1">
      <c r="A76" s="201"/>
    </row>
    <row r="77" ht="14.25" customHeight="1">
      <c r="A77" s="201"/>
    </row>
    <row r="78" ht="14.25" customHeight="1">
      <c r="A78" s="201"/>
    </row>
    <row r="79" ht="14.25" customHeight="1">
      <c r="A79" s="201"/>
    </row>
    <row r="80" ht="14.25" customHeight="1">
      <c r="A80" s="201"/>
    </row>
    <row r="81" ht="14.25" customHeight="1">
      <c r="A81" s="201"/>
    </row>
    <row r="82" ht="14.25" customHeight="1">
      <c r="A82" s="201"/>
    </row>
    <row r="83" ht="14.25" customHeight="1">
      <c r="A83" s="201"/>
    </row>
    <row r="84" ht="14.25" customHeight="1">
      <c r="A84" s="201"/>
    </row>
    <row r="85" ht="14.25" customHeight="1">
      <c r="A85" s="201"/>
    </row>
    <row r="86" ht="14.25" customHeight="1">
      <c r="A86" s="201"/>
    </row>
    <row r="87" ht="14.25" customHeight="1">
      <c r="A87" s="201"/>
    </row>
    <row r="88" ht="14.25" customHeight="1">
      <c r="A88" s="201"/>
    </row>
    <row r="89" ht="14.25" customHeight="1">
      <c r="A89" s="201"/>
    </row>
    <row r="90" ht="14.25" customHeight="1">
      <c r="A90" s="201"/>
    </row>
    <row r="91" ht="14.25" customHeight="1">
      <c r="A91" s="201"/>
    </row>
    <row r="92" ht="14.25" customHeight="1">
      <c r="A92" s="201"/>
    </row>
    <row r="93" ht="14.25" customHeight="1">
      <c r="A93" s="201"/>
    </row>
    <row r="94" ht="14.25" customHeight="1">
      <c r="A94" s="201"/>
    </row>
    <row r="95" ht="14.25" customHeight="1">
      <c r="A95" s="201"/>
    </row>
    <row r="96" ht="14.25" customHeight="1">
      <c r="A96" s="201"/>
    </row>
    <row r="97" ht="14.25" customHeight="1">
      <c r="A97" s="201"/>
    </row>
    <row r="98" ht="14.25" customHeight="1">
      <c r="A98" s="201"/>
    </row>
    <row r="99" ht="14.25" customHeight="1">
      <c r="A99" s="201"/>
    </row>
    <row r="100" ht="14.25" customHeight="1">
      <c r="A100" s="201"/>
    </row>
    <row r="101" ht="14.25" customHeight="1">
      <c r="A101" s="201"/>
    </row>
    <row r="102" ht="14.25" customHeight="1">
      <c r="A102" s="201"/>
    </row>
    <row r="103" ht="14.25" customHeight="1">
      <c r="A103" s="201"/>
    </row>
    <row r="104" ht="14.25" customHeight="1">
      <c r="A104" s="201"/>
    </row>
    <row r="105" ht="14.25" customHeight="1">
      <c r="A105" s="201"/>
    </row>
    <row r="106" ht="14.25" customHeight="1">
      <c r="A106" s="201"/>
    </row>
    <row r="107" ht="14.25" customHeight="1">
      <c r="A107" s="201"/>
    </row>
    <row r="108" ht="14.25" customHeight="1">
      <c r="A108" s="201"/>
    </row>
    <row r="109" ht="14.25" customHeight="1">
      <c r="A109" s="201"/>
    </row>
    <row r="110" ht="14.25" customHeight="1">
      <c r="A110" s="201"/>
    </row>
    <row r="111" ht="14.25" customHeight="1">
      <c r="A111" s="201"/>
    </row>
    <row r="112" ht="14.25" customHeight="1">
      <c r="A112" s="201"/>
    </row>
    <row r="113" ht="14.25" customHeight="1">
      <c r="A113" s="201"/>
    </row>
    <row r="114" ht="14.25" customHeight="1">
      <c r="A114" s="201"/>
    </row>
    <row r="115" ht="14.25" customHeight="1">
      <c r="A115" s="201"/>
    </row>
    <row r="116" ht="14.25" customHeight="1">
      <c r="A116" s="201"/>
    </row>
    <row r="117" ht="14.25" customHeight="1">
      <c r="A117" s="201"/>
    </row>
    <row r="118" ht="14.25" customHeight="1">
      <c r="A118" s="201"/>
    </row>
    <row r="119" ht="14.25" customHeight="1">
      <c r="A119" s="201"/>
    </row>
    <row r="120" ht="14.25" customHeight="1">
      <c r="A120" s="201"/>
    </row>
    <row r="121" ht="14.25" customHeight="1">
      <c r="A121" s="201"/>
    </row>
    <row r="122" ht="14.25" customHeight="1">
      <c r="A122" s="201"/>
    </row>
    <row r="123" ht="14.25" customHeight="1">
      <c r="A123" s="201"/>
    </row>
    <row r="124" ht="14.25" customHeight="1">
      <c r="A124" s="201"/>
    </row>
    <row r="125" ht="14.25" customHeight="1">
      <c r="A125" s="201"/>
    </row>
    <row r="126" ht="14.25" customHeight="1">
      <c r="A126" s="201"/>
    </row>
    <row r="127" ht="14.25" customHeight="1">
      <c r="A127" s="201"/>
    </row>
    <row r="128" ht="14.25" customHeight="1">
      <c r="A128" s="201"/>
    </row>
    <row r="129" ht="14.25" customHeight="1">
      <c r="A129" s="201"/>
    </row>
    <row r="130" ht="14.25" customHeight="1">
      <c r="A130" s="201"/>
    </row>
    <row r="131" ht="14.25" customHeight="1">
      <c r="A131" s="201"/>
    </row>
    <row r="132" ht="14.25" customHeight="1">
      <c r="A132" s="201"/>
    </row>
    <row r="133" ht="14.25" customHeight="1">
      <c r="A133" s="201"/>
    </row>
    <row r="134" ht="14.25" customHeight="1">
      <c r="A134" s="201"/>
    </row>
    <row r="135" ht="14.25" customHeight="1">
      <c r="A135" s="201"/>
    </row>
    <row r="136" ht="14.25" customHeight="1">
      <c r="A136" s="201"/>
    </row>
    <row r="137" ht="14.25" customHeight="1">
      <c r="A137" s="201"/>
    </row>
    <row r="138" ht="14.25" customHeight="1">
      <c r="A138" s="201"/>
    </row>
    <row r="139" ht="14.25" customHeight="1">
      <c r="A139" s="201"/>
    </row>
    <row r="140" ht="14.25" customHeight="1">
      <c r="A140" s="201"/>
    </row>
    <row r="141" ht="14.25" customHeight="1">
      <c r="A141" s="201"/>
    </row>
    <row r="142" ht="14.25" customHeight="1">
      <c r="A142" s="201"/>
    </row>
    <row r="143" ht="14.25" customHeight="1">
      <c r="A143" s="201"/>
    </row>
    <row r="144" ht="14.25" customHeight="1">
      <c r="A144" s="201"/>
    </row>
    <row r="145" ht="14.25" customHeight="1">
      <c r="A145" s="201"/>
    </row>
    <row r="146" ht="14.25" customHeight="1">
      <c r="A146" s="201"/>
    </row>
    <row r="147" ht="14.25" customHeight="1">
      <c r="A147" s="201"/>
    </row>
    <row r="148" ht="14.25" customHeight="1">
      <c r="A148" s="201"/>
    </row>
    <row r="149" ht="14.25" customHeight="1">
      <c r="A149" s="201"/>
    </row>
    <row r="150" ht="14.25" customHeight="1">
      <c r="A150" s="201"/>
    </row>
    <row r="151" ht="14.25" customHeight="1">
      <c r="A151" s="201"/>
    </row>
    <row r="152" ht="14.25" customHeight="1">
      <c r="A152" s="201"/>
    </row>
    <row r="153" ht="14.25" customHeight="1">
      <c r="A153" s="201"/>
    </row>
    <row r="154" ht="14.25" customHeight="1">
      <c r="A154" s="201"/>
    </row>
    <row r="155" ht="14.25" customHeight="1">
      <c r="A155" s="201"/>
    </row>
    <row r="156" ht="14.25" customHeight="1">
      <c r="A156" s="201"/>
    </row>
    <row r="157" ht="14.25" customHeight="1">
      <c r="A157" s="201"/>
    </row>
    <row r="158" ht="14.25" customHeight="1">
      <c r="A158" s="201"/>
    </row>
    <row r="159" ht="14.25" customHeight="1">
      <c r="A159" s="201"/>
    </row>
    <row r="160" ht="14.25" customHeight="1">
      <c r="A160" s="201"/>
    </row>
    <row r="161" ht="14.25" customHeight="1">
      <c r="A161" s="201"/>
    </row>
    <row r="162" ht="14.25" customHeight="1">
      <c r="A162" s="201"/>
    </row>
    <row r="163" ht="14.25" customHeight="1">
      <c r="A163" s="201"/>
    </row>
    <row r="164" ht="14.25" customHeight="1">
      <c r="A164" s="201"/>
    </row>
    <row r="165" ht="14.25" customHeight="1">
      <c r="A165" s="201"/>
    </row>
    <row r="166" ht="14.25" customHeight="1">
      <c r="A166" s="201"/>
    </row>
    <row r="167" ht="14.25" customHeight="1">
      <c r="A167" s="201"/>
    </row>
    <row r="168" ht="14.25" customHeight="1">
      <c r="A168" s="201"/>
    </row>
    <row r="169" ht="14.25" customHeight="1">
      <c r="A169" s="201"/>
    </row>
    <row r="170" ht="14.25" customHeight="1">
      <c r="A170" s="201"/>
    </row>
    <row r="171" ht="14.25" customHeight="1">
      <c r="A171" s="201"/>
    </row>
    <row r="172" ht="14.25" customHeight="1">
      <c r="A172" s="201"/>
    </row>
    <row r="173" ht="14.25" customHeight="1">
      <c r="A173" s="201"/>
    </row>
    <row r="174" ht="14.25" customHeight="1">
      <c r="A174" s="201"/>
    </row>
    <row r="175" ht="14.25" customHeight="1">
      <c r="A175" s="201"/>
    </row>
    <row r="176" ht="14.25" customHeight="1">
      <c r="A176" s="201"/>
    </row>
    <row r="177" ht="14.25" customHeight="1">
      <c r="A177" s="201"/>
    </row>
    <row r="178" ht="14.25" customHeight="1">
      <c r="A178" s="201"/>
    </row>
    <row r="179" ht="14.25" customHeight="1">
      <c r="A179" s="201"/>
    </row>
    <row r="180" ht="14.25" customHeight="1">
      <c r="A180" s="201"/>
    </row>
    <row r="181" ht="14.25" customHeight="1">
      <c r="A181" s="201"/>
    </row>
    <row r="182" ht="14.25" customHeight="1">
      <c r="A182" s="201"/>
    </row>
    <row r="183" ht="14.25" customHeight="1">
      <c r="A183" s="201"/>
    </row>
    <row r="184" ht="14.25" customHeight="1">
      <c r="A184" s="201"/>
    </row>
    <row r="185" ht="14.25" customHeight="1">
      <c r="A185" s="201"/>
    </row>
    <row r="186" ht="14.25" customHeight="1">
      <c r="A186" s="201"/>
    </row>
    <row r="187" ht="14.25" customHeight="1">
      <c r="A187" s="201"/>
    </row>
    <row r="188" ht="14.25" customHeight="1">
      <c r="A188" s="201"/>
    </row>
    <row r="189" ht="14.25" customHeight="1">
      <c r="A189" s="201"/>
    </row>
    <row r="190" ht="14.25" customHeight="1">
      <c r="A190" s="201"/>
    </row>
    <row r="191" ht="14.25" customHeight="1">
      <c r="A191" s="201"/>
    </row>
    <row r="192" ht="14.25" customHeight="1">
      <c r="A192" s="201"/>
    </row>
    <row r="193" ht="14.25" customHeight="1">
      <c r="A193" s="201"/>
    </row>
    <row r="194" ht="14.25" customHeight="1">
      <c r="A194" s="201"/>
    </row>
    <row r="195" ht="14.25" customHeight="1">
      <c r="A195" s="201"/>
    </row>
    <row r="196" ht="14.25" customHeight="1">
      <c r="A196" s="201"/>
    </row>
    <row r="197" ht="14.25" customHeight="1">
      <c r="A197" s="201"/>
    </row>
    <row r="198" ht="14.25" customHeight="1">
      <c r="A198" s="201"/>
    </row>
    <row r="199" ht="14.25" customHeight="1">
      <c r="A199" s="201"/>
    </row>
    <row r="200" ht="14.25" customHeight="1">
      <c r="A200" s="201"/>
    </row>
    <row r="201" ht="14.25" customHeight="1">
      <c r="A201" s="201"/>
    </row>
    <row r="202" ht="14.25" customHeight="1">
      <c r="A202" s="201"/>
    </row>
    <row r="203" ht="14.25" customHeight="1">
      <c r="A203" s="201"/>
    </row>
    <row r="204" ht="14.25" customHeight="1">
      <c r="A204" s="201"/>
    </row>
    <row r="205" ht="14.25" customHeight="1">
      <c r="A205" s="201"/>
    </row>
    <row r="206" ht="14.25" customHeight="1">
      <c r="A206" s="201"/>
    </row>
    <row r="207" ht="14.25" customHeight="1">
      <c r="A207" s="201"/>
    </row>
    <row r="208" ht="14.25" customHeight="1">
      <c r="A208" s="201"/>
    </row>
    <row r="209" ht="14.25" customHeight="1">
      <c r="A209" s="201"/>
    </row>
    <row r="210" ht="14.25" customHeight="1">
      <c r="A210" s="201"/>
    </row>
    <row r="211" ht="14.25" customHeight="1">
      <c r="A211" s="201"/>
    </row>
    <row r="212" ht="14.25" customHeight="1">
      <c r="A212" s="201"/>
    </row>
    <row r="213" ht="14.25" customHeight="1">
      <c r="A213" s="201"/>
    </row>
    <row r="214" ht="14.25" customHeight="1">
      <c r="A214" s="201"/>
    </row>
    <row r="215" ht="14.25" customHeight="1">
      <c r="A215" s="201"/>
    </row>
    <row r="216" ht="14.25" customHeight="1">
      <c r="A216" s="201"/>
    </row>
    <row r="217" ht="14.25" customHeight="1">
      <c r="A217" s="201"/>
    </row>
    <row r="218" ht="14.25" customHeight="1">
      <c r="A218" s="201"/>
    </row>
    <row r="219" ht="14.25" customHeight="1">
      <c r="A219" s="201"/>
    </row>
    <row r="220" ht="14.25" customHeight="1">
      <c r="A220" s="201"/>
    </row>
    <row r="221" ht="14.25" customHeight="1">
      <c r="A221" s="201"/>
    </row>
    <row r="222" ht="14.25" customHeight="1">
      <c r="A222" s="201"/>
    </row>
    <row r="223" ht="14.25" customHeight="1">
      <c r="A223" s="201"/>
    </row>
    <row r="224" ht="14.25" customHeight="1">
      <c r="A224" s="201"/>
    </row>
    <row r="225" ht="14.25" customHeight="1">
      <c r="A225" s="201"/>
    </row>
    <row r="226" ht="14.25" customHeight="1">
      <c r="A226" s="201"/>
    </row>
    <row r="227" ht="14.25" customHeight="1">
      <c r="A227" s="201"/>
    </row>
    <row r="228" ht="14.25" customHeight="1">
      <c r="A228" s="201"/>
    </row>
    <row r="229" ht="14.25" customHeight="1">
      <c r="A229" s="201"/>
    </row>
    <row r="230" ht="14.25" customHeight="1">
      <c r="A230" s="201"/>
    </row>
    <row r="231" ht="14.25" customHeight="1">
      <c r="A231" s="201"/>
    </row>
    <row r="232" ht="14.25" customHeight="1">
      <c r="A232" s="201"/>
    </row>
    <row r="233" ht="14.25" customHeight="1">
      <c r="A233" s="201"/>
    </row>
    <row r="234" ht="14.25" customHeight="1">
      <c r="A234" s="201"/>
    </row>
    <row r="235" ht="14.25" customHeight="1">
      <c r="A235" s="201"/>
    </row>
    <row r="236" ht="14.25" customHeight="1">
      <c r="A236" s="201"/>
    </row>
    <row r="237" ht="14.25" customHeight="1">
      <c r="A237" s="201"/>
    </row>
    <row r="238" ht="14.25" customHeight="1">
      <c r="A238" s="201"/>
    </row>
    <row r="239" ht="14.25" customHeight="1">
      <c r="A239" s="201"/>
    </row>
    <row r="240" ht="14.25" customHeight="1">
      <c r="A240" s="201"/>
    </row>
    <row r="241" ht="14.25" customHeight="1">
      <c r="A241" s="201"/>
    </row>
    <row r="242" ht="14.25" customHeight="1">
      <c r="A242" s="201"/>
    </row>
    <row r="243" ht="14.25" customHeight="1">
      <c r="A243" s="201"/>
    </row>
    <row r="244" ht="14.25" customHeight="1">
      <c r="A244" s="201"/>
    </row>
    <row r="245" ht="14.25" customHeight="1">
      <c r="A245" s="201"/>
    </row>
    <row r="246" ht="14.25" customHeight="1">
      <c r="A246" s="201"/>
    </row>
    <row r="247" ht="14.25" customHeight="1">
      <c r="A247" s="201"/>
    </row>
    <row r="248" ht="14.25" customHeight="1">
      <c r="A248" s="201"/>
    </row>
    <row r="249" ht="14.25" customHeight="1">
      <c r="A249" s="201"/>
    </row>
    <row r="250" ht="14.25" customHeight="1">
      <c r="A250" s="201"/>
    </row>
    <row r="251" ht="14.25" customHeight="1">
      <c r="A251" s="201"/>
    </row>
    <row r="252" ht="14.25" customHeight="1">
      <c r="A252" s="201"/>
    </row>
    <row r="253" ht="14.25" customHeight="1">
      <c r="A253" s="201"/>
    </row>
    <row r="254" ht="14.25" customHeight="1">
      <c r="A254" s="201"/>
    </row>
    <row r="255" ht="14.25" customHeight="1">
      <c r="A255" s="201"/>
    </row>
    <row r="256" ht="14.25" customHeight="1">
      <c r="A256" s="201"/>
    </row>
    <row r="257" ht="14.25" customHeight="1">
      <c r="A257" s="201"/>
    </row>
    <row r="258" ht="14.25" customHeight="1">
      <c r="A258" s="201"/>
    </row>
    <row r="259" ht="14.25" customHeight="1">
      <c r="A259" s="201"/>
    </row>
    <row r="260" ht="14.25" customHeight="1">
      <c r="A260" s="201"/>
    </row>
    <row r="261" ht="14.25" customHeight="1">
      <c r="A261" s="201"/>
    </row>
    <row r="262" ht="14.25" customHeight="1">
      <c r="A262" s="201"/>
    </row>
    <row r="263" ht="14.25" customHeight="1">
      <c r="A263" s="201"/>
    </row>
    <row r="264" ht="14.25" customHeight="1">
      <c r="A264" s="201"/>
    </row>
    <row r="265" ht="14.25" customHeight="1">
      <c r="A265" s="201"/>
    </row>
    <row r="266" ht="14.25" customHeight="1">
      <c r="A266" s="201"/>
    </row>
    <row r="267" ht="14.25" customHeight="1">
      <c r="A267" s="201"/>
    </row>
    <row r="268" ht="14.25" customHeight="1">
      <c r="A268" s="201"/>
    </row>
    <row r="269" ht="14.25" customHeight="1">
      <c r="A269" s="201"/>
    </row>
    <row r="270" ht="14.25" customHeight="1">
      <c r="A270" s="201"/>
    </row>
    <row r="271" ht="14.25" customHeight="1">
      <c r="A271" s="201"/>
    </row>
    <row r="272" ht="14.25" customHeight="1">
      <c r="A272" s="201"/>
    </row>
    <row r="273" ht="14.25" customHeight="1">
      <c r="A273" s="201"/>
    </row>
    <row r="274" ht="14.25" customHeight="1">
      <c r="A274" s="201"/>
    </row>
    <row r="275" ht="14.25" customHeight="1">
      <c r="A275" s="201"/>
    </row>
    <row r="276" ht="14.25" customHeight="1">
      <c r="A276" s="201"/>
    </row>
    <row r="277" ht="14.25" customHeight="1">
      <c r="A277" s="201"/>
    </row>
    <row r="278" ht="14.25" customHeight="1">
      <c r="A278" s="201"/>
    </row>
    <row r="279" ht="14.25" customHeight="1">
      <c r="A279" s="201"/>
    </row>
    <row r="280" ht="14.25" customHeight="1">
      <c r="A280" s="201"/>
    </row>
    <row r="281" ht="14.25" customHeight="1">
      <c r="A281" s="201"/>
    </row>
    <row r="282" ht="14.25" customHeight="1">
      <c r="A282" s="201"/>
    </row>
    <row r="283" ht="14.25" customHeight="1">
      <c r="A283" s="201"/>
    </row>
    <row r="284" ht="14.25" customHeight="1">
      <c r="A284" s="201"/>
    </row>
    <row r="285" ht="14.25" customHeight="1">
      <c r="A285" s="201"/>
    </row>
    <row r="286" ht="14.25" customHeight="1">
      <c r="A286" s="201"/>
    </row>
    <row r="287" ht="14.25" customHeight="1">
      <c r="A287" s="201"/>
    </row>
    <row r="288" ht="14.25" customHeight="1">
      <c r="A288" s="201"/>
    </row>
    <row r="289" ht="14.25" customHeight="1">
      <c r="A289" s="201"/>
    </row>
    <row r="290" ht="14.25" customHeight="1">
      <c r="A290" s="201"/>
    </row>
    <row r="291" ht="14.25" customHeight="1">
      <c r="A291" s="201"/>
    </row>
    <row r="292" ht="14.25" customHeight="1">
      <c r="A292" s="201"/>
    </row>
    <row r="293" ht="14.25" customHeight="1">
      <c r="A293" s="201"/>
    </row>
    <row r="294" ht="14.25" customHeight="1">
      <c r="A294" s="201"/>
    </row>
    <row r="295" ht="14.25" customHeight="1">
      <c r="A295" s="201"/>
    </row>
    <row r="296" ht="14.25" customHeight="1">
      <c r="A296" s="201"/>
    </row>
    <row r="297" ht="14.25" customHeight="1">
      <c r="A297" s="201"/>
    </row>
    <row r="298" ht="14.25" customHeight="1">
      <c r="A298" s="201"/>
    </row>
    <row r="299" ht="14.25" customHeight="1">
      <c r="A299" s="201"/>
    </row>
    <row r="300" ht="14.25" customHeight="1">
      <c r="A300" s="201"/>
    </row>
    <row r="301" ht="14.25" customHeight="1">
      <c r="A301" s="201"/>
    </row>
    <row r="302" ht="14.25" customHeight="1">
      <c r="A302" s="201"/>
    </row>
    <row r="303" ht="14.25" customHeight="1">
      <c r="A303" s="201"/>
    </row>
    <row r="304" ht="14.25" customHeight="1">
      <c r="A304" s="201"/>
    </row>
    <row r="305" ht="14.25" customHeight="1">
      <c r="A305" s="201"/>
    </row>
    <row r="306" ht="14.25" customHeight="1">
      <c r="A306" s="201"/>
    </row>
    <row r="307" ht="14.25" customHeight="1">
      <c r="A307" s="201"/>
    </row>
    <row r="308" ht="14.25" customHeight="1">
      <c r="A308" s="201"/>
    </row>
    <row r="309" ht="14.25" customHeight="1">
      <c r="A309" s="201"/>
    </row>
    <row r="310" ht="14.25" customHeight="1">
      <c r="A310" s="201"/>
    </row>
    <row r="311" ht="14.25" customHeight="1">
      <c r="A311" s="201"/>
    </row>
    <row r="312" ht="14.25" customHeight="1">
      <c r="A312" s="201"/>
    </row>
    <row r="313" ht="14.25" customHeight="1">
      <c r="A313" s="201"/>
    </row>
    <row r="314" ht="14.25" customHeight="1">
      <c r="A314" s="201"/>
    </row>
    <row r="315" ht="14.25" customHeight="1">
      <c r="A315" s="201"/>
    </row>
    <row r="316" ht="14.25" customHeight="1">
      <c r="A316" s="201"/>
    </row>
    <row r="317" ht="14.25" customHeight="1">
      <c r="A317" s="201"/>
    </row>
    <row r="318" ht="14.25" customHeight="1">
      <c r="A318" s="201"/>
    </row>
    <row r="319" ht="14.25" customHeight="1">
      <c r="A319" s="201"/>
    </row>
    <row r="320" ht="14.25" customHeight="1">
      <c r="A320" s="201"/>
    </row>
    <row r="321" ht="14.25" customHeight="1">
      <c r="A321" s="201"/>
    </row>
    <row r="322" ht="14.25" customHeight="1">
      <c r="A322" s="201"/>
    </row>
    <row r="323" ht="14.25" customHeight="1">
      <c r="A323" s="201"/>
    </row>
    <row r="324" ht="14.25" customHeight="1">
      <c r="A324" s="201"/>
    </row>
    <row r="325" ht="14.25" customHeight="1">
      <c r="A325" s="201"/>
    </row>
    <row r="326" ht="14.25" customHeight="1">
      <c r="A326" s="201"/>
    </row>
    <row r="327" ht="14.25" customHeight="1">
      <c r="A327" s="201"/>
    </row>
    <row r="328" ht="14.25" customHeight="1">
      <c r="A328" s="201"/>
    </row>
    <row r="329" ht="14.25" customHeight="1">
      <c r="A329" s="201"/>
    </row>
    <row r="330" ht="14.25" customHeight="1">
      <c r="A330" s="201"/>
    </row>
    <row r="331" ht="14.25" customHeight="1">
      <c r="A331" s="201"/>
    </row>
    <row r="332" ht="14.25" customHeight="1">
      <c r="A332" s="201"/>
    </row>
    <row r="333" ht="14.25" customHeight="1">
      <c r="A333" s="201"/>
    </row>
    <row r="334" ht="14.25" customHeight="1">
      <c r="A334" s="201"/>
    </row>
    <row r="335" ht="14.25" customHeight="1">
      <c r="A335" s="201"/>
    </row>
    <row r="336" ht="14.25" customHeight="1">
      <c r="A336" s="201"/>
    </row>
    <row r="337" ht="14.25" customHeight="1">
      <c r="A337" s="201"/>
    </row>
    <row r="338" ht="14.25" customHeight="1">
      <c r="A338" s="201"/>
    </row>
    <row r="339" ht="14.25" customHeight="1">
      <c r="A339" s="201"/>
    </row>
    <row r="340" ht="14.25" customHeight="1">
      <c r="A340" s="201"/>
    </row>
    <row r="341" ht="14.25" customHeight="1">
      <c r="A341" s="201"/>
    </row>
    <row r="342" ht="14.25" customHeight="1">
      <c r="A342" s="201"/>
    </row>
    <row r="343" ht="14.25" customHeight="1">
      <c r="A343" s="201"/>
    </row>
    <row r="344" ht="14.25" customHeight="1">
      <c r="A344" s="201"/>
    </row>
    <row r="345" ht="14.25" customHeight="1">
      <c r="A345" s="201"/>
    </row>
    <row r="346" ht="14.25" customHeight="1">
      <c r="A346" s="201"/>
    </row>
    <row r="347" ht="14.25" customHeight="1">
      <c r="A347" s="201"/>
    </row>
    <row r="348" ht="14.25" customHeight="1">
      <c r="A348" s="201"/>
    </row>
    <row r="349" ht="14.25" customHeight="1">
      <c r="A349" s="201"/>
    </row>
    <row r="350" ht="14.25" customHeight="1">
      <c r="A350" s="201"/>
    </row>
    <row r="351" ht="14.25" customHeight="1">
      <c r="A351" s="201"/>
    </row>
    <row r="352" ht="14.25" customHeight="1">
      <c r="A352" s="201"/>
    </row>
    <row r="353" ht="14.25" customHeight="1">
      <c r="A353" s="201"/>
    </row>
    <row r="354" ht="14.25" customHeight="1">
      <c r="A354" s="201"/>
    </row>
    <row r="355" ht="14.25" customHeight="1">
      <c r="A355" s="201"/>
    </row>
    <row r="356" ht="14.25" customHeight="1">
      <c r="A356" s="201"/>
    </row>
    <row r="357" ht="14.25" customHeight="1">
      <c r="A357" s="201"/>
    </row>
    <row r="358" ht="14.25" customHeight="1">
      <c r="A358" s="201"/>
    </row>
    <row r="359" ht="14.25" customHeight="1">
      <c r="A359" s="201"/>
    </row>
    <row r="360" ht="14.25" customHeight="1">
      <c r="A360" s="201"/>
    </row>
    <row r="361" ht="14.25" customHeight="1">
      <c r="A361" s="201"/>
    </row>
    <row r="362" ht="14.25" customHeight="1">
      <c r="A362" s="201"/>
    </row>
    <row r="363" ht="14.25" customHeight="1">
      <c r="A363" s="201"/>
    </row>
    <row r="364" ht="14.25" customHeight="1">
      <c r="A364" s="201"/>
    </row>
    <row r="365" ht="14.25" customHeight="1">
      <c r="A365" s="201"/>
    </row>
    <row r="366" ht="14.25" customHeight="1">
      <c r="A366" s="201"/>
    </row>
    <row r="367" ht="14.25" customHeight="1">
      <c r="A367" s="201"/>
    </row>
    <row r="368" ht="14.25" customHeight="1">
      <c r="A368" s="201"/>
    </row>
    <row r="369" ht="14.25" customHeight="1">
      <c r="A369" s="201"/>
    </row>
    <row r="370" ht="14.25" customHeight="1">
      <c r="A370" s="201"/>
    </row>
    <row r="371" ht="14.25" customHeight="1">
      <c r="A371" s="201"/>
    </row>
    <row r="372" ht="14.25" customHeight="1">
      <c r="A372" s="201"/>
    </row>
    <row r="373" ht="14.25" customHeight="1">
      <c r="A373" s="201"/>
    </row>
    <row r="374" ht="14.25" customHeight="1">
      <c r="A374" s="201"/>
    </row>
    <row r="375" ht="14.25" customHeight="1">
      <c r="A375" s="201"/>
    </row>
    <row r="376" ht="14.25" customHeight="1">
      <c r="A376" s="201"/>
    </row>
    <row r="377" ht="14.25" customHeight="1">
      <c r="A377" s="201"/>
    </row>
    <row r="378" ht="14.25" customHeight="1">
      <c r="A378" s="201"/>
    </row>
    <row r="379" ht="14.25" customHeight="1">
      <c r="A379" s="201"/>
    </row>
    <row r="380" ht="14.25" customHeight="1">
      <c r="A380" s="201"/>
    </row>
    <row r="381" ht="14.25" customHeight="1">
      <c r="A381" s="201"/>
    </row>
    <row r="382" ht="14.25" customHeight="1">
      <c r="A382" s="201"/>
    </row>
    <row r="383" ht="14.25" customHeight="1">
      <c r="A383" s="201"/>
    </row>
    <row r="384" ht="14.25" customHeight="1">
      <c r="A384" s="201"/>
    </row>
    <row r="385" ht="14.25" customHeight="1">
      <c r="A385" s="201"/>
    </row>
    <row r="386" ht="14.25" customHeight="1">
      <c r="A386" s="201"/>
    </row>
    <row r="387" ht="14.25" customHeight="1">
      <c r="A387" s="201"/>
    </row>
    <row r="388" ht="14.25" customHeight="1">
      <c r="A388" s="201"/>
    </row>
    <row r="389" ht="14.25" customHeight="1">
      <c r="A389" s="201"/>
    </row>
    <row r="390" ht="14.25" customHeight="1">
      <c r="A390" s="201"/>
    </row>
    <row r="391" ht="14.25" customHeight="1">
      <c r="A391" s="201"/>
    </row>
    <row r="392" ht="14.25" customHeight="1">
      <c r="A392" s="201"/>
    </row>
    <row r="393" ht="14.25" customHeight="1">
      <c r="A393" s="201"/>
    </row>
    <row r="394" ht="14.25" customHeight="1">
      <c r="A394" s="201"/>
    </row>
    <row r="395" ht="14.25" customHeight="1">
      <c r="A395" s="201"/>
    </row>
    <row r="396" ht="14.25" customHeight="1">
      <c r="A396" s="201"/>
    </row>
    <row r="397" ht="14.25" customHeight="1">
      <c r="A397" s="201"/>
    </row>
    <row r="398" ht="14.25" customHeight="1">
      <c r="A398" s="201"/>
    </row>
    <row r="399" ht="14.25" customHeight="1">
      <c r="A399" s="201"/>
    </row>
    <row r="400" ht="14.25" customHeight="1">
      <c r="A400" s="201"/>
    </row>
    <row r="401" ht="14.25" customHeight="1">
      <c r="A401" s="201"/>
    </row>
    <row r="402" ht="14.25" customHeight="1">
      <c r="A402" s="201"/>
    </row>
    <row r="403" ht="14.25" customHeight="1">
      <c r="A403" s="201"/>
    </row>
    <row r="404" ht="14.25" customHeight="1">
      <c r="A404" s="201"/>
    </row>
    <row r="405" ht="14.25" customHeight="1">
      <c r="A405" s="201"/>
    </row>
    <row r="406" ht="14.25" customHeight="1">
      <c r="A406" s="201"/>
    </row>
    <row r="407" ht="14.25" customHeight="1">
      <c r="A407" s="201"/>
    </row>
    <row r="408" ht="14.25" customHeight="1">
      <c r="A408" s="201"/>
    </row>
    <row r="409" ht="14.25" customHeight="1">
      <c r="A409" s="201"/>
    </row>
    <row r="410" ht="14.25" customHeight="1">
      <c r="A410" s="201"/>
    </row>
    <row r="411" ht="14.25" customHeight="1">
      <c r="A411" s="201"/>
    </row>
    <row r="412" ht="14.25" customHeight="1">
      <c r="A412" s="201"/>
    </row>
    <row r="413" ht="14.25" customHeight="1">
      <c r="A413" s="201"/>
    </row>
    <row r="414" ht="14.25" customHeight="1">
      <c r="A414" s="201"/>
    </row>
    <row r="415" ht="14.25" customHeight="1">
      <c r="A415" s="201"/>
    </row>
    <row r="416" ht="14.25" customHeight="1">
      <c r="A416" s="201"/>
    </row>
    <row r="417" ht="14.25" customHeight="1">
      <c r="A417" s="201"/>
    </row>
    <row r="418" ht="14.25" customHeight="1">
      <c r="A418" s="201"/>
    </row>
    <row r="419" ht="14.25" customHeight="1">
      <c r="A419" s="201"/>
    </row>
    <row r="420" ht="14.25" customHeight="1">
      <c r="A420" s="201"/>
    </row>
    <row r="421" ht="14.25" customHeight="1">
      <c r="A421" s="201"/>
    </row>
    <row r="422" ht="14.25" customHeight="1">
      <c r="A422" s="201"/>
    </row>
    <row r="423" ht="14.25" customHeight="1">
      <c r="A423" s="201"/>
    </row>
    <row r="424" ht="14.25" customHeight="1">
      <c r="A424" s="201"/>
    </row>
    <row r="425" ht="14.25" customHeight="1">
      <c r="A425" s="201"/>
    </row>
    <row r="426" ht="14.25" customHeight="1">
      <c r="A426" s="201"/>
    </row>
    <row r="427" ht="14.25" customHeight="1">
      <c r="A427" s="201"/>
    </row>
    <row r="428" ht="14.25" customHeight="1">
      <c r="A428" s="201"/>
    </row>
    <row r="429" ht="14.25" customHeight="1">
      <c r="A429" s="201"/>
    </row>
    <row r="430" ht="14.25" customHeight="1">
      <c r="A430" s="201"/>
    </row>
    <row r="431" ht="14.25" customHeight="1">
      <c r="A431" s="201"/>
    </row>
    <row r="432" ht="14.25" customHeight="1">
      <c r="A432" s="201"/>
    </row>
    <row r="433" ht="14.25" customHeight="1">
      <c r="A433" s="201"/>
    </row>
    <row r="434" ht="14.25" customHeight="1">
      <c r="A434" s="201"/>
    </row>
    <row r="435" ht="14.25" customHeight="1">
      <c r="A435" s="201"/>
    </row>
    <row r="436" ht="14.25" customHeight="1">
      <c r="A436" s="201"/>
    </row>
    <row r="437" ht="14.25" customHeight="1">
      <c r="A437" s="201"/>
    </row>
    <row r="438" ht="14.25" customHeight="1">
      <c r="A438" s="201"/>
    </row>
    <row r="439" ht="14.25" customHeight="1">
      <c r="A439" s="201"/>
    </row>
    <row r="440" ht="14.25" customHeight="1">
      <c r="A440" s="201"/>
    </row>
    <row r="441" ht="14.25" customHeight="1">
      <c r="A441" s="201"/>
    </row>
    <row r="442" ht="14.25" customHeight="1">
      <c r="A442" s="201"/>
    </row>
    <row r="443" ht="14.25" customHeight="1">
      <c r="A443" s="201"/>
    </row>
    <row r="444" ht="14.25" customHeight="1">
      <c r="A444" s="201"/>
    </row>
    <row r="445" ht="14.25" customHeight="1">
      <c r="A445" s="201"/>
    </row>
    <row r="446" ht="14.25" customHeight="1">
      <c r="A446" s="201"/>
    </row>
    <row r="447" ht="14.25" customHeight="1">
      <c r="A447" s="201"/>
    </row>
    <row r="448" ht="14.25" customHeight="1">
      <c r="A448" s="201"/>
    </row>
    <row r="449" ht="14.25" customHeight="1">
      <c r="A449" s="201"/>
    </row>
    <row r="450" ht="14.25" customHeight="1">
      <c r="A450" s="201"/>
    </row>
    <row r="451" ht="14.25" customHeight="1">
      <c r="A451" s="201"/>
    </row>
    <row r="452" ht="14.25" customHeight="1">
      <c r="A452" s="201"/>
    </row>
    <row r="453" ht="14.25" customHeight="1">
      <c r="A453" s="201"/>
    </row>
    <row r="454" ht="14.25" customHeight="1">
      <c r="A454" s="201"/>
    </row>
    <row r="455" ht="14.25" customHeight="1">
      <c r="A455" s="201"/>
    </row>
    <row r="456" ht="14.25" customHeight="1">
      <c r="A456" s="201"/>
    </row>
    <row r="457" ht="14.25" customHeight="1">
      <c r="A457" s="201"/>
    </row>
    <row r="458" ht="14.25" customHeight="1">
      <c r="A458" s="201"/>
    </row>
    <row r="459" ht="14.25" customHeight="1">
      <c r="A459" s="201"/>
    </row>
    <row r="460" ht="14.25" customHeight="1">
      <c r="A460" s="201"/>
    </row>
    <row r="461" ht="14.25" customHeight="1">
      <c r="A461" s="201"/>
    </row>
    <row r="462" ht="14.25" customHeight="1">
      <c r="A462" s="201"/>
    </row>
    <row r="463" ht="14.25" customHeight="1">
      <c r="A463" s="201"/>
    </row>
    <row r="464" ht="14.25" customHeight="1">
      <c r="A464" s="201"/>
    </row>
    <row r="465" ht="14.25" customHeight="1">
      <c r="A465" s="201"/>
    </row>
    <row r="466" ht="14.25" customHeight="1">
      <c r="A466" s="201"/>
    </row>
    <row r="467" ht="14.25" customHeight="1">
      <c r="A467" s="201"/>
    </row>
    <row r="468" ht="14.25" customHeight="1">
      <c r="A468" s="201"/>
    </row>
    <row r="469" ht="14.25" customHeight="1">
      <c r="A469" s="201"/>
    </row>
    <row r="470" ht="14.25" customHeight="1">
      <c r="A470" s="201"/>
    </row>
    <row r="471" ht="14.25" customHeight="1">
      <c r="A471" s="201"/>
    </row>
    <row r="472" ht="14.25" customHeight="1">
      <c r="A472" s="201"/>
    </row>
    <row r="473" ht="14.25" customHeight="1">
      <c r="A473" s="201"/>
    </row>
    <row r="474" ht="14.25" customHeight="1">
      <c r="A474" s="201"/>
    </row>
    <row r="475" ht="14.25" customHeight="1">
      <c r="A475" s="201"/>
    </row>
    <row r="476" ht="14.25" customHeight="1">
      <c r="A476" s="201"/>
    </row>
    <row r="477" ht="14.25" customHeight="1">
      <c r="A477" s="201"/>
    </row>
    <row r="478" ht="14.25" customHeight="1">
      <c r="A478" s="201"/>
    </row>
    <row r="479" ht="14.25" customHeight="1">
      <c r="A479" s="201"/>
    </row>
    <row r="480" ht="14.25" customHeight="1">
      <c r="A480" s="201"/>
    </row>
    <row r="481" ht="14.25" customHeight="1">
      <c r="A481" s="201"/>
    </row>
    <row r="482" ht="14.25" customHeight="1">
      <c r="A482" s="201"/>
    </row>
    <row r="483" ht="14.25" customHeight="1">
      <c r="A483" s="201"/>
    </row>
    <row r="484" ht="14.25" customHeight="1">
      <c r="A484" s="201"/>
    </row>
    <row r="485" ht="14.25" customHeight="1">
      <c r="A485" s="201"/>
    </row>
    <row r="486" ht="14.25" customHeight="1">
      <c r="A486" s="201"/>
    </row>
    <row r="487" ht="14.25" customHeight="1">
      <c r="A487" s="201"/>
    </row>
    <row r="488" ht="14.25" customHeight="1">
      <c r="A488" s="201"/>
    </row>
    <row r="489" ht="14.25" customHeight="1">
      <c r="A489" s="201"/>
    </row>
    <row r="490" ht="14.25" customHeight="1">
      <c r="A490" s="201"/>
    </row>
    <row r="491" ht="14.25" customHeight="1">
      <c r="A491" s="201"/>
    </row>
    <row r="492" ht="14.25" customHeight="1">
      <c r="A492" s="201"/>
    </row>
    <row r="493" ht="14.25" customHeight="1">
      <c r="A493" s="201"/>
    </row>
    <row r="494" ht="14.25" customHeight="1">
      <c r="A494" s="201"/>
    </row>
    <row r="495" ht="14.25" customHeight="1">
      <c r="A495" s="201"/>
    </row>
    <row r="496" ht="14.25" customHeight="1">
      <c r="A496" s="201"/>
    </row>
    <row r="497" ht="14.25" customHeight="1">
      <c r="A497" s="201"/>
    </row>
    <row r="498" ht="14.25" customHeight="1">
      <c r="A498" s="201"/>
    </row>
    <row r="499" ht="14.25" customHeight="1">
      <c r="A499" s="201"/>
    </row>
    <row r="500" ht="14.25" customHeight="1">
      <c r="A500" s="201"/>
    </row>
    <row r="501" ht="14.25" customHeight="1">
      <c r="A501" s="201"/>
    </row>
    <row r="502" ht="14.25" customHeight="1">
      <c r="A502" s="201"/>
    </row>
    <row r="503" ht="14.25" customHeight="1">
      <c r="A503" s="201"/>
    </row>
    <row r="504" ht="14.25" customHeight="1">
      <c r="A504" s="201"/>
    </row>
    <row r="505" ht="14.25" customHeight="1">
      <c r="A505" s="201"/>
    </row>
    <row r="506" ht="14.25" customHeight="1">
      <c r="A506" s="201"/>
    </row>
    <row r="507" ht="14.25" customHeight="1">
      <c r="A507" s="201"/>
    </row>
    <row r="508" ht="14.25" customHeight="1">
      <c r="A508" s="201"/>
    </row>
    <row r="509" ht="14.25" customHeight="1">
      <c r="A509" s="201"/>
    </row>
    <row r="510" ht="14.25" customHeight="1">
      <c r="A510" s="201"/>
    </row>
    <row r="511" ht="14.25" customHeight="1">
      <c r="A511" s="201"/>
    </row>
    <row r="512" ht="14.25" customHeight="1">
      <c r="A512" s="201"/>
    </row>
    <row r="513" ht="14.25" customHeight="1">
      <c r="A513" s="201"/>
    </row>
    <row r="514" ht="14.25" customHeight="1">
      <c r="A514" s="201"/>
    </row>
    <row r="515" ht="14.25" customHeight="1">
      <c r="A515" s="201"/>
    </row>
    <row r="516" ht="14.25" customHeight="1">
      <c r="A516" s="201"/>
    </row>
    <row r="517" ht="14.25" customHeight="1">
      <c r="A517" s="201"/>
    </row>
    <row r="518" ht="14.25" customHeight="1">
      <c r="A518" s="201"/>
    </row>
    <row r="519" ht="14.25" customHeight="1">
      <c r="A519" s="201"/>
    </row>
    <row r="520" ht="14.25" customHeight="1">
      <c r="A520" s="201"/>
    </row>
    <row r="521" ht="14.25" customHeight="1">
      <c r="A521" s="201"/>
    </row>
    <row r="522" ht="14.25" customHeight="1">
      <c r="A522" s="201"/>
    </row>
    <row r="523" ht="14.25" customHeight="1">
      <c r="A523" s="201"/>
    </row>
    <row r="524" ht="14.25" customHeight="1">
      <c r="A524" s="201"/>
    </row>
    <row r="525" ht="14.25" customHeight="1">
      <c r="A525" s="201"/>
    </row>
    <row r="526" ht="14.25" customHeight="1">
      <c r="A526" s="201"/>
    </row>
    <row r="527" ht="14.25" customHeight="1">
      <c r="A527" s="201"/>
    </row>
    <row r="528" ht="14.25" customHeight="1">
      <c r="A528" s="201"/>
    </row>
    <row r="529" ht="14.25" customHeight="1">
      <c r="A529" s="201"/>
    </row>
    <row r="530" ht="14.25" customHeight="1">
      <c r="A530" s="201"/>
    </row>
    <row r="531" ht="14.25" customHeight="1">
      <c r="A531" s="201"/>
    </row>
    <row r="532" ht="14.25" customHeight="1">
      <c r="A532" s="201"/>
    </row>
    <row r="533" ht="14.25" customHeight="1">
      <c r="A533" s="201"/>
    </row>
    <row r="534" ht="14.25" customHeight="1">
      <c r="A534" s="201"/>
    </row>
    <row r="535" ht="14.25" customHeight="1">
      <c r="A535" s="201"/>
    </row>
    <row r="536" ht="14.25" customHeight="1">
      <c r="A536" s="201"/>
    </row>
    <row r="537" ht="14.25" customHeight="1">
      <c r="A537" s="201"/>
    </row>
    <row r="538" ht="14.25" customHeight="1">
      <c r="A538" s="201"/>
    </row>
    <row r="539" ht="14.25" customHeight="1">
      <c r="A539" s="201"/>
    </row>
    <row r="540" ht="14.25" customHeight="1">
      <c r="A540" s="201"/>
    </row>
    <row r="541" ht="14.25" customHeight="1">
      <c r="A541" s="201"/>
    </row>
    <row r="542" ht="14.25" customHeight="1">
      <c r="A542" s="201"/>
    </row>
    <row r="543" ht="14.25" customHeight="1">
      <c r="A543" s="201"/>
    </row>
    <row r="544" ht="14.25" customHeight="1">
      <c r="A544" s="201"/>
    </row>
    <row r="545" ht="14.25" customHeight="1">
      <c r="A545" s="201"/>
    </row>
    <row r="546" ht="14.25" customHeight="1">
      <c r="A546" s="201"/>
    </row>
    <row r="547" ht="14.25" customHeight="1">
      <c r="A547" s="201"/>
    </row>
    <row r="548" ht="14.25" customHeight="1">
      <c r="A548" s="201"/>
    </row>
    <row r="549" ht="14.25" customHeight="1">
      <c r="A549" s="201"/>
    </row>
    <row r="550" ht="14.25" customHeight="1">
      <c r="A550" s="201"/>
    </row>
    <row r="551" ht="14.25" customHeight="1">
      <c r="A551" s="201"/>
    </row>
    <row r="552" ht="14.25" customHeight="1">
      <c r="A552" s="201"/>
    </row>
    <row r="553" ht="14.25" customHeight="1">
      <c r="A553" s="201"/>
    </row>
    <row r="554" ht="14.25" customHeight="1">
      <c r="A554" s="201"/>
    </row>
    <row r="555" ht="14.25" customHeight="1">
      <c r="A555" s="201"/>
    </row>
    <row r="556" ht="14.25" customHeight="1">
      <c r="A556" s="201"/>
    </row>
    <row r="557" ht="14.25" customHeight="1">
      <c r="A557" s="201"/>
    </row>
    <row r="558" ht="14.25" customHeight="1">
      <c r="A558" s="201"/>
    </row>
    <row r="559" ht="14.25" customHeight="1">
      <c r="A559" s="201"/>
    </row>
    <row r="560" ht="14.25" customHeight="1">
      <c r="A560" s="201"/>
    </row>
    <row r="561" ht="14.25" customHeight="1">
      <c r="A561" s="201"/>
    </row>
    <row r="562" ht="14.25" customHeight="1">
      <c r="A562" s="201"/>
    </row>
    <row r="563" ht="14.25" customHeight="1">
      <c r="A563" s="201"/>
    </row>
    <row r="564" ht="14.25" customHeight="1">
      <c r="A564" s="201"/>
    </row>
    <row r="565" ht="14.25" customHeight="1">
      <c r="A565" s="201"/>
    </row>
    <row r="566" ht="14.25" customHeight="1">
      <c r="A566" s="201"/>
    </row>
    <row r="567" ht="14.25" customHeight="1">
      <c r="A567" s="201"/>
    </row>
    <row r="568" ht="14.25" customHeight="1">
      <c r="A568" s="201"/>
    </row>
    <row r="569" ht="14.25" customHeight="1">
      <c r="A569" s="201"/>
    </row>
    <row r="570" ht="14.25" customHeight="1">
      <c r="A570" s="201"/>
    </row>
    <row r="571" ht="14.25" customHeight="1">
      <c r="A571" s="201"/>
    </row>
    <row r="572" ht="14.25" customHeight="1">
      <c r="A572" s="201"/>
    </row>
    <row r="573" ht="14.25" customHeight="1">
      <c r="A573" s="201"/>
    </row>
    <row r="574" ht="14.25" customHeight="1">
      <c r="A574" s="201"/>
    </row>
    <row r="575" ht="14.25" customHeight="1">
      <c r="A575" s="201"/>
    </row>
    <row r="576" ht="14.25" customHeight="1">
      <c r="A576" s="201"/>
    </row>
    <row r="577" ht="14.25" customHeight="1">
      <c r="A577" s="201"/>
    </row>
    <row r="578" ht="14.25" customHeight="1">
      <c r="A578" s="201"/>
    </row>
    <row r="579" ht="14.25" customHeight="1">
      <c r="A579" s="201"/>
    </row>
    <row r="580" ht="14.25" customHeight="1">
      <c r="A580" s="201"/>
    </row>
    <row r="581" ht="14.25" customHeight="1">
      <c r="A581" s="201"/>
    </row>
    <row r="582" ht="14.25" customHeight="1">
      <c r="A582" s="201"/>
    </row>
    <row r="583" ht="14.25" customHeight="1">
      <c r="A583" s="201"/>
    </row>
    <row r="584" ht="14.25" customHeight="1">
      <c r="A584" s="201"/>
    </row>
    <row r="585" ht="14.25" customHeight="1">
      <c r="A585" s="201"/>
    </row>
    <row r="586" ht="14.25" customHeight="1">
      <c r="A586" s="201"/>
    </row>
    <row r="587" ht="14.25" customHeight="1">
      <c r="A587" s="201"/>
    </row>
    <row r="588" ht="14.25" customHeight="1">
      <c r="A588" s="201"/>
    </row>
    <row r="589" ht="14.25" customHeight="1">
      <c r="A589" s="201"/>
    </row>
    <row r="590" ht="14.25" customHeight="1">
      <c r="A590" s="201"/>
    </row>
    <row r="591" ht="14.25" customHeight="1">
      <c r="A591" s="201"/>
    </row>
    <row r="592" ht="14.25" customHeight="1">
      <c r="A592" s="201"/>
    </row>
    <row r="593" ht="14.25" customHeight="1">
      <c r="A593" s="201"/>
    </row>
    <row r="594" ht="14.25" customHeight="1">
      <c r="A594" s="201"/>
    </row>
    <row r="595" ht="14.25" customHeight="1">
      <c r="A595" s="201"/>
    </row>
    <row r="596" ht="14.25" customHeight="1">
      <c r="A596" s="201"/>
    </row>
    <row r="597" ht="14.25" customHeight="1">
      <c r="A597" s="201"/>
    </row>
    <row r="598" ht="14.25" customHeight="1">
      <c r="A598" s="201"/>
    </row>
    <row r="599" ht="14.25" customHeight="1">
      <c r="A599" s="201"/>
    </row>
    <row r="600" ht="14.25" customHeight="1">
      <c r="A600" s="201"/>
    </row>
    <row r="601" ht="14.25" customHeight="1">
      <c r="A601" s="201"/>
    </row>
    <row r="602" ht="14.25" customHeight="1">
      <c r="A602" s="201"/>
    </row>
    <row r="603" ht="14.25" customHeight="1">
      <c r="A603" s="201"/>
    </row>
    <row r="604" ht="14.25" customHeight="1">
      <c r="A604" s="201"/>
    </row>
    <row r="605" ht="14.25" customHeight="1">
      <c r="A605" s="201"/>
    </row>
    <row r="606" ht="14.25" customHeight="1">
      <c r="A606" s="201"/>
    </row>
    <row r="607" ht="14.25" customHeight="1">
      <c r="A607" s="201"/>
    </row>
    <row r="608" ht="14.25" customHeight="1">
      <c r="A608" s="201"/>
    </row>
    <row r="609" ht="14.25" customHeight="1">
      <c r="A609" s="201"/>
    </row>
    <row r="610" ht="14.25" customHeight="1">
      <c r="A610" s="201"/>
    </row>
    <row r="611" ht="14.25" customHeight="1">
      <c r="A611" s="201"/>
    </row>
    <row r="612" ht="14.25" customHeight="1">
      <c r="A612" s="201"/>
    </row>
    <row r="613" ht="14.25" customHeight="1">
      <c r="A613" s="201"/>
    </row>
    <row r="614" ht="14.25" customHeight="1">
      <c r="A614" s="201"/>
    </row>
    <row r="615" ht="14.25" customHeight="1">
      <c r="A615" s="201"/>
    </row>
    <row r="616" ht="14.25" customHeight="1">
      <c r="A616" s="201"/>
    </row>
    <row r="617" ht="14.25" customHeight="1">
      <c r="A617" s="201"/>
    </row>
    <row r="618" ht="14.25" customHeight="1">
      <c r="A618" s="201"/>
    </row>
    <row r="619" ht="14.25" customHeight="1">
      <c r="A619" s="201"/>
    </row>
    <row r="620" ht="14.25" customHeight="1">
      <c r="A620" s="201"/>
    </row>
    <row r="621" ht="14.25" customHeight="1">
      <c r="A621" s="201"/>
    </row>
    <row r="622" ht="14.25" customHeight="1">
      <c r="A622" s="201"/>
    </row>
    <row r="623" ht="14.25" customHeight="1">
      <c r="A623" s="201"/>
    </row>
    <row r="624" ht="14.25" customHeight="1">
      <c r="A624" s="201"/>
    </row>
    <row r="625" ht="14.25" customHeight="1">
      <c r="A625" s="201"/>
    </row>
    <row r="626" ht="14.25" customHeight="1">
      <c r="A626" s="201"/>
    </row>
    <row r="627" ht="14.25" customHeight="1">
      <c r="A627" s="201"/>
    </row>
    <row r="628" ht="14.25" customHeight="1">
      <c r="A628" s="201"/>
    </row>
    <row r="629" ht="14.25" customHeight="1">
      <c r="A629" s="201"/>
    </row>
    <row r="630" ht="14.25" customHeight="1">
      <c r="A630" s="201"/>
    </row>
    <row r="631" ht="14.25" customHeight="1">
      <c r="A631" s="201"/>
    </row>
    <row r="632" ht="14.25" customHeight="1">
      <c r="A632" s="201"/>
    </row>
    <row r="633" ht="14.25" customHeight="1">
      <c r="A633" s="201"/>
    </row>
    <row r="634" ht="14.25" customHeight="1">
      <c r="A634" s="201"/>
    </row>
    <row r="635" ht="14.25" customHeight="1">
      <c r="A635" s="201"/>
    </row>
    <row r="636" ht="14.25" customHeight="1">
      <c r="A636" s="201"/>
    </row>
    <row r="637" ht="14.25" customHeight="1">
      <c r="A637" s="201"/>
    </row>
    <row r="638" ht="14.25" customHeight="1">
      <c r="A638" s="201"/>
    </row>
    <row r="639" ht="14.25" customHeight="1">
      <c r="A639" s="201"/>
    </row>
    <row r="640" ht="14.25" customHeight="1">
      <c r="A640" s="201"/>
    </row>
    <row r="641" ht="14.25" customHeight="1">
      <c r="A641" s="201"/>
    </row>
    <row r="642" ht="14.25" customHeight="1">
      <c r="A642" s="201"/>
    </row>
    <row r="643" ht="14.25" customHeight="1">
      <c r="A643" s="201"/>
    </row>
    <row r="644" ht="14.25" customHeight="1">
      <c r="A644" s="201"/>
    </row>
    <row r="645" ht="14.25" customHeight="1">
      <c r="A645" s="201"/>
    </row>
    <row r="646" ht="14.25" customHeight="1">
      <c r="A646" s="201"/>
    </row>
    <row r="647" ht="14.25" customHeight="1">
      <c r="A647" s="201"/>
    </row>
    <row r="648" ht="14.25" customHeight="1">
      <c r="A648" s="201"/>
    </row>
    <row r="649" ht="14.25" customHeight="1">
      <c r="A649" s="201"/>
    </row>
    <row r="650" ht="14.25" customHeight="1">
      <c r="A650" s="201"/>
    </row>
    <row r="651" ht="14.25" customHeight="1">
      <c r="A651" s="201"/>
    </row>
    <row r="652" ht="14.25" customHeight="1">
      <c r="A652" s="201"/>
    </row>
    <row r="653" ht="14.25" customHeight="1">
      <c r="A653" s="201"/>
    </row>
    <row r="654" ht="14.25" customHeight="1">
      <c r="A654" s="201"/>
    </row>
    <row r="655" ht="14.25" customHeight="1">
      <c r="A655" s="201"/>
    </row>
    <row r="656" ht="14.25" customHeight="1">
      <c r="A656" s="201"/>
    </row>
    <row r="657" ht="14.25" customHeight="1">
      <c r="A657" s="201"/>
    </row>
    <row r="658" ht="14.25" customHeight="1">
      <c r="A658" s="201"/>
    </row>
    <row r="659" ht="14.25" customHeight="1">
      <c r="A659" s="201"/>
    </row>
    <row r="660" ht="14.25" customHeight="1">
      <c r="A660" s="201"/>
    </row>
    <row r="661" ht="14.25" customHeight="1">
      <c r="A661" s="201"/>
    </row>
    <row r="662" ht="14.25" customHeight="1">
      <c r="A662" s="201"/>
    </row>
    <row r="663" ht="14.25" customHeight="1">
      <c r="A663" s="201"/>
    </row>
    <row r="664" ht="14.25" customHeight="1">
      <c r="A664" s="201"/>
    </row>
    <row r="665" ht="14.25" customHeight="1">
      <c r="A665" s="201"/>
    </row>
    <row r="666" ht="14.25" customHeight="1">
      <c r="A666" s="201"/>
    </row>
    <row r="667" ht="14.25" customHeight="1">
      <c r="A667" s="201"/>
    </row>
    <row r="668" ht="14.25" customHeight="1">
      <c r="A668" s="201"/>
    </row>
    <row r="669" ht="14.25" customHeight="1">
      <c r="A669" s="201"/>
    </row>
    <row r="670" ht="14.25" customHeight="1">
      <c r="A670" s="201"/>
    </row>
    <row r="671" ht="14.25" customHeight="1">
      <c r="A671" s="201"/>
    </row>
    <row r="672" ht="14.25" customHeight="1">
      <c r="A672" s="201"/>
    </row>
    <row r="673" ht="14.25" customHeight="1">
      <c r="A673" s="201"/>
    </row>
    <row r="674" ht="14.25" customHeight="1">
      <c r="A674" s="201"/>
    </row>
    <row r="675" ht="14.25" customHeight="1">
      <c r="A675" s="201"/>
    </row>
    <row r="676" ht="14.25" customHeight="1">
      <c r="A676" s="201"/>
    </row>
    <row r="677" ht="14.25" customHeight="1">
      <c r="A677" s="201"/>
    </row>
    <row r="678" ht="14.25" customHeight="1">
      <c r="A678" s="201"/>
    </row>
    <row r="679" ht="14.25" customHeight="1">
      <c r="A679" s="201"/>
    </row>
    <row r="680" ht="14.25" customHeight="1">
      <c r="A680" s="201"/>
    </row>
    <row r="681" ht="14.25" customHeight="1">
      <c r="A681" s="201"/>
    </row>
    <row r="682" ht="14.25" customHeight="1">
      <c r="A682" s="201"/>
    </row>
    <row r="683" ht="14.25" customHeight="1">
      <c r="A683" s="201"/>
    </row>
    <row r="684" ht="14.25" customHeight="1">
      <c r="A684" s="201"/>
    </row>
    <row r="685" ht="14.25" customHeight="1">
      <c r="A685" s="201"/>
    </row>
    <row r="686" ht="14.25" customHeight="1">
      <c r="A686" s="201"/>
    </row>
    <row r="687" ht="14.25" customHeight="1">
      <c r="A687" s="201"/>
    </row>
    <row r="688" ht="14.25" customHeight="1">
      <c r="A688" s="201"/>
    </row>
    <row r="689" ht="14.25" customHeight="1">
      <c r="A689" s="201"/>
    </row>
    <row r="690" ht="14.25" customHeight="1">
      <c r="A690" s="201"/>
    </row>
    <row r="691" ht="14.25" customHeight="1">
      <c r="A691" s="201"/>
    </row>
    <row r="692" ht="14.25" customHeight="1">
      <c r="A692" s="201"/>
    </row>
    <row r="693" ht="14.25" customHeight="1">
      <c r="A693" s="201"/>
    </row>
    <row r="694" ht="14.25" customHeight="1">
      <c r="A694" s="201"/>
    </row>
    <row r="695" ht="14.25" customHeight="1">
      <c r="A695" s="201"/>
    </row>
    <row r="696" ht="14.25" customHeight="1">
      <c r="A696" s="201"/>
    </row>
    <row r="697" ht="14.25" customHeight="1">
      <c r="A697" s="201"/>
    </row>
    <row r="698" ht="14.25" customHeight="1">
      <c r="A698" s="201"/>
    </row>
    <row r="699" ht="14.25" customHeight="1">
      <c r="A699" s="201"/>
    </row>
    <row r="700" ht="14.25" customHeight="1">
      <c r="A700" s="201"/>
    </row>
    <row r="701" ht="14.25" customHeight="1">
      <c r="A701" s="201"/>
    </row>
    <row r="702" ht="14.25" customHeight="1">
      <c r="A702" s="201"/>
    </row>
    <row r="703" ht="14.25" customHeight="1">
      <c r="A703" s="201"/>
    </row>
    <row r="704" ht="14.25" customHeight="1">
      <c r="A704" s="201"/>
    </row>
    <row r="705" ht="14.25" customHeight="1">
      <c r="A705" s="201"/>
    </row>
    <row r="706" ht="14.25" customHeight="1">
      <c r="A706" s="201"/>
    </row>
    <row r="707" ht="14.25" customHeight="1">
      <c r="A707" s="201"/>
    </row>
    <row r="708" ht="14.25" customHeight="1">
      <c r="A708" s="201"/>
    </row>
    <row r="709" ht="14.25" customHeight="1">
      <c r="A709" s="201"/>
    </row>
    <row r="710" ht="14.25" customHeight="1">
      <c r="A710" s="201"/>
    </row>
    <row r="711" ht="14.25" customHeight="1">
      <c r="A711" s="201"/>
    </row>
    <row r="712" ht="14.25" customHeight="1">
      <c r="A712" s="201"/>
    </row>
    <row r="713" ht="14.25" customHeight="1">
      <c r="A713" s="201"/>
    </row>
    <row r="714" ht="14.25" customHeight="1">
      <c r="A714" s="201"/>
    </row>
    <row r="715" ht="14.25" customHeight="1">
      <c r="A715" s="201"/>
    </row>
    <row r="716" ht="14.25" customHeight="1">
      <c r="A716" s="201"/>
    </row>
    <row r="717" ht="14.25" customHeight="1">
      <c r="A717" s="201"/>
    </row>
    <row r="718" ht="14.25" customHeight="1">
      <c r="A718" s="201"/>
    </row>
    <row r="719" ht="14.25" customHeight="1">
      <c r="A719" s="201"/>
    </row>
    <row r="720" ht="14.25" customHeight="1">
      <c r="A720" s="201"/>
    </row>
    <row r="721" ht="14.25" customHeight="1">
      <c r="A721" s="201"/>
    </row>
    <row r="722" ht="14.25" customHeight="1">
      <c r="A722" s="201"/>
    </row>
    <row r="723" ht="14.25" customHeight="1">
      <c r="A723" s="201"/>
    </row>
    <row r="724" ht="14.25" customHeight="1">
      <c r="A724" s="201"/>
    </row>
    <row r="725" ht="14.25" customHeight="1">
      <c r="A725" s="201"/>
    </row>
    <row r="726" ht="14.25" customHeight="1">
      <c r="A726" s="201"/>
    </row>
    <row r="727" ht="14.25" customHeight="1">
      <c r="A727" s="201"/>
    </row>
    <row r="728" ht="14.25" customHeight="1">
      <c r="A728" s="201"/>
    </row>
    <row r="729" ht="14.25" customHeight="1">
      <c r="A729" s="201"/>
    </row>
    <row r="730" ht="14.25" customHeight="1">
      <c r="A730" s="201"/>
    </row>
    <row r="731" ht="14.25" customHeight="1">
      <c r="A731" s="201"/>
    </row>
    <row r="732" ht="14.25" customHeight="1">
      <c r="A732" s="201"/>
    </row>
    <row r="733" ht="14.25" customHeight="1">
      <c r="A733" s="201"/>
    </row>
    <row r="734" ht="14.25" customHeight="1">
      <c r="A734" s="201"/>
    </row>
    <row r="735" ht="14.25" customHeight="1">
      <c r="A735" s="201"/>
    </row>
    <row r="736" ht="14.25" customHeight="1">
      <c r="A736" s="201"/>
    </row>
    <row r="737" ht="14.25" customHeight="1">
      <c r="A737" s="201"/>
    </row>
    <row r="738" ht="14.25" customHeight="1">
      <c r="A738" s="201"/>
    </row>
    <row r="739" ht="14.25" customHeight="1">
      <c r="A739" s="201"/>
    </row>
    <row r="740" ht="14.25" customHeight="1">
      <c r="A740" s="201"/>
    </row>
    <row r="741" ht="14.25" customHeight="1">
      <c r="A741" s="201"/>
    </row>
    <row r="742" ht="14.25" customHeight="1">
      <c r="A742" s="201"/>
    </row>
    <row r="743" ht="14.25" customHeight="1">
      <c r="A743" s="201"/>
    </row>
    <row r="744" ht="14.25" customHeight="1">
      <c r="A744" s="201"/>
    </row>
    <row r="745" ht="14.25" customHeight="1">
      <c r="A745" s="201"/>
    </row>
    <row r="746" ht="14.25" customHeight="1">
      <c r="A746" s="201"/>
    </row>
    <row r="747" ht="14.25" customHeight="1">
      <c r="A747" s="201"/>
    </row>
    <row r="748" ht="14.25" customHeight="1">
      <c r="A748" s="201"/>
    </row>
    <row r="749" ht="14.25" customHeight="1">
      <c r="A749" s="201"/>
    </row>
    <row r="750" ht="14.25" customHeight="1">
      <c r="A750" s="201"/>
    </row>
    <row r="751" ht="14.25" customHeight="1">
      <c r="A751" s="201"/>
    </row>
    <row r="752" ht="14.25" customHeight="1">
      <c r="A752" s="201"/>
    </row>
    <row r="753" ht="14.25" customHeight="1">
      <c r="A753" s="201"/>
    </row>
    <row r="754" ht="14.25" customHeight="1">
      <c r="A754" s="201"/>
    </row>
    <row r="755" ht="14.25" customHeight="1">
      <c r="A755" s="201"/>
    </row>
    <row r="756" ht="14.25" customHeight="1">
      <c r="A756" s="201"/>
    </row>
    <row r="757" ht="14.25" customHeight="1">
      <c r="A757" s="201"/>
    </row>
    <row r="758" ht="14.25" customHeight="1">
      <c r="A758" s="201"/>
    </row>
    <row r="759" ht="14.25" customHeight="1">
      <c r="A759" s="201"/>
    </row>
    <row r="760" ht="14.25" customHeight="1">
      <c r="A760" s="201"/>
    </row>
    <row r="761" ht="14.25" customHeight="1">
      <c r="A761" s="201"/>
    </row>
    <row r="762" ht="14.25" customHeight="1">
      <c r="A762" s="201"/>
    </row>
    <row r="763" ht="14.25" customHeight="1">
      <c r="A763" s="201"/>
    </row>
    <row r="764" ht="14.25" customHeight="1">
      <c r="A764" s="201"/>
    </row>
    <row r="765" ht="14.25" customHeight="1">
      <c r="A765" s="201"/>
    </row>
    <row r="766" ht="14.25" customHeight="1">
      <c r="A766" s="201"/>
    </row>
    <row r="767" ht="14.25" customHeight="1">
      <c r="A767" s="201"/>
    </row>
    <row r="768" ht="14.25" customHeight="1">
      <c r="A768" s="201"/>
    </row>
    <row r="769" ht="14.25" customHeight="1">
      <c r="A769" s="201"/>
    </row>
    <row r="770" ht="14.25" customHeight="1">
      <c r="A770" s="201"/>
    </row>
    <row r="771" ht="14.25" customHeight="1">
      <c r="A771" s="201"/>
    </row>
    <row r="772" ht="14.25" customHeight="1">
      <c r="A772" s="201"/>
    </row>
    <row r="773" ht="14.25" customHeight="1">
      <c r="A773" s="201"/>
    </row>
    <row r="774" ht="14.25" customHeight="1">
      <c r="A774" s="201"/>
    </row>
    <row r="775" ht="14.25" customHeight="1">
      <c r="A775" s="201"/>
    </row>
    <row r="776" ht="14.25" customHeight="1">
      <c r="A776" s="201"/>
    </row>
    <row r="777" ht="14.25" customHeight="1">
      <c r="A777" s="201"/>
    </row>
    <row r="778" ht="14.25" customHeight="1">
      <c r="A778" s="201"/>
    </row>
    <row r="779" ht="14.25" customHeight="1">
      <c r="A779" s="201"/>
    </row>
    <row r="780" ht="14.25" customHeight="1">
      <c r="A780" s="201"/>
    </row>
    <row r="781" ht="14.25" customHeight="1">
      <c r="A781" s="201"/>
    </row>
    <row r="782" ht="14.25" customHeight="1">
      <c r="A782" s="201"/>
    </row>
    <row r="783" ht="14.25" customHeight="1">
      <c r="A783" s="201"/>
    </row>
    <row r="784" ht="14.25" customHeight="1">
      <c r="A784" s="201"/>
    </row>
    <row r="785" ht="14.25" customHeight="1">
      <c r="A785" s="201"/>
    </row>
    <row r="786" ht="14.25" customHeight="1">
      <c r="A786" s="201"/>
    </row>
    <row r="787" ht="14.25" customHeight="1">
      <c r="A787" s="201"/>
    </row>
    <row r="788" ht="14.25" customHeight="1">
      <c r="A788" s="201"/>
    </row>
    <row r="789" ht="14.25" customHeight="1">
      <c r="A789" s="201"/>
    </row>
    <row r="790" ht="14.25" customHeight="1">
      <c r="A790" s="201"/>
    </row>
    <row r="791" ht="14.25" customHeight="1">
      <c r="A791" s="201"/>
    </row>
    <row r="792" ht="14.25" customHeight="1">
      <c r="A792" s="201"/>
    </row>
    <row r="793" ht="14.25" customHeight="1">
      <c r="A793" s="201"/>
    </row>
    <row r="794" ht="14.25" customHeight="1">
      <c r="A794" s="201"/>
    </row>
    <row r="795" ht="14.25" customHeight="1">
      <c r="A795" s="201"/>
    </row>
    <row r="796" ht="14.25" customHeight="1">
      <c r="A796" s="201"/>
    </row>
    <row r="797" ht="14.25" customHeight="1">
      <c r="A797" s="201"/>
    </row>
    <row r="798" ht="14.25" customHeight="1">
      <c r="A798" s="201"/>
    </row>
    <row r="799" ht="14.25" customHeight="1">
      <c r="A799" s="201"/>
    </row>
    <row r="800" ht="14.25" customHeight="1">
      <c r="A800" s="201"/>
    </row>
    <row r="801" ht="14.25" customHeight="1">
      <c r="A801" s="201"/>
    </row>
    <row r="802" ht="14.25" customHeight="1">
      <c r="A802" s="201"/>
    </row>
    <row r="803" ht="14.25" customHeight="1">
      <c r="A803" s="201"/>
    </row>
    <row r="804" ht="14.25" customHeight="1">
      <c r="A804" s="201"/>
    </row>
    <row r="805" ht="14.25" customHeight="1">
      <c r="A805" s="201"/>
    </row>
    <row r="806" ht="14.25" customHeight="1">
      <c r="A806" s="201"/>
    </row>
    <row r="807" ht="14.25" customHeight="1">
      <c r="A807" s="201"/>
    </row>
    <row r="808" ht="14.25" customHeight="1">
      <c r="A808" s="201"/>
    </row>
    <row r="809" ht="14.25" customHeight="1">
      <c r="A809" s="201"/>
    </row>
    <row r="810" ht="14.25" customHeight="1">
      <c r="A810" s="201"/>
    </row>
    <row r="811" ht="14.25" customHeight="1">
      <c r="A811" s="201"/>
    </row>
    <row r="812" ht="14.25" customHeight="1">
      <c r="A812" s="201"/>
    </row>
    <row r="813" ht="14.25" customHeight="1">
      <c r="A813" s="201"/>
    </row>
    <row r="814" ht="14.25" customHeight="1">
      <c r="A814" s="201"/>
    </row>
    <row r="815" ht="14.25" customHeight="1">
      <c r="A815" s="201"/>
    </row>
    <row r="816" ht="14.25" customHeight="1">
      <c r="A816" s="201"/>
    </row>
    <row r="817" ht="14.25" customHeight="1">
      <c r="A817" s="201"/>
    </row>
    <row r="818" ht="14.25" customHeight="1">
      <c r="A818" s="201"/>
    </row>
    <row r="819" ht="14.25" customHeight="1">
      <c r="A819" s="201"/>
    </row>
    <row r="820" ht="14.25" customHeight="1">
      <c r="A820" s="201"/>
    </row>
    <row r="821" ht="14.25" customHeight="1">
      <c r="A821" s="201"/>
    </row>
    <row r="822" ht="14.25" customHeight="1">
      <c r="A822" s="201"/>
    </row>
    <row r="823" ht="14.25" customHeight="1">
      <c r="A823" s="201"/>
    </row>
    <row r="824" ht="14.25" customHeight="1">
      <c r="A824" s="201"/>
    </row>
    <row r="825" ht="14.25" customHeight="1">
      <c r="A825" s="201"/>
    </row>
    <row r="826" ht="14.25" customHeight="1">
      <c r="A826" s="201"/>
    </row>
    <row r="827" ht="14.25" customHeight="1">
      <c r="A827" s="201"/>
    </row>
    <row r="828" ht="14.25" customHeight="1">
      <c r="A828" s="201"/>
    </row>
    <row r="829" ht="14.25" customHeight="1">
      <c r="A829" s="201"/>
    </row>
    <row r="830" ht="14.25" customHeight="1">
      <c r="A830" s="201"/>
    </row>
    <row r="831" ht="14.25" customHeight="1">
      <c r="A831" s="201"/>
    </row>
    <row r="832" ht="14.25" customHeight="1">
      <c r="A832" s="201"/>
    </row>
    <row r="833" ht="14.25" customHeight="1">
      <c r="A833" s="201"/>
    </row>
    <row r="834" ht="14.25" customHeight="1">
      <c r="A834" s="201"/>
    </row>
    <row r="835" ht="14.25" customHeight="1">
      <c r="A835" s="201"/>
    </row>
    <row r="836" ht="14.25" customHeight="1">
      <c r="A836" s="201"/>
    </row>
    <row r="837" ht="14.25" customHeight="1">
      <c r="A837" s="201"/>
    </row>
    <row r="838" ht="14.25" customHeight="1">
      <c r="A838" s="201"/>
    </row>
    <row r="839" ht="14.25" customHeight="1">
      <c r="A839" s="201"/>
    </row>
    <row r="840" ht="14.25" customHeight="1">
      <c r="A840" s="201"/>
    </row>
    <row r="841" ht="14.25" customHeight="1">
      <c r="A841" s="201"/>
    </row>
    <row r="842" ht="14.25" customHeight="1">
      <c r="A842" s="201"/>
    </row>
    <row r="843" ht="14.25" customHeight="1">
      <c r="A843" s="201"/>
    </row>
    <row r="844" ht="14.25" customHeight="1">
      <c r="A844" s="201"/>
    </row>
    <row r="845" ht="14.25" customHeight="1">
      <c r="A845" s="201"/>
    </row>
    <row r="846" ht="14.25" customHeight="1">
      <c r="A846" s="201"/>
    </row>
    <row r="847" ht="14.25" customHeight="1">
      <c r="A847" s="201"/>
    </row>
    <row r="848" ht="14.25" customHeight="1">
      <c r="A848" s="201"/>
    </row>
    <row r="849" ht="14.25" customHeight="1">
      <c r="A849" s="201"/>
    </row>
    <row r="850" ht="14.25" customHeight="1">
      <c r="A850" s="201"/>
    </row>
    <row r="851" ht="14.25" customHeight="1">
      <c r="A851" s="201"/>
    </row>
    <row r="852" ht="14.25" customHeight="1">
      <c r="A852" s="201"/>
    </row>
    <row r="853" ht="14.25" customHeight="1">
      <c r="A853" s="201"/>
    </row>
    <row r="854" ht="14.25" customHeight="1">
      <c r="A854" s="201"/>
    </row>
    <row r="855" ht="14.25" customHeight="1">
      <c r="A855" s="201"/>
    </row>
    <row r="856" ht="14.25" customHeight="1">
      <c r="A856" s="201"/>
    </row>
    <row r="857" ht="14.25" customHeight="1">
      <c r="A857" s="201"/>
    </row>
    <row r="858" ht="14.25" customHeight="1">
      <c r="A858" s="201"/>
    </row>
    <row r="859" ht="14.25" customHeight="1">
      <c r="A859" s="201"/>
    </row>
    <row r="860" ht="14.25" customHeight="1">
      <c r="A860" s="201"/>
    </row>
    <row r="861" ht="14.25" customHeight="1">
      <c r="A861" s="201"/>
    </row>
    <row r="862" ht="14.25" customHeight="1">
      <c r="A862" s="201"/>
    </row>
    <row r="863" ht="14.25" customHeight="1">
      <c r="A863" s="201"/>
    </row>
    <row r="864" ht="14.25" customHeight="1">
      <c r="A864" s="201"/>
    </row>
    <row r="865" ht="14.25" customHeight="1">
      <c r="A865" s="201"/>
    </row>
    <row r="866" ht="14.25" customHeight="1">
      <c r="A866" s="201"/>
    </row>
    <row r="867" ht="14.25" customHeight="1">
      <c r="A867" s="201"/>
    </row>
    <row r="868" ht="14.25" customHeight="1">
      <c r="A868" s="201"/>
    </row>
    <row r="869" ht="14.25" customHeight="1">
      <c r="A869" s="201"/>
    </row>
    <row r="870" ht="14.25" customHeight="1">
      <c r="A870" s="201"/>
    </row>
    <row r="871" ht="14.25" customHeight="1">
      <c r="A871" s="201"/>
    </row>
    <row r="872" ht="14.25" customHeight="1">
      <c r="A872" s="201"/>
    </row>
    <row r="873" ht="14.25" customHeight="1">
      <c r="A873" s="201"/>
    </row>
    <row r="874" ht="14.25" customHeight="1">
      <c r="A874" s="201"/>
    </row>
    <row r="875" ht="14.25" customHeight="1">
      <c r="A875" s="201"/>
    </row>
    <row r="876" ht="14.25" customHeight="1">
      <c r="A876" s="201"/>
    </row>
    <row r="877" ht="14.25" customHeight="1">
      <c r="A877" s="201"/>
    </row>
    <row r="878" ht="14.25" customHeight="1">
      <c r="A878" s="201"/>
    </row>
    <row r="879" ht="14.25" customHeight="1">
      <c r="A879" s="201"/>
    </row>
    <row r="880" ht="14.25" customHeight="1">
      <c r="A880" s="201"/>
    </row>
    <row r="881" ht="14.25" customHeight="1">
      <c r="A881" s="201"/>
    </row>
    <row r="882" ht="14.25" customHeight="1">
      <c r="A882" s="201"/>
    </row>
    <row r="883" ht="14.25" customHeight="1">
      <c r="A883" s="201"/>
    </row>
    <row r="884" ht="14.25" customHeight="1">
      <c r="A884" s="201"/>
    </row>
    <row r="885" ht="14.25" customHeight="1">
      <c r="A885" s="201"/>
    </row>
    <row r="886" ht="14.25" customHeight="1">
      <c r="A886" s="201"/>
    </row>
    <row r="887" ht="14.25" customHeight="1">
      <c r="A887" s="201"/>
    </row>
    <row r="888" ht="14.25" customHeight="1">
      <c r="A888" s="201"/>
    </row>
    <row r="889" ht="14.25" customHeight="1">
      <c r="A889" s="201"/>
    </row>
    <row r="890" ht="14.25" customHeight="1">
      <c r="A890" s="201"/>
    </row>
    <row r="891" ht="14.25" customHeight="1">
      <c r="A891" s="201"/>
    </row>
    <row r="892" ht="14.25" customHeight="1">
      <c r="A892" s="201"/>
    </row>
    <row r="893" ht="14.25" customHeight="1">
      <c r="A893" s="201"/>
    </row>
    <row r="894" ht="14.25" customHeight="1">
      <c r="A894" s="201"/>
    </row>
    <row r="895" ht="14.25" customHeight="1">
      <c r="A895" s="201"/>
    </row>
    <row r="896" ht="14.25" customHeight="1">
      <c r="A896" s="201"/>
    </row>
    <row r="897" ht="14.25" customHeight="1">
      <c r="A897" s="201"/>
    </row>
    <row r="898" ht="14.25" customHeight="1">
      <c r="A898" s="201"/>
    </row>
    <row r="899" ht="14.25" customHeight="1">
      <c r="A899" s="201"/>
    </row>
    <row r="900" ht="14.25" customHeight="1">
      <c r="A900" s="201"/>
    </row>
    <row r="901" ht="14.25" customHeight="1">
      <c r="A901" s="201"/>
    </row>
    <row r="902" ht="14.25" customHeight="1">
      <c r="A902" s="201"/>
    </row>
    <row r="903" ht="14.25" customHeight="1">
      <c r="A903" s="201"/>
    </row>
    <row r="904" ht="14.25" customHeight="1">
      <c r="A904" s="201"/>
    </row>
    <row r="905" ht="14.25" customHeight="1">
      <c r="A905" s="201"/>
    </row>
    <row r="906" ht="14.25" customHeight="1">
      <c r="A906" s="201"/>
    </row>
    <row r="907" ht="14.25" customHeight="1">
      <c r="A907" s="201"/>
    </row>
    <row r="908" ht="14.25" customHeight="1">
      <c r="A908" s="201"/>
    </row>
    <row r="909" ht="14.25" customHeight="1">
      <c r="A909" s="201"/>
    </row>
    <row r="910" ht="14.25" customHeight="1">
      <c r="A910" s="201"/>
    </row>
    <row r="911" ht="14.25" customHeight="1">
      <c r="A911" s="201"/>
    </row>
    <row r="912" ht="14.25" customHeight="1">
      <c r="A912" s="201"/>
    </row>
    <row r="913" ht="14.25" customHeight="1">
      <c r="A913" s="201"/>
    </row>
    <row r="914" ht="14.25" customHeight="1">
      <c r="A914" s="201"/>
    </row>
    <row r="915" ht="14.25" customHeight="1">
      <c r="A915" s="201"/>
    </row>
    <row r="916" ht="14.25" customHeight="1">
      <c r="A916" s="201"/>
    </row>
    <row r="917" ht="14.25" customHeight="1">
      <c r="A917" s="201"/>
    </row>
    <row r="918" ht="14.25" customHeight="1">
      <c r="A918" s="201"/>
    </row>
    <row r="919" ht="14.25" customHeight="1">
      <c r="A919" s="201"/>
    </row>
    <row r="920" ht="14.25" customHeight="1">
      <c r="A920" s="201"/>
    </row>
    <row r="921" ht="14.25" customHeight="1">
      <c r="A921" s="201"/>
    </row>
    <row r="922" ht="14.25" customHeight="1">
      <c r="A922" s="201"/>
    </row>
    <row r="923" ht="14.25" customHeight="1">
      <c r="A923" s="201"/>
    </row>
    <row r="924" ht="14.25" customHeight="1">
      <c r="A924" s="201"/>
    </row>
    <row r="925" ht="14.25" customHeight="1">
      <c r="A925" s="201"/>
    </row>
    <row r="926" ht="14.25" customHeight="1">
      <c r="A926" s="201"/>
    </row>
    <row r="927" ht="14.25" customHeight="1">
      <c r="A927" s="201"/>
    </row>
    <row r="928" ht="14.25" customHeight="1">
      <c r="A928" s="201"/>
    </row>
    <row r="929" ht="14.25" customHeight="1">
      <c r="A929" s="201"/>
    </row>
    <row r="930" ht="14.25" customHeight="1">
      <c r="A930" s="201"/>
    </row>
    <row r="931" ht="14.25" customHeight="1">
      <c r="A931" s="201"/>
    </row>
    <row r="932" ht="14.25" customHeight="1">
      <c r="A932" s="201"/>
    </row>
    <row r="933" ht="14.25" customHeight="1">
      <c r="A933" s="201"/>
    </row>
    <row r="934" ht="14.25" customHeight="1">
      <c r="A934" s="201"/>
    </row>
    <row r="935" ht="14.25" customHeight="1">
      <c r="A935" s="201"/>
    </row>
    <row r="936" ht="14.25" customHeight="1">
      <c r="A936" s="201"/>
    </row>
    <row r="937" ht="14.25" customHeight="1">
      <c r="A937" s="201"/>
    </row>
    <row r="938" ht="14.25" customHeight="1">
      <c r="A938" s="201"/>
    </row>
    <row r="939" ht="14.25" customHeight="1">
      <c r="A939" s="201"/>
    </row>
    <row r="940" ht="14.25" customHeight="1">
      <c r="A940" s="201"/>
    </row>
    <row r="941" ht="14.25" customHeight="1">
      <c r="A941" s="201"/>
    </row>
    <row r="942" ht="14.25" customHeight="1">
      <c r="A942" s="201"/>
    </row>
    <row r="943" ht="14.25" customHeight="1">
      <c r="A943" s="201"/>
    </row>
    <row r="944" ht="14.25" customHeight="1">
      <c r="A944" s="201"/>
    </row>
    <row r="945" ht="14.25" customHeight="1">
      <c r="A945" s="201"/>
    </row>
    <row r="946" ht="14.25" customHeight="1">
      <c r="A946" s="201"/>
    </row>
    <row r="947" ht="14.25" customHeight="1">
      <c r="A947" s="201"/>
    </row>
    <row r="948" ht="14.25" customHeight="1">
      <c r="A948" s="201"/>
    </row>
    <row r="949" ht="14.25" customHeight="1">
      <c r="A949" s="201"/>
    </row>
    <row r="950" ht="14.25" customHeight="1">
      <c r="A950" s="201"/>
    </row>
    <row r="951" ht="14.25" customHeight="1">
      <c r="A951" s="201"/>
    </row>
    <row r="952" ht="14.25" customHeight="1">
      <c r="A952" s="201"/>
    </row>
    <row r="953" ht="14.25" customHeight="1">
      <c r="A953" s="201"/>
    </row>
    <row r="954" ht="14.25" customHeight="1">
      <c r="A954" s="201"/>
    </row>
    <row r="955" ht="14.25" customHeight="1">
      <c r="A955" s="201"/>
    </row>
    <row r="956" ht="14.25" customHeight="1">
      <c r="A956" s="201"/>
    </row>
    <row r="957" ht="14.25" customHeight="1">
      <c r="A957" s="201"/>
    </row>
    <row r="958" ht="14.25" customHeight="1">
      <c r="A958" s="201"/>
    </row>
    <row r="959" ht="14.25" customHeight="1">
      <c r="A959" s="201"/>
    </row>
    <row r="960" ht="14.25" customHeight="1">
      <c r="A960" s="201"/>
    </row>
    <row r="961" ht="14.25" customHeight="1">
      <c r="A961" s="201"/>
    </row>
    <row r="962" ht="14.25" customHeight="1">
      <c r="A962" s="201"/>
    </row>
    <row r="963" ht="14.25" customHeight="1">
      <c r="A963" s="201"/>
    </row>
    <row r="964" ht="14.25" customHeight="1">
      <c r="A964" s="201"/>
    </row>
    <row r="965" ht="14.25" customHeight="1">
      <c r="A965" s="201"/>
    </row>
    <row r="966" ht="14.25" customHeight="1">
      <c r="A966" s="201"/>
    </row>
    <row r="967" ht="14.25" customHeight="1">
      <c r="A967" s="201"/>
    </row>
    <row r="968" ht="14.25" customHeight="1">
      <c r="A968" s="201"/>
    </row>
    <row r="969" ht="14.25" customHeight="1">
      <c r="A969" s="201"/>
    </row>
    <row r="970" ht="14.25" customHeight="1">
      <c r="A970" s="201"/>
    </row>
    <row r="971" ht="14.25" customHeight="1">
      <c r="A971" s="201"/>
    </row>
    <row r="972" ht="14.25" customHeight="1">
      <c r="A972" s="201"/>
    </row>
    <row r="973" ht="14.25" customHeight="1">
      <c r="A973" s="201"/>
    </row>
    <row r="974" ht="14.25" customHeight="1">
      <c r="A974" s="201"/>
    </row>
    <row r="975" ht="14.25" customHeight="1">
      <c r="A975" s="201"/>
    </row>
    <row r="976" ht="14.25" customHeight="1">
      <c r="A976" s="201"/>
    </row>
    <row r="977" ht="14.25" customHeight="1">
      <c r="A977" s="201"/>
    </row>
    <row r="978" ht="14.25" customHeight="1">
      <c r="A978" s="201"/>
    </row>
    <row r="979" ht="14.25" customHeight="1">
      <c r="A979" s="201"/>
    </row>
    <row r="980" ht="14.25" customHeight="1">
      <c r="A980" s="201"/>
    </row>
    <row r="981" ht="14.25" customHeight="1">
      <c r="A981" s="201"/>
    </row>
    <row r="982" ht="14.25" customHeight="1">
      <c r="A982" s="201"/>
    </row>
    <row r="983" ht="14.25" customHeight="1">
      <c r="A983" s="201"/>
    </row>
    <row r="984" ht="14.25" customHeight="1">
      <c r="A984" s="201"/>
    </row>
    <row r="985" ht="14.25" customHeight="1">
      <c r="A985" s="201"/>
    </row>
    <row r="986" ht="14.25" customHeight="1">
      <c r="A986" s="201"/>
    </row>
    <row r="987" ht="14.25" customHeight="1">
      <c r="A987" s="201"/>
    </row>
    <row r="988" ht="14.25" customHeight="1">
      <c r="A988" s="201"/>
    </row>
    <row r="989" ht="14.25" customHeight="1">
      <c r="A989" s="201"/>
    </row>
    <row r="990" ht="14.25" customHeight="1">
      <c r="A990" s="201"/>
    </row>
    <row r="991" ht="14.25" customHeight="1">
      <c r="A991" s="201"/>
    </row>
    <row r="992" ht="14.25" customHeight="1">
      <c r="A992" s="201"/>
    </row>
    <row r="993" ht="14.25" customHeight="1">
      <c r="A993" s="201"/>
    </row>
    <row r="994" ht="14.25" customHeight="1">
      <c r="A994" s="201"/>
    </row>
    <row r="995" ht="14.25" customHeight="1">
      <c r="A995" s="201"/>
    </row>
    <row r="996" ht="14.25" customHeight="1">
      <c r="A996" s="201"/>
    </row>
    <row r="997" ht="14.25" customHeight="1">
      <c r="A997" s="201"/>
    </row>
    <row r="998" ht="14.25" customHeight="1">
      <c r="A998" s="201"/>
    </row>
    <row r="999" ht="14.25" customHeight="1">
      <c r="A999" s="201"/>
    </row>
    <row r="1000" ht="14.25" customHeight="1">
      <c r="A1000" s="201"/>
    </row>
    <row r="1001" ht="14.25" customHeight="1">
      <c r="A1001" s="201"/>
    </row>
  </sheetData>
  <mergeCells count="6">
    <mergeCell ref="B1:D1"/>
    <mergeCell ref="B17:G17"/>
    <mergeCell ref="B23:C23"/>
    <mergeCell ref="D23:E23"/>
    <mergeCell ref="B32:C32"/>
    <mergeCell ref="D32:E3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2023-12-20T04:52:54Z</dcterms:created>
  <dc:creator>Ben Brown</dc:creator>
</cp:coreProperties>
</file>